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showInkAnnotation="0" defaultThemeVersion="124226"/>
  <xr:revisionPtr revIDLastSave="0" documentId="13_ncr:1_{AF1B0E00-4BE5-4C4E-AE84-40429FA3F32F}" xr6:coauthVersionLast="47" xr6:coauthVersionMax="47" xr10:uidLastSave="{00000000-0000-0000-0000-000000000000}"/>
  <workbookProtection workbookAlgorithmName="SHA-512" workbookHashValue="hNpy/cfK3vYaav8R1x6ez313pgu3WjprcUFMy9YyuukABk370VDqf3s1d/BnnwJfdlGZSHJprmntGmD5Jofz0g==" workbookSaltValue="+AdnyQgHiin2NMYE2X+aBg==" workbookSpinCount="100000" lockStructure="1"/>
  <bookViews>
    <workbookView xWindow="-120" yWindow="-120" windowWidth="29040" windowHeight="15840" tabRatio="576" xr2:uid="{00000000-000D-0000-FFFF-FFFF00000000}"/>
  </bookViews>
  <sheets>
    <sheet name="發明(新型)案成本估算" sheetId="11" r:id="rId1"/>
    <sheet name="P(M)" sheetId="7" state="hidden" r:id="rId2"/>
    <sheet name="P(M)年費表" sheetId="14" state="hidden" r:id="rId3"/>
    <sheet name="選項" sheetId="2" state="hidden" r:id="rId4"/>
  </sheets>
  <definedNames>
    <definedName name="_xlnm._FilterDatabase" localSheetId="0" hidden="1">'發明(新型)案成本估算'!$A$14:$N$37</definedName>
    <definedName name="_xlnm.Print_Area" localSheetId="0">'發明(新型)案成本估算'!$A$1:$M$297</definedName>
    <definedName name="是否選項">#REF!</definedName>
    <definedName name="計費類型_一案兩請之新型">選項!$E$2:$E$3</definedName>
    <definedName name="計費類型_日韓泰">選項!$D$2:$D$3</definedName>
    <definedName name="計費類型_台中美歐新馬加">選項!$B$2:$B$5</definedName>
    <definedName name="計費類型_設計">選項!$F$2:$F$3</definedName>
    <definedName name="計費類型_越">選項!$C$2:$C$4</definedName>
  </definedNames>
  <calcPr calcId="191029"/>
</workbook>
</file>

<file path=xl/calcChain.xml><?xml version="1.0" encoding="utf-8"?>
<calcChain xmlns="http://schemas.openxmlformats.org/spreadsheetml/2006/main">
  <c r="G13" i="14" l="1"/>
  <c r="F13" i="14"/>
  <c r="E13" i="14"/>
  <c r="AL27" i="7"/>
  <c r="I27" i="7"/>
  <c r="H27" i="7"/>
  <c r="G27" i="7"/>
  <c r="AL21" i="7"/>
  <c r="N21" i="7"/>
  <c r="J21" i="7"/>
  <c r="I21" i="7"/>
  <c r="G21" i="7"/>
  <c r="V13" i="14" l="1"/>
  <c r="U13" i="14"/>
  <c r="T13" i="14"/>
  <c r="S13" i="14"/>
  <c r="R13" i="14"/>
  <c r="Q13" i="14"/>
  <c r="P13" i="14"/>
  <c r="O13" i="14"/>
  <c r="N13" i="14"/>
  <c r="M13" i="14"/>
  <c r="L13" i="14"/>
  <c r="K13" i="14"/>
  <c r="J13" i="14"/>
  <c r="I13" i="14"/>
  <c r="H13" i="14"/>
  <c r="O7" i="14"/>
  <c r="K7" i="14"/>
  <c r="G7" i="14"/>
  <c r="AT35" i="7"/>
  <c r="AT34" i="7"/>
  <c r="AR35" i="7"/>
  <c r="AR34" i="7"/>
  <c r="O64" i="7"/>
  <c r="O63" i="7"/>
  <c r="R35" i="7"/>
  <c r="R34" i="7"/>
  <c r="P35" i="7"/>
  <c r="P34" i="7"/>
  <c r="O35" i="7"/>
  <c r="O34" i="7"/>
  <c r="N35" i="7"/>
  <c r="N34" i="7"/>
  <c r="W47" i="14"/>
  <c r="V47" i="14"/>
  <c r="U47" i="14"/>
  <c r="T47" i="14"/>
  <c r="S47" i="14"/>
  <c r="R47" i="14"/>
  <c r="Q47" i="14"/>
  <c r="P47" i="14"/>
  <c r="O47" i="14"/>
  <c r="N47" i="14"/>
  <c r="M47" i="14"/>
  <c r="L47" i="14"/>
  <c r="K47" i="14"/>
  <c r="J47" i="14"/>
  <c r="I47" i="14"/>
  <c r="H47" i="14"/>
  <c r="G47" i="14"/>
  <c r="F47" i="14"/>
  <c r="M48" i="14"/>
  <c r="L48" i="14"/>
  <c r="K48" i="14"/>
  <c r="J48" i="14"/>
  <c r="I48" i="14"/>
  <c r="H48" i="14"/>
  <c r="G48" i="14"/>
  <c r="F48" i="14"/>
  <c r="E48" i="14"/>
  <c r="E47" i="14"/>
  <c r="N50" i="7"/>
  <c r="AR21" i="7"/>
  <c r="AL22" i="7"/>
  <c r="I22" i="7"/>
  <c r="G22" i="7"/>
  <c r="O50" i="7"/>
  <c r="N27" i="7" l="1"/>
  <c r="J27" i="7"/>
  <c r="A148" i="11" l="1"/>
  <c r="A84" i="11"/>
  <c r="P26" i="7"/>
  <c r="P25" i="7"/>
  <c r="I25" i="7"/>
  <c r="H25" i="7"/>
  <c r="W11" i="14"/>
  <c r="V11" i="14"/>
  <c r="U11" i="14"/>
  <c r="T11" i="14"/>
  <c r="S11" i="14"/>
  <c r="R11" i="14"/>
  <c r="Q11" i="14"/>
  <c r="P11" i="14"/>
  <c r="O11" i="14"/>
  <c r="N11" i="14"/>
  <c r="M11" i="14"/>
  <c r="L11" i="14"/>
  <c r="K11" i="14"/>
  <c r="J11" i="14"/>
  <c r="I11" i="14"/>
  <c r="H11" i="14"/>
  <c r="G11" i="14"/>
  <c r="AM25" i="7"/>
  <c r="AL25" i="7"/>
  <c r="W48" i="7" l="1"/>
  <c r="W46" i="7"/>
  <c r="AX22" i="7"/>
  <c r="AR22" i="7"/>
  <c r="R51" i="7"/>
  <c r="Q51" i="7"/>
  <c r="N51" i="7"/>
  <c r="J51" i="7"/>
  <c r="H51" i="7"/>
  <c r="N22" i="7"/>
  <c r="AR30" i="7" l="1"/>
  <c r="AR29" i="7"/>
  <c r="O59" i="7"/>
  <c r="N59" i="7"/>
  <c r="N58" i="7"/>
  <c r="N30" i="7"/>
  <c r="N29" i="7"/>
  <c r="G30" i="7"/>
  <c r="P30" i="7"/>
  <c r="Q29" i="7"/>
  <c r="P29" i="7"/>
  <c r="J30" i="7"/>
  <c r="J29" i="7"/>
  <c r="G29" i="7"/>
  <c r="B7" i="7"/>
  <c r="I29" i="7"/>
  <c r="AM24" i="7"/>
  <c r="AL24" i="7"/>
  <c r="AM23" i="7"/>
  <c r="AL23" i="7"/>
  <c r="V308" i="11" l="1"/>
  <c r="U308" i="11"/>
  <c r="AR28" i="7" l="1"/>
  <c r="AL28" i="7"/>
  <c r="H28" i="7"/>
  <c r="G28" i="7"/>
  <c r="M19" i="14"/>
  <c r="L19" i="14"/>
  <c r="K19" i="14"/>
  <c r="J19" i="14"/>
  <c r="I19" i="14"/>
  <c r="H19" i="14"/>
  <c r="G19" i="14"/>
  <c r="F19" i="14"/>
  <c r="E19" i="14"/>
  <c r="W18" i="14"/>
  <c r="V18" i="14"/>
  <c r="U18" i="14"/>
  <c r="T18" i="14"/>
  <c r="S18" i="14"/>
  <c r="R18" i="14"/>
  <c r="Q18" i="14"/>
  <c r="P18" i="14"/>
  <c r="O18" i="14"/>
  <c r="N18" i="14"/>
  <c r="M18" i="14"/>
  <c r="L18" i="14"/>
  <c r="K18" i="14"/>
  <c r="J18" i="14"/>
  <c r="I18" i="14"/>
  <c r="H18" i="14"/>
  <c r="G18" i="14"/>
  <c r="F18" i="14"/>
  <c r="E18" i="14"/>
  <c r="AR32" i="7"/>
  <c r="AM33" i="7"/>
  <c r="AM32" i="7"/>
  <c r="I33" i="7"/>
  <c r="H33" i="7"/>
  <c r="G33" i="7"/>
  <c r="I32" i="7"/>
  <c r="H32" i="7"/>
  <c r="G32" i="7"/>
  <c r="X20" i="7"/>
  <c r="X18" i="7"/>
  <c r="AR26" i="7"/>
  <c r="AR25" i="7"/>
  <c r="W9" i="14"/>
  <c r="V9" i="14"/>
  <c r="U9" i="14"/>
  <c r="T9" i="14"/>
  <c r="S9" i="14"/>
  <c r="R9" i="14"/>
  <c r="Q9" i="14"/>
  <c r="P9" i="14"/>
  <c r="O9" i="14"/>
  <c r="N9" i="14"/>
  <c r="M9" i="14"/>
  <c r="L9" i="14"/>
  <c r="K9" i="14"/>
  <c r="J9" i="14"/>
  <c r="I9" i="14"/>
  <c r="H9" i="14"/>
  <c r="G9" i="14"/>
  <c r="AR23" i="7"/>
  <c r="N23" i="7"/>
  <c r="A261" i="11" l="1"/>
  <c r="A260" i="11"/>
  <c r="W18" i="7"/>
  <c r="N26" i="7" l="1"/>
  <c r="C74" i="11"/>
  <c r="C72" i="11"/>
  <c r="C71" i="11"/>
  <c r="C70" i="11"/>
  <c r="C64" i="11"/>
  <c r="C62" i="11"/>
  <c r="C60" i="11"/>
  <c r="C104" i="11"/>
  <c r="C102" i="11"/>
  <c r="C101" i="11"/>
  <c r="C100" i="11"/>
  <c r="C94" i="11"/>
  <c r="C92" i="11"/>
  <c r="C90" i="11"/>
  <c r="C135" i="11"/>
  <c r="C133" i="11"/>
  <c r="C132" i="11"/>
  <c r="C131" i="11"/>
  <c r="E22" i="7"/>
  <c r="E31" i="7"/>
  <c r="E30" i="7"/>
  <c r="E27" i="7"/>
  <c r="E29" i="7"/>
  <c r="E28" i="7"/>
  <c r="W28" i="7" l="1"/>
  <c r="X28" i="7"/>
  <c r="W31" i="7"/>
  <c r="X31" i="7"/>
  <c r="W22" i="7"/>
  <c r="X22" i="7"/>
  <c r="W29" i="7"/>
  <c r="X29" i="7"/>
  <c r="W27" i="7"/>
  <c r="X27" i="7"/>
  <c r="W30" i="7"/>
  <c r="X30" i="7"/>
  <c r="B58" i="14" l="1"/>
  <c r="B59" i="14"/>
  <c r="B60" i="14"/>
  <c r="B61" i="14"/>
  <c r="B62" i="14"/>
  <c r="B63" i="14"/>
  <c r="B64" i="14"/>
  <c r="B65" i="14"/>
  <c r="B66" i="14"/>
  <c r="B68" i="14"/>
  <c r="B71" i="14"/>
  <c r="B74" i="14"/>
  <c r="B75" i="14"/>
  <c r="B76" i="14"/>
  <c r="B77" i="14"/>
  <c r="B69" i="14"/>
  <c r="B70" i="14"/>
  <c r="B72" i="14"/>
  <c r="B73" i="14"/>
  <c r="B67" i="14"/>
  <c r="B57" i="14"/>
  <c r="B30" i="14"/>
  <c r="B31" i="14"/>
  <c r="B32" i="14"/>
  <c r="B33" i="14"/>
  <c r="B34" i="14"/>
  <c r="B35" i="14"/>
  <c r="B36" i="14"/>
  <c r="B37" i="14"/>
  <c r="B38" i="14"/>
  <c r="B39" i="14"/>
  <c r="B41" i="14"/>
  <c r="B44" i="14"/>
  <c r="B47" i="14"/>
  <c r="B48" i="14"/>
  <c r="B49" i="14"/>
  <c r="B50" i="14"/>
  <c r="B42" i="14"/>
  <c r="B43" i="14"/>
  <c r="B45" i="14"/>
  <c r="B46" i="14"/>
  <c r="B40" i="14"/>
  <c r="B4" i="14"/>
  <c r="B5" i="14"/>
  <c r="B6" i="14"/>
  <c r="B7" i="14"/>
  <c r="B8" i="14"/>
  <c r="B9" i="14"/>
  <c r="B10" i="14"/>
  <c r="B11" i="14"/>
  <c r="B12" i="14"/>
  <c r="B14" i="14"/>
  <c r="B17" i="14"/>
  <c r="B20" i="14"/>
  <c r="B21" i="14"/>
  <c r="B22" i="14"/>
  <c r="B23" i="14"/>
  <c r="B15" i="14"/>
  <c r="B16" i="14"/>
  <c r="B18" i="14"/>
  <c r="B19" i="14"/>
  <c r="B13" i="14"/>
  <c r="B3" i="14"/>
  <c r="C125" i="11"/>
  <c r="C123" i="11"/>
  <c r="C121" i="11"/>
  <c r="E19" i="7"/>
  <c r="X19" i="7" s="1"/>
  <c r="E33" i="7"/>
  <c r="W33" i="7" s="1"/>
  <c r="E32" i="7"/>
  <c r="W32" i="7" s="1"/>
  <c r="E37" i="7"/>
  <c r="W37" i="7" s="1"/>
  <c r="E36" i="7"/>
  <c r="W36" i="7" s="1"/>
  <c r="E35" i="7"/>
  <c r="W35" i="7" s="1"/>
  <c r="E34" i="7"/>
  <c r="W34" i="7" s="1"/>
  <c r="E26" i="7"/>
  <c r="W26" i="7" s="1"/>
  <c r="E25" i="7"/>
  <c r="W25" i="7" s="1"/>
  <c r="E24" i="7"/>
  <c r="W24" i="7" s="1"/>
  <c r="E23" i="7"/>
  <c r="W23" i="7" s="1"/>
  <c r="Y30" i="7"/>
  <c r="Y29" i="7"/>
  <c r="E21" i="7"/>
  <c r="W21" i="7" s="1"/>
  <c r="E20" i="7"/>
  <c r="E18" i="7"/>
  <c r="Y18" i="7" s="1"/>
  <c r="E17" i="7"/>
  <c r="W17" i="7" s="1"/>
  <c r="Y19" i="7" l="1"/>
  <c r="W19" i="7"/>
  <c r="Y20" i="7"/>
  <c r="W20" i="7"/>
  <c r="Y31" i="7"/>
  <c r="Y22" i="7"/>
  <c r="Y28" i="7"/>
  <c r="Y27" i="7"/>
  <c r="A259" i="11"/>
  <c r="B9" i="7" l="1"/>
  <c r="Y21" i="7" l="1"/>
  <c r="Y17" i="7"/>
  <c r="N33" i="7"/>
  <c r="N32" i="7"/>
  <c r="I30" i="7"/>
  <c r="N37" i="7"/>
  <c r="G37" i="7"/>
  <c r="N36" i="7"/>
  <c r="G36" i="7"/>
  <c r="H26" i="7"/>
  <c r="G26" i="7"/>
  <c r="G25" i="7"/>
  <c r="P24" i="7"/>
  <c r="I24" i="7"/>
  <c r="H24" i="7"/>
  <c r="P23" i="7"/>
  <c r="H23" i="7"/>
  <c r="AX27" i="7"/>
  <c r="AR27" i="7"/>
  <c r="AX33" i="7"/>
  <c r="AR33" i="7"/>
  <c r="AL33" i="7"/>
  <c r="S33" i="7"/>
  <c r="P33" i="7"/>
  <c r="AX32" i="7"/>
  <c r="AL32" i="7"/>
  <c r="S32" i="7"/>
  <c r="P32" i="7"/>
  <c r="AX30" i="7"/>
  <c r="AL30" i="7"/>
  <c r="H30" i="7"/>
  <c r="AX29" i="7"/>
  <c r="AL29" i="7"/>
  <c r="H29" i="7"/>
  <c r="AX37" i="7"/>
  <c r="AR37" i="7"/>
  <c r="AL37" i="7"/>
  <c r="S37" i="7"/>
  <c r="P37" i="7"/>
  <c r="H37" i="7"/>
  <c r="AX36" i="7"/>
  <c r="AR36" i="7"/>
  <c r="AL36" i="7"/>
  <c r="S36" i="7"/>
  <c r="P36" i="7"/>
  <c r="H36" i="7"/>
  <c r="AX35" i="7"/>
  <c r="AL35" i="7"/>
  <c r="H35" i="7"/>
  <c r="G35" i="7"/>
  <c r="AX34" i="7"/>
  <c r="AL34" i="7"/>
  <c r="H34" i="7"/>
  <c r="G34" i="7"/>
  <c r="AX31" i="7"/>
  <c r="AR31" i="7"/>
  <c r="AL31" i="7"/>
  <c r="S31" i="7"/>
  <c r="P31" i="7"/>
  <c r="N31" i="7"/>
  <c r="H31" i="7"/>
  <c r="G31" i="7"/>
  <c r="AX28" i="7"/>
  <c r="P28" i="7"/>
  <c r="N28" i="7"/>
  <c r="AX26" i="7"/>
  <c r="AL26" i="7"/>
  <c r="S26" i="7"/>
  <c r="AX25" i="7"/>
  <c r="S25" i="7"/>
  <c r="N25" i="7"/>
  <c r="AX24" i="7"/>
  <c r="AR24" i="7"/>
  <c r="S24" i="7"/>
  <c r="N24" i="7"/>
  <c r="G24" i="7"/>
  <c r="AX23" i="7"/>
  <c r="S23" i="7"/>
  <c r="G23" i="7"/>
  <c r="P22" i="7"/>
  <c r="H22" i="7"/>
  <c r="AX21" i="7"/>
  <c r="P20" i="7"/>
  <c r="N20" i="7"/>
  <c r="AX20" i="7"/>
  <c r="AR20" i="7"/>
  <c r="AL20" i="7"/>
  <c r="H20" i="7"/>
  <c r="G20" i="7"/>
  <c r="P19" i="7"/>
  <c r="N19" i="7"/>
  <c r="H19" i="7"/>
  <c r="G19" i="7"/>
  <c r="AX19" i="7"/>
  <c r="AR19" i="7"/>
  <c r="AL19" i="7"/>
  <c r="H18" i="7"/>
  <c r="G18" i="7"/>
  <c r="AX18" i="7"/>
  <c r="G17" i="7"/>
  <c r="AX17" i="7"/>
  <c r="C47" i="7"/>
  <c r="C48" i="7"/>
  <c r="C49" i="7"/>
  <c r="C50" i="7"/>
  <c r="C51" i="7"/>
  <c r="C52" i="7"/>
  <c r="C53" i="7"/>
  <c r="C54" i="7"/>
  <c r="C55" i="7"/>
  <c r="C57" i="7"/>
  <c r="C60" i="7"/>
  <c r="C63" i="7"/>
  <c r="C64" i="7"/>
  <c r="C65" i="7"/>
  <c r="C66" i="7"/>
  <c r="C58" i="7"/>
  <c r="C59" i="7"/>
  <c r="C61" i="7"/>
  <c r="O61" i="7" s="1"/>
  <c r="C62" i="7"/>
  <c r="O62" i="7" s="1"/>
  <c r="C56" i="7"/>
  <c r="O56" i="7" s="1"/>
  <c r="C46" i="7"/>
  <c r="O51" i="7" l="1"/>
  <c r="AR66" i="7"/>
  <c r="AL66" i="7"/>
  <c r="AX66" i="7"/>
  <c r="AR65" i="7"/>
  <c r="AL65" i="7"/>
  <c r="AX65" i="7"/>
  <c r="AX63" i="7"/>
  <c r="AR63" i="7"/>
  <c r="AL63" i="7"/>
  <c r="AX62" i="7"/>
  <c r="AL62" i="7"/>
  <c r="AR62" i="7"/>
  <c r="AL61" i="7"/>
  <c r="AX61" i="7"/>
  <c r="AR61" i="7"/>
  <c r="AL60" i="7"/>
  <c r="AR60" i="7"/>
  <c r="AX60" i="7"/>
  <c r="AX59" i="7"/>
  <c r="AL59" i="7"/>
  <c r="AR59" i="7"/>
  <c r="AX64" i="7"/>
  <c r="AL64" i="7"/>
  <c r="AR64" i="7"/>
  <c r="W56" i="7"/>
  <c r="W59" i="7"/>
  <c r="O58" i="7"/>
  <c r="W58" i="7"/>
  <c r="W60" i="7"/>
  <c r="O60" i="7"/>
  <c r="N60" i="7"/>
  <c r="N57" i="7"/>
  <c r="W57" i="7"/>
  <c r="O57" i="7"/>
  <c r="AX55" i="7"/>
  <c r="AR55" i="7"/>
  <c r="AR53" i="7"/>
  <c r="AX53" i="7"/>
  <c r="W51" i="7"/>
  <c r="AR49" i="7"/>
  <c r="AL49" i="7"/>
  <c r="AX49" i="7"/>
  <c r="O48" i="7"/>
  <c r="AX47" i="7"/>
  <c r="AR47" i="7"/>
  <c r="N62" i="7"/>
  <c r="W62" i="7"/>
  <c r="W61" i="7"/>
  <c r="N61" i="7"/>
  <c r="W65" i="7"/>
  <c r="O65" i="7"/>
  <c r="G65" i="7"/>
  <c r="W64" i="7"/>
  <c r="W63" i="7"/>
  <c r="S55" i="7"/>
  <c r="O55" i="7"/>
  <c r="W55" i="7"/>
  <c r="G55" i="7"/>
  <c r="S54" i="7"/>
  <c r="W54" i="7"/>
  <c r="O54" i="7"/>
  <c r="G54" i="7"/>
  <c r="N52" i="7"/>
  <c r="W52" i="7"/>
  <c r="O52" i="7"/>
  <c r="W50" i="7"/>
  <c r="P50" i="7"/>
  <c r="K271" i="11" l="1"/>
  <c r="K273" i="11"/>
  <c r="K284" i="11"/>
  <c r="K287" i="11"/>
  <c r="K288" i="11"/>
  <c r="K289" i="11"/>
  <c r="K290" i="11"/>
  <c r="K282" i="11"/>
  <c r="K283" i="11"/>
  <c r="K285" i="11"/>
  <c r="K286" i="11"/>
  <c r="K280" i="11"/>
  <c r="R325" i="11"/>
  <c r="R326" i="11"/>
  <c r="R327" i="11"/>
  <c r="R328" i="11"/>
  <c r="R329" i="11"/>
  <c r="R330" i="11"/>
  <c r="R331" i="11"/>
  <c r="R332" i="11"/>
  <c r="R333" i="11"/>
  <c r="R335" i="11"/>
  <c r="R338" i="11"/>
  <c r="R341" i="11"/>
  <c r="R342" i="11"/>
  <c r="R343" i="11"/>
  <c r="R344" i="11"/>
  <c r="R336" i="11"/>
  <c r="R337" i="11"/>
  <c r="R339" i="11"/>
  <c r="R340" i="11"/>
  <c r="R334" i="11"/>
  <c r="R324" i="11"/>
  <c r="Q325" i="11"/>
  <c r="Q326" i="11"/>
  <c r="Q327" i="11"/>
  <c r="Q328" i="11"/>
  <c r="Q329" i="11"/>
  <c r="Q330" i="11"/>
  <c r="Q331" i="11"/>
  <c r="Q332" i="11"/>
  <c r="Q333" i="11"/>
  <c r="Q335" i="11"/>
  <c r="Q338" i="11"/>
  <c r="Q341" i="11"/>
  <c r="Q342" i="11"/>
  <c r="Q343" i="11"/>
  <c r="Q344" i="11"/>
  <c r="Q336" i="11"/>
  <c r="Q337" i="11"/>
  <c r="Q339" i="11"/>
  <c r="Q340" i="11"/>
  <c r="Q334" i="11"/>
  <c r="Q324" i="11"/>
  <c r="AR345" i="11"/>
  <c r="T265" i="11"/>
  <c r="T299" i="11" s="1"/>
  <c r="R271" i="11"/>
  <c r="R272" i="11"/>
  <c r="R273" i="11"/>
  <c r="R274" i="11"/>
  <c r="R275" i="11"/>
  <c r="R276" i="11"/>
  <c r="R277" i="11"/>
  <c r="R278" i="11"/>
  <c r="R279" i="11"/>
  <c r="R281" i="11"/>
  <c r="R284" i="11"/>
  <c r="R287" i="11"/>
  <c r="R288" i="11"/>
  <c r="R289" i="11"/>
  <c r="R290" i="11"/>
  <c r="R282" i="11"/>
  <c r="R283" i="11"/>
  <c r="R285" i="11"/>
  <c r="R286" i="11"/>
  <c r="R280" i="11"/>
  <c r="R270" i="11"/>
  <c r="R298" i="11"/>
  <c r="R299" i="11"/>
  <c r="R300" i="11"/>
  <c r="R301" i="11"/>
  <c r="R302" i="11"/>
  <c r="R303" i="11"/>
  <c r="R304" i="11"/>
  <c r="R305" i="11"/>
  <c r="R306" i="11"/>
  <c r="R308" i="11"/>
  <c r="R311" i="11"/>
  <c r="R314" i="11"/>
  <c r="R315" i="11"/>
  <c r="R316" i="11"/>
  <c r="R317" i="11"/>
  <c r="R309" i="11"/>
  <c r="R310" i="11"/>
  <c r="R312" i="11"/>
  <c r="R313" i="11"/>
  <c r="R307" i="11"/>
  <c r="R297" i="11"/>
  <c r="U270" i="11"/>
  <c r="Y270" i="11"/>
  <c r="Z270" i="11"/>
  <c r="AA270" i="11"/>
  <c r="AB270" i="11"/>
  <c r="AC270" i="11"/>
  <c r="AD270" i="11"/>
  <c r="AE270" i="11"/>
  <c r="AF270" i="11"/>
  <c r="AG270" i="11"/>
  <c r="AH270" i="11"/>
  <c r="AI270" i="11"/>
  <c r="AJ270" i="11"/>
  <c r="AK270" i="11"/>
  <c r="AL270" i="11"/>
  <c r="AM270" i="11"/>
  <c r="AN270" i="11"/>
  <c r="AO270" i="11"/>
  <c r="AP270" i="11"/>
  <c r="AQ270" i="11"/>
  <c r="Y271" i="11"/>
  <c r="Z271" i="11"/>
  <c r="AA271" i="11"/>
  <c r="AB271" i="11"/>
  <c r="AC271" i="11"/>
  <c r="AD271" i="11"/>
  <c r="AE271" i="11"/>
  <c r="AF271" i="11"/>
  <c r="AG271" i="11"/>
  <c r="AH271" i="11"/>
  <c r="AI271" i="11"/>
  <c r="AJ271" i="11"/>
  <c r="AK271" i="11"/>
  <c r="AL271" i="11"/>
  <c r="AM271" i="11"/>
  <c r="AN271" i="11"/>
  <c r="AO271" i="11"/>
  <c r="AP271" i="11"/>
  <c r="AQ271" i="11"/>
  <c r="U272" i="11"/>
  <c r="V272" i="11"/>
  <c r="W272" i="11"/>
  <c r="X272" i="11"/>
  <c r="Y272" i="11"/>
  <c r="Z272" i="11"/>
  <c r="AA272" i="11"/>
  <c r="AB272" i="11"/>
  <c r="AC272" i="11"/>
  <c r="AD272" i="11"/>
  <c r="AE272" i="11"/>
  <c r="AF272" i="11"/>
  <c r="AG272" i="11"/>
  <c r="AH272" i="11"/>
  <c r="AI272" i="11"/>
  <c r="AJ272" i="11"/>
  <c r="AK272" i="11"/>
  <c r="AL272" i="11"/>
  <c r="AM272" i="11"/>
  <c r="AN272" i="11"/>
  <c r="AO272" i="11"/>
  <c r="AP272" i="11"/>
  <c r="AQ272" i="11"/>
  <c r="U273" i="11"/>
  <c r="V273" i="11"/>
  <c r="W273" i="11"/>
  <c r="X273" i="11"/>
  <c r="Y273" i="11"/>
  <c r="Z273" i="11"/>
  <c r="AA273" i="11"/>
  <c r="AB273" i="11"/>
  <c r="AC273" i="11"/>
  <c r="AD273" i="11"/>
  <c r="AE273" i="11"/>
  <c r="AF273" i="11"/>
  <c r="AG273" i="11"/>
  <c r="AH273" i="11"/>
  <c r="AI273" i="11"/>
  <c r="AJ273" i="11"/>
  <c r="AK273" i="11"/>
  <c r="AL273" i="11"/>
  <c r="AM273" i="11"/>
  <c r="AN273" i="11"/>
  <c r="AO273" i="11"/>
  <c r="AP273" i="11"/>
  <c r="AQ273" i="11"/>
  <c r="U274" i="11"/>
  <c r="W274" i="11"/>
  <c r="X274" i="11"/>
  <c r="Y274" i="11"/>
  <c r="AA274" i="11"/>
  <c r="AB274" i="11"/>
  <c r="AC274" i="11"/>
  <c r="AE274" i="11"/>
  <c r="AF274" i="11"/>
  <c r="AG274" i="11"/>
  <c r="AH274" i="11"/>
  <c r="AI274" i="11"/>
  <c r="AJ274" i="11"/>
  <c r="AK274" i="11"/>
  <c r="AL274" i="11"/>
  <c r="AM274" i="11"/>
  <c r="AN274" i="11"/>
  <c r="AO274" i="11"/>
  <c r="AP274" i="11"/>
  <c r="AQ274" i="11"/>
  <c r="U275" i="11"/>
  <c r="V275" i="11"/>
  <c r="W275" i="11"/>
  <c r="X275" i="11"/>
  <c r="Y275" i="11"/>
  <c r="Z275" i="11"/>
  <c r="AA275" i="11"/>
  <c r="AB275" i="11"/>
  <c r="AC275" i="11"/>
  <c r="AD275" i="11"/>
  <c r="AE275" i="11"/>
  <c r="AF275" i="11"/>
  <c r="AG275" i="11"/>
  <c r="AH275" i="11"/>
  <c r="AI275" i="11"/>
  <c r="AJ275" i="11"/>
  <c r="AK275" i="11"/>
  <c r="AL275" i="11"/>
  <c r="AM275" i="11"/>
  <c r="AN275" i="11"/>
  <c r="AO275" i="11"/>
  <c r="AP275" i="11"/>
  <c r="AQ275" i="11"/>
  <c r="U276" i="11"/>
  <c r="AD276" i="11"/>
  <c r="AP276" i="11"/>
  <c r="U277" i="11"/>
  <c r="AC277" i="11"/>
  <c r="AD277" i="11"/>
  <c r="AE277" i="11"/>
  <c r="AF277" i="11"/>
  <c r="AG277" i="11"/>
  <c r="AH277" i="11"/>
  <c r="AI277" i="11"/>
  <c r="AJ277" i="11"/>
  <c r="AK277" i="11"/>
  <c r="AL277" i="11"/>
  <c r="AM277" i="11"/>
  <c r="AN277" i="11"/>
  <c r="AO277" i="11"/>
  <c r="AP277" i="11"/>
  <c r="AQ277" i="11"/>
  <c r="U278" i="11"/>
  <c r="AF278" i="11"/>
  <c r="U279" i="11"/>
  <c r="AG279" i="11"/>
  <c r="AH279" i="11"/>
  <c r="AI279" i="11"/>
  <c r="AJ279" i="11"/>
  <c r="AK279" i="11"/>
  <c r="AL279" i="11"/>
  <c r="AM279" i="11"/>
  <c r="AN279" i="11"/>
  <c r="AO279" i="11"/>
  <c r="AP279" i="11"/>
  <c r="AQ279" i="11"/>
  <c r="U281" i="11"/>
  <c r="V281" i="11"/>
  <c r="W281" i="11"/>
  <c r="X281" i="11"/>
  <c r="Y281" i="11"/>
  <c r="Z281" i="11"/>
  <c r="AA281" i="11"/>
  <c r="AB281" i="11"/>
  <c r="AC281" i="11"/>
  <c r="AD281" i="11"/>
  <c r="AE281" i="11"/>
  <c r="AF281" i="11"/>
  <c r="AG281" i="11"/>
  <c r="AH281" i="11"/>
  <c r="AI281" i="11"/>
  <c r="AJ281" i="11"/>
  <c r="AK281" i="11"/>
  <c r="AL281" i="11"/>
  <c r="AM281" i="11"/>
  <c r="AN281" i="11"/>
  <c r="AO281" i="11"/>
  <c r="AP281" i="11"/>
  <c r="AQ281" i="11"/>
  <c r="U284" i="11"/>
  <c r="V284" i="11"/>
  <c r="AI284" i="11"/>
  <c r="AM284" i="11"/>
  <c r="AN284" i="11"/>
  <c r="AO284" i="11"/>
  <c r="AP284" i="11"/>
  <c r="AQ284" i="11"/>
  <c r="AJ287" i="11"/>
  <c r="AM287" i="11"/>
  <c r="AN287" i="11"/>
  <c r="AO287" i="11"/>
  <c r="AP287" i="11"/>
  <c r="AQ287" i="11"/>
  <c r="AC288" i="11"/>
  <c r="AD288" i="11"/>
  <c r="AE288" i="11"/>
  <c r="AF288" i="11"/>
  <c r="AG288" i="11"/>
  <c r="AH288" i="11"/>
  <c r="AI288" i="11"/>
  <c r="AJ288" i="11"/>
  <c r="AK288" i="11"/>
  <c r="AL288" i="11"/>
  <c r="AM288" i="11"/>
  <c r="AN288" i="11"/>
  <c r="AO288" i="11"/>
  <c r="AP288" i="11"/>
  <c r="AQ288" i="11"/>
  <c r="U289" i="11"/>
  <c r="V289" i="11"/>
  <c r="W289" i="11"/>
  <c r="X289" i="11"/>
  <c r="Y289" i="11"/>
  <c r="Z289" i="11"/>
  <c r="AA289" i="11"/>
  <c r="AB289" i="11"/>
  <c r="AC289" i="11"/>
  <c r="AD289" i="11"/>
  <c r="AE289" i="11"/>
  <c r="AF289" i="11"/>
  <c r="AG289" i="11"/>
  <c r="AH289" i="11"/>
  <c r="AI289" i="11"/>
  <c r="AJ289" i="11"/>
  <c r="AK289" i="11"/>
  <c r="AL289" i="11"/>
  <c r="AM289" i="11"/>
  <c r="AN289" i="11"/>
  <c r="AO289" i="11"/>
  <c r="AP289" i="11"/>
  <c r="AQ289" i="11"/>
  <c r="U290" i="11"/>
  <c r="V290" i="11"/>
  <c r="W290" i="11"/>
  <c r="X290" i="11"/>
  <c r="Y290" i="11"/>
  <c r="Z290" i="11"/>
  <c r="AA290" i="11"/>
  <c r="AB290" i="11"/>
  <c r="AC290" i="11"/>
  <c r="AD290" i="11"/>
  <c r="AE290" i="11"/>
  <c r="AF290" i="11"/>
  <c r="AG290" i="11"/>
  <c r="AH290" i="11"/>
  <c r="AI290" i="11"/>
  <c r="AJ290" i="11"/>
  <c r="AK290" i="11"/>
  <c r="AL290" i="11"/>
  <c r="AM290" i="11"/>
  <c r="AN290" i="11"/>
  <c r="AO290" i="11"/>
  <c r="AP290" i="11"/>
  <c r="AQ290" i="11"/>
  <c r="U282" i="11"/>
  <c r="V282" i="11"/>
  <c r="W282" i="11"/>
  <c r="X282" i="11"/>
  <c r="Y282" i="11"/>
  <c r="Z282" i="11"/>
  <c r="AA282" i="11"/>
  <c r="AB282" i="11"/>
  <c r="AC282" i="11"/>
  <c r="AD282" i="11"/>
  <c r="AE282" i="11"/>
  <c r="AF282" i="11"/>
  <c r="AG282" i="11"/>
  <c r="AH282" i="11"/>
  <c r="AI282" i="11"/>
  <c r="AJ282" i="11"/>
  <c r="AK282" i="11"/>
  <c r="AL282" i="11"/>
  <c r="AM282" i="11"/>
  <c r="AN282" i="11"/>
  <c r="AO282" i="11"/>
  <c r="AP282" i="11"/>
  <c r="AQ282" i="11"/>
  <c r="U283" i="11"/>
  <c r="V283" i="11"/>
  <c r="W283" i="11"/>
  <c r="X283" i="11"/>
  <c r="Y283" i="11"/>
  <c r="Z283" i="11"/>
  <c r="AA283" i="11"/>
  <c r="AB283" i="11"/>
  <c r="AC283" i="11"/>
  <c r="AD283" i="11"/>
  <c r="AE283" i="11"/>
  <c r="AF283" i="11"/>
  <c r="AG283" i="11"/>
  <c r="AH283" i="11"/>
  <c r="AI283" i="11"/>
  <c r="AJ283" i="11"/>
  <c r="AK283" i="11"/>
  <c r="AL283" i="11"/>
  <c r="AM283" i="11"/>
  <c r="AN283" i="11"/>
  <c r="AO283" i="11"/>
  <c r="AP283" i="11"/>
  <c r="AQ283" i="11"/>
  <c r="AD285" i="11"/>
  <c r="AM285" i="11"/>
  <c r="AN285" i="11"/>
  <c r="AO285" i="11"/>
  <c r="AP285" i="11"/>
  <c r="AQ285" i="11"/>
  <c r="AC286" i="11"/>
  <c r="AD286" i="11"/>
  <c r="AE286" i="11"/>
  <c r="AF286" i="11"/>
  <c r="AG286" i="11"/>
  <c r="AH286" i="11"/>
  <c r="AI286" i="11"/>
  <c r="AJ286" i="11"/>
  <c r="AK286" i="11"/>
  <c r="AL286" i="11"/>
  <c r="AM286" i="11"/>
  <c r="AN286" i="11"/>
  <c r="AO286" i="11"/>
  <c r="AP286" i="11"/>
  <c r="AQ286" i="11"/>
  <c r="AL280" i="11"/>
  <c r="AM280" i="11"/>
  <c r="AN280" i="11"/>
  <c r="AO280" i="11"/>
  <c r="AP280" i="11"/>
  <c r="AQ280" i="11"/>
  <c r="T272" i="11"/>
  <c r="T273" i="11"/>
  <c r="T274" i="11"/>
  <c r="T275" i="11"/>
  <c r="T276" i="11"/>
  <c r="T277" i="11"/>
  <c r="T278" i="11"/>
  <c r="T279" i="11"/>
  <c r="T281" i="11"/>
  <c r="T284" i="11"/>
  <c r="T289" i="11"/>
  <c r="T290" i="11"/>
  <c r="T282" i="11"/>
  <c r="T283" i="11"/>
  <c r="G271" i="11"/>
  <c r="G272" i="11"/>
  <c r="G273" i="11"/>
  <c r="G274" i="11"/>
  <c r="G275" i="11"/>
  <c r="G276" i="11"/>
  <c r="G277" i="11"/>
  <c r="G278" i="11"/>
  <c r="G279" i="11"/>
  <c r="G281" i="11"/>
  <c r="G284" i="11"/>
  <c r="G287" i="11"/>
  <c r="G288" i="11"/>
  <c r="G289" i="11"/>
  <c r="G290" i="11"/>
  <c r="G282" i="11"/>
  <c r="G283" i="11"/>
  <c r="G285" i="11"/>
  <c r="G286" i="11"/>
  <c r="G280" i="11"/>
  <c r="G270" i="11"/>
  <c r="D271" i="11"/>
  <c r="D272" i="11"/>
  <c r="D273" i="11"/>
  <c r="D274" i="11"/>
  <c r="D275" i="11"/>
  <c r="D276" i="11"/>
  <c r="D277" i="11"/>
  <c r="D278" i="11"/>
  <c r="D279" i="11"/>
  <c r="D281" i="11"/>
  <c r="D284" i="11"/>
  <c r="D287" i="11"/>
  <c r="D288" i="11"/>
  <c r="D289" i="11"/>
  <c r="D290" i="11"/>
  <c r="D282" i="11"/>
  <c r="D283" i="11"/>
  <c r="D285" i="11"/>
  <c r="D286" i="11"/>
  <c r="D280" i="11"/>
  <c r="D270" i="11"/>
  <c r="AR318" i="11"/>
  <c r="Q307" i="11"/>
  <c r="Q313" i="11"/>
  <c r="Q312" i="11"/>
  <c r="Q310" i="11"/>
  <c r="Q309" i="11"/>
  <c r="Q317" i="11"/>
  <c r="Q316" i="11"/>
  <c r="Q315" i="11"/>
  <c r="Q314" i="11"/>
  <c r="Q311" i="11"/>
  <c r="Q308" i="11"/>
  <c r="Q306" i="11"/>
  <c r="Q305" i="11"/>
  <c r="Q304" i="11"/>
  <c r="Q303" i="11"/>
  <c r="Q302" i="11"/>
  <c r="Q301" i="11"/>
  <c r="Q300" i="11"/>
  <c r="Q299" i="11"/>
  <c r="Q298" i="11"/>
  <c r="Q297" i="11"/>
  <c r="AR291" i="11"/>
  <c r="Q280" i="11"/>
  <c r="Q286" i="11"/>
  <c r="Q285" i="11"/>
  <c r="Q283" i="11"/>
  <c r="Q282" i="11"/>
  <c r="Q290" i="11"/>
  <c r="Q289" i="11"/>
  <c r="Q288" i="11"/>
  <c r="Q287" i="11"/>
  <c r="Q284" i="11"/>
  <c r="Q281" i="11"/>
  <c r="Q279" i="11"/>
  <c r="Q278" i="11"/>
  <c r="Q277" i="11"/>
  <c r="Q276" i="11"/>
  <c r="Q275" i="11"/>
  <c r="Q274" i="11"/>
  <c r="Q273" i="11"/>
  <c r="Q272" i="11"/>
  <c r="Q271" i="11"/>
  <c r="Q270" i="11"/>
  <c r="AC78" i="14"/>
  <c r="AH67" i="14"/>
  <c r="AI67" i="14" s="1"/>
  <c r="AJ67" i="14" s="1"/>
  <c r="AK67" i="14" s="1"/>
  <c r="AL67" i="14" s="1"/>
  <c r="AM67" i="14" s="1"/>
  <c r="AN67" i="14" s="1"/>
  <c r="AO67" i="14" s="1"/>
  <c r="AP67" i="14" s="1"/>
  <c r="AQ67" i="14" s="1"/>
  <c r="AR67" i="14" s="1"/>
  <c r="AS67" i="14" s="1"/>
  <c r="AT67" i="14" s="1"/>
  <c r="AU67" i="14" s="1"/>
  <c r="AV67" i="14" s="1"/>
  <c r="AW67" i="14" s="1"/>
  <c r="AX67" i="14" s="1"/>
  <c r="AY67" i="14" s="1"/>
  <c r="AZ67" i="14" s="1"/>
  <c r="BA67" i="14" s="1"/>
  <c r="BB67" i="14" s="1"/>
  <c r="BC67" i="14" s="1"/>
  <c r="BD67" i="14" s="1"/>
  <c r="BE67" i="14" s="1"/>
  <c r="BF67" i="14" s="1"/>
  <c r="AX56" i="7" s="1"/>
  <c r="AG67" i="14"/>
  <c r="AC67" i="14"/>
  <c r="AF67" i="14"/>
  <c r="AH73" i="14"/>
  <c r="AI73" i="14" s="1"/>
  <c r="AJ73" i="14" s="1"/>
  <c r="AK73" i="14" s="1"/>
  <c r="AL73" i="14" s="1"/>
  <c r="AM73" i="14" s="1"/>
  <c r="AN73" i="14" s="1"/>
  <c r="AO73" i="14" s="1"/>
  <c r="AP73" i="14" s="1"/>
  <c r="AQ73" i="14" s="1"/>
  <c r="AR73" i="14" s="1"/>
  <c r="AS73" i="14" s="1"/>
  <c r="AT73" i="14" s="1"/>
  <c r="AU73" i="14" s="1"/>
  <c r="AV73" i="14" s="1"/>
  <c r="AW73" i="14" s="1"/>
  <c r="AX73" i="14" s="1"/>
  <c r="AY73" i="14" s="1"/>
  <c r="AZ73" i="14" s="1"/>
  <c r="BA73" i="14" s="1"/>
  <c r="BB73" i="14" s="1"/>
  <c r="BC73" i="14" s="1"/>
  <c r="BD73" i="14" s="1"/>
  <c r="BE73" i="14" s="1"/>
  <c r="BF73" i="14" s="1"/>
  <c r="BG73" i="14" s="1"/>
  <c r="AG73" i="14"/>
  <c r="AC73" i="14"/>
  <c r="AF73" i="14"/>
  <c r="AH72" i="14"/>
  <c r="AI72" i="14" s="1"/>
  <c r="AJ72" i="14" s="1"/>
  <c r="AK72" i="14" s="1"/>
  <c r="AL72" i="14" s="1"/>
  <c r="AM72" i="14" s="1"/>
  <c r="AN72" i="14" s="1"/>
  <c r="AO72" i="14" s="1"/>
  <c r="AP72" i="14" s="1"/>
  <c r="AQ72" i="14" s="1"/>
  <c r="AR72" i="14" s="1"/>
  <c r="AS72" i="14" s="1"/>
  <c r="AT72" i="14" s="1"/>
  <c r="AU72" i="14" s="1"/>
  <c r="AV72" i="14" s="1"/>
  <c r="AW72" i="14" s="1"/>
  <c r="AX72" i="14" s="1"/>
  <c r="AY72" i="14" s="1"/>
  <c r="AZ72" i="14" s="1"/>
  <c r="BA72" i="14" s="1"/>
  <c r="BB72" i="14" s="1"/>
  <c r="BC72" i="14" s="1"/>
  <c r="BD72" i="14" s="1"/>
  <c r="BE72" i="14" s="1"/>
  <c r="BF72" i="14" s="1"/>
  <c r="BG72" i="14" s="1"/>
  <c r="AG72" i="14"/>
  <c r="AC72" i="14"/>
  <c r="AF72" i="14"/>
  <c r="AH70" i="14"/>
  <c r="AI70" i="14" s="1"/>
  <c r="AJ70" i="14" s="1"/>
  <c r="AK70" i="14" s="1"/>
  <c r="AL70" i="14" s="1"/>
  <c r="AM70" i="14" s="1"/>
  <c r="AN70" i="14" s="1"/>
  <c r="AO70" i="14" s="1"/>
  <c r="AP70" i="14" s="1"/>
  <c r="AQ70" i="14" s="1"/>
  <c r="AR70" i="14" s="1"/>
  <c r="AS70" i="14" s="1"/>
  <c r="AT70" i="14" s="1"/>
  <c r="AU70" i="14" s="1"/>
  <c r="AV70" i="14" s="1"/>
  <c r="AW70" i="14" s="1"/>
  <c r="AX70" i="14" s="1"/>
  <c r="AY70" i="14" s="1"/>
  <c r="AZ70" i="14" s="1"/>
  <c r="BA70" i="14" s="1"/>
  <c r="BB70" i="14" s="1"/>
  <c r="BC70" i="14" s="1"/>
  <c r="BD70" i="14" s="1"/>
  <c r="BE70" i="14" s="1"/>
  <c r="BF70" i="14" s="1"/>
  <c r="BG70" i="14" s="1"/>
  <c r="AG70" i="14"/>
  <c r="AC70" i="14"/>
  <c r="AF70" i="14"/>
  <c r="AH69" i="14"/>
  <c r="AI69" i="14" s="1"/>
  <c r="AJ69" i="14" s="1"/>
  <c r="AK69" i="14" s="1"/>
  <c r="AL69" i="14" s="1"/>
  <c r="AM69" i="14" s="1"/>
  <c r="AN69" i="14" s="1"/>
  <c r="AO69" i="14" s="1"/>
  <c r="AP69" i="14" s="1"/>
  <c r="AQ69" i="14" s="1"/>
  <c r="AR69" i="14" s="1"/>
  <c r="AS69" i="14" s="1"/>
  <c r="AT69" i="14" s="1"/>
  <c r="AU69" i="14" s="1"/>
  <c r="AV69" i="14" s="1"/>
  <c r="AW69" i="14" s="1"/>
  <c r="AX69" i="14" s="1"/>
  <c r="AY69" i="14" s="1"/>
  <c r="AZ69" i="14" s="1"/>
  <c r="BA69" i="14" s="1"/>
  <c r="BB69" i="14" s="1"/>
  <c r="BC69" i="14" s="1"/>
  <c r="BD69" i="14" s="1"/>
  <c r="BE69" i="14" s="1"/>
  <c r="BF69" i="14" s="1"/>
  <c r="AG69" i="14"/>
  <c r="AC69" i="14"/>
  <c r="AF69" i="14"/>
  <c r="AH77" i="14"/>
  <c r="AI77" i="14" s="1"/>
  <c r="AJ77" i="14" s="1"/>
  <c r="AK77" i="14" s="1"/>
  <c r="AL77" i="14" s="1"/>
  <c r="AM77" i="14" s="1"/>
  <c r="AN77" i="14" s="1"/>
  <c r="AO77" i="14" s="1"/>
  <c r="AP77" i="14" s="1"/>
  <c r="AQ77" i="14" s="1"/>
  <c r="AR77" i="14" s="1"/>
  <c r="AS77" i="14" s="1"/>
  <c r="AT77" i="14" s="1"/>
  <c r="AU77" i="14" s="1"/>
  <c r="AV77" i="14" s="1"/>
  <c r="AW77" i="14" s="1"/>
  <c r="AX77" i="14" s="1"/>
  <c r="AY77" i="14" s="1"/>
  <c r="AZ77" i="14" s="1"/>
  <c r="BA77" i="14" s="1"/>
  <c r="BB77" i="14" s="1"/>
  <c r="BC77" i="14" s="1"/>
  <c r="BD77" i="14" s="1"/>
  <c r="BE77" i="14" s="1"/>
  <c r="BF77" i="14" s="1"/>
  <c r="BG77" i="14" s="1"/>
  <c r="AG77" i="14"/>
  <c r="AC77" i="14"/>
  <c r="AF77" i="14"/>
  <c r="AH76" i="14"/>
  <c r="AI76" i="14" s="1"/>
  <c r="AJ76" i="14" s="1"/>
  <c r="AK76" i="14" s="1"/>
  <c r="AL76" i="14" s="1"/>
  <c r="AM76" i="14" s="1"/>
  <c r="AN76" i="14" s="1"/>
  <c r="AO76" i="14" s="1"/>
  <c r="AP76" i="14" s="1"/>
  <c r="AQ76" i="14" s="1"/>
  <c r="AR76" i="14" s="1"/>
  <c r="AS76" i="14" s="1"/>
  <c r="AT76" i="14" s="1"/>
  <c r="AU76" i="14" s="1"/>
  <c r="AV76" i="14" s="1"/>
  <c r="AW76" i="14" s="1"/>
  <c r="AX76" i="14" s="1"/>
  <c r="AY76" i="14" s="1"/>
  <c r="AZ76" i="14" s="1"/>
  <c r="BA76" i="14" s="1"/>
  <c r="BB76" i="14" s="1"/>
  <c r="BC76" i="14" s="1"/>
  <c r="BD76" i="14" s="1"/>
  <c r="BE76" i="14" s="1"/>
  <c r="BF76" i="14" s="1"/>
  <c r="BG76" i="14" s="1"/>
  <c r="AG76" i="14"/>
  <c r="AC76" i="14"/>
  <c r="AF76" i="14"/>
  <c r="AH75" i="14"/>
  <c r="AI75" i="14" s="1"/>
  <c r="AJ75" i="14" s="1"/>
  <c r="AK75" i="14" s="1"/>
  <c r="AL75" i="14" s="1"/>
  <c r="AM75" i="14" s="1"/>
  <c r="AN75" i="14" s="1"/>
  <c r="AO75" i="14" s="1"/>
  <c r="AP75" i="14" s="1"/>
  <c r="AQ75" i="14" s="1"/>
  <c r="AR75" i="14" s="1"/>
  <c r="AS75" i="14" s="1"/>
  <c r="AT75" i="14" s="1"/>
  <c r="AU75" i="14" s="1"/>
  <c r="AV75" i="14" s="1"/>
  <c r="AW75" i="14" s="1"/>
  <c r="AX75" i="14" s="1"/>
  <c r="AY75" i="14" s="1"/>
  <c r="AZ75" i="14" s="1"/>
  <c r="BA75" i="14" s="1"/>
  <c r="BB75" i="14" s="1"/>
  <c r="BC75" i="14" s="1"/>
  <c r="BD75" i="14" s="1"/>
  <c r="BE75" i="14" s="1"/>
  <c r="BF75" i="14" s="1"/>
  <c r="BG75" i="14" s="1"/>
  <c r="AG75" i="14"/>
  <c r="AC75" i="14"/>
  <c r="AF75" i="14"/>
  <c r="AH74" i="14"/>
  <c r="AI74" i="14" s="1"/>
  <c r="AJ74" i="14" s="1"/>
  <c r="AK74" i="14" s="1"/>
  <c r="AL74" i="14" s="1"/>
  <c r="AM74" i="14" s="1"/>
  <c r="AN74" i="14" s="1"/>
  <c r="AO74" i="14" s="1"/>
  <c r="AP74" i="14" s="1"/>
  <c r="AQ74" i="14" s="1"/>
  <c r="AR74" i="14" s="1"/>
  <c r="AS74" i="14" s="1"/>
  <c r="AT74" i="14" s="1"/>
  <c r="AU74" i="14" s="1"/>
  <c r="AV74" i="14" s="1"/>
  <c r="AW74" i="14" s="1"/>
  <c r="AX74" i="14" s="1"/>
  <c r="AY74" i="14" s="1"/>
  <c r="AZ74" i="14" s="1"/>
  <c r="BA74" i="14" s="1"/>
  <c r="BB74" i="14" s="1"/>
  <c r="BC74" i="14" s="1"/>
  <c r="BD74" i="14" s="1"/>
  <c r="BE74" i="14" s="1"/>
  <c r="BF74" i="14" s="1"/>
  <c r="BG74" i="14" s="1"/>
  <c r="AG74" i="14"/>
  <c r="AC74" i="14"/>
  <c r="AF74" i="14"/>
  <c r="AH71" i="14"/>
  <c r="AI71" i="14" s="1"/>
  <c r="AJ71" i="14" s="1"/>
  <c r="AK71" i="14" s="1"/>
  <c r="AL71" i="14" s="1"/>
  <c r="AM71" i="14" s="1"/>
  <c r="AN71" i="14" s="1"/>
  <c r="AO71" i="14" s="1"/>
  <c r="AP71" i="14" s="1"/>
  <c r="AQ71" i="14" s="1"/>
  <c r="AR71" i="14" s="1"/>
  <c r="AS71" i="14" s="1"/>
  <c r="AT71" i="14" s="1"/>
  <c r="AU71" i="14" s="1"/>
  <c r="AV71" i="14" s="1"/>
  <c r="AW71" i="14" s="1"/>
  <c r="AX71" i="14" s="1"/>
  <c r="AY71" i="14" s="1"/>
  <c r="AZ71" i="14" s="1"/>
  <c r="BA71" i="14" s="1"/>
  <c r="BB71" i="14" s="1"/>
  <c r="BC71" i="14" s="1"/>
  <c r="BD71" i="14" s="1"/>
  <c r="BE71" i="14" s="1"/>
  <c r="BF71" i="14" s="1"/>
  <c r="BG71" i="14" s="1"/>
  <c r="AG71" i="14"/>
  <c r="AC71" i="14"/>
  <c r="AF71" i="14"/>
  <c r="AH68" i="14"/>
  <c r="AI68" i="14" s="1"/>
  <c r="AJ68" i="14" s="1"/>
  <c r="AK68" i="14" s="1"/>
  <c r="AL68" i="14" s="1"/>
  <c r="AM68" i="14" s="1"/>
  <c r="AN68" i="14" s="1"/>
  <c r="AO68" i="14" s="1"/>
  <c r="AP68" i="14" s="1"/>
  <c r="AQ68" i="14" s="1"/>
  <c r="AR68" i="14" s="1"/>
  <c r="AS68" i="14" s="1"/>
  <c r="AT68" i="14" s="1"/>
  <c r="AU68" i="14" s="1"/>
  <c r="AV68" i="14" s="1"/>
  <c r="AW68" i="14" s="1"/>
  <c r="AX68" i="14" s="1"/>
  <c r="AY68" i="14" s="1"/>
  <c r="AZ68" i="14" s="1"/>
  <c r="BA68" i="14" s="1"/>
  <c r="BB68" i="14" s="1"/>
  <c r="BC68" i="14" s="1"/>
  <c r="BD68" i="14" s="1"/>
  <c r="BE68" i="14" s="1"/>
  <c r="BF68" i="14" s="1"/>
  <c r="AX57" i="7" s="1"/>
  <c r="AG68" i="14"/>
  <c r="AC68" i="14"/>
  <c r="AF68" i="14"/>
  <c r="AH66" i="14"/>
  <c r="AI66" i="14" s="1"/>
  <c r="AJ66" i="14" s="1"/>
  <c r="AK66" i="14" s="1"/>
  <c r="AL66" i="14" s="1"/>
  <c r="AM66" i="14" s="1"/>
  <c r="AN66" i="14" s="1"/>
  <c r="AO66" i="14" s="1"/>
  <c r="AP66" i="14" s="1"/>
  <c r="AQ66" i="14" s="1"/>
  <c r="AR66" i="14" s="1"/>
  <c r="AS66" i="14" s="1"/>
  <c r="AT66" i="14" s="1"/>
  <c r="AU66" i="14" s="1"/>
  <c r="AV66" i="14" s="1"/>
  <c r="AW66" i="14" s="1"/>
  <c r="AX66" i="14" s="1"/>
  <c r="AY66" i="14" s="1"/>
  <c r="AZ66" i="14" s="1"/>
  <c r="BA66" i="14" s="1"/>
  <c r="BB66" i="14" s="1"/>
  <c r="BC66" i="14" s="1"/>
  <c r="BD66" i="14" s="1"/>
  <c r="BE66" i="14" s="1"/>
  <c r="BF66" i="14" s="1"/>
  <c r="BG66" i="14" s="1"/>
  <c r="AG66" i="14"/>
  <c r="AC66" i="14"/>
  <c r="AF66" i="14"/>
  <c r="AH65" i="14"/>
  <c r="AI65" i="14" s="1"/>
  <c r="AJ65" i="14" s="1"/>
  <c r="AK65" i="14" s="1"/>
  <c r="AL65" i="14" s="1"/>
  <c r="AM65" i="14" s="1"/>
  <c r="AN65" i="14" s="1"/>
  <c r="AO65" i="14" s="1"/>
  <c r="AP65" i="14" s="1"/>
  <c r="AQ65" i="14" s="1"/>
  <c r="AR65" i="14" s="1"/>
  <c r="AS65" i="14" s="1"/>
  <c r="AT65" i="14" s="1"/>
  <c r="AU65" i="14" s="1"/>
  <c r="AV65" i="14" s="1"/>
  <c r="AW65" i="14" s="1"/>
  <c r="AX65" i="14" s="1"/>
  <c r="AY65" i="14" s="1"/>
  <c r="AZ65" i="14" s="1"/>
  <c r="BA65" i="14" s="1"/>
  <c r="BB65" i="14" s="1"/>
  <c r="BC65" i="14" s="1"/>
  <c r="BD65" i="14" s="1"/>
  <c r="BE65" i="14" s="1"/>
  <c r="BF65" i="14" s="1"/>
  <c r="AG65" i="14"/>
  <c r="AC65" i="14"/>
  <c r="AF65" i="14"/>
  <c r="AH64" i="14"/>
  <c r="AI64" i="14" s="1"/>
  <c r="AJ64" i="14" s="1"/>
  <c r="AK64" i="14" s="1"/>
  <c r="AL64" i="14" s="1"/>
  <c r="AM64" i="14" s="1"/>
  <c r="AN64" i="14" s="1"/>
  <c r="AO64" i="14" s="1"/>
  <c r="AP64" i="14" s="1"/>
  <c r="AQ64" i="14" s="1"/>
  <c r="AR64" i="14" s="1"/>
  <c r="AS64" i="14" s="1"/>
  <c r="AT64" i="14" s="1"/>
  <c r="AU64" i="14" s="1"/>
  <c r="AV64" i="14" s="1"/>
  <c r="AW64" i="14" s="1"/>
  <c r="AX64" i="14" s="1"/>
  <c r="AY64" i="14" s="1"/>
  <c r="AZ64" i="14" s="1"/>
  <c r="BA64" i="14" s="1"/>
  <c r="BB64" i="14" s="1"/>
  <c r="BC64" i="14" s="1"/>
  <c r="BD64" i="14" s="1"/>
  <c r="BE64" i="14" s="1"/>
  <c r="BF64" i="14" s="1"/>
  <c r="BG64" i="14" s="1"/>
  <c r="AG64" i="14"/>
  <c r="AC64" i="14"/>
  <c r="AF64" i="14"/>
  <c r="AH63" i="14"/>
  <c r="AI63" i="14" s="1"/>
  <c r="AJ63" i="14" s="1"/>
  <c r="AK63" i="14" s="1"/>
  <c r="AL63" i="14" s="1"/>
  <c r="AM63" i="14" s="1"/>
  <c r="AN63" i="14" s="1"/>
  <c r="AO63" i="14" s="1"/>
  <c r="AP63" i="14" s="1"/>
  <c r="AQ63" i="14" s="1"/>
  <c r="AR63" i="14" s="1"/>
  <c r="AS63" i="14" s="1"/>
  <c r="AT63" i="14" s="1"/>
  <c r="AU63" i="14" s="1"/>
  <c r="AV63" i="14" s="1"/>
  <c r="AW63" i="14" s="1"/>
  <c r="AX63" i="14" s="1"/>
  <c r="AY63" i="14" s="1"/>
  <c r="AZ63" i="14" s="1"/>
  <c r="BA63" i="14" s="1"/>
  <c r="BB63" i="14" s="1"/>
  <c r="BC63" i="14" s="1"/>
  <c r="BD63" i="14" s="1"/>
  <c r="BE63" i="14" s="1"/>
  <c r="BF63" i="14" s="1"/>
  <c r="AG63" i="14"/>
  <c r="AC63" i="14"/>
  <c r="AF63" i="14"/>
  <c r="AH62" i="14"/>
  <c r="AI62" i="14" s="1"/>
  <c r="AJ62" i="14" s="1"/>
  <c r="AG62" i="14"/>
  <c r="W62" i="14"/>
  <c r="V62" i="14"/>
  <c r="U62" i="14"/>
  <c r="T62" i="14"/>
  <c r="S62" i="14"/>
  <c r="R62" i="14"/>
  <c r="Q62" i="14"/>
  <c r="P62" i="14"/>
  <c r="O62" i="14"/>
  <c r="N62" i="14"/>
  <c r="M62" i="14"/>
  <c r="L62" i="14"/>
  <c r="K62" i="14"/>
  <c r="J62" i="14"/>
  <c r="I62" i="14"/>
  <c r="H62" i="14"/>
  <c r="G62" i="14"/>
  <c r="AF62" i="14"/>
  <c r="AH61" i="14"/>
  <c r="AI61" i="14" s="1"/>
  <c r="AJ61" i="14" s="1"/>
  <c r="AK61" i="14" s="1"/>
  <c r="AL61" i="14" s="1"/>
  <c r="AM61" i="14" s="1"/>
  <c r="AN61" i="14" s="1"/>
  <c r="AO61" i="14" s="1"/>
  <c r="AP61" i="14" s="1"/>
  <c r="AQ61" i="14" s="1"/>
  <c r="AR61" i="14" s="1"/>
  <c r="AS61" i="14" s="1"/>
  <c r="AT61" i="14" s="1"/>
  <c r="AU61" i="14" s="1"/>
  <c r="AV61" i="14" s="1"/>
  <c r="AW61" i="14" s="1"/>
  <c r="AX61" i="14" s="1"/>
  <c r="AY61" i="14" s="1"/>
  <c r="AZ61" i="14" s="1"/>
  <c r="BA61" i="14" s="1"/>
  <c r="BB61" i="14" s="1"/>
  <c r="BC61" i="14" s="1"/>
  <c r="BD61" i="14" s="1"/>
  <c r="BE61" i="14" s="1"/>
  <c r="BF61" i="14" s="1"/>
  <c r="AG61" i="14"/>
  <c r="AC61" i="14"/>
  <c r="AF61" i="14"/>
  <c r="AH60" i="14"/>
  <c r="AI60" i="14" s="1"/>
  <c r="AJ60" i="14" s="1"/>
  <c r="AK60" i="14" s="1"/>
  <c r="AL60" i="14" s="1"/>
  <c r="AM60" i="14" s="1"/>
  <c r="AN60" i="14" s="1"/>
  <c r="AO60" i="14" s="1"/>
  <c r="AP60" i="14" s="1"/>
  <c r="AQ60" i="14" s="1"/>
  <c r="AR60" i="14" s="1"/>
  <c r="AS60" i="14" s="1"/>
  <c r="AT60" i="14" s="1"/>
  <c r="AU60" i="14" s="1"/>
  <c r="AV60" i="14" s="1"/>
  <c r="AW60" i="14" s="1"/>
  <c r="AX60" i="14" s="1"/>
  <c r="AY60" i="14" s="1"/>
  <c r="AZ60" i="14" s="1"/>
  <c r="BA60" i="14" s="1"/>
  <c r="BB60" i="14" s="1"/>
  <c r="BC60" i="14" s="1"/>
  <c r="BD60" i="14" s="1"/>
  <c r="BE60" i="14" s="1"/>
  <c r="BF60" i="14" s="1"/>
  <c r="BG60" i="14" s="1"/>
  <c r="AG60" i="14"/>
  <c r="AC60" i="14"/>
  <c r="AF60" i="14"/>
  <c r="AH59" i="14"/>
  <c r="AI59" i="14" s="1"/>
  <c r="AJ59" i="14" s="1"/>
  <c r="AK59" i="14" s="1"/>
  <c r="AL59" i="14" s="1"/>
  <c r="AM59" i="14" s="1"/>
  <c r="AN59" i="14" s="1"/>
  <c r="AO59" i="14" s="1"/>
  <c r="AP59" i="14" s="1"/>
  <c r="AQ59" i="14" s="1"/>
  <c r="AR59" i="14" s="1"/>
  <c r="AS59" i="14" s="1"/>
  <c r="AT59" i="14" s="1"/>
  <c r="AU59" i="14" s="1"/>
  <c r="AV59" i="14" s="1"/>
  <c r="AW59" i="14" s="1"/>
  <c r="AX59" i="14" s="1"/>
  <c r="AY59" i="14" s="1"/>
  <c r="AZ59" i="14" s="1"/>
  <c r="BA59" i="14" s="1"/>
  <c r="BB59" i="14" s="1"/>
  <c r="BC59" i="14" s="1"/>
  <c r="BD59" i="14" s="1"/>
  <c r="BE59" i="14" s="1"/>
  <c r="BF59" i="14" s="1"/>
  <c r="AG59" i="14"/>
  <c r="AC59" i="14"/>
  <c r="AF59" i="14"/>
  <c r="AH58" i="14"/>
  <c r="AI58" i="14" s="1"/>
  <c r="AJ58" i="14" s="1"/>
  <c r="AK58" i="14" s="1"/>
  <c r="AL58" i="14" s="1"/>
  <c r="AM58" i="14" s="1"/>
  <c r="AN58" i="14" s="1"/>
  <c r="AO58" i="14" s="1"/>
  <c r="AP58" i="14" s="1"/>
  <c r="AQ58" i="14" s="1"/>
  <c r="AR58" i="14" s="1"/>
  <c r="AS58" i="14" s="1"/>
  <c r="AT58" i="14" s="1"/>
  <c r="AU58" i="14" s="1"/>
  <c r="AV58" i="14" s="1"/>
  <c r="AW58" i="14" s="1"/>
  <c r="AX58" i="14" s="1"/>
  <c r="AY58" i="14" s="1"/>
  <c r="AZ58" i="14" s="1"/>
  <c r="BA58" i="14" s="1"/>
  <c r="BB58" i="14" s="1"/>
  <c r="BC58" i="14" s="1"/>
  <c r="BD58" i="14" s="1"/>
  <c r="BE58" i="14" s="1"/>
  <c r="BF58" i="14" s="1"/>
  <c r="BG58" i="14" s="1"/>
  <c r="AG58" i="14"/>
  <c r="AC58" i="14"/>
  <c r="AF58" i="14"/>
  <c r="AH57" i="14"/>
  <c r="AI57" i="14" s="1"/>
  <c r="AJ57" i="14" s="1"/>
  <c r="AK57" i="14" s="1"/>
  <c r="AL57" i="14" s="1"/>
  <c r="AM57" i="14" s="1"/>
  <c r="AN57" i="14" s="1"/>
  <c r="AO57" i="14" s="1"/>
  <c r="AP57" i="14" s="1"/>
  <c r="AQ57" i="14" s="1"/>
  <c r="AR57" i="14" s="1"/>
  <c r="AS57" i="14" s="1"/>
  <c r="AT57" i="14" s="1"/>
  <c r="AU57" i="14" s="1"/>
  <c r="AV57" i="14" s="1"/>
  <c r="AW57" i="14" s="1"/>
  <c r="AX57" i="14" s="1"/>
  <c r="AY57" i="14" s="1"/>
  <c r="AZ57" i="14" s="1"/>
  <c r="BA57" i="14" s="1"/>
  <c r="BB57" i="14" s="1"/>
  <c r="BC57" i="14" s="1"/>
  <c r="BD57" i="14" s="1"/>
  <c r="BE57" i="14" s="1"/>
  <c r="BF57" i="14" s="1"/>
  <c r="AG57" i="14"/>
  <c r="AC57" i="14"/>
  <c r="AF57" i="14"/>
  <c r="AC51" i="14"/>
  <c r="AH40" i="14"/>
  <c r="AI40" i="14" s="1"/>
  <c r="AJ40" i="14" s="1"/>
  <c r="AK40" i="14" s="1"/>
  <c r="AL40" i="14" s="1"/>
  <c r="AM40" i="14" s="1"/>
  <c r="AN40" i="14" s="1"/>
  <c r="AO40" i="14" s="1"/>
  <c r="AP40" i="14" s="1"/>
  <c r="AQ40" i="14" s="1"/>
  <c r="AR40" i="14" s="1"/>
  <c r="AS40" i="14" s="1"/>
  <c r="AT40" i="14" s="1"/>
  <c r="AU40" i="14" s="1"/>
  <c r="AV40" i="14" s="1"/>
  <c r="AW40" i="14" s="1"/>
  <c r="AX40" i="14" s="1"/>
  <c r="AY40" i="14" s="1"/>
  <c r="AZ40" i="14" s="1"/>
  <c r="BA40" i="14" s="1"/>
  <c r="BB40" i="14" s="1"/>
  <c r="BC40" i="14" s="1"/>
  <c r="BD40" i="14" s="1"/>
  <c r="BE40" i="14" s="1"/>
  <c r="BF40" i="14" s="1"/>
  <c r="AR56" i="7" s="1"/>
  <c r="AG40" i="14"/>
  <c r="AC40" i="14"/>
  <c r="AF40" i="14"/>
  <c r="AH46" i="14"/>
  <c r="AI46" i="14" s="1"/>
  <c r="AJ46" i="14" s="1"/>
  <c r="AK46" i="14" s="1"/>
  <c r="AL46" i="14" s="1"/>
  <c r="AM46" i="14" s="1"/>
  <c r="AN46" i="14" s="1"/>
  <c r="AO46" i="14" s="1"/>
  <c r="AP46" i="14" s="1"/>
  <c r="AQ46" i="14" s="1"/>
  <c r="AR46" i="14" s="1"/>
  <c r="AS46" i="14" s="1"/>
  <c r="AT46" i="14" s="1"/>
  <c r="AU46" i="14" s="1"/>
  <c r="AV46" i="14" s="1"/>
  <c r="AW46" i="14" s="1"/>
  <c r="AX46" i="14" s="1"/>
  <c r="AY46" i="14" s="1"/>
  <c r="AZ46" i="14" s="1"/>
  <c r="BA46" i="14" s="1"/>
  <c r="BB46" i="14" s="1"/>
  <c r="BC46" i="14" s="1"/>
  <c r="BD46" i="14" s="1"/>
  <c r="BE46" i="14" s="1"/>
  <c r="BF46" i="14" s="1"/>
  <c r="BG46" i="14" s="1"/>
  <c r="AG46" i="14"/>
  <c r="AC46" i="14"/>
  <c r="AF46" i="14"/>
  <c r="AH45" i="14"/>
  <c r="AI45" i="14" s="1"/>
  <c r="AJ45" i="14" s="1"/>
  <c r="AK45" i="14" s="1"/>
  <c r="AL45" i="14" s="1"/>
  <c r="AM45" i="14" s="1"/>
  <c r="AN45" i="14" s="1"/>
  <c r="AO45" i="14" s="1"/>
  <c r="AP45" i="14" s="1"/>
  <c r="AQ45" i="14" s="1"/>
  <c r="AR45" i="14" s="1"/>
  <c r="AS45" i="14" s="1"/>
  <c r="AT45" i="14" s="1"/>
  <c r="AU45" i="14" s="1"/>
  <c r="AV45" i="14" s="1"/>
  <c r="AW45" i="14" s="1"/>
  <c r="AX45" i="14" s="1"/>
  <c r="AY45" i="14" s="1"/>
  <c r="AZ45" i="14" s="1"/>
  <c r="BA45" i="14" s="1"/>
  <c r="BB45" i="14" s="1"/>
  <c r="BC45" i="14" s="1"/>
  <c r="BD45" i="14" s="1"/>
  <c r="BE45" i="14" s="1"/>
  <c r="BF45" i="14" s="1"/>
  <c r="BG45" i="14" s="1"/>
  <c r="AG45" i="14"/>
  <c r="AC45" i="14"/>
  <c r="AF45" i="14"/>
  <c r="AH43" i="14"/>
  <c r="AI43" i="14" s="1"/>
  <c r="AJ43" i="14" s="1"/>
  <c r="AK43" i="14" s="1"/>
  <c r="AL43" i="14" s="1"/>
  <c r="AM43" i="14" s="1"/>
  <c r="AN43" i="14" s="1"/>
  <c r="AO43" i="14" s="1"/>
  <c r="AP43" i="14" s="1"/>
  <c r="AQ43" i="14" s="1"/>
  <c r="AR43" i="14" s="1"/>
  <c r="AS43" i="14" s="1"/>
  <c r="AT43" i="14" s="1"/>
  <c r="AU43" i="14" s="1"/>
  <c r="AV43" i="14" s="1"/>
  <c r="AW43" i="14" s="1"/>
  <c r="AX43" i="14" s="1"/>
  <c r="AY43" i="14" s="1"/>
  <c r="AZ43" i="14" s="1"/>
  <c r="BA43" i="14" s="1"/>
  <c r="BB43" i="14" s="1"/>
  <c r="BC43" i="14" s="1"/>
  <c r="BD43" i="14" s="1"/>
  <c r="BE43" i="14" s="1"/>
  <c r="BF43" i="14" s="1"/>
  <c r="BG43" i="14" s="1"/>
  <c r="AG43" i="14"/>
  <c r="AC43" i="14"/>
  <c r="AF43" i="14"/>
  <c r="AH42" i="14"/>
  <c r="AI42" i="14" s="1"/>
  <c r="AJ42" i="14" s="1"/>
  <c r="AK42" i="14" s="1"/>
  <c r="AL42" i="14" s="1"/>
  <c r="AM42" i="14" s="1"/>
  <c r="AN42" i="14" s="1"/>
  <c r="AO42" i="14" s="1"/>
  <c r="AP42" i="14" s="1"/>
  <c r="AQ42" i="14" s="1"/>
  <c r="AR42" i="14" s="1"/>
  <c r="AS42" i="14" s="1"/>
  <c r="AT42" i="14" s="1"/>
  <c r="AU42" i="14" s="1"/>
  <c r="AV42" i="14" s="1"/>
  <c r="AW42" i="14" s="1"/>
  <c r="AX42" i="14" s="1"/>
  <c r="AY42" i="14" s="1"/>
  <c r="AZ42" i="14" s="1"/>
  <c r="BA42" i="14" s="1"/>
  <c r="BB42" i="14" s="1"/>
  <c r="BC42" i="14" s="1"/>
  <c r="BD42" i="14" s="1"/>
  <c r="BE42" i="14" s="1"/>
  <c r="BF42" i="14" s="1"/>
  <c r="AG42" i="14"/>
  <c r="AC42" i="14"/>
  <c r="AF42" i="14"/>
  <c r="AH50" i="14"/>
  <c r="AI50" i="14" s="1"/>
  <c r="AJ50" i="14" s="1"/>
  <c r="AK50" i="14" s="1"/>
  <c r="AL50" i="14" s="1"/>
  <c r="AM50" i="14" s="1"/>
  <c r="AN50" i="14" s="1"/>
  <c r="AO50" i="14" s="1"/>
  <c r="AP50" i="14" s="1"/>
  <c r="AQ50" i="14" s="1"/>
  <c r="AR50" i="14" s="1"/>
  <c r="AS50" i="14" s="1"/>
  <c r="AT50" i="14" s="1"/>
  <c r="AU50" i="14" s="1"/>
  <c r="AV50" i="14" s="1"/>
  <c r="AW50" i="14" s="1"/>
  <c r="AX50" i="14" s="1"/>
  <c r="AY50" i="14" s="1"/>
  <c r="AZ50" i="14" s="1"/>
  <c r="BA50" i="14" s="1"/>
  <c r="BB50" i="14" s="1"/>
  <c r="BC50" i="14" s="1"/>
  <c r="BD50" i="14" s="1"/>
  <c r="BE50" i="14" s="1"/>
  <c r="BF50" i="14" s="1"/>
  <c r="BG50" i="14" s="1"/>
  <c r="AG50" i="14"/>
  <c r="AC50" i="14"/>
  <c r="AF50" i="14"/>
  <c r="AH49" i="14"/>
  <c r="AI49" i="14" s="1"/>
  <c r="AJ49" i="14" s="1"/>
  <c r="AK49" i="14" s="1"/>
  <c r="AL49" i="14" s="1"/>
  <c r="AM49" i="14" s="1"/>
  <c r="AN49" i="14" s="1"/>
  <c r="AO49" i="14" s="1"/>
  <c r="AP49" i="14" s="1"/>
  <c r="AQ49" i="14" s="1"/>
  <c r="AR49" i="14" s="1"/>
  <c r="AS49" i="14" s="1"/>
  <c r="AT49" i="14" s="1"/>
  <c r="AU49" i="14" s="1"/>
  <c r="AV49" i="14" s="1"/>
  <c r="AW49" i="14" s="1"/>
  <c r="AX49" i="14" s="1"/>
  <c r="AY49" i="14" s="1"/>
  <c r="AZ49" i="14" s="1"/>
  <c r="BA49" i="14" s="1"/>
  <c r="BB49" i="14" s="1"/>
  <c r="BC49" i="14" s="1"/>
  <c r="BD49" i="14" s="1"/>
  <c r="BE49" i="14" s="1"/>
  <c r="BF49" i="14" s="1"/>
  <c r="BG49" i="14" s="1"/>
  <c r="AG49" i="14"/>
  <c r="AC49" i="14"/>
  <c r="AF49" i="14"/>
  <c r="AH48" i="14"/>
  <c r="AG48" i="14"/>
  <c r="AF48" i="14"/>
  <c r="AH47" i="14"/>
  <c r="AG47" i="14"/>
  <c r="AF47" i="14"/>
  <c r="AH44" i="14"/>
  <c r="AI44" i="14" s="1"/>
  <c r="AJ44" i="14" s="1"/>
  <c r="AK44" i="14" s="1"/>
  <c r="AL44" i="14" s="1"/>
  <c r="AM44" i="14" s="1"/>
  <c r="AN44" i="14" s="1"/>
  <c r="AO44" i="14" s="1"/>
  <c r="AP44" i="14" s="1"/>
  <c r="AQ44" i="14" s="1"/>
  <c r="AR44" i="14" s="1"/>
  <c r="AS44" i="14" s="1"/>
  <c r="AT44" i="14" s="1"/>
  <c r="AU44" i="14" s="1"/>
  <c r="AV44" i="14" s="1"/>
  <c r="AW44" i="14" s="1"/>
  <c r="AX44" i="14" s="1"/>
  <c r="AY44" i="14" s="1"/>
  <c r="AZ44" i="14" s="1"/>
  <c r="BA44" i="14" s="1"/>
  <c r="BB44" i="14" s="1"/>
  <c r="BC44" i="14" s="1"/>
  <c r="BD44" i="14" s="1"/>
  <c r="BE44" i="14" s="1"/>
  <c r="BF44" i="14" s="1"/>
  <c r="BG44" i="14" s="1"/>
  <c r="AG44" i="14"/>
  <c r="AC44" i="14"/>
  <c r="AF44" i="14"/>
  <c r="AH41" i="14"/>
  <c r="AI41" i="14" s="1"/>
  <c r="AJ41" i="14" s="1"/>
  <c r="AK41" i="14" s="1"/>
  <c r="AL41" i="14" s="1"/>
  <c r="AM41" i="14" s="1"/>
  <c r="AN41" i="14" s="1"/>
  <c r="AO41" i="14" s="1"/>
  <c r="AP41" i="14" s="1"/>
  <c r="AQ41" i="14" s="1"/>
  <c r="AR41" i="14" s="1"/>
  <c r="AS41" i="14" s="1"/>
  <c r="AT41" i="14" s="1"/>
  <c r="AU41" i="14" s="1"/>
  <c r="AV41" i="14" s="1"/>
  <c r="AW41" i="14" s="1"/>
  <c r="AX41" i="14" s="1"/>
  <c r="AY41" i="14" s="1"/>
  <c r="AZ41" i="14" s="1"/>
  <c r="BA41" i="14" s="1"/>
  <c r="BB41" i="14" s="1"/>
  <c r="BC41" i="14" s="1"/>
  <c r="BD41" i="14" s="1"/>
  <c r="BE41" i="14" s="1"/>
  <c r="BF41" i="14" s="1"/>
  <c r="AR57" i="7" s="1"/>
  <c r="AG41" i="14"/>
  <c r="AC41" i="14"/>
  <c r="AF41" i="14"/>
  <c r="AH39" i="14"/>
  <c r="AI39" i="14" s="1"/>
  <c r="AJ39" i="14" s="1"/>
  <c r="AK39" i="14" s="1"/>
  <c r="AL39" i="14" s="1"/>
  <c r="AM39" i="14" s="1"/>
  <c r="AN39" i="14" s="1"/>
  <c r="AO39" i="14" s="1"/>
  <c r="AP39" i="14" s="1"/>
  <c r="AQ39" i="14" s="1"/>
  <c r="AR39" i="14" s="1"/>
  <c r="AS39" i="14" s="1"/>
  <c r="AT39" i="14" s="1"/>
  <c r="AU39" i="14" s="1"/>
  <c r="AV39" i="14" s="1"/>
  <c r="AW39" i="14" s="1"/>
  <c r="AX39" i="14" s="1"/>
  <c r="AY39" i="14" s="1"/>
  <c r="AZ39" i="14" s="1"/>
  <c r="BA39" i="14" s="1"/>
  <c r="BB39" i="14" s="1"/>
  <c r="BC39" i="14" s="1"/>
  <c r="BD39" i="14" s="1"/>
  <c r="BE39" i="14" s="1"/>
  <c r="BF39" i="14" s="1"/>
  <c r="BG39" i="14" s="1"/>
  <c r="AG39" i="14"/>
  <c r="AC39" i="14"/>
  <c r="AF39" i="14"/>
  <c r="AH38" i="14"/>
  <c r="AI38" i="14" s="1"/>
  <c r="AJ38" i="14" s="1"/>
  <c r="AK38" i="14" s="1"/>
  <c r="AL38" i="14" s="1"/>
  <c r="AM38" i="14" s="1"/>
  <c r="AN38" i="14" s="1"/>
  <c r="AO38" i="14" s="1"/>
  <c r="AP38" i="14" s="1"/>
  <c r="AQ38" i="14" s="1"/>
  <c r="AR38" i="14" s="1"/>
  <c r="AS38" i="14" s="1"/>
  <c r="AT38" i="14" s="1"/>
  <c r="AU38" i="14" s="1"/>
  <c r="AV38" i="14" s="1"/>
  <c r="AW38" i="14" s="1"/>
  <c r="AX38" i="14" s="1"/>
  <c r="AY38" i="14" s="1"/>
  <c r="AZ38" i="14" s="1"/>
  <c r="BA38" i="14" s="1"/>
  <c r="BB38" i="14" s="1"/>
  <c r="BC38" i="14" s="1"/>
  <c r="BD38" i="14" s="1"/>
  <c r="BE38" i="14" s="1"/>
  <c r="BF38" i="14" s="1"/>
  <c r="AG38" i="14"/>
  <c r="AC38" i="14"/>
  <c r="AF38" i="14"/>
  <c r="AH37" i="14"/>
  <c r="AI37" i="14" s="1"/>
  <c r="AJ37" i="14" s="1"/>
  <c r="AK37" i="14" s="1"/>
  <c r="AL37" i="14" s="1"/>
  <c r="AM37" i="14" s="1"/>
  <c r="AN37" i="14" s="1"/>
  <c r="AO37" i="14" s="1"/>
  <c r="AP37" i="14" s="1"/>
  <c r="AQ37" i="14" s="1"/>
  <c r="AR37" i="14" s="1"/>
  <c r="AS37" i="14" s="1"/>
  <c r="AT37" i="14" s="1"/>
  <c r="AU37" i="14" s="1"/>
  <c r="AV37" i="14" s="1"/>
  <c r="AW37" i="14" s="1"/>
  <c r="AX37" i="14" s="1"/>
  <c r="AY37" i="14" s="1"/>
  <c r="AZ37" i="14" s="1"/>
  <c r="BA37" i="14" s="1"/>
  <c r="BB37" i="14" s="1"/>
  <c r="BC37" i="14" s="1"/>
  <c r="BD37" i="14" s="1"/>
  <c r="BE37" i="14" s="1"/>
  <c r="BF37" i="14" s="1"/>
  <c r="BG37" i="14" s="1"/>
  <c r="AG37" i="14"/>
  <c r="AC37" i="14"/>
  <c r="AF37" i="14"/>
  <c r="AH36" i="14"/>
  <c r="AI36" i="14" s="1"/>
  <c r="AJ36" i="14" s="1"/>
  <c r="AK36" i="14" s="1"/>
  <c r="AL36" i="14" s="1"/>
  <c r="AM36" i="14" s="1"/>
  <c r="AN36" i="14" s="1"/>
  <c r="AO36" i="14" s="1"/>
  <c r="AP36" i="14" s="1"/>
  <c r="AQ36" i="14" s="1"/>
  <c r="AR36" i="14" s="1"/>
  <c r="AS36" i="14" s="1"/>
  <c r="AT36" i="14" s="1"/>
  <c r="AU36" i="14" s="1"/>
  <c r="AV36" i="14" s="1"/>
  <c r="AW36" i="14" s="1"/>
  <c r="AX36" i="14" s="1"/>
  <c r="AY36" i="14" s="1"/>
  <c r="AZ36" i="14" s="1"/>
  <c r="BA36" i="14" s="1"/>
  <c r="BB36" i="14" s="1"/>
  <c r="BC36" i="14" s="1"/>
  <c r="BD36" i="14" s="1"/>
  <c r="BE36" i="14" s="1"/>
  <c r="BF36" i="14" s="1"/>
  <c r="AG36" i="14"/>
  <c r="AC36" i="14"/>
  <c r="AF36" i="14"/>
  <c r="AH35" i="14"/>
  <c r="AI35" i="14" s="1"/>
  <c r="AJ35" i="14" s="1"/>
  <c r="AK35" i="14" s="1"/>
  <c r="AL35" i="14" s="1"/>
  <c r="AM35" i="14" s="1"/>
  <c r="AN35" i="14" s="1"/>
  <c r="AO35" i="14" s="1"/>
  <c r="AP35" i="14" s="1"/>
  <c r="AQ35" i="14" s="1"/>
  <c r="AR35" i="14" s="1"/>
  <c r="AS35" i="14" s="1"/>
  <c r="AT35" i="14" s="1"/>
  <c r="AU35" i="14" s="1"/>
  <c r="AV35" i="14" s="1"/>
  <c r="AW35" i="14" s="1"/>
  <c r="AX35" i="14" s="1"/>
  <c r="AY35" i="14" s="1"/>
  <c r="AZ35" i="14" s="1"/>
  <c r="BA35" i="14" s="1"/>
  <c r="BB35" i="14" s="1"/>
  <c r="BC35" i="14" s="1"/>
  <c r="BD35" i="14" s="1"/>
  <c r="BE35" i="14" s="1"/>
  <c r="BF35" i="14" s="1"/>
  <c r="AG35" i="14"/>
  <c r="AC35" i="14"/>
  <c r="AF35" i="14"/>
  <c r="AH34" i="14"/>
  <c r="AI34" i="14" s="1"/>
  <c r="AJ34" i="14" s="1"/>
  <c r="AK34" i="14" s="1"/>
  <c r="AL34" i="14" s="1"/>
  <c r="AM34" i="14" s="1"/>
  <c r="AN34" i="14" s="1"/>
  <c r="AO34" i="14" s="1"/>
  <c r="AP34" i="14" s="1"/>
  <c r="AQ34" i="14" s="1"/>
  <c r="AR34" i="14" s="1"/>
  <c r="AS34" i="14" s="1"/>
  <c r="AT34" i="14" s="1"/>
  <c r="AU34" i="14" s="1"/>
  <c r="AV34" i="14" s="1"/>
  <c r="AW34" i="14" s="1"/>
  <c r="AX34" i="14" s="1"/>
  <c r="AY34" i="14" s="1"/>
  <c r="AZ34" i="14" s="1"/>
  <c r="BA34" i="14" s="1"/>
  <c r="BB34" i="14" s="1"/>
  <c r="BC34" i="14" s="1"/>
  <c r="BD34" i="14" s="1"/>
  <c r="BE34" i="14" s="1"/>
  <c r="BF34" i="14" s="1"/>
  <c r="AG34" i="14"/>
  <c r="AC34" i="14"/>
  <c r="AF34" i="14"/>
  <c r="AH33" i="14"/>
  <c r="AI33" i="14" s="1"/>
  <c r="AJ33" i="14" s="1"/>
  <c r="AK33" i="14" s="1"/>
  <c r="AL33" i="14" s="1"/>
  <c r="AM33" i="14" s="1"/>
  <c r="AN33" i="14" s="1"/>
  <c r="AO33" i="14" s="1"/>
  <c r="AP33" i="14" s="1"/>
  <c r="AQ33" i="14" s="1"/>
  <c r="AR33" i="14" s="1"/>
  <c r="AS33" i="14" s="1"/>
  <c r="AT33" i="14" s="1"/>
  <c r="AU33" i="14" s="1"/>
  <c r="AV33" i="14" s="1"/>
  <c r="AW33" i="14" s="1"/>
  <c r="AX33" i="14" s="1"/>
  <c r="AY33" i="14" s="1"/>
  <c r="AZ33" i="14" s="1"/>
  <c r="BA33" i="14" s="1"/>
  <c r="BB33" i="14" s="1"/>
  <c r="BC33" i="14" s="1"/>
  <c r="BD33" i="14" s="1"/>
  <c r="BE33" i="14" s="1"/>
  <c r="BF33" i="14" s="1"/>
  <c r="BG33" i="14" s="1"/>
  <c r="AG33" i="14"/>
  <c r="AC33" i="14"/>
  <c r="AF33" i="14"/>
  <c r="AH32" i="14"/>
  <c r="AI32" i="14" s="1"/>
  <c r="AJ32" i="14" s="1"/>
  <c r="AK32" i="14" s="1"/>
  <c r="AL32" i="14" s="1"/>
  <c r="AM32" i="14" s="1"/>
  <c r="AN32" i="14" s="1"/>
  <c r="AO32" i="14" s="1"/>
  <c r="AP32" i="14" s="1"/>
  <c r="AQ32" i="14" s="1"/>
  <c r="AR32" i="14" s="1"/>
  <c r="AS32" i="14" s="1"/>
  <c r="AT32" i="14" s="1"/>
  <c r="AU32" i="14" s="1"/>
  <c r="AV32" i="14" s="1"/>
  <c r="AW32" i="14" s="1"/>
  <c r="AX32" i="14" s="1"/>
  <c r="AY32" i="14" s="1"/>
  <c r="AZ32" i="14" s="1"/>
  <c r="BA32" i="14" s="1"/>
  <c r="BB32" i="14" s="1"/>
  <c r="BC32" i="14" s="1"/>
  <c r="BD32" i="14" s="1"/>
  <c r="BE32" i="14" s="1"/>
  <c r="BF32" i="14" s="1"/>
  <c r="AG32" i="14"/>
  <c r="AC32" i="14"/>
  <c r="AF32" i="14"/>
  <c r="AH31" i="14"/>
  <c r="AI31" i="14" s="1"/>
  <c r="AJ31" i="14" s="1"/>
  <c r="AK31" i="14" s="1"/>
  <c r="AL31" i="14" s="1"/>
  <c r="AM31" i="14" s="1"/>
  <c r="AN31" i="14" s="1"/>
  <c r="AO31" i="14" s="1"/>
  <c r="AP31" i="14" s="1"/>
  <c r="AQ31" i="14" s="1"/>
  <c r="AR31" i="14" s="1"/>
  <c r="AS31" i="14" s="1"/>
  <c r="AT31" i="14" s="1"/>
  <c r="AU31" i="14" s="1"/>
  <c r="AV31" i="14" s="1"/>
  <c r="AW31" i="14" s="1"/>
  <c r="AX31" i="14" s="1"/>
  <c r="AY31" i="14" s="1"/>
  <c r="AZ31" i="14" s="1"/>
  <c r="BA31" i="14" s="1"/>
  <c r="BB31" i="14" s="1"/>
  <c r="BC31" i="14" s="1"/>
  <c r="BD31" i="14" s="1"/>
  <c r="BE31" i="14" s="1"/>
  <c r="BF31" i="14" s="1"/>
  <c r="BG31" i="14" s="1"/>
  <c r="AG31" i="14"/>
  <c r="AC31" i="14"/>
  <c r="AF31" i="14"/>
  <c r="AH30" i="14"/>
  <c r="AI30" i="14" s="1"/>
  <c r="AJ30" i="14" s="1"/>
  <c r="AK30" i="14" s="1"/>
  <c r="AL30" i="14" s="1"/>
  <c r="AM30" i="14" s="1"/>
  <c r="AN30" i="14" s="1"/>
  <c r="AO30" i="14" s="1"/>
  <c r="AP30" i="14" s="1"/>
  <c r="AQ30" i="14" s="1"/>
  <c r="AR30" i="14" s="1"/>
  <c r="AS30" i="14" s="1"/>
  <c r="AT30" i="14" s="1"/>
  <c r="AU30" i="14" s="1"/>
  <c r="AV30" i="14" s="1"/>
  <c r="AW30" i="14" s="1"/>
  <c r="AX30" i="14" s="1"/>
  <c r="AY30" i="14" s="1"/>
  <c r="AZ30" i="14" s="1"/>
  <c r="BA30" i="14" s="1"/>
  <c r="BB30" i="14" s="1"/>
  <c r="BC30" i="14" s="1"/>
  <c r="BD30" i="14" s="1"/>
  <c r="BE30" i="14" s="1"/>
  <c r="BF30" i="14" s="1"/>
  <c r="AG30" i="14"/>
  <c r="AC30" i="14"/>
  <c r="AF30" i="14"/>
  <c r="AC24" i="14"/>
  <c r="AH13" i="14"/>
  <c r="AG13" i="14"/>
  <c r="AB280" i="11"/>
  <c r="AF13" i="14"/>
  <c r="AH19" i="14"/>
  <c r="AG19" i="14"/>
  <c r="AB286" i="11"/>
  <c r="AA286" i="11"/>
  <c r="Z286" i="11"/>
  <c r="Y286" i="11"/>
  <c r="X286" i="11"/>
  <c r="W286" i="11"/>
  <c r="V286" i="11"/>
  <c r="U286" i="11"/>
  <c r="AF19" i="14"/>
  <c r="AH18" i="14"/>
  <c r="AG18" i="14"/>
  <c r="AL285" i="11"/>
  <c r="AK285" i="11"/>
  <c r="AJ285" i="11"/>
  <c r="AI285" i="11"/>
  <c r="AH285" i="11"/>
  <c r="AG285" i="11"/>
  <c r="AF285" i="11"/>
  <c r="AE285" i="11"/>
  <c r="AC285" i="11"/>
  <c r="AB285" i="11"/>
  <c r="AA285" i="11"/>
  <c r="Z285" i="11"/>
  <c r="Y285" i="11"/>
  <c r="X285" i="11"/>
  <c r="W285" i="11"/>
  <c r="V285" i="11"/>
  <c r="U285" i="11"/>
  <c r="AF18" i="14"/>
  <c r="AH16" i="14"/>
  <c r="AI16" i="14" s="1"/>
  <c r="AJ16" i="14" s="1"/>
  <c r="AK16" i="14" s="1"/>
  <c r="AL16" i="14" s="1"/>
  <c r="AM16" i="14" s="1"/>
  <c r="AN16" i="14" s="1"/>
  <c r="AO16" i="14" s="1"/>
  <c r="AP16" i="14" s="1"/>
  <c r="AQ16" i="14" s="1"/>
  <c r="AR16" i="14" s="1"/>
  <c r="AS16" i="14" s="1"/>
  <c r="AT16" i="14" s="1"/>
  <c r="AU16" i="14" s="1"/>
  <c r="AV16" i="14" s="1"/>
  <c r="AW16" i="14" s="1"/>
  <c r="AX16" i="14" s="1"/>
  <c r="AY16" i="14" s="1"/>
  <c r="AZ16" i="14" s="1"/>
  <c r="BA16" i="14" s="1"/>
  <c r="BB16" i="14" s="1"/>
  <c r="BC16" i="14" s="1"/>
  <c r="BD16" i="14" s="1"/>
  <c r="BE16" i="14" s="1"/>
  <c r="BF16" i="14" s="1"/>
  <c r="BG16" i="14" s="1"/>
  <c r="AG16" i="14"/>
  <c r="AC16" i="14"/>
  <c r="AF16" i="14"/>
  <c r="AH15" i="14"/>
  <c r="AI15" i="14" s="1"/>
  <c r="AJ15" i="14" s="1"/>
  <c r="AK15" i="14" s="1"/>
  <c r="AL15" i="14" s="1"/>
  <c r="AM15" i="14" s="1"/>
  <c r="AN15" i="14" s="1"/>
  <c r="AO15" i="14" s="1"/>
  <c r="AP15" i="14" s="1"/>
  <c r="AQ15" i="14" s="1"/>
  <c r="AR15" i="14" s="1"/>
  <c r="AS15" i="14" s="1"/>
  <c r="AT15" i="14" s="1"/>
  <c r="AU15" i="14" s="1"/>
  <c r="AV15" i="14" s="1"/>
  <c r="AW15" i="14" s="1"/>
  <c r="AX15" i="14" s="1"/>
  <c r="AY15" i="14" s="1"/>
  <c r="AZ15" i="14" s="1"/>
  <c r="BA15" i="14" s="1"/>
  <c r="BB15" i="14" s="1"/>
  <c r="BC15" i="14" s="1"/>
  <c r="BD15" i="14" s="1"/>
  <c r="BE15" i="14" s="1"/>
  <c r="BF15" i="14" s="1"/>
  <c r="AG15" i="14"/>
  <c r="AC15" i="14"/>
  <c r="AF15" i="14"/>
  <c r="AH23" i="14"/>
  <c r="AI23" i="14" s="1"/>
  <c r="AJ23" i="14" s="1"/>
  <c r="AK23" i="14" s="1"/>
  <c r="AL23" i="14" s="1"/>
  <c r="AM23" i="14" s="1"/>
  <c r="AN23" i="14" s="1"/>
  <c r="AO23" i="14" s="1"/>
  <c r="AP23" i="14" s="1"/>
  <c r="AQ23" i="14" s="1"/>
  <c r="AR23" i="14" s="1"/>
  <c r="AS23" i="14" s="1"/>
  <c r="AT23" i="14" s="1"/>
  <c r="AU23" i="14" s="1"/>
  <c r="AV23" i="14" s="1"/>
  <c r="AW23" i="14" s="1"/>
  <c r="AX23" i="14" s="1"/>
  <c r="AY23" i="14" s="1"/>
  <c r="AZ23" i="14" s="1"/>
  <c r="BA23" i="14" s="1"/>
  <c r="BB23" i="14" s="1"/>
  <c r="BC23" i="14" s="1"/>
  <c r="BD23" i="14" s="1"/>
  <c r="BE23" i="14" s="1"/>
  <c r="BF23" i="14" s="1"/>
  <c r="BG23" i="14" s="1"/>
  <c r="AG23" i="14"/>
  <c r="AC23" i="14"/>
  <c r="AF23" i="14"/>
  <c r="AH22" i="14"/>
  <c r="AI22" i="14" s="1"/>
  <c r="AJ22" i="14" s="1"/>
  <c r="AK22" i="14" s="1"/>
  <c r="AL22" i="14" s="1"/>
  <c r="AM22" i="14" s="1"/>
  <c r="AN22" i="14" s="1"/>
  <c r="AO22" i="14" s="1"/>
  <c r="AP22" i="14" s="1"/>
  <c r="AQ22" i="14" s="1"/>
  <c r="AR22" i="14" s="1"/>
  <c r="AS22" i="14" s="1"/>
  <c r="AT22" i="14" s="1"/>
  <c r="AU22" i="14" s="1"/>
  <c r="AV22" i="14" s="1"/>
  <c r="AW22" i="14" s="1"/>
  <c r="AX22" i="14" s="1"/>
  <c r="AY22" i="14" s="1"/>
  <c r="AZ22" i="14" s="1"/>
  <c r="BA22" i="14" s="1"/>
  <c r="BB22" i="14" s="1"/>
  <c r="BC22" i="14" s="1"/>
  <c r="BD22" i="14" s="1"/>
  <c r="BE22" i="14" s="1"/>
  <c r="BF22" i="14" s="1"/>
  <c r="BG22" i="14" s="1"/>
  <c r="AG22" i="14"/>
  <c r="AC22" i="14"/>
  <c r="AF22" i="14"/>
  <c r="AH21" i="14"/>
  <c r="AG21" i="14"/>
  <c r="M21" i="14"/>
  <c r="AB288" i="11" s="1"/>
  <c r="L21" i="14"/>
  <c r="AA288" i="11" s="1"/>
  <c r="K21" i="14"/>
  <c r="Z288" i="11" s="1"/>
  <c r="J21" i="14"/>
  <c r="Y288" i="11" s="1"/>
  <c r="I21" i="14"/>
  <c r="X288" i="11" s="1"/>
  <c r="H21" i="14"/>
  <c r="W288" i="11" s="1"/>
  <c r="G21" i="14"/>
  <c r="V288" i="11" s="1"/>
  <c r="F21" i="14"/>
  <c r="U288" i="11" s="1"/>
  <c r="E21" i="14"/>
  <c r="AF21" i="14"/>
  <c r="AH20" i="14"/>
  <c r="AG20" i="14"/>
  <c r="W20" i="14"/>
  <c r="AL287" i="11" s="1"/>
  <c r="V20" i="14"/>
  <c r="AK287" i="11" s="1"/>
  <c r="U20" i="14"/>
  <c r="T20" i="14"/>
  <c r="AI287" i="11" s="1"/>
  <c r="S20" i="14"/>
  <c r="AH287" i="11" s="1"/>
  <c r="R20" i="14"/>
  <c r="AG287" i="11" s="1"/>
  <c r="Q20" i="14"/>
  <c r="AF287" i="11" s="1"/>
  <c r="P20" i="14"/>
  <c r="AE287" i="11" s="1"/>
  <c r="O20" i="14"/>
  <c r="AD287" i="11" s="1"/>
  <c r="N20" i="14"/>
  <c r="AC287" i="11" s="1"/>
  <c r="M20" i="14"/>
  <c r="AB287" i="11" s="1"/>
  <c r="L20" i="14"/>
  <c r="AA287" i="11" s="1"/>
  <c r="K20" i="14"/>
  <c r="Z287" i="11" s="1"/>
  <c r="J20" i="14"/>
  <c r="Y287" i="11" s="1"/>
  <c r="I20" i="14"/>
  <c r="X287" i="11" s="1"/>
  <c r="H20" i="14"/>
  <c r="W287" i="11" s="1"/>
  <c r="G20" i="14"/>
  <c r="V287" i="11" s="1"/>
  <c r="F20" i="14"/>
  <c r="U287" i="11" s="1"/>
  <c r="E20" i="14"/>
  <c r="AF20" i="14"/>
  <c r="AH17" i="14"/>
  <c r="AI17" i="14" s="1"/>
  <c r="AJ17" i="14" s="1"/>
  <c r="AK17" i="14" s="1"/>
  <c r="AG17" i="14"/>
  <c r="W17" i="14"/>
  <c r="AL284" i="11" s="1"/>
  <c r="V17" i="14"/>
  <c r="AK284" i="11" s="1"/>
  <c r="U17" i="14"/>
  <c r="AJ284" i="11" s="1"/>
  <c r="T17" i="14"/>
  <c r="S17" i="14"/>
  <c r="AH284" i="11" s="1"/>
  <c r="R17" i="14"/>
  <c r="AG284" i="11" s="1"/>
  <c r="Q17" i="14"/>
  <c r="AF284" i="11" s="1"/>
  <c r="P17" i="14"/>
  <c r="AE284" i="11" s="1"/>
  <c r="O17" i="14"/>
  <c r="AD284" i="11" s="1"/>
  <c r="N17" i="14"/>
  <c r="AC284" i="11" s="1"/>
  <c r="M17" i="14"/>
  <c r="AB284" i="11" s="1"/>
  <c r="L17" i="14"/>
  <c r="AA284" i="11" s="1"/>
  <c r="K17" i="14"/>
  <c r="Z284" i="11" s="1"/>
  <c r="J17" i="14"/>
  <c r="Y284" i="11" s="1"/>
  <c r="I17" i="14"/>
  <c r="X284" i="11" s="1"/>
  <c r="H17" i="14"/>
  <c r="AF17" i="14"/>
  <c r="AH14" i="14"/>
  <c r="AI14" i="14" s="1"/>
  <c r="AJ14" i="14" s="1"/>
  <c r="AK14" i="14" s="1"/>
  <c r="AL14" i="14" s="1"/>
  <c r="AM14" i="14" s="1"/>
  <c r="AN14" i="14" s="1"/>
  <c r="AO14" i="14" s="1"/>
  <c r="AP14" i="14" s="1"/>
  <c r="AQ14" i="14" s="1"/>
  <c r="AR14" i="14" s="1"/>
  <c r="AS14" i="14" s="1"/>
  <c r="AT14" i="14" s="1"/>
  <c r="AU14" i="14" s="1"/>
  <c r="AV14" i="14" s="1"/>
  <c r="AW14" i="14" s="1"/>
  <c r="AX14" i="14" s="1"/>
  <c r="AY14" i="14" s="1"/>
  <c r="AZ14" i="14" s="1"/>
  <c r="BA14" i="14" s="1"/>
  <c r="BB14" i="14" s="1"/>
  <c r="BC14" i="14" s="1"/>
  <c r="BD14" i="14" s="1"/>
  <c r="BE14" i="14" s="1"/>
  <c r="BF14" i="14" s="1"/>
  <c r="AG14" i="14"/>
  <c r="AC14" i="14"/>
  <c r="AF14" i="14"/>
  <c r="AH12" i="14"/>
  <c r="AI12" i="14" s="1"/>
  <c r="AJ12" i="14" s="1"/>
  <c r="AG12" i="14"/>
  <c r="R12" i="14"/>
  <c r="Q12" i="14"/>
  <c r="AF279" i="11" s="1"/>
  <c r="P12" i="14"/>
  <c r="AE279" i="11" s="1"/>
  <c r="O12" i="14"/>
  <c r="AD279" i="11" s="1"/>
  <c r="N12" i="14"/>
  <c r="AC279" i="11" s="1"/>
  <c r="M12" i="14"/>
  <c r="AB279" i="11" s="1"/>
  <c r="L12" i="14"/>
  <c r="AA279" i="11" s="1"/>
  <c r="K12" i="14"/>
  <c r="Z279" i="11" s="1"/>
  <c r="J12" i="14"/>
  <c r="Y279" i="11" s="1"/>
  <c r="I12" i="14"/>
  <c r="X279" i="11" s="1"/>
  <c r="H12" i="14"/>
  <c r="W279" i="11" s="1"/>
  <c r="G12" i="14"/>
  <c r="V279" i="11" s="1"/>
  <c r="AF12" i="14"/>
  <c r="AH11" i="14"/>
  <c r="AI11" i="14" s="1"/>
  <c r="AJ11" i="14" s="1"/>
  <c r="AG11" i="14"/>
  <c r="AQ278" i="11"/>
  <c r="AP278" i="11"/>
  <c r="AO278" i="11"/>
  <c r="AN278" i="11"/>
  <c r="AM278" i="11"/>
  <c r="AL278" i="11"/>
  <c r="AK278" i="11"/>
  <c r="AJ278" i="11"/>
  <c r="AI278" i="11"/>
  <c r="AH278" i="11"/>
  <c r="AG278" i="11"/>
  <c r="AE278" i="11"/>
  <c r="AD278" i="11"/>
  <c r="AC278" i="11"/>
  <c r="AB278" i="11"/>
  <c r="AA278" i="11"/>
  <c r="Z278" i="11"/>
  <c r="Y278" i="11"/>
  <c r="X278" i="11"/>
  <c r="W278" i="11"/>
  <c r="V278" i="11"/>
  <c r="AF11" i="14"/>
  <c r="AH10" i="14"/>
  <c r="AI10" i="14" s="1"/>
  <c r="AJ10" i="14" s="1"/>
  <c r="AG10" i="14"/>
  <c r="M10" i="14"/>
  <c r="AB277" i="11" s="1"/>
  <c r="L10" i="14"/>
  <c r="AA277" i="11" s="1"/>
  <c r="K10" i="14"/>
  <c r="Z277" i="11" s="1"/>
  <c r="J10" i="14"/>
  <c r="Y277" i="11" s="1"/>
  <c r="I10" i="14"/>
  <c r="X277" i="11" s="1"/>
  <c r="H10" i="14"/>
  <c r="W277" i="11" s="1"/>
  <c r="G10" i="14"/>
  <c r="AF10" i="14"/>
  <c r="AH9" i="14"/>
  <c r="AI9" i="14" s="1"/>
  <c r="AJ9" i="14" s="1"/>
  <c r="AG9" i="14"/>
  <c r="AQ276" i="11"/>
  <c r="AO276" i="11"/>
  <c r="AN276" i="11"/>
  <c r="AM276" i="11"/>
  <c r="AL276" i="11"/>
  <c r="AK276" i="11"/>
  <c r="AJ276" i="11"/>
  <c r="AI276" i="11"/>
  <c r="AH276" i="11"/>
  <c r="AG276" i="11"/>
  <c r="AF276" i="11"/>
  <c r="AE276" i="11"/>
  <c r="AC276" i="11"/>
  <c r="AB276" i="11"/>
  <c r="AA276" i="11"/>
  <c r="Z276" i="11"/>
  <c r="Y276" i="11"/>
  <c r="X276" i="11"/>
  <c r="W276" i="11"/>
  <c r="AF9" i="14"/>
  <c r="AH8" i="14"/>
  <c r="AI8" i="14" s="1"/>
  <c r="AJ8" i="14" s="1"/>
  <c r="AK8" i="14" s="1"/>
  <c r="AL8" i="14" s="1"/>
  <c r="AM8" i="14" s="1"/>
  <c r="AN8" i="14" s="1"/>
  <c r="AO8" i="14" s="1"/>
  <c r="AP8" i="14" s="1"/>
  <c r="AQ8" i="14" s="1"/>
  <c r="AR8" i="14" s="1"/>
  <c r="AS8" i="14" s="1"/>
  <c r="AT8" i="14" s="1"/>
  <c r="AU8" i="14" s="1"/>
  <c r="AV8" i="14" s="1"/>
  <c r="AW8" i="14" s="1"/>
  <c r="AX8" i="14" s="1"/>
  <c r="AY8" i="14" s="1"/>
  <c r="AZ8" i="14" s="1"/>
  <c r="BA8" i="14" s="1"/>
  <c r="BB8" i="14" s="1"/>
  <c r="BC8" i="14" s="1"/>
  <c r="BD8" i="14" s="1"/>
  <c r="BE8" i="14" s="1"/>
  <c r="BF8" i="14" s="1"/>
  <c r="AG8" i="14"/>
  <c r="AC8" i="14"/>
  <c r="AF8" i="14"/>
  <c r="AH7" i="14"/>
  <c r="AI7" i="14" s="1"/>
  <c r="AJ7" i="14" s="1"/>
  <c r="AG7" i="14"/>
  <c r="AF7" i="14"/>
  <c r="AH6" i="14"/>
  <c r="AI6" i="14" s="1"/>
  <c r="AJ6" i="14" s="1"/>
  <c r="AK6" i="14" s="1"/>
  <c r="AL6" i="14" s="1"/>
  <c r="AM6" i="14" s="1"/>
  <c r="AN6" i="14" s="1"/>
  <c r="AO6" i="14" s="1"/>
  <c r="AP6" i="14" s="1"/>
  <c r="AQ6" i="14" s="1"/>
  <c r="AR6" i="14" s="1"/>
  <c r="AS6" i="14" s="1"/>
  <c r="AT6" i="14" s="1"/>
  <c r="AU6" i="14" s="1"/>
  <c r="AV6" i="14" s="1"/>
  <c r="AW6" i="14" s="1"/>
  <c r="AX6" i="14" s="1"/>
  <c r="AY6" i="14" s="1"/>
  <c r="AZ6" i="14" s="1"/>
  <c r="BA6" i="14" s="1"/>
  <c r="BB6" i="14" s="1"/>
  <c r="BC6" i="14" s="1"/>
  <c r="BD6" i="14" s="1"/>
  <c r="BE6" i="14" s="1"/>
  <c r="BF6" i="14" s="1"/>
  <c r="BG6" i="14" s="1"/>
  <c r="AG6" i="14"/>
  <c r="AC6" i="14"/>
  <c r="AF6" i="14"/>
  <c r="AH5" i="14"/>
  <c r="AI5" i="14" s="1"/>
  <c r="AJ5" i="14" s="1"/>
  <c r="AK5" i="14" s="1"/>
  <c r="AL5" i="14" s="1"/>
  <c r="AM5" i="14" s="1"/>
  <c r="AN5" i="14" s="1"/>
  <c r="AO5" i="14" s="1"/>
  <c r="AP5" i="14" s="1"/>
  <c r="AQ5" i="14" s="1"/>
  <c r="AR5" i="14" s="1"/>
  <c r="AS5" i="14" s="1"/>
  <c r="AT5" i="14" s="1"/>
  <c r="AU5" i="14" s="1"/>
  <c r="AV5" i="14" s="1"/>
  <c r="AW5" i="14" s="1"/>
  <c r="AX5" i="14" s="1"/>
  <c r="AY5" i="14" s="1"/>
  <c r="AZ5" i="14" s="1"/>
  <c r="BA5" i="14" s="1"/>
  <c r="BB5" i="14" s="1"/>
  <c r="BC5" i="14" s="1"/>
  <c r="BD5" i="14" s="1"/>
  <c r="BE5" i="14" s="1"/>
  <c r="BF5" i="14" s="1"/>
  <c r="AG5" i="14"/>
  <c r="AC5" i="14"/>
  <c r="AF5" i="14"/>
  <c r="AH4" i="14"/>
  <c r="AG4" i="14"/>
  <c r="I4" i="14"/>
  <c r="X271" i="11" s="1"/>
  <c r="H4" i="14"/>
  <c r="W271" i="11" s="1"/>
  <c r="G4" i="14"/>
  <c r="V271" i="11" s="1"/>
  <c r="F4" i="14"/>
  <c r="U271" i="11" s="1"/>
  <c r="E4" i="14"/>
  <c r="T271" i="11" s="1"/>
  <c r="AF4" i="14"/>
  <c r="AH3" i="14"/>
  <c r="AG3" i="14"/>
  <c r="I3" i="14"/>
  <c r="X270" i="11" s="1"/>
  <c r="H3" i="14"/>
  <c r="W270" i="11" s="1"/>
  <c r="G3" i="14"/>
  <c r="V270" i="11" s="1"/>
  <c r="F3" i="14"/>
  <c r="E3" i="14"/>
  <c r="AF3" i="14"/>
  <c r="BA56" i="7"/>
  <c r="AQ56" i="7"/>
  <c r="AK56" i="7"/>
  <c r="AI56" i="7"/>
  <c r="AC56" i="7"/>
  <c r="K56" i="7"/>
  <c r="E100" i="11" s="1"/>
  <c r="F100" i="11" s="1"/>
  <c r="K62" i="7"/>
  <c r="E106" i="11" s="1"/>
  <c r="F106" i="11" s="1"/>
  <c r="BA61" i="7"/>
  <c r="AI61" i="7"/>
  <c r="AC61" i="7"/>
  <c r="K61" i="7"/>
  <c r="E105" i="11" s="1"/>
  <c r="F105" i="11" s="1"/>
  <c r="AQ59" i="7"/>
  <c r="AK59" i="7"/>
  <c r="T59" i="7"/>
  <c r="H103" i="11" s="1"/>
  <c r="I103" i="11" s="1"/>
  <c r="K59" i="7"/>
  <c r="E103" i="11" s="1"/>
  <c r="F103" i="11" s="1"/>
  <c r="BA58" i="7"/>
  <c r="AQ58" i="7"/>
  <c r="AK58" i="7"/>
  <c r="AI58" i="7"/>
  <c r="AC58" i="7"/>
  <c r="K58" i="7"/>
  <c r="E102" i="11" s="1"/>
  <c r="F102" i="11" s="1"/>
  <c r="AQ66" i="7"/>
  <c r="AK66" i="7"/>
  <c r="AA66" i="7"/>
  <c r="AF66" i="7" s="1"/>
  <c r="T66" i="7"/>
  <c r="H110" i="11" s="1"/>
  <c r="I110" i="11" s="1"/>
  <c r="K66" i="7"/>
  <c r="E110" i="11" s="1"/>
  <c r="F110" i="11" s="1"/>
  <c r="BA65" i="7"/>
  <c r="AQ65" i="7"/>
  <c r="AK65" i="7"/>
  <c r="AI65" i="7"/>
  <c r="AC65" i="7"/>
  <c r="AQ64" i="7"/>
  <c r="AK64" i="7"/>
  <c r="K64" i="7"/>
  <c r="E108" i="11" s="1"/>
  <c r="F108" i="11" s="1"/>
  <c r="BA63" i="7"/>
  <c r="AQ63" i="7"/>
  <c r="AK63" i="7"/>
  <c r="AI63" i="7"/>
  <c r="AC63" i="7"/>
  <c r="K63" i="7"/>
  <c r="E107" i="11" s="1"/>
  <c r="F107" i="11" s="1"/>
  <c r="BA60" i="7"/>
  <c r="AQ60" i="7"/>
  <c r="AK60" i="7"/>
  <c r="AI60" i="7"/>
  <c r="AC60" i="7"/>
  <c r="K60" i="7"/>
  <c r="E104" i="11" s="1"/>
  <c r="F104" i="11" s="1"/>
  <c r="BA57" i="7"/>
  <c r="AQ57" i="7"/>
  <c r="AK57" i="7"/>
  <c r="AI57" i="7"/>
  <c r="AC57" i="7"/>
  <c r="K57" i="7"/>
  <c r="E101" i="11" s="1"/>
  <c r="F101" i="11" s="1"/>
  <c r="AQ55" i="7"/>
  <c r="AK55" i="7"/>
  <c r="BA54" i="7"/>
  <c r="AQ54" i="7"/>
  <c r="AK54" i="7"/>
  <c r="AI54" i="7"/>
  <c r="AC54" i="7"/>
  <c r="AQ53" i="7"/>
  <c r="AK53" i="7"/>
  <c r="AA53" i="7"/>
  <c r="AF53" i="7" s="1"/>
  <c r="T53" i="7"/>
  <c r="H97" i="11" s="1"/>
  <c r="I97" i="11" s="1"/>
  <c r="K53" i="7"/>
  <c r="E97" i="11" s="1"/>
  <c r="F97" i="11" s="1"/>
  <c r="BA52" i="7"/>
  <c r="AQ52" i="7"/>
  <c r="AK52" i="7"/>
  <c r="AI52" i="7"/>
  <c r="AC52" i="7"/>
  <c r="K52" i="7"/>
  <c r="E96" i="11" s="1"/>
  <c r="F96" i="11" s="1"/>
  <c r="BA51" i="7"/>
  <c r="AI51" i="7"/>
  <c r="AC51" i="7"/>
  <c r="BA50" i="7"/>
  <c r="AQ50" i="7"/>
  <c r="AK50" i="7"/>
  <c r="AI50" i="7"/>
  <c r="AC50" i="7"/>
  <c r="K50" i="7"/>
  <c r="E94" i="11" s="1"/>
  <c r="F94" i="11" s="1"/>
  <c r="AQ49" i="7"/>
  <c r="AK49" i="7"/>
  <c r="AA49" i="7"/>
  <c r="AF49" i="7" s="1"/>
  <c r="T49" i="7"/>
  <c r="H93" i="11" s="1"/>
  <c r="I93" i="11" s="1"/>
  <c r="K49" i="7"/>
  <c r="E93" i="11" s="1"/>
  <c r="F93" i="11" s="1"/>
  <c r="BA48" i="7"/>
  <c r="AQ48" i="7"/>
  <c r="AK48" i="7"/>
  <c r="AI48" i="7"/>
  <c r="AC48" i="7"/>
  <c r="K48" i="7"/>
  <c r="E92" i="11" s="1"/>
  <c r="F92" i="11" s="1"/>
  <c r="AQ47" i="7"/>
  <c r="AK47" i="7"/>
  <c r="AA47" i="7"/>
  <c r="K91" i="11" s="1"/>
  <c r="T47" i="7"/>
  <c r="U47" i="7" s="1"/>
  <c r="AE47" i="7" s="1"/>
  <c r="K47" i="7"/>
  <c r="L47" i="7" s="1"/>
  <c r="BA46" i="7"/>
  <c r="AQ46" i="7"/>
  <c r="AK46" i="7"/>
  <c r="AI46" i="7"/>
  <c r="AC46" i="7"/>
  <c r="T46" i="7"/>
  <c r="U46" i="7" s="1"/>
  <c r="AE46" i="7" s="1"/>
  <c r="K46" i="7"/>
  <c r="L46" i="7" s="1"/>
  <c r="BF27" i="7"/>
  <c r="BA27" i="7"/>
  <c r="AQ27" i="7"/>
  <c r="AK27" i="7"/>
  <c r="AI27" i="7"/>
  <c r="AC27" i="7"/>
  <c r="E56" i="7"/>
  <c r="B56" i="7"/>
  <c r="AJ56" i="7" s="1"/>
  <c r="AY33" i="7"/>
  <c r="B62" i="7"/>
  <c r="AJ62" i="7" s="1"/>
  <c r="BA32" i="7"/>
  <c r="AI32" i="7"/>
  <c r="AC32" i="7"/>
  <c r="B61" i="7"/>
  <c r="AJ61" i="7" s="1"/>
  <c r="AQ30" i="7"/>
  <c r="AK30" i="7"/>
  <c r="BA29" i="7"/>
  <c r="AQ29" i="7"/>
  <c r="AK29" i="7"/>
  <c r="AI29" i="7"/>
  <c r="AC29" i="7"/>
  <c r="B58" i="7"/>
  <c r="AJ58" i="7" s="1"/>
  <c r="AQ37" i="7"/>
  <c r="AK37" i="7"/>
  <c r="BA36" i="7"/>
  <c r="AQ36" i="7"/>
  <c r="AK36" i="7"/>
  <c r="AI36" i="7"/>
  <c r="AC36" i="7"/>
  <c r="B65" i="7"/>
  <c r="AJ65" i="7" s="1"/>
  <c r="AQ35" i="7"/>
  <c r="AK35" i="7"/>
  <c r="BA34" i="7"/>
  <c r="AQ34" i="7"/>
  <c r="AK34" i="7"/>
  <c r="AI34" i="7"/>
  <c r="AC34" i="7"/>
  <c r="B63" i="7"/>
  <c r="AJ63" i="7" s="1"/>
  <c r="BF31" i="7"/>
  <c r="BA31" i="7"/>
  <c r="AQ31" i="7"/>
  <c r="AK31" i="7"/>
  <c r="AI31" i="7"/>
  <c r="AC31" i="7"/>
  <c r="AU31" i="7"/>
  <c r="BF28" i="7"/>
  <c r="BA28" i="7"/>
  <c r="AQ28" i="7"/>
  <c r="AK28" i="7"/>
  <c r="AI28" i="7"/>
  <c r="AC28" i="7"/>
  <c r="AJ28" i="7"/>
  <c r="AQ26" i="7"/>
  <c r="AK26" i="7"/>
  <c r="E55" i="7"/>
  <c r="B55" i="7"/>
  <c r="AJ55" i="7" s="1"/>
  <c r="BA25" i="7"/>
  <c r="AQ25" i="7"/>
  <c r="AK25" i="7"/>
  <c r="AI25" i="7"/>
  <c r="AC25" i="7"/>
  <c r="AQ24" i="7"/>
  <c r="AK24" i="7"/>
  <c r="B53" i="7"/>
  <c r="AJ53" i="7" s="1"/>
  <c r="BA23" i="7"/>
  <c r="AQ23" i="7"/>
  <c r="AK23" i="7"/>
  <c r="AI23" i="7"/>
  <c r="AC23" i="7"/>
  <c r="E52" i="7"/>
  <c r="B52" i="7"/>
  <c r="AJ52" i="7" s="1"/>
  <c r="BF22" i="7"/>
  <c r="BA22" i="7"/>
  <c r="AQ22" i="7"/>
  <c r="AK22" i="7"/>
  <c r="AI22" i="7"/>
  <c r="AC22" i="7"/>
  <c r="B51" i="7"/>
  <c r="AJ51" i="7" s="1"/>
  <c r="BF21" i="7"/>
  <c r="BA21" i="7"/>
  <c r="AQ21" i="7"/>
  <c r="AK21" i="7"/>
  <c r="AI21" i="7"/>
  <c r="AC21" i="7"/>
  <c r="B50" i="7"/>
  <c r="AJ50" i="7" s="1"/>
  <c r="AQ20" i="7"/>
  <c r="AK20" i="7"/>
  <c r="B49" i="7"/>
  <c r="AJ49" i="7" s="1"/>
  <c r="BA19" i="7"/>
  <c r="AQ19" i="7"/>
  <c r="AK19" i="7"/>
  <c r="AI19" i="7"/>
  <c r="AC19" i="7"/>
  <c r="AJ19" i="7"/>
  <c r="AU18" i="7"/>
  <c r="AV18" i="7" s="1"/>
  <c r="BC18" i="7" s="1"/>
  <c r="AQ18" i="7"/>
  <c r="AK18" i="7"/>
  <c r="T18" i="7"/>
  <c r="U18" i="7" s="1"/>
  <c r="AE18" i="7" s="1"/>
  <c r="BU18" i="7" s="1"/>
  <c r="B47" i="7"/>
  <c r="AJ47" i="7" s="1"/>
  <c r="BA17" i="7"/>
  <c r="AU17" i="7"/>
  <c r="AV17" i="7" s="1"/>
  <c r="BC17" i="7" s="1"/>
  <c r="AQ17" i="7"/>
  <c r="AK17" i="7"/>
  <c r="AI17" i="7"/>
  <c r="AC17" i="7"/>
  <c r="T17" i="7"/>
  <c r="U17" i="7" s="1"/>
  <c r="AE17" i="7" s="1"/>
  <c r="BU17" i="7" s="1"/>
  <c r="B46" i="7"/>
  <c r="AJ46" i="7" s="1"/>
  <c r="B11" i="7"/>
  <c r="B10" i="7"/>
  <c r="N9" i="7"/>
  <c r="L9" i="7"/>
  <c r="U66" i="7" s="1"/>
  <c r="AE66" i="7" s="1"/>
  <c r="N8" i="7"/>
  <c r="L8" i="7"/>
  <c r="B8" i="7"/>
  <c r="N7" i="7"/>
  <c r="L7" i="7"/>
  <c r="N6" i="7"/>
  <c r="L6" i="7"/>
  <c r="B6" i="7"/>
  <c r="N5" i="7"/>
  <c r="L5" i="7"/>
  <c r="B5" i="7"/>
  <c r="X17" i="7" s="1"/>
  <c r="A246" i="11"/>
  <c r="M121" i="11"/>
  <c r="M90" i="11"/>
  <c r="M60" i="11"/>
  <c r="BG69" i="14" l="1"/>
  <c r="AX58" i="7"/>
  <c r="BG42" i="14"/>
  <c r="AR58" i="7"/>
  <c r="BG15" i="14"/>
  <c r="AL58" i="7"/>
  <c r="X21" i="7"/>
  <c r="O23" i="7"/>
  <c r="BG14" i="14"/>
  <c r="AL57" i="7"/>
  <c r="AI18" i="14"/>
  <c r="AJ18" i="14" s="1"/>
  <c r="AK18" i="14" s="1"/>
  <c r="AL18" i="14" s="1"/>
  <c r="AM18" i="14" s="1"/>
  <c r="AN18" i="14" s="1"/>
  <c r="AO18" i="14" s="1"/>
  <c r="AP18" i="14" s="1"/>
  <c r="AQ18" i="14" s="1"/>
  <c r="AR18" i="14" s="1"/>
  <c r="AS18" i="14" s="1"/>
  <c r="AT18" i="14" s="1"/>
  <c r="AU18" i="14" s="1"/>
  <c r="AV18" i="14" s="1"/>
  <c r="AW18" i="14" s="1"/>
  <c r="AX18" i="14" s="1"/>
  <c r="AY18" i="14" s="1"/>
  <c r="AZ18" i="14" s="1"/>
  <c r="BA18" i="14" s="1"/>
  <c r="BB18" i="14" s="1"/>
  <c r="BC18" i="14" s="1"/>
  <c r="BD18" i="14" s="1"/>
  <c r="BE18" i="14" s="1"/>
  <c r="BF18" i="14" s="1"/>
  <c r="AK62" i="14"/>
  <c r="AL62" i="14" s="1"/>
  <c r="AM62" i="14" s="1"/>
  <c r="AN62" i="14" s="1"/>
  <c r="AO62" i="14" s="1"/>
  <c r="AP62" i="14" s="1"/>
  <c r="AQ62" i="14" s="1"/>
  <c r="AR62" i="14" s="1"/>
  <c r="AS62" i="14" s="1"/>
  <c r="AT62" i="14" s="1"/>
  <c r="AU62" i="14" s="1"/>
  <c r="AV62" i="14" s="1"/>
  <c r="AW62" i="14" s="1"/>
  <c r="AX62" i="14" s="1"/>
  <c r="AY62" i="14" s="1"/>
  <c r="AZ62" i="14" s="1"/>
  <c r="BA62" i="14" s="1"/>
  <c r="BB62" i="14" s="1"/>
  <c r="BC62" i="14" s="1"/>
  <c r="BD62" i="14" s="1"/>
  <c r="BE62" i="14" s="1"/>
  <c r="BF62" i="14" s="1"/>
  <c r="AI48" i="14"/>
  <c r="AJ48" i="14" s="1"/>
  <c r="AK48" i="14" s="1"/>
  <c r="AL48" i="14" s="1"/>
  <c r="AM48" i="14" s="1"/>
  <c r="AN48" i="14" s="1"/>
  <c r="AO48" i="14" s="1"/>
  <c r="AP48" i="14" s="1"/>
  <c r="AQ48" i="14" s="1"/>
  <c r="AR48" i="14" s="1"/>
  <c r="AS48" i="14" s="1"/>
  <c r="AT48" i="14" s="1"/>
  <c r="AU48" i="14" s="1"/>
  <c r="AV48" i="14" s="1"/>
  <c r="AW48" i="14" s="1"/>
  <c r="AX48" i="14" s="1"/>
  <c r="AY48" i="14" s="1"/>
  <c r="AZ48" i="14" s="1"/>
  <c r="BA48" i="14" s="1"/>
  <c r="BB48" i="14" s="1"/>
  <c r="BC48" i="14" s="1"/>
  <c r="BD48" i="14" s="1"/>
  <c r="BE48" i="14" s="1"/>
  <c r="BF48" i="14" s="1"/>
  <c r="AI19" i="14"/>
  <c r="AJ19" i="14" s="1"/>
  <c r="AK19" i="14" s="1"/>
  <c r="AL19" i="14" s="1"/>
  <c r="AM19" i="14" s="1"/>
  <c r="AN19" i="14" s="1"/>
  <c r="AO19" i="14" s="1"/>
  <c r="AP19" i="14" s="1"/>
  <c r="AQ19" i="14" s="1"/>
  <c r="AR19" i="14" s="1"/>
  <c r="AS19" i="14" s="1"/>
  <c r="AT19" i="14" s="1"/>
  <c r="AU19" i="14" s="1"/>
  <c r="AV19" i="14" s="1"/>
  <c r="AW19" i="14" s="1"/>
  <c r="AX19" i="14" s="1"/>
  <c r="AY19" i="14" s="1"/>
  <c r="AZ19" i="14" s="1"/>
  <c r="BA19" i="14" s="1"/>
  <c r="BB19" i="14" s="1"/>
  <c r="BC19" i="14" s="1"/>
  <c r="BD19" i="14" s="1"/>
  <c r="BE19" i="14" s="1"/>
  <c r="BF19" i="14" s="1"/>
  <c r="AI47" i="14"/>
  <c r="AJ47" i="14" s="1"/>
  <c r="AK47" i="14" s="1"/>
  <c r="AL47" i="14" s="1"/>
  <c r="AM47" i="14" s="1"/>
  <c r="AN47" i="14" s="1"/>
  <c r="AO47" i="14" s="1"/>
  <c r="AP47" i="14" s="1"/>
  <c r="AQ47" i="14" s="1"/>
  <c r="AR47" i="14" s="1"/>
  <c r="AS47" i="14" s="1"/>
  <c r="AT47" i="14" s="1"/>
  <c r="AU47" i="14" s="1"/>
  <c r="AV47" i="14" s="1"/>
  <c r="AW47" i="14" s="1"/>
  <c r="AX47" i="14" s="1"/>
  <c r="AY47" i="14" s="1"/>
  <c r="AZ47" i="14" s="1"/>
  <c r="BA47" i="14" s="1"/>
  <c r="BB47" i="14" s="1"/>
  <c r="BC47" i="14" s="1"/>
  <c r="BD47" i="14" s="1"/>
  <c r="BE47" i="14" s="1"/>
  <c r="BF47" i="14" s="1"/>
  <c r="BG61" i="14"/>
  <c r="AX50" i="7"/>
  <c r="BG40" i="14"/>
  <c r="AU56" i="7"/>
  <c r="AV56" i="7" s="1"/>
  <c r="BC56" i="7" s="1"/>
  <c r="BG38" i="14"/>
  <c r="AR54" i="7"/>
  <c r="BG65" i="14"/>
  <c r="AX54" i="7"/>
  <c r="BG67" i="14"/>
  <c r="AY56" i="7"/>
  <c r="BD56" i="7" s="1"/>
  <c r="BG32" i="14"/>
  <c r="AR48" i="7"/>
  <c r="BG63" i="14"/>
  <c r="AX52" i="7"/>
  <c r="AY52" i="7" s="1"/>
  <c r="BD52" i="7" s="1"/>
  <c r="BG34" i="14"/>
  <c r="AR50" i="7"/>
  <c r="BG35" i="14"/>
  <c r="AR51" i="7"/>
  <c r="BG59" i="14"/>
  <c r="AX48" i="7"/>
  <c r="AI20" i="14"/>
  <c r="AJ20" i="14" s="1"/>
  <c r="AK20" i="14" s="1"/>
  <c r="AL20" i="14" s="1"/>
  <c r="AM20" i="14" s="1"/>
  <c r="AN20" i="14" s="1"/>
  <c r="AO20" i="14" s="1"/>
  <c r="AP20" i="14" s="1"/>
  <c r="AQ20" i="14" s="1"/>
  <c r="AR20" i="14" s="1"/>
  <c r="AS20" i="14" s="1"/>
  <c r="AT20" i="14" s="1"/>
  <c r="AU20" i="14" s="1"/>
  <c r="AV20" i="14" s="1"/>
  <c r="AW20" i="14" s="1"/>
  <c r="AX20" i="14" s="1"/>
  <c r="AY20" i="14" s="1"/>
  <c r="AZ20" i="14" s="1"/>
  <c r="BA20" i="14" s="1"/>
  <c r="BB20" i="14" s="1"/>
  <c r="BC20" i="14" s="1"/>
  <c r="BD20" i="14" s="1"/>
  <c r="BE20" i="14" s="1"/>
  <c r="BF20" i="14" s="1"/>
  <c r="BG41" i="14"/>
  <c r="BG8" i="14"/>
  <c r="AL51" i="7"/>
  <c r="BG30" i="14"/>
  <c r="AR46" i="7"/>
  <c r="BG57" i="14"/>
  <c r="AX46" i="7"/>
  <c r="BG36" i="14"/>
  <c r="AR52" i="7"/>
  <c r="AU52" i="7" s="1"/>
  <c r="AV52" i="7" s="1"/>
  <c r="BC52" i="7" s="1"/>
  <c r="BG68" i="14"/>
  <c r="O33" i="7"/>
  <c r="AA33" i="7" s="1"/>
  <c r="O37" i="7"/>
  <c r="AA37" i="7" s="1"/>
  <c r="AA23" i="7"/>
  <c r="O32" i="7"/>
  <c r="AA32" i="7" s="1"/>
  <c r="BG5" i="14"/>
  <c r="AL48" i="7"/>
  <c r="AN34" i="7"/>
  <c r="AN35" i="7"/>
  <c r="AO35" i="7" s="1"/>
  <c r="AP35" i="7" s="1"/>
  <c r="J34" i="7"/>
  <c r="J35" i="7"/>
  <c r="AL18" i="7"/>
  <c r="AO18" i="7" s="1"/>
  <c r="AL17" i="7"/>
  <c r="AO17" i="7" s="1"/>
  <c r="Q31" i="7"/>
  <c r="AM28" i="7"/>
  <c r="I28" i="7"/>
  <c r="Q26" i="7"/>
  <c r="Q25" i="7"/>
  <c r="I19" i="7"/>
  <c r="I31" i="7"/>
  <c r="I23" i="7"/>
  <c r="AM26" i="7"/>
  <c r="H17" i="7"/>
  <c r="I26" i="7"/>
  <c r="I20" i="7"/>
  <c r="AO21" i="7"/>
  <c r="AP21" i="7" s="1"/>
  <c r="AO27" i="7"/>
  <c r="K55" i="7"/>
  <c r="E99" i="11" s="1"/>
  <c r="F99" i="11" s="1"/>
  <c r="T56" i="7"/>
  <c r="AA34" i="7"/>
  <c r="O24" i="7"/>
  <c r="O26" i="7"/>
  <c r="O36" i="7"/>
  <c r="O25" i="7"/>
  <c r="AA25" i="7" s="1"/>
  <c r="K110" i="11"/>
  <c r="H61" i="11"/>
  <c r="I61" i="11" s="1"/>
  <c r="AU28" i="7"/>
  <c r="H71" i="11" s="1"/>
  <c r="I71" i="11" s="1"/>
  <c r="AC62" i="14"/>
  <c r="L56" i="7"/>
  <c r="AD56" i="7" s="1"/>
  <c r="AY36" i="7"/>
  <c r="K79" i="11" s="1"/>
  <c r="H91" i="11"/>
  <c r="I91" i="11" s="1"/>
  <c r="T324" i="11"/>
  <c r="T337" i="11"/>
  <c r="T342" i="11"/>
  <c r="T333" i="11"/>
  <c r="T329" i="11"/>
  <c r="T325" i="11"/>
  <c r="T334" i="11"/>
  <c r="T336" i="11"/>
  <c r="T341" i="11"/>
  <c r="T332" i="11"/>
  <c r="T328" i="11"/>
  <c r="T340" i="11"/>
  <c r="T344" i="11"/>
  <c r="T338" i="11"/>
  <c r="T331" i="11"/>
  <c r="T327" i="11"/>
  <c r="T339" i="11"/>
  <c r="T343" i="11"/>
  <c r="T335" i="11"/>
  <c r="T330" i="11"/>
  <c r="T326" i="11"/>
  <c r="AK10" i="14"/>
  <c r="AL10" i="14" s="1"/>
  <c r="AM10" i="14" s="1"/>
  <c r="AN10" i="14" s="1"/>
  <c r="AO10" i="14" s="1"/>
  <c r="AP10" i="14" s="1"/>
  <c r="AQ10" i="14" s="1"/>
  <c r="AR10" i="14" s="1"/>
  <c r="AS10" i="14" s="1"/>
  <c r="AT10" i="14" s="1"/>
  <c r="AU10" i="14" s="1"/>
  <c r="AV10" i="14" s="1"/>
  <c r="AW10" i="14" s="1"/>
  <c r="AX10" i="14" s="1"/>
  <c r="AY10" i="14" s="1"/>
  <c r="AZ10" i="14" s="1"/>
  <c r="BA10" i="14" s="1"/>
  <c r="BB10" i="14" s="1"/>
  <c r="BC10" i="14" s="1"/>
  <c r="BD10" i="14" s="1"/>
  <c r="BE10" i="14" s="1"/>
  <c r="BF10" i="14" s="1"/>
  <c r="AI3" i="14"/>
  <c r="AJ3" i="14" s="1"/>
  <c r="AK3" i="14" s="1"/>
  <c r="AL3" i="14" s="1"/>
  <c r="AM3" i="14" s="1"/>
  <c r="AN3" i="14" s="1"/>
  <c r="AO3" i="14" s="1"/>
  <c r="AP3" i="14" s="1"/>
  <c r="AQ3" i="14" s="1"/>
  <c r="AR3" i="14" s="1"/>
  <c r="AS3" i="14" s="1"/>
  <c r="AT3" i="14" s="1"/>
  <c r="AU3" i="14" s="1"/>
  <c r="AV3" i="14" s="1"/>
  <c r="AW3" i="14" s="1"/>
  <c r="AX3" i="14" s="1"/>
  <c r="AY3" i="14" s="1"/>
  <c r="AZ3" i="14" s="1"/>
  <c r="BA3" i="14" s="1"/>
  <c r="BB3" i="14" s="1"/>
  <c r="BC3" i="14" s="1"/>
  <c r="BD3" i="14" s="1"/>
  <c r="BE3" i="14" s="1"/>
  <c r="BF3" i="14" s="1"/>
  <c r="AK9" i="14"/>
  <c r="AL9" i="14" s="1"/>
  <c r="AM9" i="14" s="1"/>
  <c r="AN9" i="14" s="1"/>
  <c r="AO9" i="14" s="1"/>
  <c r="AP9" i="14" s="1"/>
  <c r="AQ9" i="14" s="1"/>
  <c r="AR9" i="14" s="1"/>
  <c r="AS9" i="14" s="1"/>
  <c r="AT9" i="14" s="1"/>
  <c r="AU9" i="14" s="1"/>
  <c r="AV9" i="14" s="1"/>
  <c r="AW9" i="14" s="1"/>
  <c r="AX9" i="14" s="1"/>
  <c r="AY9" i="14" s="1"/>
  <c r="AZ9" i="14" s="1"/>
  <c r="BA9" i="14" s="1"/>
  <c r="BB9" i="14" s="1"/>
  <c r="BC9" i="14" s="1"/>
  <c r="BD9" i="14" s="1"/>
  <c r="BE9" i="14" s="1"/>
  <c r="BF9" i="14" s="1"/>
  <c r="AL17" i="14"/>
  <c r="AM17" i="14" s="1"/>
  <c r="AN17" i="14" s="1"/>
  <c r="AO17" i="14" s="1"/>
  <c r="AP17" i="14" s="1"/>
  <c r="AQ17" i="14" s="1"/>
  <c r="AR17" i="14" s="1"/>
  <c r="AS17" i="14" s="1"/>
  <c r="AT17" i="14" s="1"/>
  <c r="AU17" i="14" s="1"/>
  <c r="AV17" i="14" s="1"/>
  <c r="AW17" i="14" s="1"/>
  <c r="AX17" i="14" s="1"/>
  <c r="AY17" i="14" s="1"/>
  <c r="AZ17" i="14" s="1"/>
  <c r="BA17" i="14" s="1"/>
  <c r="BB17" i="14" s="1"/>
  <c r="BC17" i="14" s="1"/>
  <c r="BD17" i="14" s="1"/>
  <c r="BE17" i="14" s="1"/>
  <c r="BF17" i="14" s="1"/>
  <c r="AI21" i="14"/>
  <c r="AJ21" i="14" s="1"/>
  <c r="AK21" i="14" s="1"/>
  <c r="AL21" i="14" s="1"/>
  <c r="AM21" i="14" s="1"/>
  <c r="AN21" i="14" s="1"/>
  <c r="AO21" i="14" s="1"/>
  <c r="AP21" i="14" s="1"/>
  <c r="AQ21" i="14" s="1"/>
  <c r="AR21" i="14" s="1"/>
  <c r="AS21" i="14" s="1"/>
  <c r="AT21" i="14" s="1"/>
  <c r="AU21" i="14" s="1"/>
  <c r="AV21" i="14" s="1"/>
  <c r="AW21" i="14" s="1"/>
  <c r="AX21" i="14" s="1"/>
  <c r="AY21" i="14" s="1"/>
  <c r="AZ21" i="14" s="1"/>
  <c r="BA21" i="14" s="1"/>
  <c r="BB21" i="14" s="1"/>
  <c r="BC21" i="14" s="1"/>
  <c r="BD21" i="14" s="1"/>
  <c r="BE21" i="14" s="1"/>
  <c r="BF21" i="14" s="1"/>
  <c r="AK7" i="14"/>
  <c r="AL7" i="14" s="1"/>
  <c r="AM7" i="14" s="1"/>
  <c r="AN7" i="14" s="1"/>
  <c r="AO7" i="14" s="1"/>
  <c r="AP7" i="14" s="1"/>
  <c r="AQ7" i="14" s="1"/>
  <c r="AR7" i="14" s="1"/>
  <c r="AS7" i="14" s="1"/>
  <c r="AT7" i="14" s="1"/>
  <c r="AU7" i="14" s="1"/>
  <c r="AV7" i="14" s="1"/>
  <c r="AW7" i="14" s="1"/>
  <c r="AX7" i="14" s="1"/>
  <c r="AY7" i="14" s="1"/>
  <c r="AZ7" i="14" s="1"/>
  <c r="BA7" i="14" s="1"/>
  <c r="BB7" i="14" s="1"/>
  <c r="BC7" i="14" s="1"/>
  <c r="BD7" i="14" s="1"/>
  <c r="BE7" i="14" s="1"/>
  <c r="BF7" i="14" s="1"/>
  <c r="AI13" i="14"/>
  <c r="AJ13" i="14" s="1"/>
  <c r="AK13" i="14" s="1"/>
  <c r="AL13" i="14" s="1"/>
  <c r="AM13" i="14" s="1"/>
  <c r="AN13" i="14" s="1"/>
  <c r="AO13" i="14" s="1"/>
  <c r="AP13" i="14" s="1"/>
  <c r="AQ13" i="14" s="1"/>
  <c r="AR13" i="14" s="1"/>
  <c r="AS13" i="14" s="1"/>
  <c r="AT13" i="14" s="1"/>
  <c r="AU13" i="14" s="1"/>
  <c r="AV13" i="14" s="1"/>
  <c r="AW13" i="14" s="1"/>
  <c r="AX13" i="14" s="1"/>
  <c r="AY13" i="14" s="1"/>
  <c r="AZ13" i="14" s="1"/>
  <c r="BA13" i="14" s="1"/>
  <c r="BB13" i="14" s="1"/>
  <c r="BC13" i="14" s="1"/>
  <c r="BD13" i="14" s="1"/>
  <c r="BE13" i="14" s="1"/>
  <c r="BF13" i="14" s="1"/>
  <c r="AL56" i="7" s="1"/>
  <c r="T297" i="11"/>
  <c r="T310" i="11"/>
  <c r="T315" i="11"/>
  <c r="T306" i="11"/>
  <c r="T302" i="11"/>
  <c r="T298" i="11"/>
  <c r="T307" i="11"/>
  <c r="T309" i="11"/>
  <c r="T314" i="11"/>
  <c r="T305" i="11"/>
  <c r="T301" i="11"/>
  <c r="T313" i="11"/>
  <c r="T317" i="11"/>
  <c r="T311" i="11"/>
  <c r="T304" i="11"/>
  <c r="T300" i="11"/>
  <c r="T312" i="11"/>
  <c r="T316" i="11"/>
  <c r="T308" i="11"/>
  <c r="T303" i="11"/>
  <c r="U265" i="11"/>
  <c r="W284" i="11"/>
  <c r="AR284" i="11" s="1"/>
  <c r="E284" i="11" s="1"/>
  <c r="F284" i="11" s="1"/>
  <c r="T288" i="11"/>
  <c r="AR288" i="11" s="1"/>
  <c r="E288" i="11" s="1"/>
  <c r="F288" i="11" s="1"/>
  <c r="T287" i="11"/>
  <c r="AR287" i="11" s="1"/>
  <c r="E287" i="11" s="1"/>
  <c r="F287" i="11" s="1"/>
  <c r="V276" i="11"/>
  <c r="AR276" i="11" s="1"/>
  <c r="E276" i="11" s="1"/>
  <c r="F276" i="11" s="1"/>
  <c r="T270" i="11"/>
  <c r="AR270" i="11" s="1"/>
  <c r="E270" i="11" s="1"/>
  <c r="F270" i="11" s="1"/>
  <c r="V277" i="11"/>
  <c r="AR277" i="11" s="1"/>
  <c r="E277" i="11" s="1"/>
  <c r="F277" i="11" s="1"/>
  <c r="T286" i="11"/>
  <c r="AR286" i="11" s="1"/>
  <c r="E286" i="11" s="1"/>
  <c r="F286" i="11" s="1"/>
  <c r="T285" i="11"/>
  <c r="AR285" i="11" s="1"/>
  <c r="E285" i="11" s="1"/>
  <c r="F285" i="11" s="1"/>
  <c r="T280" i="11"/>
  <c r="AA280" i="11"/>
  <c r="Z280" i="11"/>
  <c r="V274" i="11"/>
  <c r="AK280" i="11"/>
  <c r="Y280" i="11"/>
  <c r="AJ280" i="11"/>
  <c r="X280" i="11"/>
  <c r="AI280" i="11"/>
  <c r="W280" i="11"/>
  <c r="AH280" i="11"/>
  <c r="V280" i="11"/>
  <c r="AD274" i="11"/>
  <c r="AG280" i="11"/>
  <c r="U280" i="11"/>
  <c r="AF280" i="11"/>
  <c r="AE280" i="11"/>
  <c r="AD280" i="11"/>
  <c r="Z274" i="11"/>
  <c r="AC280" i="11"/>
  <c r="AC20" i="14"/>
  <c r="AR282" i="11"/>
  <c r="E282" i="11" s="1"/>
  <c r="F282" i="11" s="1"/>
  <c r="AR281" i="11"/>
  <c r="E281" i="11" s="1"/>
  <c r="F281" i="11" s="1"/>
  <c r="AR283" i="11"/>
  <c r="E283" i="11" s="1"/>
  <c r="F283" i="11" s="1"/>
  <c r="AR275" i="11"/>
  <c r="E275" i="11" s="1"/>
  <c r="F275" i="11" s="1"/>
  <c r="AR271" i="11"/>
  <c r="E271" i="11" s="1"/>
  <c r="F271" i="11" s="1"/>
  <c r="AR272" i="11"/>
  <c r="E272" i="11" s="1"/>
  <c r="F272" i="11" s="1"/>
  <c r="AR278" i="11"/>
  <c r="E278" i="11" s="1"/>
  <c r="AR289" i="11"/>
  <c r="E289" i="11" s="1"/>
  <c r="AR273" i="11"/>
  <c r="E273" i="11" s="1"/>
  <c r="AR279" i="11"/>
  <c r="E279" i="11" s="1"/>
  <c r="F279" i="11" s="1"/>
  <c r="AR290" i="11"/>
  <c r="E290" i="11" s="1"/>
  <c r="AY55" i="7"/>
  <c r="BD55" i="7" s="1"/>
  <c r="AU55" i="7"/>
  <c r="AV55" i="7" s="1"/>
  <c r="BC55" i="7" s="1"/>
  <c r="H60" i="11"/>
  <c r="I60" i="11" s="1"/>
  <c r="L57" i="7"/>
  <c r="AD57" i="7" s="1"/>
  <c r="K93" i="11"/>
  <c r="H90" i="11"/>
  <c r="I90" i="11" s="1"/>
  <c r="AF47" i="7"/>
  <c r="E91" i="11"/>
  <c r="F91" i="11" s="1"/>
  <c r="K97" i="11"/>
  <c r="L58" i="7"/>
  <c r="AD58" i="7" s="1"/>
  <c r="E90" i="11"/>
  <c r="F90" i="11" s="1"/>
  <c r="H16" i="11"/>
  <c r="I16" i="11" s="1"/>
  <c r="V46" i="7"/>
  <c r="AD46" i="7"/>
  <c r="V47" i="7"/>
  <c r="AB47" i="7" s="1"/>
  <c r="BH18" i="7" s="1"/>
  <c r="AD47" i="7"/>
  <c r="U49" i="7"/>
  <c r="AE49" i="7" s="1"/>
  <c r="L52" i="7"/>
  <c r="AD52" i="7" s="1"/>
  <c r="H17" i="11"/>
  <c r="I17" i="11" s="1"/>
  <c r="J110" i="11"/>
  <c r="AU26" i="7"/>
  <c r="H69" i="11" s="1"/>
  <c r="I69" i="11" s="1"/>
  <c r="AJ17" i="7"/>
  <c r="AI4" i="14"/>
  <c r="AJ4" i="14" s="1"/>
  <c r="AK4" i="14" s="1"/>
  <c r="AL4" i="14" s="1"/>
  <c r="AM4" i="14" s="1"/>
  <c r="AN4" i="14" s="1"/>
  <c r="AO4" i="14" s="1"/>
  <c r="AP4" i="14" s="1"/>
  <c r="AQ4" i="14" s="1"/>
  <c r="AR4" i="14" s="1"/>
  <c r="AS4" i="14" s="1"/>
  <c r="AT4" i="14" s="1"/>
  <c r="AU4" i="14" s="1"/>
  <c r="AV4" i="14" s="1"/>
  <c r="AW4" i="14" s="1"/>
  <c r="AX4" i="14" s="1"/>
  <c r="AY4" i="14" s="1"/>
  <c r="AZ4" i="14" s="1"/>
  <c r="BA4" i="14" s="1"/>
  <c r="BB4" i="14" s="1"/>
  <c r="BC4" i="14" s="1"/>
  <c r="BD4" i="14" s="1"/>
  <c r="BE4" i="14" s="1"/>
  <c r="BF4" i="14" s="1"/>
  <c r="J93" i="11"/>
  <c r="AY18" i="7"/>
  <c r="K61" i="11" s="1"/>
  <c r="AJ21" i="7"/>
  <c r="E60" i="7"/>
  <c r="AJ20" i="7"/>
  <c r="AY31" i="7"/>
  <c r="E62" i="7"/>
  <c r="AC12" i="14"/>
  <c r="AC17" i="14"/>
  <c r="AC21" i="14"/>
  <c r="AJ23" i="7"/>
  <c r="AU25" i="7"/>
  <c r="AV25" i="7" s="1"/>
  <c r="BC25" i="7" s="1"/>
  <c r="AO36" i="7"/>
  <c r="E79" i="11" s="1"/>
  <c r="F79" i="11" s="1"/>
  <c r="AJ33" i="7"/>
  <c r="AY34" i="7"/>
  <c r="J103" i="11"/>
  <c r="AJ18" i="7"/>
  <c r="AO19" i="7"/>
  <c r="AP19" i="7" s="1"/>
  <c r="BB19" i="7" s="1"/>
  <c r="AY26" i="7"/>
  <c r="AY37" i="7"/>
  <c r="AU33" i="7"/>
  <c r="B57" i="7"/>
  <c r="AJ57" i="7" s="1"/>
  <c r="AC18" i="14"/>
  <c r="AC13" i="14"/>
  <c r="J97" i="11"/>
  <c r="E66" i="7"/>
  <c r="AJ29" i="7"/>
  <c r="AU27" i="7"/>
  <c r="AC19" i="14"/>
  <c r="AY21" i="7"/>
  <c r="AJ22" i="7"/>
  <c r="AU23" i="7"/>
  <c r="AV23" i="7" s="1"/>
  <c r="BC23" i="7" s="1"/>
  <c r="AY23" i="7"/>
  <c r="AY25" i="7"/>
  <c r="AJ34" i="7"/>
  <c r="AJ36" i="7"/>
  <c r="AY27" i="7"/>
  <c r="L66" i="7"/>
  <c r="V66" i="7" s="1"/>
  <c r="AB66" i="7" s="1"/>
  <c r="BH37" i="7" s="1"/>
  <c r="B64" i="7"/>
  <c r="AJ64" i="7" s="1"/>
  <c r="AJ35" i="7"/>
  <c r="E48" i="7"/>
  <c r="AU19" i="7"/>
  <c r="E53" i="7"/>
  <c r="AY24" i="7"/>
  <c r="AU24" i="7"/>
  <c r="AY20" i="7"/>
  <c r="E49" i="7"/>
  <c r="AU20" i="7"/>
  <c r="AY19" i="7"/>
  <c r="BD33" i="7"/>
  <c r="K76" i="11"/>
  <c r="E51" i="7"/>
  <c r="AO22" i="7"/>
  <c r="E65" i="7"/>
  <c r="AU36" i="7"/>
  <c r="AU30" i="7"/>
  <c r="E59" i="7"/>
  <c r="AY30" i="7"/>
  <c r="AO30" i="7"/>
  <c r="AU22" i="7"/>
  <c r="AV31" i="7"/>
  <c r="BC31" i="7" s="1"/>
  <c r="H74" i="11"/>
  <c r="I74" i="11" s="1"/>
  <c r="AC3" i="14"/>
  <c r="L64" i="7"/>
  <c r="L63" i="7"/>
  <c r="AO20" i="7"/>
  <c r="E50" i="7"/>
  <c r="T21" i="7"/>
  <c r="AU21" i="7"/>
  <c r="E46" i="7"/>
  <c r="AY17" i="7"/>
  <c r="AJ26" i="7"/>
  <c r="AA52" i="7"/>
  <c r="B60" i="7"/>
  <c r="AJ60" i="7" s="1"/>
  <c r="AJ31" i="7"/>
  <c r="E61" i="7"/>
  <c r="AY32" i="7"/>
  <c r="AU32" i="7"/>
  <c r="AO31" i="7"/>
  <c r="B59" i="7"/>
  <c r="AJ59" i="7" s="1"/>
  <c r="AJ30" i="7"/>
  <c r="AC9" i="14"/>
  <c r="L53" i="7"/>
  <c r="U53" i="7"/>
  <c r="AE53" i="7" s="1"/>
  <c r="E47" i="7"/>
  <c r="AO29" i="7"/>
  <c r="AC7" i="14"/>
  <c r="U59" i="7"/>
  <c r="AE59" i="7" s="1"/>
  <c r="L59" i="7"/>
  <c r="E63" i="7"/>
  <c r="AU29" i="7"/>
  <c r="AJ32" i="7"/>
  <c r="B66" i="7"/>
  <c r="AJ66" i="7" s="1"/>
  <c r="AJ37" i="7"/>
  <c r="B48" i="7"/>
  <c r="AJ48" i="7" s="1"/>
  <c r="L61" i="7"/>
  <c r="L50" i="7"/>
  <c r="L62" i="7"/>
  <c r="L60" i="7"/>
  <c r="AU37" i="7"/>
  <c r="E58" i="7"/>
  <c r="AY29" i="7"/>
  <c r="L49" i="7"/>
  <c r="L48" i="7"/>
  <c r="AJ24" i="7"/>
  <c r="B54" i="7"/>
  <c r="AJ54" i="7" s="1"/>
  <c r="AJ25" i="7"/>
  <c r="E64" i="7"/>
  <c r="AY35" i="7"/>
  <c r="AO37" i="7"/>
  <c r="E57" i="7"/>
  <c r="E54" i="7"/>
  <c r="AC10" i="14"/>
  <c r="AK11" i="14"/>
  <c r="AL11" i="14" s="1"/>
  <c r="AM11" i="14" s="1"/>
  <c r="AN11" i="14" s="1"/>
  <c r="AO11" i="14" s="1"/>
  <c r="AP11" i="14" s="1"/>
  <c r="AQ11" i="14" s="1"/>
  <c r="AR11" i="14" s="1"/>
  <c r="AS11" i="14" s="1"/>
  <c r="AT11" i="14" s="1"/>
  <c r="AU11" i="14" s="1"/>
  <c r="AV11" i="14" s="1"/>
  <c r="AW11" i="14" s="1"/>
  <c r="AX11" i="14" s="1"/>
  <c r="AY11" i="14" s="1"/>
  <c r="AZ11" i="14" s="1"/>
  <c r="BA11" i="14" s="1"/>
  <c r="BB11" i="14" s="1"/>
  <c r="BC11" i="14" s="1"/>
  <c r="BD11" i="14" s="1"/>
  <c r="BE11" i="14" s="1"/>
  <c r="BF11" i="14" s="1"/>
  <c r="AC11" i="14"/>
  <c r="AJ27" i="7"/>
  <c r="AA55" i="7"/>
  <c r="AA56" i="7"/>
  <c r="T55" i="7"/>
  <c r="AC4" i="14"/>
  <c r="AC47" i="14"/>
  <c r="AC48" i="14"/>
  <c r="AK12" i="14"/>
  <c r="AL12" i="14" s="1"/>
  <c r="AM12" i="14" s="1"/>
  <c r="AN12" i="14" s="1"/>
  <c r="AO12" i="14" s="1"/>
  <c r="AP12" i="14" s="1"/>
  <c r="AQ12" i="14" s="1"/>
  <c r="AR12" i="14" s="1"/>
  <c r="AS12" i="14" s="1"/>
  <c r="AT12" i="14" s="1"/>
  <c r="AU12" i="14" s="1"/>
  <c r="AV12" i="14" s="1"/>
  <c r="AW12" i="14" s="1"/>
  <c r="AX12" i="14" s="1"/>
  <c r="AY12" i="14" s="1"/>
  <c r="AZ12" i="14" s="1"/>
  <c r="BA12" i="14" s="1"/>
  <c r="BB12" i="14" s="1"/>
  <c r="BC12" i="14" s="1"/>
  <c r="BD12" i="14" s="1"/>
  <c r="BE12" i="14" s="1"/>
  <c r="BF12" i="14" s="1"/>
  <c r="BG62" i="14" l="1"/>
  <c r="AX51" i="7"/>
  <c r="AY51" i="7" s="1"/>
  <c r="L110" i="11"/>
  <c r="BG7" i="14"/>
  <c r="AL50" i="7"/>
  <c r="AO50" i="7" s="1"/>
  <c r="BG12" i="14"/>
  <c r="AL55" i="7"/>
  <c r="AO55" i="7" s="1"/>
  <c r="AP55" i="7" s="1"/>
  <c r="AW55" i="7" s="1"/>
  <c r="AZ55" i="7" s="1"/>
  <c r="BJ26" i="7" s="1"/>
  <c r="BG20" i="14"/>
  <c r="AO63" i="7"/>
  <c r="BG21" i="14"/>
  <c r="AO64" i="7"/>
  <c r="BG17" i="14"/>
  <c r="AO60" i="7"/>
  <c r="E135" i="11" s="1"/>
  <c r="F135" i="11" s="1"/>
  <c r="BG47" i="14"/>
  <c r="AU63" i="7"/>
  <c r="BG19" i="14"/>
  <c r="AO62" i="7"/>
  <c r="BG10" i="14"/>
  <c r="AL53" i="7"/>
  <c r="AO53" i="7" s="1"/>
  <c r="BG3" i="14"/>
  <c r="AL46" i="7"/>
  <c r="AO46" i="7" s="1"/>
  <c r="BG48" i="14"/>
  <c r="AU64" i="7"/>
  <c r="BG11" i="14"/>
  <c r="AL54" i="7"/>
  <c r="AO54" i="7" s="1"/>
  <c r="BG18" i="14"/>
  <c r="AO61" i="7"/>
  <c r="BG4" i="14"/>
  <c r="AL47" i="7"/>
  <c r="AO47" i="7" s="1"/>
  <c r="BG13" i="14"/>
  <c r="AO56" i="7"/>
  <c r="AP56" i="7" s="1"/>
  <c r="BB56" i="7" s="1"/>
  <c r="BG9" i="14"/>
  <c r="AL52" i="7"/>
  <c r="AO52" i="7" s="1"/>
  <c r="H100" i="11"/>
  <c r="I100" i="11" s="1"/>
  <c r="J100" i="11" s="1"/>
  <c r="U56" i="7"/>
  <c r="AE56" i="7" s="1"/>
  <c r="T63" i="7"/>
  <c r="AU50" i="7"/>
  <c r="AA50" i="7"/>
  <c r="AU59" i="7"/>
  <c r="AU46" i="7"/>
  <c r="AO66" i="7"/>
  <c r="AP66" i="7" s="1"/>
  <c r="AY57" i="7"/>
  <c r="AY58" i="7"/>
  <c r="AO58" i="7"/>
  <c r="AA62" i="7"/>
  <c r="AU61" i="7"/>
  <c r="AF34" i="7"/>
  <c r="BV34" i="7" s="1"/>
  <c r="K33" i="11"/>
  <c r="N33" i="11" s="1"/>
  <c r="AA36" i="7"/>
  <c r="AF36" i="7" s="1"/>
  <c r="BV36" i="7" s="1"/>
  <c r="AA35" i="7"/>
  <c r="AF35" i="7" s="1"/>
  <c r="BV35" i="7" s="1"/>
  <c r="AA24" i="7"/>
  <c r="K23" i="11" s="1"/>
  <c r="N23" i="11" s="1"/>
  <c r="AA26" i="7"/>
  <c r="AF26" i="7" s="1"/>
  <c r="BV26" i="7" s="1"/>
  <c r="AV28" i="7"/>
  <c r="BC28" i="7" s="1"/>
  <c r="BD36" i="7"/>
  <c r="J91" i="11"/>
  <c r="L91" i="11" s="1"/>
  <c r="U326" i="11"/>
  <c r="U330" i="11"/>
  <c r="U335" i="11"/>
  <c r="U343" i="11"/>
  <c r="U339" i="11"/>
  <c r="U327" i="11"/>
  <c r="U331" i="11"/>
  <c r="U338" i="11"/>
  <c r="U344" i="11"/>
  <c r="U340" i="11"/>
  <c r="U324" i="11"/>
  <c r="U328" i="11"/>
  <c r="U332" i="11"/>
  <c r="U341" i="11"/>
  <c r="U336" i="11"/>
  <c r="U334" i="11"/>
  <c r="U325" i="11"/>
  <c r="U329" i="11"/>
  <c r="U333" i="11"/>
  <c r="U342" i="11"/>
  <c r="U337" i="11"/>
  <c r="V265" i="11"/>
  <c r="W265" i="11" s="1"/>
  <c r="W308" i="11" s="1"/>
  <c r="U297" i="11"/>
  <c r="U301" i="11"/>
  <c r="U305" i="11"/>
  <c r="U314" i="11"/>
  <c r="U300" i="11"/>
  <c r="U299" i="11"/>
  <c r="U303" i="11"/>
  <c r="U302" i="11"/>
  <c r="U306" i="11"/>
  <c r="U309" i="11"/>
  <c r="U307" i="11"/>
  <c r="U298" i="11"/>
  <c r="U304" i="11"/>
  <c r="U317" i="11"/>
  <c r="U313" i="11"/>
  <c r="U315" i="11"/>
  <c r="U316" i="11"/>
  <c r="U312" i="11"/>
  <c r="U311" i="11"/>
  <c r="U310" i="11"/>
  <c r="AR274" i="11"/>
  <c r="E274" i="11" s="1"/>
  <c r="F274" i="11" s="1"/>
  <c r="AR280" i="11"/>
  <c r="E280" i="11" s="1"/>
  <c r="F280" i="11" s="1"/>
  <c r="F273" i="11"/>
  <c r="F278" i="11"/>
  <c r="F289" i="11"/>
  <c r="F290" i="11"/>
  <c r="AO23" i="7"/>
  <c r="AP23" i="7" s="1"/>
  <c r="L97" i="11"/>
  <c r="T19" i="7"/>
  <c r="U19" i="7" s="1"/>
  <c r="AY47" i="7"/>
  <c r="AU47" i="7"/>
  <c r="AY61" i="7"/>
  <c r="AY65" i="7"/>
  <c r="K65" i="7"/>
  <c r="AU65" i="7"/>
  <c r="AU51" i="7"/>
  <c r="AY59" i="7"/>
  <c r="AU60" i="7"/>
  <c r="AV60" i="7" s="1"/>
  <c r="BC60" i="7" s="1"/>
  <c r="AY60" i="7"/>
  <c r="BD60" i="7" s="1"/>
  <c r="AY46" i="7"/>
  <c r="AY49" i="7"/>
  <c r="AU49" i="7"/>
  <c r="AY66" i="7"/>
  <c r="AU66" i="7"/>
  <c r="AV66" i="7" s="1"/>
  <c r="BC66" i="7" s="1"/>
  <c r="K54" i="7"/>
  <c r="AU54" i="7"/>
  <c r="AY54" i="7"/>
  <c r="AO28" i="7"/>
  <c r="AP28" i="7" s="1"/>
  <c r="AY48" i="7"/>
  <c r="AU48" i="7"/>
  <c r="AU62" i="7"/>
  <c r="AY62" i="7"/>
  <c r="BD62" i="7" s="1"/>
  <c r="AY64" i="7"/>
  <c r="AU53" i="7"/>
  <c r="AY53" i="7"/>
  <c r="AY50" i="7"/>
  <c r="AY63" i="7"/>
  <c r="AU58" i="7"/>
  <c r="AU57" i="7"/>
  <c r="K26" i="7"/>
  <c r="L26" i="7" s="1"/>
  <c r="AD26" i="7" s="1"/>
  <c r="BT26" i="7" s="1"/>
  <c r="L93" i="11"/>
  <c r="J90" i="11"/>
  <c r="AF33" i="7"/>
  <c r="BV33" i="7" s="1"/>
  <c r="AF25" i="7"/>
  <c r="BV25" i="7" s="1"/>
  <c r="AD66" i="7"/>
  <c r="BD18" i="7"/>
  <c r="AY28" i="7"/>
  <c r="K71" i="11" s="1"/>
  <c r="AY22" i="7"/>
  <c r="BD22" i="7" s="1"/>
  <c r="H66" i="11"/>
  <c r="I66" i="11" s="1"/>
  <c r="T28" i="7"/>
  <c r="AO25" i="7"/>
  <c r="AP25" i="7" s="1"/>
  <c r="K18" i="7"/>
  <c r="AO34" i="7"/>
  <c r="AP34" i="7" s="1"/>
  <c r="K17" i="7"/>
  <c r="K37" i="7"/>
  <c r="AA28" i="7"/>
  <c r="AH28" i="7" s="1"/>
  <c r="K32" i="11"/>
  <c r="N32" i="11" s="1"/>
  <c r="L55" i="7"/>
  <c r="AD55" i="7" s="1"/>
  <c r="E62" i="11"/>
  <c r="F62" i="11" s="1"/>
  <c r="AV26" i="7"/>
  <c r="BC26" i="7" s="1"/>
  <c r="AP36" i="7"/>
  <c r="BB36" i="7" s="1"/>
  <c r="T33" i="7"/>
  <c r="AA60" i="7"/>
  <c r="AF60" i="7" s="1"/>
  <c r="T27" i="7"/>
  <c r="K29" i="7"/>
  <c r="T29" i="7"/>
  <c r="K28" i="7"/>
  <c r="K31" i="7"/>
  <c r="AA27" i="7"/>
  <c r="AH27" i="7" s="1"/>
  <c r="AA29" i="7"/>
  <c r="E64" i="11"/>
  <c r="F64" i="11" s="1"/>
  <c r="AA18" i="7"/>
  <c r="H68" i="11"/>
  <c r="I68" i="11" s="1"/>
  <c r="AO26" i="7"/>
  <c r="AP26" i="7" s="1"/>
  <c r="T26" i="7"/>
  <c r="T52" i="7"/>
  <c r="H96" i="11" s="1"/>
  <c r="I96" i="11" s="1"/>
  <c r="J96" i="11" s="1"/>
  <c r="AO32" i="7"/>
  <c r="E75" i="11" s="1"/>
  <c r="F75" i="11" s="1"/>
  <c r="AF32" i="7"/>
  <c r="BV32" i="7" s="1"/>
  <c r="K31" i="11"/>
  <c r="N31" i="11" s="1"/>
  <c r="BD31" i="7"/>
  <c r="K74" i="11"/>
  <c r="K127" i="11"/>
  <c r="K131" i="11"/>
  <c r="AO24" i="7"/>
  <c r="AP24" i="7" s="1"/>
  <c r="T22" i="7"/>
  <c r="K130" i="11"/>
  <c r="K70" i="11"/>
  <c r="BD27" i="7"/>
  <c r="BD21" i="7"/>
  <c r="K64" i="11"/>
  <c r="AV27" i="7"/>
  <c r="BC27" i="7" s="1"/>
  <c r="H70" i="11"/>
  <c r="I70" i="11" s="1"/>
  <c r="AV33" i="7"/>
  <c r="BC33" i="7" s="1"/>
  <c r="H76" i="11"/>
  <c r="I76" i="11" s="1"/>
  <c r="K35" i="7"/>
  <c r="K23" i="7"/>
  <c r="T32" i="7"/>
  <c r="K36" i="7"/>
  <c r="AA21" i="7"/>
  <c r="AH21" i="7" s="1"/>
  <c r="BD25" i="7"/>
  <c r="K68" i="11"/>
  <c r="BD23" i="7"/>
  <c r="K66" i="11"/>
  <c r="AP27" i="7"/>
  <c r="E70" i="11"/>
  <c r="F70" i="11" s="1"/>
  <c r="K21" i="7"/>
  <c r="T25" i="7"/>
  <c r="E78" i="11"/>
  <c r="F78" i="11" s="1"/>
  <c r="K30" i="7"/>
  <c r="E29" i="11" s="1"/>
  <c r="F29" i="11" s="1"/>
  <c r="K24" i="11"/>
  <c r="N24" i="11" s="1"/>
  <c r="AO33" i="7"/>
  <c r="BD37" i="7"/>
  <c r="K80" i="11"/>
  <c r="AU35" i="7"/>
  <c r="T35" i="7"/>
  <c r="K25" i="7"/>
  <c r="T24" i="7"/>
  <c r="K33" i="7"/>
  <c r="AF37" i="7"/>
  <c r="BV37" i="7" s="1"/>
  <c r="K36" i="11"/>
  <c r="N36" i="11" s="1"/>
  <c r="BD26" i="7"/>
  <c r="K69" i="11"/>
  <c r="BD34" i="7"/>
  <c r="K77" i="11"/>
  <c r="E80" i="11"/>
  <c r="F80" i="11" s="1"/>
  <c r="AP37" i="7"/>
  <c r="AV37" i="7"/>
  <c r="BC37" i="7" s="1"/>
  <c r="H80" i="11"/>
  <c r="I80" i="11" s="1"/>
  <c r="AV29" i="7"/>
  <c r="BC29" i="7" s="1"/>
  <c r="H72" i="11"/>
  <c r="I72" i="11" s="1"/>
  <c r="AD63" i="7"/>
  <c r="AV30" i="7"/>
  <c r="BC30" i="7" s="1"/>
  <c r="H73" i="11"/>
  <c r="I73" i="11" s="1"/>
  <c r="K67" i="11"/>
  <c r="BD24" i="7"/>
  <c r="H131" i="11"/>
  <c r="I131" i="11" s="1"/>
  <c r="T37" i="7"/>
  <c r="V59" i="7"/>
  <c r="AD59" i="7"/>
  <c r="K27" i="7"/>
  <c r="AD64" i="7"/>
  <c r="AV36" i="7"/>
  <c r="H79" i="11"/>
  <c r="I79" i="11" s="1"/>
  <c r="J79" i="11" s="1"/>
  <c r="L79" i="11" s="1"/>
  <c r="T20" i="7"/>
  <c r="BD17" i="7"/>
  <c r="K60" i="11"/>
  <c r="AV22" i="7"/>
  <c r="BC22" i="7" s="1"/>
  <c r="H65" i="11"/>
  <c r="I65" i="11" s="1"/>
  <c r="AP30" i="7"/>
  <c r="E73" i="11"/>
  <c r="F73" i="11" s="1"/>
  <c r="AO49" i="7"/>
  <c r="E61" i="11"/>
  <c r="F61" i="11" s="1"/>
  <c r="J61" i="11" s="1"/>
  <c r="L61" i="11" s="1"/>
  <c r="AP18" i="7"/>
  <c r="AP31" i="7"/>
  <c r="E74" i="11"/>
  <c r="F74" i="11" s="1"/>
  <c r="J74" i="11" s="1"/>
  <c r="AA17" i="7"/>
  <c r="AA22" i="7"/>
  <c r="BD30" i="7"/>
  <c r="K73" i="11"/>
  <c r="BD19" i="7"/>
  <c r="K62" i="11"/>
  <c r="BD35" i="7"/>
  <c r="K78" i="11"/>
  <c r="K100" i="11"/>
  <c r="AF56" i="7"/>
  <c r="AD48" i="7"/>
  <c r="AP29" i="7"/>
  <c r="E72" i="11"/>
  <c r="F72" i="11" s="1"/>
  <c r="AA61" i="7"/>
  <c r="AA46" i="7"/>
  <c r="U55" i="7"/>
  <c r="AE55" i="7" s="1"/>
  <c r="H99" i="11"/>
  <c r="I99" i="11" s="1"/>
  <c r="J99" i="11" s="1"/>
  <c r="H127" i="11"/>
  <c r="I127" i="11" s="1"/>
  <c r="H130" i="11"/>
  <c r="I130" i="11" s="1"/>
  <c r="AA54" i="7"/>
  <c r="AD49" i="7"/>
  <c r="V49" i="7"/>
  <c r="AB49" i="7" s="1"/>
  <c r="BH20" i="7" s="1"/>
  <c r="AD62" i="7"/>
  <c r="T23" i="7"/>
  <c r="AD53" i="7"/>
  <c r="V53" i="7"/>
  <c r="AB53" i="7" s="1"/>
  <c r="BH24" i="7" s="1"/>
  <c r="K32" i="7"/>
  <c r="T30" i="7"/>
  <c r="BD20" i="7"/>
  <c r="K63" i="11"/>
  <c r="AV24" i="7"/>
  <c r="BC24" i="7" s="1"/>
  <c r="H67" i="11"/>
  <c r="I67" i="11" s="1"/>
  <c r="BD29" i="7"/>
  <c r="K72" i="11"/>
  <c r="AD50" i="7"/>
  <c r="T31" i="7"/>
  <c r="AA30" i="7"/>
  <c r="AA65" i="7"/>
  <c r="AO65" i="7"/>
  <c r="T65" i="7"/>
  <c r="K22" i="7"/>
  <c r="K24" i="7"/>
  <c r="H62" i="11"/>
  <c r="I62" i="11" s="1"/>
  <c r="AV19" i="7"/>
  <c r="AD60" i="7"/>
  <c r="AD61" i="7"/>
  <c r="AV21" i="7"/>
  <c r="BC21" i="7" s="1"/>
  <c r="H64" i="11"/>
  <c r="I64" i="11" s="1"/>
  <c r="AU34" i="7"/>
  <c r="AA20" i="7"/>
  <c r="K19" i="7"/>
  <c r="AA31" i="7"/>
  <c r="AH31" i="7" s="1"/>
  <c r="AF52" i="7"/>
  <c r="K96" i="11"/>
  <c r="BB35" i="7"/>
  <c r="K34" i="7"/>
  <c r="AA63" i="7"/>
  <c r="U21" i="7"/>
  <c r="AE21" i="7" s="1"/>
  <c r="BU21" i="7" s="1"/>
  <c r="H20" i="11"/>
  <c r="I20" i="11" s="1"/>
  <c r="T34" i="7"/>
  <c r="AV20" i="7"/>
  <c r="BC20" i="7" s="1"/>
  <c r="H63" i="11"/>
  <c r="I63" i="11" s="1"/>
  <c r="AA19" i="7"/>
  <c r="BB21" i="7"/>
  <c r="AA58" i="7"/>
  <c r="AP17" i="7"/>
  <c r="E60" i="11"/>
  <c r="F60" i="11" s="1"/>
  <c r="AA59" i="7"/>
  <c r="AO59" i="7"/>
  <c r="T36" i="7"/>
  <c r="E65" i="11"/>
  <c r="F65" i="11" s="1"/>
  <c r="AP22" i="7"/>
  <c r="AA64" i="7"/>
  <c r="T64" i="7"/>
  <c r="AF23" i="7"/>
  <c r="BV23" i="7" s="1"/>
  <c r="K22" i="11"/>
  <c r="N22" i="11" s="1"/>
  <c r="H75" i="11"/>
  <c r="I75" i="11" s="1"/>
  <c r="AV32" i="7"/>
  <c r="BC32" i="7" s="1"/>
  <c r="AF55" i="7"/>
  <c r="K99" i="11"/>
  <c r="AA57" i="7"/>
  <c r="AO57" i="7"/>
  <c r="BD32" i="7"/>
  <c r="K75" i="11"/>
  <c r="E63" i="11"/>
  <c r="F63" i="11" s="1"/>
  <c r="AP20" i="7"/>
  <c r="AA51" i="7"/>
  <c r="AO51" i="7"/>
  <c r="K20" i="7"/>
  <c r="AO48" i="7"/>
  <c r="T48" i="7"/>
  <c r="AA48" i="7"/>
  <c r="L100" i="11" l="1"/>
  <c r="AH19" i="7"/>
  <c r="AH17" i="7"/>
  <c r="AH29" i="7"/>
  <c r="V56" i="7"/>
  <c r="AB56" i="7" s="1"/>
  <c r="BH27" i="7" s="1"/>
  <c r="N98" i="11"/>
  <c r="N68" i="11"/>
  <c r="N129" i="11"/>
  <c r="N136" i="11"/>
  <c r="N105" i="11"/>
  <c r="N75" i="11"/>
  <c r="N76" i="11"/>
  <c r="N137" i="11"/>
  <c r="N106" i="11"/>
  <c r="N67" i="11"/>
  <c r="N128" i="11"/>
  <c r="N97" i="11"/>
  <c r="N96" i="11"/>
  <c r="N66" i="11"/>
  <c r="N127" i="11"/>
  <c r="N80" i="11"/>
  <c r="N141" i="11"/>
  <c r="N110" i="11"/>
  <c r="N107" i="11"/>
  <c r="N77" i="11"/>
  <c r="N138" i="11"/>
  <c r="BB55" i="7"/>
  <c r="E130" i="11"/>
  <c r="F130" i="11" s="1"/>
  <c r="J130" i="11" s="1"/>
  <c r="L130" i="11" s="1"/>
  <c r="AF24" i="7"/>
  <c r="BV24" i="7" s="1"/>
  <c r="K34" i="11"/>
  <c r="N34" i="11" s="1"/>
  <c r="AF62" i="7"/>
  <c r="K106" i="11"/>
  <c r="K35" i="11"/>
  <c r="N35" i="11" s="1"/>
  <c r="K25" i="11"/>
  <c r="N25" i="11" s="1"/>
  <c r="H18" i="11"/>
  <c r="I18" i="11" s="1"/>
  <c r="V325" i="11"/>
  <c r="V327" i="11"/>
  <c r="V329" i="11"/>
  <c r="V331" i="11"/>
  <c r="V333" i="11"/>
  <c r="V338" i="11"/>
  <c r="V342" i="11"/>
  <c r="V344" i="11"/>
  <c r="V337" i="11"/>
  <c r="V340" i="11"/>
  <c r="V324" i="11"/>
  <c r="V326" i="11"/>
  <c r="V328" i="11"/>
  <c r="V330" i="11"/>
  <c r="V332" i="11"/>
  <c r="V335" i="11"/>
  <c r="V341" i="11"/>
  <c r="V343" i="11"/>
  <c r="V336" i="11"/>
  <c r="V339" i="11"/>
  <c r="V334" i="11"/>
  <c r="W326" i="11"/>
  <c r="W333" i="11"/>
  <c r="W342" i="11"/>
  <c r="W325" i="11"/>
  <c r="W332" i="11"/>
  <c r="W341" i="11"/>
  <c r="W324" i="11"/>
  <c r="W328" i="11"/>
  <c r="W331" i="11"/>
  <c r="W338" i="11"/>
  <c r="W344" i="11"/>
  <c r="W336" i="11"/>
  <c r="W339" i="11"/>
  <c r="W343" i="11"/>
  <c r="W330" i="11"/>
  <c r="W337" i="11"/>
  <c r="W335" i="11"/>
  <c r="W334" i="11"/>
  <c r="W327" i="11"/>
  <c r="W340" i="11"/>
  <c r="W329" i="11"/>
  <c r="X265" i="11"/>
  <c r="X308" i="11" s="1"/>
  <c r="W299" i="11"/>
  <c r="W303" i="11"/>
  <c r="W316" i="11"/>
  <c r="W298" i="11"/>
  <c r="W302" i="11"/>
  <c r="W297" i="11"/>
  <c r="W301" i="11"/>
  <c r="W305" i="11"/>
  <c r="W314" i="11"/>
  <c r="W311" i="11"/>
  <c r="W312" i="11"/>
  <c r="W300" i="11"/>
  <c r="W306" i="11"/>
  <c r="W310" i="11"/>
  <c r="W304" i="11"/>
  <c r="W309" i="11"/>
  <c r="W307" i="11"/>
  <c r="W315" i="11"/>
  <c r="W317" i="11"/>
  <c r="W313" i="11"/>
  <c r="V298" i="11"/>
  <c r="V302" i="11"/>
  <c r="V306" i="11"/>
  <c r="V315" i="11"/>
  <c r="V297" i="11"/>
  <c r="V301" i="11"/>
  <c r="V300" i="11"/>
  <c r="V304" i="11"/>
  <c r="V311" i="11"/>
  <c r="V310" i="11"/>
  <c r="V305" i="11"/>
  <c r="V309" i="11"/>
  <c r="V307" i="11"/>
  <c r="V303" i="11"/>
  <c r="V317" i="11"/>
  <c r="V313" i="11"/>
  <c r="V299" i="11"/>
  <c r="V314" i="11"/>
  <c r="V316" i="11"/>
  <c r="V312" i="11"/>
  <c r="E25" i="11"/>
  <c r="F25" i="11" s="1"/>
  <c r="AW56" i="7"/>
  <c r="AZ56" i="7" s="1"/>
  <c r="BJ27" i="7" s="1"/>
  <c r="E131" i="11"/>
  <c r="F131" i="11" s="1"/>
  <c r="J131" i="11" s="1"/>
  <c r="L131" i="11" s="1"/>
  <c r="E66" i="11"/>
  <c r="F66" i="11" s="1"/>
  <c r="J66" i="11" s="1"/>
  <c r="L66" i="11" s="1"/>
  <c r="E71" i="11"/>
  <c r="F71" i="11" s="1"/>
  <c r="J71" i="11" s="1"/>
  <c r="L71" i="11" s="1"/>
  <c r="K137" i="11"/>
  <c r="F291" i="11"/>
  <c r="L18" i="7"/>
  <c r="AD18" i="7" s="1"/>
  <c r="BT18" i="7" s="1"/>
  <c r="E17" i="11"/>
  <c r="F17" i="11" s="1"/>
  <c r="J17" i="11" s="1"/>
  <c r="T60" i="7"/>
  <c r="U60" i="7" s="1"/>
  <c r="AV62" i="7"/>
  <c r="BC62" i="7" s="1"/>
  <c r="H137" i="11"/>
  <c r="I137" i="11" s="1"/>
  <c r="E141" i="11"/>
  <c r="F141" i="11" s="1"/>
  <c r="AF27" i="7"/>
  <c r="BV27" i="7" s="1"/>
  <c r="AF18" i="7"/>
  <c r="BV18" i="7" s="1"/>
  <c r="L31" i="7"/>
  <c r="AD31" i="7" s="1"/>
  <c r="BT31" i="7" s="1"/>
  <c r="K20" i="11"/>
  <c r="N20" i="11" s="1"/>
  <c r="L28" i="7"/>
  <c r="E35" i="11"/>
  <c r="F35" i="11" s="1"/>
  <c r="U29" i="7"/>
  <c r="AE29" i="7" s="1"/>
  <c r="BU29" i="7" s="1"/>
  <c r="L30" i="7"/>
  <c r="AD30" i="7" s="1"/>
  <c r="BT30" i="7" s="1"/>
  <c r="U32" i="7"/>
  <c r="AE32" i="7" s="1"/>
  <c r="BU32" i="7" s="1"/>
  <c r="L29" i="7"/>
  <c r="AD29" i="7" s="1"/>
  <c r="BT29" i="7" s="1"/>
  <c r="H26" i="11"/>
  <c r="I26" i="11" s="1"/>
  <c r="U28" i="7"/>
  <c r="AE28" i="7" s="1"/>
  <c r="BU28" i="7" s="1"/>
  <c r="K26" i="11"/>
  <c r="N26" i="11" s="1"/>
  <c r="U25" i="7"/>
  <c r="AE25" i="7" s="1"/>
  <c r="BU25" i="7" s="1"/>
  <c r="L23" i="7"/>
  <c r="AD23" i="7" s="1"/>
  <c r="BT23" i="7" s="1"/>
  <c r="H21" i="11"/>
  <c r="I21" i="11" s="1"/>
  <c r="AF28" i="7"/>
  <c r="BV28" i="7" s="1"/>
  <c r="E27" i="11"/>
  <c r="F27" i="11" s="1"/>
  <c r="U24" i="7"/>
  <c r="AE24" i="7" s="1"/>
  <c r="BU24" i="7" s="1"/>
  <c r="L21" i="7"/>
  <c r="V21" i="7" s="1"/>
  <c r="AB21" i="7" s="1"/>
  <c r="L35" i="7"/>
  <c r="AD35" i="7" s="1"/>
  <c r="BT35" i="7" s="1"/>
  <c r="U26" i="7"/>
  <c r="V26" i="7" s="1"/>
  <c r="AB26" i="7" s="1"/>
  <c r="L25" i="7"/>
  <c r="AD25" i="7" s="1"/>
  <c r="BT25" i="7" s="1"/>
  <c r="L37" i="7"/>
  <c r="AD37" i="7" s="1"/>
  <c r="BT37" i="7" s="1"/>
  <c r="U35" i="7"/>
  <c r="AE35" i="7" s="1"/>
  <c r="BU35" i="7" s="1"/>
  <c r="AF29" i="7"/>
  <c r="BV29" i="7" s="1"/>
  <c r="H32" i="11"/>
  <c r="I32" i="11" s="1"/>
  <c r="E16" i="11"/>
  <c r="F16" i="11" s="1"/>
  <c r="J16" i="11" s="1"/>
  <c r="U27" i="7"/>
  <c r="AE27" i="7" s="1"/>
  <c r="BU27" i="7" s="1"/>
  <c r="H25" i="11"/>
  <c r="I25" i="11" s="1"/>
  <c r="U33" i="7"/>
  <c r="AE33" i="7" s="1"/>
  <c r="BU33" i="7" s="1"/>
  <c r="J62" i="11"/>
  <c r="L62" i="11" s="1"/>
  <c r="E28" i="11"/>
  <c r="F28" i="11" s="1"/>
  <c r="U22" i="7"/>
  <c r="AE22" i="7" s="1"/>
  <c r="BU22" i="7" s="1"/>
  <c r="BD28" i="7"/>
  <c r="BD38" i="7" s="1"/>
  <c r="K104" i="11"/>
  <c r="AY38" i="7"/>
  <c r="K27" i="11"/>
  <c r="N27" i="11" s="1"/>
  <c r="K65" i="11"/>
  <c r="K81" i="11" s="1"/>
  <c r="H27" i="11"/>
  <c r="I27" i="11" s="1"/>
  <c r="H28" i="11"/>
  <c r="I28" i="11" s="1"/>
  <c r="U52" i="7"/>
  <c r="AE52" i="7" s="1"/>
  <c r="J72" i="11"/>
  <c r="L72" i="11" s="1"/>
  <c r="J73" i="11"/>
  <c r="L73" i="11" s="1"/>
  <c r="T62" i="7"/>
  <c r="J64" i="11"/>
  <c r="L64" i="11" s="1"/>
  <c r="E69" i="11"/>
  <c r="F69" i="11" s="1"/>
  <c r="J69" i="11" s="1"/>
  <c r="L69" i="11" s="1"/>
  <c r="E68" i="11"/>
  <c r="F68" i="11" s="1"/>
  <c r="J68" i="11" s="1"/>
  <c r="L68" i="11" s="1"/>
  <c r="AP32" i="7"/>
  <c r="AW32" i="7" s="1"/>
  <c r="AZ32" i="7" s="1"/>
  <c r="E77" i="11"/>
  <c r="F77" i="11" s="1"/>
  <c r="L17" i="7"/>
  <c r="V17" i="7" s="1"/>
  <c r="E36" i="11"/>
  <c r="F36" i="11" s="1"/>
  <c r="E24" i="11"/>
  <c r="F24" i="11" s="1"/>
  <c r="E67" i="11"/>
  <c r="F67" i="11" s="1"/>
  <c r="J67" i="11" s="1"/>
  <c r="L67" i="11" s="1"/>
  <c r="E30" i="11"/>
  <c r="F30" i="11" s="1"/>
  <c r="E22" i="11"/>
  <c r="F22" i="11" s="1"/>
  <c r="AP60" i="7"/>
  <c r="BB60" i="7" s="1"/>
  <c r="AF21" i="7"/>
  <c r="BV21" i="7" s="1"/>
  <c r="K17" i="11"/>
  <c r="N17" i="11" s="1"/>
  <c r="K135" i="11"/>
  <c r="L74" i="11"/>
  <c r="E20" i="11"/>
  <c r="F20" i="11" s="1"/>
  <c r="J20" i="11" s="1"/>
  <c r="H141" i="11"/>
  <c r="I141" i="11" s="1"/>
  <c r="AP62" i="7"/>
  <c r="E137" i="11"/>
  <c r="F137" i="11" s="1"/>
  <c r="K28" i="11"/>
  <c r="N28" i="11" s="1"/>
  <c r="H23" i="11"/>
  <c r="I23" i="11" s="1"/>
  <c r="H135" i="11"/>
  <c r="I135" i="11" s="1"/>
  <c r="J135" i="11" s="1"/>
  <c r="H24" i="11"/>
  <c r="I24" i="11" s="1"/>
  <c r="T58" i="7"/>
  <c r="U58" i="7" s="1"/>
  <c r="L36" i="7"/>
  <c r="AD36" i="7" s="1"/>
  <c r="BT36" i="7" s="1"/>
  <c r="H34" i="11"/>
  <c r="I34" i="11" s="1"/>
  <c r="BD66" i="7"/>
  <c r="K141" i="11"/>
  <c r="E34" i="11"/>
  <c r="F34" i="11" s="1"/>
  <c r="AV35" i="7"/>
  <c r="H78" i="11"/>
  <c r="I78" i="11" s="1"/>
  <c r="J78" i="11" s="1"/>
  <c r="L78" i="11" s="1"/>
  <c r="J70" i="11"/>
  <c r="L70" i="11" s="1"/>
  <c r="J75" i="11"/>
  <c r="L75" i="11" s="1"/>
  <c r="T61" i="7"/>
  <c r="U61" i="7" s="1"/>
  <c r="H31" i="11"/>
  <c r="I31" i="11" s="1"/>
  <c r="L33" i="7"/>
  <c r="AD33" i="7" s="1"/>
  <c r="BT33" i="7" s="1"/>
  <c r="E32" i="11"/>
  <c r="F32" i="11" s="1"/>
  <c r="BB27" i="7"/>
  <c r="AW27" i="7"/>
  <c r="AZ27" i="7" s="1"/>
  <c r="L96" i="11"/>
  <c r="T51" i="7"/>
  <c r="U51" i="7" s="1"/>
  <c r="AE51" i="7" s="1"/>
  <c r="T57" i="7"/>
  <c r="U57" i="7" s="1"/>
  <c r="AP33" i="7"/>
  <c r="E76" i="11"/>
  <c r="F76" i="11" s="1"/>
  <c r="J76" i="11" s="1"/>
  <c r="L76" i="11" s="1"/>
  <c r="AP63" i="7"/>
  <c r="E138" i="11"/>
  <c r="F138" i="11" s="1"/>
  <c r="AE19" i="7"/>
  <c r="BU19" i="7" s="1"/>
  <c r="AV53" i="7"/>
  <c r="BC53" i="7" s="1"/>
  <c r="H128" i="11"/>
  <c r="I128" i="11" s="1"/>
  <c r="AV48" i="7"/>
  <c r="BC48" i="7" s="1"/>
  <c r="H123" i="11"/>
  <c r="I123" i="11" s="1"/>
  <c r="AF51" i="7"/>
  <c r="K95" i="11"/>
  <c r="H132" i="11"/>
  <c r="I132" i="11" s="1"/>
  <c r="AV57" i="7"/>
  <c r="BC57" i="7" s="1"/>
  <c r="E139" i="11"/>
  <c r="F139" i="11" s="1"/>
  <c r="AP64" i="7"/>
  <c r="AF59" i="7"/>
  <c r="K103" i="11"/>
  <c r="L103" i="11" s="1"/>
  <c r="AV63" i="7"/>
  <c r="BC63" i="7" s="1"/>
  <c r="H138" i="11"/>
  <c r="I138" i="11" s="1"/>
  <c r="AV34" i="7"/>
  <c r="BC34" i="7" s="1"/>
  <c r="H77" i="11"/>
  <c r="I77" i="11" s="1"/>
  <c r="L65" i="7"/>
  <c r="E109" i="11"/>
  <c r="F109" i="11" s="1"/>
  <c r="H22" i="11"/>
  <c r="I22" i="11" s="1"/>
  <c r="U23" i="7"/>
  <c r="AE23" i="7" s="1"/>
  <c r="BU23" i="7" s="1"/>
  <c r="AV54" i="7"/>
  <c r="BC54" i="7" s="1"/>
  <c r="H129" i="11"/>
  <c r="I129" i="11" s="1"/>
  <c r="BD53" i="7"/>
  <c r="K128" i="11"/>
  <c r="AP47" i="7"/>
  <c r="E122" i="11"/>
  <c r="F122" i="11" s="1"/>
  <c r="BB24" i="7"/>
  <c r="AW24" i="7"/>
  <c r="AZ24" i="7" s="1"/>
  <c r="H33" i="11"/>
  <c r="I33" i="11" s="1"/>
  <c r="U34" i="7"/>
  <c r="AE34" i="7" s="1"/>
  <c r="BU34" i="7" s="1"/>
  <c r="K136" i="11"/>
  <c r="BD61" i="7"/>
  <c r="K123" i="11"/>
  <c r="BD48" i="7"/>
  <c r="BD51" i="7"/>
  <c r="K126" i="11"/>
  <c r="AF57" i="7"/>
  <c r="K101" i="11"/>
  <c r="AV64" i="7"/>
  <c r="BC64" i="7" s="1"/>
  <c r="H139" i="11"/>
  <c r="I139" i="11" s="1"/>
  <c r="J60" i="11"/>
  <c r="AP58" i="7"/>
  <c r="E133" i="11"/>
  <c r="F133" i="11" s="1"/>
  <c r="BD63" i="7"/>
  <c r="K138" i="11"/>
  <c r="BB26" i="7"/>
  <c r="AW26" i="7"/>
  <c r="AZ26" i="7" s="1"/>
  <c r="AF30" i="7"/>
  <c r="BV30" i="7" s="1"/>
  <c r="K29" i="11"/>
  <c r="N29" i="11" s="1"/>
  <c r="BD54" i="7"/>
  <c r="K129" i="11"/>
  <c r="V55" i="7"/>
  <c r="AB55" i="7" s="1"/>
  <c r="BH26" i="7" s="1"/>
  <c r="H19" i="11"/>
  <c r="I19" i="11" s="1"/>
  <c r="U20" i="7"/>
  <c r="AE20" i="7" s="1"/>
  <c r="BU20" i="7" s="1"/>
  <c r="H122" i="11"/>
  <c r="I122" i="11" s="1"/>
  <c r="AV47" i="7"/>
  <c r="BC47" i="7" s="1"/>
  <c r="AP48" i="7"/>
  <c r="E123" i="11"/>
  <c r="F123" i="11" s="1"/>
  <c r="K140" i="11"/>
  <c r="BD65" i="7"/>
  <c r="E19" i="11"/>
  <c r="F19" i="11" s="1"/>
  <c r="L20" i="7"/>
  <c r="BD57" i="7"/>
  <c r="K132" i="11"/>
  <c r="BD64" i="7"/>
  <c r="K139" i="11"/>
  <c r="BB17" i="7"/>
  <c r="AW17" i="7"/>
  <c r="AV58" i="7"/>
  <c r="BC58" i="7" s="1"/>
  <c r="H133" i="11"/>
  <c r="I133" i="11" s="1"/>
  <c r="AF46" i="7"/>
  <c r="AB46" i="7"/>
  <c r="AA67" i="7"/>
  <c r="AF67" i="7" s="1"/>
  <c r="K90" i="11"/>
  <c r="BD47" i="7"/>
  <c r="K122" i="11"/>
  <c r="AV51" i="7"/>
  <c r="BC51" i="7" s="1"/>
  <c r="H126" i="11"/>
  <c r="I126" i="11" s="1"/>
  <c r="AW66" i="7"/>
  <c r="AZ66" i="7" s="1"/>
  <c r="BJ37" i="7" s="1"/>
  <c r="BB66" i="7"/>
  <c r="BB20" i="7"/>
  <c r="AW20" i="7"/>
  <c r="AZ20" i="7" s="1"/>
  <c r="BB25" i="7"/>
  <c r="AW25" i="7"/>
  <c r="AZ25" i="7" s="1"/>
  <c r="AP54" i="7"/>
  <c r="E129" i="11"/>
  <c r="F129" i="11" s="1"/>
  <c r="AF64" i="7"/>
  <c r="K108" i="11"/>
  <c r="BC19" i="7"/>
  <c r="AW19" i="7"/>
  <c r="AZ19" i="7" s="1"/>
  <c r="J63" i="11"/>
  <c r="L63" i="11" s="1"/>
  <c r="T50" i="7"/>
  <c r="AW21" i="7"/>
  <c r="AZ21" i="7" s="1"/>
  <c r="AP52" i="7"/>
  <c r="E127" i="11"/>
  <c r="F127" i="11" s="1"/>
  <c r="J127" i="11" s="1"/>
  <c r="L127" i="11" s="1"/>
  <c r="AV46" i="7"/>
  <c r="H121" i="11"/>
  <c r="I121" i="11" s="1"/>
  <c r="AB59" i="7"/>
  <c r="BH30" i="7" s="1"/>
  <c r="BB34" i="7"/>
  <c r="AP57" i="7"/>
  <c r="E132" i="11"/>
  <c r="F132" i="11" s="1"/>
  <c r="AP46" i="7"/>
  <c r="E121" i="11"/>
  <c r="F121" i="11" s="1"/>
  <c r="AF31" i="7"/>
  <c r="BV31" i="7" s="1"/>
  <c r="K30" i="11"/>
  <c r="N30" i="11" s="1"/>
  <c r="L24" i="7"/>
  <c r="E23" i="11"/>
  <c r="F23" i="11" s="1"/>
  <c r="U31" i="7"/>
  <c r="AE31" i="7" s="1"/>
  <c r="BU31" i="7" s="1"/>
  <c r="H30" i="11"/>
  <c r="I30" i="11" s="1"/>
  <c r="BD46" i="7"/>
  <c r="AY67" i="7"/>
  <c r="K121" i="11"/>
  <c r="AW29" i="7"/>
  <c r="AZ29" i="7" s="1"/>
  <c r="BB29" i="7"/>
  <c r="U37" i="7"/>
  <c r="AE37" i="7" s="1"/>
  <c r="BU37" i="7" s="1"/>
  <c r="H36" i="11"/>
  <c r="I36" i="11" s="1"/>
  <c r="K134" i="11"/>
  <c r="BD59" i="7"/>
  <c r="BD58" i="7"/>
  <c r="K133" i="11"/>
  <c r="K51" i="7"/>
  <c r="BB22" i="7"/>
  <c r="AW22" i="7"/>
  <c r="AZ22" i="7" s="1"/>
  <c r="K18" i="11"/>
  <c r="N18" i="11" s="1"/>
  <c r="AF19" i="7"/>
  <c r="BV19" i="7" s="1"/>
  <c r="L22" i="7"/>
  <c r="E21" i="11"/>
  <c r="F21" i="11" s="1"/>
  <c r="U30" i="7"/>
  <c r="AE30" i="7" s="1"/>
  <c r="BU30" i="7" s="1"/>
  <c r="H29" i="11"/>
  <c r="I29" i="11" s="1"/>
  <c r="J29" i="11" s="1"/>
  <c r="L99" i="11"/>
  <c r="AF22" i="7"/>
  <c r="BV22" i="7" s="1"/>
  <c r="K21" i="11"/>
  <c r="N21" i="11" s="1"/>
  <c r="AP49" i="7"/>
  <c r="E124" i="11"/>
  <c r="F124" i="11" s="1"/>
  <c r="BC36" i="7"/>
  <c r="AW36" i="7"/>
  <c r="AZ36" i="7" s="1"/>
  <c r="E126" i="11"/>
  <c r="F126" i="11" s="1"/>
  <c r="AP51" i="7"/>
  <c r="J65" i="11"/>
  <c r="AP50" i="7"/>
  <c r="E125" i="11"/>
  <c r="F125" i="11" s="1"/>
  <c r="U65" i="7"/>
  <c r="AE65" i="7" s="1"/>
  <c r="H109" i="11"/>
  <c r="I109" i="11" s="1"/>
  <c r="L32" i="7"/>
  <c r="E31" i="11"/>
  <c r="F31" i="11" s="1"/>
  <c r="L54" i="7"/>
  <c r="E98" i="11"/>
  <c r="F98" i="11" s="1"/>
  <c r="AF17" i="7"/>
  <c r="BV17" i="7" s="1"/>
  <c r="AA38" i="7"/>
  <c r="AF38" i="7" s="1"/>
  <c r="K16" i="11"/>
  <c r="N16" i="11" s="1"/>
  <c r="H124" i="11"/>
  <c r="I124" i="11" s="1"/>
  <c r="AV49" i="7"/>
  <c r="BC49" i="7" s="1"/>
  <c r="U64" i="7"/>
  <c r="H108" i="11"/>
  <c r="I108" i="11" s="1"/>
  <c r="J108" i="11" s="1"/>
  <c r="K94" i="11"/>
  <c r="AF50" i="7"/>
  <c r="BB23" i="7"/>
  <c r="AW23" i="7"/>
  <c r="AZ23" i="7" s="1"/>
  <c r="U36" i="7"/>
  <c r="AE36" i="7" s="1"/>
  <c r="BU36" i="7" s="1"/>
  <c r="H35" i="11"/>
  <c r="I35" i="11" s="1"/>
  <c r="AV50" i="7"/>
  <c r="BC50" i="7" s="1"/>
  <c r="H125" i="11"/>
  <c r="I125" i="11" s="1"/>
  <c r="L34" i="7"/>
  <c r="E33" i="11"/>
  <c r="F33" i="11" s="1"/>
  <c r="L19" i="7"/>
  <c r="E18" i="11"/>
  <c r="F18" i="11" s="1"/>
  <c r="AP65" i="7"/>
  <c r="E140" i="11"/>
  <c r="F140" i="11" s="1"/>
  <c r="T54" i="7"/>
  <c r="AF61" i="7"/>
  <c r="K105" i="11"/>
  <c r="BD49" i="7"/>
  <c r="K124" i="11"/>
  <c r="AW28" i="7"/>
  <c r="AZ28" i="7" s="1"/>
  <c r="BB28" i="7"/>
  <c r="AP59" i="7"/>
  <c r="E134" i="11"/>
  <c r="F134" i="11" s="1"/>
  <c r="U63" i="7"/>
  <c r="H107" i="11"/>
  <c r="I107" i="11" s="1"/>
  <c r="J107" i="11" s="1"/>
  <c r="AP61" i="7"/>
  <c r="E136" i="11"/>
  <c r="F136" i="11" s="1"/>
  <c r="BB31" i="7"/>
  <c r="AW31" i="7"/>
  <c r="AZ31" i="7" s="1"/>
  <c r="BB37" i="7"/>
  <c r="AW37" i="7"/>
  <c r="AZ37" i="7" s="1"/>
  <c r="AF48" i="7"/>
  <c r="K92" i="11"/>
  <c r="BD50" i="7"/>
  <c r="K125" i="11"/>
  <c r="AF20" i="7"/>
  <c r="BV20" i="7" s="1"/>
  <c r="K19" i="11"/>
  <c r="N19" i="11" s="1"/>
  <c r="AV65" i="7"/>
  <c r="BC65" i="7" s="1"/>
  <c r="H140" i="11"/>
  <c r="I140" i="11" s="1"/>
  <c r="U48" i="7"/>
  <c r="H92" i="11"/>
  <c r="I92" i="11" s="1"/>
  <c r="H134" i="11"/>
  <c r="I134" i="11" s="1"/>
  <c r="AV59" i="7"/>
  <c r="BC59" i="7" s="1"/>
  <c r="K102" i="11"/>
  <c r="AF58" i="7"/>
  <c r="AF63" i="7"/>
  <c r="K107" i="11"/>
  <c r="AF65" i="7"/>
  <c r="K109" i="11"/>
  <c r="AF54" i="7"/>
  <c r="K98" i="11"/>
  <c r="AV61" i="7"/>
  <c r="BC61" i="7" s="1"/>
  <c r="H136" i="11"/>
  <c r="I136" i="11" s="1"/>
  <c r="BB18" i="7"/>
  <c r="AW18" i="7"/>
  <c r="AZ18" i="7" s="1"/>
  <c r="BB30" i="7"/>
  <c r="AW30" i="7"/>
  <c r="AZ30" i="7" s="1"/>
  <c r="AP53" i="7"/>
  <c r="E128" i="11"/>
  <c r="F128" i="11" s="1"/>
  <c r="L27" i="7"/>
  <c r="E26" i="11"/>
  <c r="F26" i="11" s="1"/>
  <c r="J80" i="11"/>
  <c r="L80" i="11" s="1"/>
  <c r="AH38" i="7" l="1"/>
  <c r="N90" i="11"/>
  <c r="N121" i="11"/>
  <c r="N60" i="11"/>
  <c r="N125" i="11"/>
  <c r="N94" i="11"/>
  <c r="N64" i="11"/>
  <c r="N135" i="11"/>
  <c r="N74" i="11"/>
  <c r="N104" i="11"/>
  <c r="N73" i="11"/>
  <c r="N103" i="11"/>
  <c r="N134" i="11"/>
  <c r="N122" i="11"/>
  <c r="N61" i="11"/>
  <c r="N91" i="11"/>
  <c r="N92" i="11"/>
  <c r="N123" i="11"/>
  <c r="N62" i="11"/>
  <c r="N102" i="11"/>
  <c r="N133" i="11"/>
  <c r="N72" i="11"/>
  <c r="N131" i="11"/>
  <c r="N70" i="11"/>
  <c r="N100" i="11"/>
  <c r="N93" i="11"/>
  <c r="N124" i="11"/>
  <c r="N63" i="11"/>
  <c r="N132" i="11"/>
  <c r="N71" i="11"/>
  <c r="N101" i="11"/>
  <c r="N139" i="11"/>
  <c r="N108" i="11"/>
  <c r="N78" i="11"/>
  <c r="N140" i="11"/>
  <c r="N109" i="11"/>
  <c r="N79" i="11"/>
  <c r="N126" i="11"/>
  <c r="N95" i="11"/>
  <c r="N65" i="11"/>
  <c r="N130" i="11"/>
  <c r="N99" i="11"/>
  <c r="N69" i="11"/>
  <c r="J18" i="11"/>
  <c r="L18" i="11" s="1"/>
  <c r="J25" i="11"/>
  <c r="L25" i="11" s="1"/>
  <c r="Y265" i="11"/>
  <c r="X327" i="11"/>
  <c r="X330" i="11"/>
  <c r="X335" i="11"/>
  <c r="X343" i="11"/>
  <c r="X326" i="11"/>
  <c r="X329" i="11"/>
  <c r="X333" i="11"/>
  <c r="X342" i="11"/>
  <c r="X325" i="11"/>
  <c r="X332" i="11"/>
  <c r="X341" i="11"/>
  <c r="X340" i="11"/>
  <c r="X344" i="11"/>
  <c r="X331" i="11"/>
  <c r="X336" i="11"/>
  <c r="X339" i="11"/>
  <c r="X324" i="11"/>
  <c r="X338" i="11"/>
  <c r="X337" i="11"/>
  <c r="X328" i="11"/>
  <c r="X334" i="11"/>
  <c r="X300" i="11"/>
  <c r="X304" i="11"/>
  <c r="X311" i="11"/>
  <c r="X299" i="11"/>
  <c r="X303" i="11"/>
  <c r="X298" i="11"/>
  <c r="X302" i="11"/>
  <c r="X306" i="11"/>
  <c r="X315" i="11"/>
  <c r="X297" i="11"/>
  <c r="X314" i="11"/>
  <c r="X316" i="11"/>
  <c r="X317" i="11"/>
  <c r="X313" i="11"/>
  <c r="X312" i="11"/>
  <c r="X305" i="11"/>
  <c r="X310" i="11"/>
  <c r="X301" i="11"/>
  <c r="X309" i="11"/>
  <c r="X307" i="11"/>
  <c r="V18" i="7"/>
  <c r="AB18" i="7" s="1"/>
  <c r="BQ18" i="7" s="1"/>
  <c r="AD21" i="7"/>
  <c r="BT21" i="7" s="1"/>
  <c r="I81" i="11"/>
  <c r="L17" i="11"/>
  <c r="H104" i="11"/>
  <c r="I104" i="11" s="1"/>
  <c r="J104" i="11" s="1"/>
  <c r="L104" i="11" s="1"/>
  <c r="J137" i="11"/>
  <c r="L137" i="11" s="1"/>
  <c r="AD17" i="7"/>
  <c r="BT17" i="7" s="1"/>
  <c r="J141" i="11"/>
  <c r="L141" i="11" s="1"/>
  <c r="AE26" i="7"/>
  <c r="BU26" i="7" s="1"/>
  <c r="BU38" i="7" s="1"/>
  <c r="V35" i="7"/>
  <c r="AB35" i="7" s="1"/>
  <c r="BG35" i="7" s="1"/>
  <c r="V25" i="7"/>
  <c r="AB25" i="7" s="1"/>
  <c r="BG25" i="7" s="1"/>
  <c r="AP38" i="7"/>
  <c r="V28" i="7"/>
  <c r="AB28" i="7" s="1"/>
  <c r="BQ28" i="7" s="1"/>
  <c r="V29" i="7"/>
  <c r="AB29" i="7" s="1"/>
  <c r="BG29" i="7" s="1"/>
  <c r="J21" i="11"/>
  <c r="L21" i="11" s="1"/>
  <c r="AD28" i="7"/>
  <c r="BT28" i="7" s="1"/>
  <c r="J26" i="11"/>
  <c r="L26" i="11" s="1"/>
  <c r="J35" i="11"/>
  <c r="L35" i="11" s="1"/>
  <c r="L20" i="11"/>
  <c r="J27" i="11"/>
  <c r="L27" i="11" s="1"/>
  <c r="J32" i="11"/>
  <c r="L32" i="11" s="1"/>
  <c r="V52" i="7"/>
  <c r="AB52" i="7" s="1"/>
  <c r="BH23" i="7" s="1"/>
  <c r="J28" i="11"/>
  <c r="L28" i="11" s="1"/>
  <c r="J23" i="11"/>
  <c r="L23" i="11" s="1"/>
  <c r="L65" i="11"/>
  <c r="V23" i="7"/>
  <c r="AB23" i="7" s="1"/>
  <c r="BQ23" i="7" s="1"/>
  <c r="J24" i="11"/>
  <c r="L24" i="11" s="1"/>
  <c r="J34" i="11"/>
  <c r="L34" i="11" s="1"/>
  <c r="J77" i="11"/>
  <c r="L77" i="11" s="1"/>
  <c r="U62" i="7"/>
  <c r="H106" i="11"/>
  <c r="I106" i="11" s="1"/>
  <c r="J106" i="11" s="1"/>
  <c r="L106" i="11" s="1"/>
  <c r="BB32" i="7"/>
  <c r="J36" i="11"/>
  <c r="L36" i="11" s="1"/>
  <c r="J128" i="11"/>
  <c r="L128" i="11" s="1"/>
  <c r="V33" i="7"/>
  <c r="AB33" i="7" s="1"/>
  <c r="BG33" i="7" s="1"/>
  <c r="J30" i="11"/>
  <c r="L30" i="11" s="1"/>
  <c r="AW60" i="7"/>
  <c r="AZ60" i="7" s="1"/>
  <c r="BJ31" i="7" s="1"/>
  <c r="L135" i="11"/>
  <c r="J123" i="11"/>
  <c r="L123" i="11" s="1"/>
  <c r="BB62" i="7"/>
  <c r="AW62" i="7"/>
  <c r="AZ62" i="7" s="1"/>
  <c r="BJ33" i="7" s="1"/>
  <c r="J33" i="11"/>
  <c r="L33" i="11" s="1"/>
  <c r="H101" i="11"/>
  <c r="I101" i="11" s="1"/>
  <c r="J101" i="11" s="1"/>
  <c r="L101" i="11" s="1"/>
  <c r="H102" i="11"/>
  <c r="I102" i="11" s="1"/>
  <c r="J102" i="11" s="1"/>
  <c r="L102" i="11" s="1"/>
  <c r="H105" i="11"/>
  <c r="I105" i="11" s="1"/>
  <c r="J105" i="11" s="1"/>
  <c r="L105" i="11" s="1"/>
  <c r="J134" i="11"/>
  <c r="L134" i="11" s="1"/>
  <c r="L38" i="7"/>
  <c r="AD38" i="7" s="1"/>
  <c r="V30" i="7"/>
  <c r="AB30" i="7" s="1"/>
  <c r="BG30" i="7" s="1"/>
  <c r="J129" i="11"/>
  <c r="L129" i="11" s="1"/>
  <c r="J31" i="11"/>
  <c r="L31" i="11" s="1"/>
  <c r="J124" i="11"/>
  <c r="L124" i="11" s="1"/>
  <c r="V31" i="7"/>
  <c r="AB31" i="7" s="1"/>
  <c r="BG31" i="7" s="1"/>
  <c r="AW34" i="7"/>
  <c r="AZ34" i="7" s="1"/>
  <c r="BI34" i="7" s="1"/>
  <c r="F81" i="11"/>
  <c r="BB33" i="7"/>
  <c r="AW33" i="7"/>
  <c r="AZ33" i="7" s="1"/>
  <c r="L108" i="11"/>
  <c r="H95" i="11"/>
  <c r="I95" i="11" s="1"/>
  <c r="AV38" i="7"/>
  <c r="J138" i="11"/>
  <c r="L138" i="11" s="1"/>
  <c r="I37" i="11"/>
  <c r="J140" i="11"/>
  <c r="L140" i="11" s="1"/>
  <c r="J22" i="11"/>
  <c r="L22" i="11" s="1"/>
  <c r="K142" i="11"/>
  <c r="J133" i="11"/>
  <c r="L133" i="11" s="1"/>
  <c r="V37" i="7"/>
  <c r="AB37" i="7" s="1"/>
  <c r="BG37" i="7" s="1"/>
  <c r="BR27" i="7"/>
  <c r="BI27" i="7"/>
  <c r="BC35" i="7"/>
  <c r="BC38" i="7" s="1"/>
  <c r="AW35" i="7"/>
  <c r="AZ35" i="7" s="1"/>
  <c r="F37" i="11"/>
  <c r="J122" i="11"/>
  <c r="L122" i="11" s="1"/>
  <c r="AW65" i="7"/>
  <c r="AZ65" i="7" s="1"/>
  <c r="BJ36" i="7" s="1"/>
  <c r="BB65" i="7"/>
  <c r="BV38" i="7"/>
  <c r="J125" i="11"/>
  <c r="L125" i="11" s="1"/>
  <c r="BR22" i="7"/>
  <c r="BI22" i="7"/>
  <c r="J121" i="11"/>
  <c r="F142" i="11"/>
  <c r="U50" i="7"/>
  <c r="H94" i="11"/>
  <c r="I94" i="11" s="1"/>
  <c r="J94" i="11" s="1"/>
  <c r="L94" i="11" s="1"/>
  <c r="AW47" i="7"/>
  <c r="AZ47" i="7" s="1"/>
  <c r="BJ18" i="7" s="1"/>
  <c r="BB47" i="7"/>
  <c r="BI21" i="7"/>
  <c r="BR21" i="7"/>
  <c r="BI18" i="7"/>
  <c r="BR18" i="7"/>
  <c r="BB59" i="7"/>
  <c r="AW59" i="7"/>
  <c r="AZ59" i="7" s="1"/>
  <c r="BJ30" i="7" s="1"/>
  <c r="BI23" i="7"/>
  <c r="BR23" i="7"/>
  <c r="AW50" i="7"/>
  <c r="AZ50" i="7" s="1"/>
  <c r="BJ21" i="7" s="1"/>
  <c r="BB50" i="7"/>
  <c r="BD67" i="7"/>
  <c r="AW46" i="7"/>
  <c r="BB46" i="7"/>
  <c r="AP67" i="7"/>
  <c r="BI25" i="7"/>
  <c r="BR25" i="7"/>
  <c r="BI30" i="7"/>
  <c r="BR30" i="7"/>
  <c r="AE63" i="7"/>
  <c r="V63" i="7"/>
  <c r="AB63" i="7" s="1"/>
  <c r="BH34" i="7" s="1"/>
  <c r="BR26" i="7"/>
  <c r="BI26" i="7"/>
  <c r="BN26" i="7" s="1"/>
  <c r="V65" i="7"/>
  <c r="AB65" i="7" s="1"/>
  <c r="BH36" i="7" s="1"/>
  <c r="AD65" i="7"/>
  <c r="BR37" i="7"/>
  <c r="BI37" i="7"/>
  <c r="V19" i="7"/>
  <c r="AB19" i="7" s="1"/>
  <c r="AD19" i="7"/>
  <c r="BT19" i="7" s="1"/>
  <c r="AE61" i="7"/>
  <c r="V61" i="7"/>
  <c r="AB61" i="7" s="1"/>
  <c r="BH32" i="7" s="1"/>
  <c r="L51" i="7"/>
  <c r="E95" i="11"/>
  <c r="F95" i="11" s="1"/>
  <c r="I142" i="11"/>
  <c r="BR19" i="7"/>
  <c r="BI19" i="7"/>
  <c r="K111" i="11"/>
  <c r="L90" i="11"/>
  <c r="AD34" i="7"/>
  <c r="BT34" i="7" s="1"/>
  <c r="V34" i="7"/>
  <c r="AB34" i="7" s="1"/>
  <c r="AD54" i="7"/>
  <c r="J126" i="11"/>
  <c r="L126" i="11" s="1"/>
  <c r="J132" i="11"/>
  <c r="L132" i="11" s="1"/>
  <c r="BH17" i="7"/>
  <c r="J19" i="11"/>
  <c r="L19" i="11" s="1"/>
  <c r="BB58" i="7"/>
  <c r="AW58" i="7"/>
  <c r="AZ58" i="7" s="1"/>
  <c r="BJ29" i="7" s="1"/>
  <c r="AE60" i="7"/>
  <c r="V60" i="7"/>
  <c r="AB60" i="7" s="1"/>
  <c r="BH31" i="7" s="1"/>
  <c r="L29" i="11"/>
  <c r="BI28" i="7"/>
  <c r="BR28" i="7"/>
  <c r="BB57" i="7"/>
  <c r="AW57" i="7"/>
  <c r="AZ57" i="7" s="1"/>
  <c r="BJ28" i="7" s="1"/>
  <c r="V36" i="7"/>
  <c r="AB36" i="7" s="1"/>
  <c r="BC46" i="7"/>
  <c r="BC67" i="7" s="1"/>
  <c r="AV67" i="7"/>
  <c r="BR20" i="7"/>
  <c r="BI20" i="7"/>
  <c r="BR31" i="7"/>
  <c r="BI31" i="7"/>
  <c r="AE64" i="7"/>
  <c r="V64" i="7"/>
  <c r="AB64" i="7" s="1"/>
  <c r="BH35" i="7" s="1"/>
  <c r="AD32" i="7"/>
  <c r="BT32" i="7" s="1"/>
  <c r="V32" i="7"/>
  <c r="AB32" i="7" s="1"/>
  <c r="AE58" i="7"/>
  <c r="V58" i="7"/>
  <c r="AB58" i="7" s="1"/>
  <c r="BH29" i="7" s="1"/>
  <c r="AD24" i="7"/>
  <c r="BT24" i="7" s="1"/>
  <c r="V24" i="7"/>
  <c r="AB24" i="7" s="1"/>
  <c r="L60" i="11"/>
  <c r="BB64" i="7"/>
  <c r="AW64" i="7"/>
  <c r="AZ64" i="7" s="1"/>
  <c r="BJ35" i="7" s="1"/>
  <c r="BR36" i="7"/>
  <c r="BI36" i="7"/>
  <c r="V22" i="7"/>
  <c r="AB22" i="7" s="1"/>
  <c r="AD22" i="7"/>
  <c r="BT22" i="7" s="1"/>
  <c r="J139" i="11"/>
  <c r="L139" i="11" s="1"/>
  <c r="BB51" i="7"/>
  <c r="AW51" i="7"/>
  <c r="AZ51" i="7" s="1"/>
  <c r="BJ22" i="7" s="1"/>
  <c r="V20" i="7"/>
  <c r="AB20" i="7" s="1"/>
  <c r="AD20" i="7"/>
  <c r="BT20" i="7" s="1"/>
  <c r="AD27" i="7"/>
  <c r="BT27" i="7" s="1"/>
  <c r="V27" i="7"/>
  <c r="AB27" i="7" s="1"/>
  <c r="J92" i="11"/>
  <c r="J136" i="11"/>
  <c r="L136" i="11" s="1"/>
  <c r="BI32" i="7"/>
  <c r="BR32" i="7"/>
  <c r="BB54" i="7"/>
  <c r="AW54" i="7"/>
  <c r="AZ54" i="7" s="1"/>
  <c r="BJ25" i="7" s="1"/>
  <c r="AZ17" i="7"/>
  <c r="AW48" i="7"/>
  <c r="AZ48" i="7" s="1"/>
  <c r="BJ19" i="7" s="1"/>
  <c r="BB48" i="7"/>
  <c r="BQ21" i="7"/>
  <c r="BG21" i="7"/>
  <c r="U38" i="7"/>
  <c r="AE38" i="7" s="1"/>
  <c r="AE57" i="7"/>
  <c r="V57" i="7"/>
  <c r="AB57" i="7" s="1"/>
  <c r="BH28" i="7" s="1"/>
  <c r="AE48" i="7"/>
  <c r="V48" i="7"/>
  <c r="AW61" i="7"/>
  <c r="AZ61" i="7" s="1"/>
  <c r="BJ32" i="7" s="1"/>
  <c r="BB61" i="7"/>
  <c r="BG26" i="7"/>
  <c r="BQ26" i="7"/>
  <c r="BR24" i="7"/>
  <c r="BI24" i="7"/>
  <c r="BB53" i="7"/>
  <c r="AW53" i="7"/>
  <c r="AZ53" i="7" s="1"/>
  <c r="BJ24" i="7" s="1"/>
  <c r="L107" i="11"/>
  <c r="U54" i="7"/>
  <c r="AE54" i="7" s="1"/>
  <c r="H98" i="11"/>
  <c r="I98" i="11" s="1"/>
  <c r="J98" i="11" s="1"/>
  <c r="L98" i="11" s="1"/>
  <c r="K37" i="11"/>
  <c r="BB49" i="7"/>
  <c r="AW49" i="7"/>
  <c r="AZ49" i="7" s="1"/>
  <c r="BJ20" i="7" s="1"/>
  <c r="BR29" i="7"/>
  <c r="BI29" i="7"/>
  <c r="AB17" i="7"/>
  <c r="AW52" i="7"/>
  <c r="AZ52" i="7" s="1"/>
  <c r="BJ23" i="7" s="1"/>
  <c r="BB52" i="7"/>
  <c r="L16" i="11"/>
  <c r="J109" i="11"/>
  <c r="L109" i="11" s="1"/>
  <c r="BB63" i="7"/>
  <c r="AW63" i="7"/>
  <c r="AZ63" i="7" s="1"/>
  <c r="BJ34" i="7" s="1"/>
  <c r="Y314" i="11" l="1"/>
  <c r="Y308" i="11"/>
  <c r="BY38" i="7"/>
  <c r="Y309" i="11"/>
  <c r="Y297" i="11"/>
  <c r="Y304" i="11"/>
  <c r="Y306" i="11"/>
  <c r="Y313" i="11"/>
  <c r="Y302" i="11"/>
  <c r="Y316" i="11"/>
  <c r="Y299" i="11"/>
  <c r="Y310" i="11"/>
  <c r="Y298" i="11"/>
  <c r="Y311" i="11"/>
  <c r="Y315" i="11"/>
  <c r="Y305" i="11"/>
  <c r="Z265" i="11"/>
  <c r="Y312" i="11"/>
  <c r="Y317" i="11"/>
  <c r="Y307" i="11"/>
  <c r="Y303" i="11"/>
  <c r="Y301" i="11"/>
  <c r="Y300" i="11"/>
  <c r="Y324" i="11"/>
  <c r="Y328" i="11"/>
  <c r="Y331" i="11"/>
  <c r="Y338" i="11"/>
  <c r="Y344" i="11"/>
  <c r="Y327" i="11"/>
  <c r="Y330" i="11"/>
  <c r="Y335" i="11"/>
  <c r="Y343" i="11"/>
  <c r="Y326" i="11"/>
  <c r="Y329" i="11"/>
  <c r="Y333" i="11"/>
  <c r="Y342" i="11"/>
  <c r="Y332" i="11"/>
  <c r="Y334" i="11"/>
  <c r="Y337" i="11"/>
  <c r="Y325" i="11"/>
  <c r="Y341" i="11"/>
  <c r="Y340" i="11"/>
  <c r="Y336" i="11"/>
  <c r="Y339" i="11"/>
  <c r="BQ35" i="7"/>
  <c r="BG18" i="7"/>
  <c r="BK18" i="7" s="1"/>
  <c r="BQ29" i="7"/>
  <c r="BQ25" i="7"/>
  <c r="BB38" i="7"/>
  <c r="BG28" i="7"/>
  <c r="BM28" i="7" s="1"/>
  <c r="BG23" i="7"/>
  <c r="BL23" i="7" s="1"/>
  <c r="L81" i="11"/>
  <c r="J81" i="11"/>
  <c r="AE62" i="7"/>
  <c r="V62" i="7"/>
  <c r="AB62" i="7" s="1"/>
  <c r="BH33" i="7" s="1"/>
  <c r="BK33" i="7" s="1"/>
  <c r="BQ37" i="7"/>
  <c r="BQ33" i="7"/>
  <c r="BN31" i="7"/>
  <c r="BQ30" i="7"/>
  <c r="J37" i="11"/>
  <c r="BW28" i="7"/>
  <c r="BQ31" i="7"/>
  <c r="BW30" i="7"/>
  <c r="BT38" i="7"/>
  <c r="BR34" i="7"/>
  <c r="BW27" i="7"/>
  <c r="BN27" i="7"/>
  <c r="BR33" i="7"/>
  <c r="BI33" i="7"/>
  <c r="BW29" i="7"/>
  <c r="BN36" i="7"/>
  <c r="U67" i="7"/>
  <c r="AE67" i="7" s="1"/>
  <c r="AW38" i="7"/>
  <c r="BN28" i="7"/>
  <c r="BW31" i="7"/>
  <c r="BW23" i="7"/>
  <c r="BI35" i="7"/>
  <c r="BN35" i="7" s="1"/>
  <c r="BR35" i="7"/>
  <c r="I111" i="11"/>
  <c r="BG22" i="7"/>
  <c r="BQ22" i="7"/>
  <c r="J95" i="11"/>
  <c r="L95" i="11" s="1"/>
  <c r="F111" i="11"/>
  <c r="L37" i="11"/>
  <c r="L92" i="11"/>
  <c r="AD51" i="7"/>
  <c r="V51" i="7"/>
  <c r="AB51" i="7" s="1"/>
  <c r="BH22" i="7" s="1"/>
  <c r="BW22" i="7" s="1"/>
  <c r="L67" i="7"/>
  <c r="AD67" i="7" s="1"/>
  <c r="BN21" i="7"/>
  <c r="AB48" i="7"/>
  <c r="BQ27" i="7"/>
  <c r="BG27" i="7"/>
  <c r="BG32" i="7"/>
  <c r="BQ32" i="7"/>
  <c r="BK35" i="7"/>
  <c r="V54" i="7"/>
  <c r="AB54" i="7" s="1"/>
  <c r="BH25" i="7" s="1"/>
  <c r="BW25" i="7" s="1"/>
  <c r="BW32" i="7"/>
  <c r="BW34" i="7"/>
  <c r="BG36" i="7"/>
  <c r="BQ36" i="7"/>
  <c r="BN23" i="7"/>
  <c r="BQ17" i="7"/>
  <c r="AB38" i="7"/>
  <c r="BG17" i="7"/>
  <c r="BW24" i="7"/>
  <c r="BN24" i="7"/>
  <c r="BQ20" i="7"/>
  <c r="BG20" i="7"/>
  <c r="BQ19" i="7"/>
  <c r="BG19" i="7"/>
  <c r="BN30" i="7"/>
  <c r="V38" i="7"/>
  <c r="BN37" i="7"/>
  <c r="BW37" i="7"/>
  <c r="BK26" i="7"/>
  <c r="BO26" i="7" s="1"/>
  <c r="BL26" i="7"/>
  <c r="BM26" i="7"/>
  <c r="BQ34" i="7"/>
  <c r="BG34" i="7"/>
  <c r="BL29" i="7"/>
  <c r="BK29" i="7"/>
  <c r="BM29" i="7"/>
  <c r="AZ38" i="7"/>
  <c r="BR17" i="7"/>
  <c r="BI17" i="7"/>
  <c r="BN29" i="7"/>
  <c r="BN25" i="7"/>
  <c r="BW26" i="7"/>
  <c r="BN32" i="7"/>
  <c r="BN34" i="7"/>
  <c r="BM37" i="7"/>
  <c r="BL37" i="7"/>
  <c r="BK37" i="7"/>
  <c r="BN19" i="7"/>
  <c r="BK30" i="7"/>
  <c r="BM30" i="7"/>
  <c r="BL30" i="7"/>
  <c r="AE50" i="7"/>
  <c r="V50" i="7"/>
  <c r="AB50" i="7" s="1"/>
  <c r="BH21" i="7" s="1"/>
  <c r="BW21" i="7" s="1"/>
  <c r="BQ24" i="7"/>
  <c r="BG24" i="7"/>
  <c r="BB67" i="7"/>
  <c r="BL21" i="7"/>
  <c r="BW20" i="7"/>
  <c r="BN20" i="7"/>
  <c r="BL25" i="7"/>
  <c r="AZ46" i="7"/>
  <c r="AW67" i="7"/>
  <c r="L121" i="11"/>
  <c r="L142" i="11" s="1"/>
  <c r="J142" i="11"/>
  <c r="BL31" i="7"/>
  <c r="BM31" i="7"/>
  <c r="BK31" i="7"/>
  <c r="BW36" i="7"/>
  <c r="BW18" i="7"/>
  <c r="BN18" i="7"/>
  <c r="BN22" i="7"/>
  <c r="Z325" i="11" l="1"/>
  <c r="Z308" i="11"/>
  <c r="Z301" i="11"/>
  <c r="AA265" i="11"/>
  <c r="Z335" i="11"/>
  <c r="Z302" i="11"/>
  <c r="Z336" i="11"/>
  <c r="Z313" i="11"/>
  <c r="Z307" i="11"/>
  <c r="Z299" i="11"/>
  <c r="Z333" i="11"/>
  <c r="Z305" i="11"/>
  <c r="Z314" i="11"/>
  <c r="Z315" i="11"/>
  <c r="Z329" i="11"/>
  <c r="Z327" i="11"/>
  <c r="Z332" i="11"/>
  <c r="Z337" i="11"/>
  <c r="Z338" i="11"/>
  <c r="Z316" i="11"/>
  <c r="Z304" i="11"/>
  <c r="Z326" i="11"/>
  <c r="Z328" i="11"/>
  <c r="Z312" i="11"/>
  <c r="Z317" i="11"/>
  <c r="Z309" i="11"/>
  <c r="Z311" i="11"/>
  <c r="Z297" i="11"/>
  <c r="Z298" i="11"/>
  <c r="Z340" i="11"/>
  <c r="Z342" i="11"/>
  <c r="Z330" i="11"/>
  <c r="Z331" i="11"/>
  <c r="Z341" i="11"/>
  <c r="Z303" i="11"/>
  <c r="Z310" i="11"/>
  <c r="Z300" i="11"/>
  <c r="Z306" i="11"/>
  <c r="Z339" i="11"/>
  <c r="Z334" i="11"/>
  <c r="Z343" i="11"/>
  <c r="Z344" i="11"/>
  <c r="Z324" i="11"/>
  <c r="BM18" i="7"/>
  <c r="BL18" i="7"/>
  <c r="BK28" i="7"/>
  <c r="BO28" i="7" s="1"/>
  <c r="BL28" i="7"/>
  <c r="BK23" i="7"/>
  <c r="BO23" i="7" s="1"/>
  <c r="BM23" i="7"/>
  <c r="BM33" i="7"/>
  <c r="J111" i="11"/>
  <c r="BO31" i="7"/>
  <c r="BO18" i="7"/>
  <c r="BL33" i="7"/>
  <c r="BW35" i="7"/>
  <c r="BL35" i="7"/>
  <c r="BM35" i="7"/>
  <c r="BR38" i="7"/>
  <c r="BM25" i="7"/>
  <c r="BQ38" i="7"/>
  <c r="BO35" i="7"/>
  <c r="L111" i="11"/>
  <c r="BN33" i="7"/>
  <c r="BO33" i="7" s="1"/>
  <c r="BW33" i="7"/>
  <c r="BK21" i="7"/>
  <c r="BO21" i="7" s="1"/>
  <c r="BK25" i="7"/>
  <c r="BO25" i="7" s="1"/>
  <c r="BM17" i="7"/>
  <c r="BG38" i="7"/>
  <c r="BL17" i="7"/>
  <c r="BK17" i="7"/>
  <c r="BL24" i="7"/>
  <c r="BM24" i="7"/>
  <c r="BK24" i="7"/>
  <c r="BO24" i="7" s="1"/>
  <c r="BM34" i="7"/>
  <c r="BK34" i="7"/>
  <c r="BO34" i="7" s="1"/>
  <c r="BL34" i="7"/>
  <c r="BL32" i="7"/>
  <c r="BK32" i="7"/>
  <c r="BO32" i="7" s="1"/>
  <c r="BM32" i="7"/>
  <c r="BO30" i="7"/>
  <c r="BL27" i="7"/>
  <c r="BK27" i="7"/>
  <c r="BO27" i="7" s="1"/>
  <c r="BM27" i="7"/>
  <c r="BL19" i="7"/>
  <c r="BM36" i="7"/>
  <c r="BK36" i="7"/>
  <c r="BO36" i="7" s="1"/>
  <c r="BL36" i="7"/>
  <c r="BH19" i="7"/>
  <c r="BW19" i="7" s="1"/>
  <c r="AB67" i="7"/>
  <c r="BH38" i="7" s="1"/>
  <c r="BL22" i="7"/>
  <c r="BM22" i="7"/>
  <c r="BK22" i="7"/>
  <c r="BO22" i="7" s="1"/>
  <c r="AH39" i="7"/>
  <c r="V67" i="7"/>
  <c r="BO29" i="7"/>
  <c r="BM20" i="7"/>
  <c r="BK20" i="7"/>
  <c r="BO20" i="7" s="1"/>
  <c r="BL20" i="7"/>
  <c r="BM21" i="7"/>
  <c r="BI38" i="7"/>
  <c r="BO37" i="7"/>
  <c r="AZ67" i="7"/>
  <c r="BJ38" i="7" s="1"/>
  <c r="BJ17" i="7"/>
  <c r="BN17" i="7" s="1"/>
  <c r="AA326" i="11" l="1"/>
  <c r="AA308" i="11"/>
  <c r="AA299" i="11"/>
  <c r="AA335" i="11"/>
  <c r="AA297" i="11"/>
  <c r="AA330" i="11"/>
  <c r="AA337" i="11"/>
  <c r="AA344" i="11"/>
  <c r="AA298" i="11"/>
  <c r="AA313" i="11"/>
  <c r="AA306" i="11"/>
  <c r="AA309" i="11"/>
  <c r="AA300" i="11"/>
  <c r="AA315" i="11"/>
  <c r="AA304" i="11"/>
  <c r="AA305" i="11"/>
  <c r="AA343" i="11"/>
  <c r="AA324" i="11"/>
  <c r="AA331" i="11"/>
  <c r="AA342" i="11"/>
  <c r="AA332" i="11"/>
  <c r="AA329" i="11"/>
  <c r="AB265" i="11"/>
  <c r="AA307" i="11"/>
  <c r="AA310" i="11"/>
  <c r="AA314" i="11"/>
  <c r="AA302" i="11"/>
  <c r="AA303" i="11"/>
  <c r="AA334" i="11"/>
  <c r="AA339" i="11"/>
  <c r="AA338" i="11"/>
  <c r="AA341" i="11"/>
  <c r="AA333" i="11"/>
  <c r="AA317" i="11"/>
  <c r="AA311" i="11"/>
  <c r="AA312" i="11"/>
  <c r="AA301" i="11"/>
  <c r="AA316" i="11"/>
  <c r="AA336" i="11"/>
  <c r="AA340" i="11"/>
  <c r="AA327" i="11"/>
  <c r="AA328" i="11"/>
  <c r="AA325" i="11"/>
  <c r="BO17" i="7"/>
  <c r="BM19" i="7"/>
  <c r="BW17" i="7"/>
  <c r="BW38" i="7" s="1"/>
  <c r="BM38" i="7"/>
  <c r="BN38" i="7"/>
  <c r="BL38" i="7"/>
  <c r="BK38" i="7"/>
  <c r="BK19" i="7"/>
  <c r="BO19" i="7" s="1"/>
  <c r="AB327" i="11" l="1"/>
  <c r="AB308" i="11"/>
  <c r="AB309" i="11"/>
  <c r="AB306" i="11"/>
  <c r="AB339" i="11"/>
  <c r="AB310" i="11"/>
  <c r="AB307" i="11"/>
  <c r="AB314" i="11"/>
  <c r="AB303" i="11"/>
  <c r="AB328" i="11"/>
  <c r="AB313" i="11"/>
  <c r="AB304" i="11"/>
  <c r="AB342" i="11"/>
  <c r="AB301" i="11"/>
  <c r="AB324" i="11"/>
  <c r="AB343" i="11"/>
  <c r="AB316" i="11"/>
  <c r="AB297" i="11"/>
  <c r="AB315" i="11"/>
  <c r="AB299" i="11"/>
  <c r="AB331" i="11"/>
  <c r="AB332" i="11"/>
  <c r="AB330" i="11"/>
  <c r="AB317" i="11"/>
  <c r="AB298" i="11"/>
  <c r="AC265" i="11"/>
  <c r="AB336" i="11"/>
  <c r="AB329" i="11"/>
  <c r="AB300" i="11"/>
  <c r="AB337" i="11"/>
  <c r="AB340" i="11"/>
  <c r="AB341" i="11"/>
  <c r="AB333" i="11"/>
  <c r="AB335" i="11"/>
  <c r="AB312" i="11"/>
  <c r="AB305" i="11"/>
  <c r="AB302" i="11"/>
  <c r="AB311" i="11"/>
  <c r="AB338" i="11"/>
  <c r="AB334" i="11"/>
  <c r="AB344" i="11"/>
  <c r="AB325" i="11"/>
  <c r="AB326" i="11"/>
  <c r="BO38" i="7"/>
  <c r="BZ38" i="7" s="1"/>
  <c r="CB38" i="7" s="1"/>
  <c r="A262" i="11" s="1"/>
  <c r="AC331" i="11" l="1"/>
  <c r="AC308" i="11"/>
  <c r="AC325" i="11"/>
  <c r="AC310" i="11"/>
  <c r="AC326" i="11"/>
  <c r="AC304" i="11"/>
  <c r="AC328" i="11"/>
  <c r="AC300" i="11"/>
  <c r="AC315" i="11"/>
  <c r="AC297" i="11"/>
  <c r="AC327" i="11"/>
  <c r="AC306" i="11"/>
  <c r="AC334" i="11"/>
  <c r="A252" i="11"/>
  <c r="AC311" i="11"/>
  <c r="AC302" i="11"/>
  <c r="AC307" i="11"/>
  <c r="AC314" i="11"/>
  <c r="AC337" i="11"/>
  <c r="AC340" i="11"/>
  <c r="AC342" i="11"/>
  <c r="AC343" i="11"/>
  <c r="AC344" i="11"/>
  <c r="AC324" i="11"/>
  <c r="AC336" i="11"/>
  <c r="AC298" i="11"/>
  <c r="AC313" i="11"/>
  <c r="AC309" i="11"/>
  <c r="AC303" i="11"/>
  <c r="AC305" i="11"/>
  <c r="AC339" i="11"/>
  <c r="AC333" i="11"/>
  <c r="AC335" i="11"/>
  <c r="AC338" i="11"/>
  <c r="AD265" i="11"/>
  <c r="AC312" i="11"/>
  <c r="AC317" i="11"/>
  <c r="AC316" i="11"/>
  <c r="AC299" i="11"/>
  <c r="AC301" i="11"/>
  <c r="AC341" i="11"/>
  <c r="AC332" i="11"/>
  <c r="AC329" i="11"/>
  <c r="AC330" i="11"/>
  <c r="AD306" i="11" l="1"/>
  <c r="AD308" i="11"/>
  <c r="AD298" i="11"/>
  <c r="AD307" i="11"/>
  <c r="AD309" i="11"/>
  <c r="AD302" i="11"/>
  <c r="AD340" i="11"/>
  <c r="AD339" i="11"/>
  <c r="AE265" i="11"/>
  <c r="AD335" i="11"/>
  <c r="AD338" i="11"/>
  <c r="AD336" i="11"/>
  <c r="AD300" i="11"/>
  <c r="AD342" i="11"/>
  <c r="AD327" i="11"/>
  <c r="AD332" i="11"/>
  <c r="AD311" i="11"/>
  <c r="AD317" i="11"/>
  <c r="AD333" i="11"/>
  <c r="AD328" i="11"/>
  <c r="AD316" i="11"/>
  <c r="AD301" i="11"/>
  <c r="AD315" i="11"/>
  <c r="AD329" i="11"/>
  <c r="AD326" i="11"/>
  <c r="AD343" i="11"/>
  <c r="AD344" i="11"/>
  <c r="AD324" i="11"/>
  <c r="AD325" i="11"/>
  <c r="AD313" i="11"/>
  <c r="AD299" i="11"/>
  <c r="AD305" i="11"/>
  <c r="AD310" i="11"/>
  <c r="AD304" i="11"/>
  <c r="AD334" i="11"/>
  <c r="AD337" i="11"/>
  <c r="AD330" i="11"/>
  <c r="AD331" i="11"/>
  <c r="AD341" i="11"/>
  <c r="AD297" i="11"/>
  <c r="AD312" i="11"/>
  <c r="AD303" i="11"/>
  <c r="AD314" i="11"/>
  <c r="AE329" i="11" l="1"/>
  <c r="AE308" i="11"/>
  <c r="AE310" i="11"/>
  <c r="AE309" i="11"/>
  <c r="AE337" i="11"/>
  <c r="AE334" i="11"/>
  <c r="AE312" i="11"/>
  <c r="AE326" i="11"/>
  <c r="AE343" i="11"/>
  <c r="AE325" i="11"/>
  <c r="AE302" i="11"/>
  <c r="AE300" i="11"/>
  <c r="AE317" i="11"/>
  <c r="AF265" i="11"/>
  <c r="AE297" i="11"/>
  <c r="AE344" i="11"/>
  <c r="AE338" i="11"/>
  <c r="AE301" i="11"/>
  <c r="AE331" i="11"/>
  <c r="AE340" i="11"/>
  <c r="AE339" i="11"/>
  <c r="AE330" i="11"/>
  <c r="AE314" i="11"/>
  <c r="AE311" i="11"/>
  <c r="AE336" i="11"/>
  <c r="AE327" i="11"/>
  <c r="AE303" i="11"/>
  <c r="AE328" i="11"/>
  <c r="AE342" i="11"/>
  <c r="AE332" i="11"/>
  <c r="AE313" i="11"/>
  <c r="AE299" i="11"/>
  <c r="AE333" i="11"/>
  <c r="AE306" i="11"/>
  <c r="AE341" i="11"/>
  <c r="AE316" i="11"/>
  <c r="AE324" i="11"/>
  <c r="AE315" i="11"/>
  <c r="AE298" i="11"/>
  <c r="AE335" i="11"/>
  <c r="AE307" i="11"/>
  <c r="AE305" i="11"/>
  <c r="AE304" i="11"/>
  <c r="AF311" i="11" l="1"/>
  <c r="AF308" i="11"/>
  <c r="AF315" i="11"/>
  <c r="AF331" i="11"/>
  <c r="AF335" i="11"/>
  <c r="AF337" i="11"/>
  <c r="AF299" i="11"/>
  <c r="AF338" i="11"/>
  <c r="AF309" i="11"/>
  <c r="AF333" i="11"/>
  <c r="AG265" i="11"/>
  <c r="AF332" i="11"/>
  <c r="AF334" i="11"/>
  <c r="AF316" i="11"/>
  <c r="AF303" i="11"/>
  <c r="AF336" i="11"/>
  <c r="AF305" i="11"/>
  <c r="AF301" i="11"/>
  <c r="AF297" i="11"/>
  <c r="AF312" i="11"/>
  <c r="AF329" i="11"/>
  <c r="AF310" i="11"/>
  <c r="AF317" i="11"/>
  <c r="AF344" i="11"/>
  <c r="AF298" i="11"/>
  <c r="AF304" i="11"/>
  <c r="AF314" i="11"/>
  <c r="AF343" i="11"/>
  <c r="AF341" i="11"/>
  <c r="AF300" i="11"/>
  <c r="AF302" i="11"/>
  <c r="AF327" i="11"/>
  <c r="AF324" i="11"/>
  <c r="AF330" i="11"/>
  <c r="AF339" i="11"/>
  <c r="AF307" i="11"/>
  <c r="AF340" i="11"/>
  <c r="AF342" i="11"/>
  <c r="AF313" i="11"/>
  <c r="AF328" i="11"/>
  <c r="AF326" i="11"/>
  <c r="AF325" i="11"/>
  <c r="AF306" i="11"/>
  <c r="AG331" i="11" l="1"/>
  <c r="AG308" i="11"/>
  <c r="AH265" i="11"/>
  <c r="AG298" i="11"/>
  <c r="AG340" i="11"/>
  <c r="AG327" i="11"/>
  <c r="AG329" i="11"/>
  <c r="AG309" i="11"/>
  <c r="AG330" i="11"/>
  <c r="AG334" i="11"/>
  <c r="AG311" i="11"/>
  <c r="AG332" i="11"/>
  <c r="AG326" i="11"/>
  <c r="AG307" i="11"/>
  <c r="AG302" i="11"/>
  <c r="AG324" i="11"/>
  <c r="AG310" i="11"/>
  <c r="AG344" i="11"/>
  <c r="AG305" i="11"/>
  <c r="AG301" i="11"/>
  <c r="AG299" i="11"/>
  <c r="AG343" i="11"/>
  <c r="AG312" i="11"/>
  <c r="AG335" i="11"/>
  <c r="AG314" i="11"/>
  <c r="AG303" i="11"/>
  <c r="AG304" i="11"/>
  <c r="AG337" i="11"/>
  <c r="AG333" i="11"/>
  <c r="AG300" i="11"/>
  <c r="AG306" i="11"/>
  <c r="AG325" i="11"/>
  <c r="AG313" i="11"/>
  <c r="AG339" i="11"/>
  <c r="AG342" i="11"/>
  <c r="AG328" i="11"/>
  <c r="AG316" i="11"/>
  <c r="AG315" i="11"/>
  <c r="AG317" i="11"/>
  <c r="AG338" i="11"/>
  <c r="AG336" i="11"/>
  <c r="AG341" i="11"/>
  <c r="AG297" i="11"/>
  <c r="AH341" i="11" l="1"/>
  <c r="AH308" i="11"/>
  <c r="AH302" i="11"/>
  <c r="AH306" i="11"/>
  <c r="AH298" i="11"/>
  <c r="AH310" i="11"/>
  <c r="AH314" i="11"/>
  <c r="AH330" i="11"/>
  <c r="AH300" i="11"/>
  <c r="AH336" i="11"/>
  <c r="AH307" i="11"/>
  <c r="AH339" i="11"/>
  <c r="AH316" i="11"/>
  <c r="AH315" i="11"/>
  <c r="AH338" i="11"/>
  <c r="AH331" i="11"/>
  <c r="AH340" i="11"/>
  <c r="AH342" i="11"/>
  <c r="AH297" i="11"/>
  <c r="AH328" i="11"/>
  <c r="AH305" i="11"/>
  <c r="AH303" i="11"/>
  <c r="AH304" i="11"/>
  <c r="AH312" i="11"/>
  <c r="AH343" i="11"/>
  <c r="AH326" i="11"/>
  <c r="AH337" i="11"/>
  <c r="AH325" i="11"/>
  <c r="AI265" i="11"/>
  <c r="AH334" i="11"/>
  <c r="AH332" i="11"/>
  <c r="AH333" i="11"/>
  <c r="AH309" i="11"/>
  <c r="AH344" i="11"/>
  <c r="AH335" i="11"/>
  <c r="AH317" i="11"/>
  <c r="AH313" i="11"/>
  <c r="AH299" i="11"/>
  <c r="AH301" i="11"/>
  <c r="AH311" i="11"/>
  <c r="AH329" i="11"/>
  <c r="AH327" i="11"/>
  <c r="AH324" i="11"/>
  <c r="AI333" i="11" l="1"/>
  <c r="AI308" i="11"/>
  <c r="AJ265" i="11"/>
  <c r="AI342" i="11"/>
  <c r="AI307" i="11"/>
  <c r="AI337" i="11"/>
  <c r="AI339" i="11"/>
  <c r="AI331" i="11"/>
  <c r="AI306" i="11"/>
  <c r="AI324" i="11"/>
  <c r="AI305" i="11"/>
  <c r="AI326" i="11"/>
  <c r="AI309" i="11"/>
  <c r="AI327" i="11"/>
  <c r="AI332" i="11"/>
  <c r="AI325" i="11"/>
  <c r="AI313" i="11"/>
  <c r="AI317" i="11"/>
  <c r="AI297" i="11"/>
  <c r="AI329" i="11"/>
  <c r="AI340" i="11"/>
  <c r="AI312" i="11"/>
  <c r="AI338" i="11"/>
  <c r="AI343" i="11"/>
  <c r="AI304" i="11"/>
  <c r="AI303" i="11"/>
  <c r="AI300" i="11"/>
  <c r="AI334" i="11"/>
  <c r="AI311" i="11"/>
  <c r="AI330" i="11"/>
  <c r="AI299" i="11"/>
  <c r="AI298" i="11"/>
  <c r="AI344" i="11"/>
  <c r="AI302" i="11"/>
  <c r="AI301" i="11"/>
  <c r="AI316" i="11"/>
  <c r="AI310" i="11"/>
  <c r="AI336" i="11"/>
  <c r="AI315" i="11"/>
  <c r="AI328" i="11"/>
  <c r="AI335" i="11"/>
  <c r="AI314" i="11"/>
  <c r="AI341" i="11"/>
  <c r="AJ327" i="11" l="1"/>
  <c r="AJ308" i="11"/>
  <c r="AJ303" i="11"/>
  <c r="AJ309" i="11"/>
  <c r="AJ313" i="11"/>
  <c r="AJ317" i="11"/>
  <c r="AJ333" i="11"/>
  <c r="AJ344" i="11"/>
  <c r="AJ338" i="11"/>
  <c r="AJ305" i="11"/>
  <c r="AJ300" i="11"/>
  <c r="AK265" i="11"/>
  <c r="AJ325" i="11"/>
  <c r="AJ307" i="11"/>
  <c r="AJ329" i="11"/>
  <c r="AJ316" i="11"/>
  <c r="AJ304" i="11"/>
  <c r="AJ326" i="11"/>
  <c r="AJ298" i="11"/>
  <c r="AJ297" i="11"/>
  <c r="AJ328" i="11"/>
  <c r="AJ310" i="11"/>
  <c r="AJ340" i="11"/>
  <c r="AJ342" i="11"/>
  <c r="AJ311" i="11"/>
  <c r="AJ335" i="11"/>
  <c r="AJ334" i="11"/>
  <c r="AJ302" i="11"/>
  <c r="AJ341" i="11"/>
  <c r="AJ312" i="11"/>
  <c r="AJ306" i="11"/>
  <c r="AJ299" i="11"/>
  <c r="AJ331" i="11"/>
  <c r="AJ330" i="11"/>
  <c r="AJ337" i="11"/>
  <c r="AJ336" i="11"/>
  <c r="AJ332" i="11"/>
  <c r="AJ339" i="11"/>
  <c r="AJ343" i="11"/>
  <c r="AJ301" i="11"/>
  <c r="AJ314" i="11"/>
  <c r="AJ324" i="11"/>
  <c r="AJ315" i="11"/>
  <c r="AK328" i="11" l="1"/>
  <c r="AK308" i="11"/>
  <c r="AK317" i="11"/>
  <c r="AK327" i="11"/>
  <c r="AK297" i="11"/>
  <c r="AK342" i="11"/>
  <c r="AK310" i="11"/>
  <c r="AK325" i="11"/>
  <c r="AK313" i="11"/>
  <c r="AK305" i="11"/>
  <c r="AK307" i="11"/>
  <c r="AK300" i="11"/>
  <c r="AK316" i="11"/>
  <c r="AK311" i="11"/>
  <c r="AK301" i="11"/>
  <c r="AK340" i="11"/>
  <c r="AK335" i="11"/>
  <c r="AK309" i="11"/>
  <c r="AK306" i="11"/>
  <c r="AK329" i="11"/>
  <c r="AK298" i="11"/>
  <c r="AK343" i="11"/>
  <c r="AK312" i="11"/>
  <c r="AK315" i="11"/>
  <c r="AK341" i="11"/>
  <c r="AK334" i="11"/>
  <c r="AK338" i="11"/>
  <c r="AL265" i="11"/>
  <c r="AK339" i="11"/>
  <c r="AK324" i="11"/>
  <c r="AK302" i="11"/>
  <c r="AK331" i="11"/>
  <c r="AK332" i="11"/>
  <c r="AK333" i="11"/>
  <c r="AK314" i="11"/>
  <c r="AK304" i="11"/>
  <c r="AK336" i="11"/>
  <c r="AK344" i="11"/>
  <c r="AK337" i="11"/>
  <c r="AK326" i="11"/>
  <c r="AK303" i="11"/>
  <c r="AK330" i="11"/>
  <c r="AK299" i="11"/>
  <c r="AL344" i="11" l="1"/>
  <c r="AL308" i="11"/>
  <c r="AL342" i="11"/>
  <c r="AL300" i="11"/>
  <c r="AM265" i="11"/>
  <c r="AL307" i="11"/>
  <c r="AL333" i="11"/>
  <c r="AL339" i="11"/>
  <c r="AL328" i="11"/>
  <c r="AL303" i="11"/>
  <c r="AL314" i="11"/>
  <c r="AL310" i="11"/>
  <c r="AL324" i="11"/>
  <c r="AL305" i="11"/>
  <c r="AL338" i="11"/>
  <c r="AL304" i="11"/>
  <c r="AL306" i="11"/>
  <c r="AL325" i="11"/>
  <c r="AL341" i="11"/>
  <c r="AL331" i="11"/>
  <c r="AL297" i="11"/>
  <c r="AL301" i="11"/>
  <c r="AL309" i="11"/>
  <c r="AL326" i="11"/>
  <c r="AL330" i="11"/>
  <c r="AL340" i="11"/>
  <c r="AL313" i="11"/>
  <c r="AL315" i="11"/>
  <c r="AL316" i="11"/>
  <c r="AL343" i="11"/>
  <c r="AL335" i="11"/>
  <c r="AL336" i="11"/>
  <c r="AL337" i="11"/>
  <c r="AL312" i="11"/>
  <c r="AL299" i="11"/>
  <c r="AL332" i="11"/>
  <c r="AL327" i="11"/>
  <c r="AL298" i="11"/>
  <c r="AL311" i="11"/>
  <c r="AL317" i="11"/>
  <c r="AL302" i="11"/>
  <c r="AL334" i="11"/>
  <c r="AL329" i="11"/>
  <c r="AM329" i="11" l="1"/>
  <c r="AM308" i="11"/>
  <c r="AM315" i="11"/>
  <c r="AM325" i="11"/>
  <c r="AM302" i="11"/>
  <c r="AM303" i="11"/>
  <c r="AM343" i="11"/>
  <c r="AM311" i="11"/>
  <c r="AM307" i="11"/>
  <c r="AM313" i="11"/>
  <c r="AM339" i="11"/>
  <c r="AM306" i="11"/>
  <c r="AN265" i="11"/>
  <c r="AN315" i="11" s="1"/>
  <c r="AM299" i="11"/>
  <c r="AM331" i="11"/>
  <c r="AM324" i="11"/>
  <c r="AM336" i="11"/>
  <c r="AM304" i="11"/>
  <c r="AM314" i="11"/>
  <c r="AM338" i="11"/>
  <c r="AM326" i="11"/>
  <c r="AM337" i="11"/>
  <c r="AM330" i="11"/>
  <c r="AM332" i="11"/>
  <c r="AM342" i="11"/>
  <c r="AM305" i="11"/>
  <c r="AM335" i="11"/>
  <c r="AM327" i="11"/>
  <c r="AM316" i="11"/>
  <c r="AM301" i="11"/>
  <c r="AM344" i="11"/>
  <c r="AM317" i="11"/>
  <c r="AM298" i="11"/>
  <c r="AM341" i="11"/>
  <c r="AM333" i="11"/>
  <c r="AM328" i="11"/>
  <c r="AM297" i="11"/>
  <c r="AM310" i="11"/>
  <c r="AM334" i="11"/>
  <c r="AM309" i="11"/>
  <c r="AM300" i="11"/>
  <c r="AM340" i="11"/>
  <c r="AM312" i="11"/>
  <c r="AO265" i="11" l="1"/>
  <c r="AO325" i="11" s="1"/>
  <c r="AN308" i="11"/>
  <c r="AN310" i="11"/>
  <c r="AN327" i="11"/>
  <c r="AN298" i="11"/>
  <c r="AN325" i="11"/>
  <c r="AO315" i="11"/>
  <c r="AO324" i="11"/>
  <c r="AO340" i="11"/>
  <c r="AO328" i="11"/>
  <c r="AO309" i="11"/>
  <c r="AN314" i="11"/>
  <c r="AN300" i="11"/>
  <c r="AO332" i="11"/>
  <c r="AN343" i="11"/>
  <c r="AN340" i="11"/>
  <c r="AN297" i="11"/>
  <c r="AO307" i="11"/>
  <c r="AO300" i="11"/>
  <c r="AP265" i="11"/>
  <c r="AP329" i="11" s="1"/>
  <c r="AN324" i="11"/>
  <c r="AN341" i="11"/>
  <c r="AN326" i="11"/>
  <c r="AN313" i="11"/>
  <c r="AN330" i="11"/>
  <c r="AN342" i="11"/>
  <c r="AN333" i="11"/>
  <c r="AO304" i="11"/>
  <c r="AO312" i="11"/>
  <c r="AO297" i="11"/>
  <c r="AN301" i="11"/>
  <c r="AN311" i="11"/>
  <c r="AN303" i="11"/>
  <c r="AN302" i="11"/>
  <c r="AN328" i="11"/>
  <c r="AN334" i="11"/>
  <c r="AN316" i="11"/>
  <c r="AN336" i="11"/>
  <c r="AN307" i="11"/>
  <c r="AN309" i="11"/>
  <c r="AO327" i="11"/>
  <c r="AO341" i="11"/>
  <c r="AO330" i="11"/>
  <c r="AO335" i="11"/>
  <c r="AO329" i="11"/>
  <c r="AO333" i="11"/>
  <c r="AO314" i="11"/>
  <c r="AO316" i="11"/>
  <c r="AO337" i="11"/>
  <c r="AO339" i="11"/>
  <c r="AN335" i="11"/>
  <c r="AN339" i="11"/>
  <c r="AN304" i="11"/>
  <c r="AN306" i="11"/>
  <c r="AN299" i="11"/>
  <c r="AN305" i="11"/>
  <c r="AN332" i="11"/>
  <c r="AN344" i="11"/>
  <c r="AN337" i="11"/>
  <c r="AN338" i="11"/>
  <c r="AO310" i="11"/>
  <c r="AO301" i="11"/>
  <c r="AO326" i="11"/>
  <c r="AO343" i="11"/>
  <c r="AO336" i="11"/>
  <c r="AO299" i="11"/>
  <c r="AO298" i="11"/>
  <c r="AO303" i="11"/>
  <c r="AN331" i="11"/>
  <c r="AN312" i="11"/>
  <c r="AN317" i="11"/>
  <c r="AN329" i="11"/>
  <c r="AO317" i="11"/>
  <c r="AO342" i="11"/>
  <c r="AO302" i="11"/>
  <c r="AO311" i="11"/>
  <c r="AO334" i="11"/>
  <c r="AO306" i="11"/>
  <c r="AO331" i="11"/>
  <c r="AO313" i="11" l="1"/>
  <c r="AO338" i="11"/>
  <c r="AP340" i="11"/>
  <c r="AO305" i="11"/>
  <c r="AP325" i="11"/>
  <c r="AP308" i="11"/>
  <c r="AP339" i="11"/>
  <c r="AO344" i="11"/>
  <c r="AO308" i="11"/>
  <c r="AP328" i="11"/>
  <c r="AP310" i="11"/>
  <c r="AP326" i="11"/>
  <c r="AP342" i="11"/>
  <c r="AP312" i="11"/>
  <c r="AP330" i="11"/>
  <c r="AP332" i="11"/>
  <c r="AP331" i="11"/>
  <c r="AP309" i="11"/>
  <c r="AP301" i="11"/>
  <c r="AP305" i="11"/>
  <c r="AP334" i="11"/>
  <c r="AP300" i="11"/>
  <c r="AP337" i="11"/>
  <c r="AP324" i="11"/>
  <c r="AP338" i="11"/>
  <c r="AP302" i="11"/>
  <c r="AP344" i="11"/>
  <c r="AP333" i="11"/>
  <c r="AQ265" i="11"/>
  <c r="AQ298" i="11" s="1"/>
  <c r="AP303" i="11"/>
  <c r="AP327" i="11"/>
  <c r="AP306" i="11"/>
  <c r="AP304" i="11"/>
  <c r="AP297" i="11"/>
  <c r="AP299" i="11"/>
  <c r="AP336" i="11"/>
  <c r="AP335" i="11"/>
  <c r="AP307" i="11"/>
  <c r="AP311" i="11"/>
  <c r="AP315" i="11"/>
  <c r="AP317" i="11"/>
  <c r="AP341" i="11"/>
  <c r="AP313" i="11"/>
  <c r="AP316" i="11"/>
  <c r="AP343" i="11"/>
  <c r="AP298" i="11"/>
  <c r="AP314" i="11"/>
  <c r="AQ301" i="11"/>
  <c r="AQ326" i="11" l="1"/>
  <c r="AR326" i="11" s="1"/>
  <c r="K272" i="11" s="1"/>
  <c r="AQ308" i="11"/>
  <c r="AQ305" i="11"/>
  <c r="AR305" i="11" s="1"/>
  <c r="H278" i="11" s="1"/>
  <c r="I278" i="11" s="1"/>
  <c r="J278" i="11" s="1"/>
  <c r="AQ315" i="11"/>
  <c r="AR315" i="11" s="1"/>
  <c r="H288" i="11" s="1"/>
  <c r="I288" i="11" s="1"/>
  <c r="J288" i="11" s="1"/>
  <c r="L288" i="11" s="1"/>
  <c r="AQ313" i="11"/>
  <c r="AR313" i="11" s="1"/>
  <c r="H286" i="11" s="1"/>
  <c r="I286" i="11" s="1"/>
  <c r="J286" i="11" s="1"/>
  <c r="L286" i="11" s="1"/>
  <c r="AQ342" i="11"/>
  <c r="AR342" i="11" s="1"/>
  <c r="AQ335" i="11"/>
  <c r="AR335" i="11" s="1"/>
  <c r="K281" i="11" s="1"/>
  <c r="AQ327" i="11"/>
  <c r="AR327" i="11" s="1"/>
  <c r="AQ309" i="11"/>
  <c r="AR309" i="11" s="1"/>
  <c r="H282" i="11" s="1"/>
  <c r="I282" i="11" s="1"/>
  <c r="J282" i="11" s="1"/>
  <c r="L282" i="11" s="1"/>
  <c r="AQ332" i="11"/>
  <c r="AR332" i="11" s="1"/>
  <c r="K278" i="11" s="1"/>
  <c r="AQ341" i="11"/>
  <c r="AR341" i="11" s="1"/>
  <c r="AQ331" i="11"/>
  <c r="AR331" i="11" s="1"/>
  <c r="K277" i="11" s="1"/>
  <c r="AQ340" i="11"/>
  <c r="AR340" i="11" s="1"/>
  <c r="AQ317" i="11"/>
  <c r="AR317" i="11" s="1"/>
  <c r="H290" i="11" s="1"/>
  <c r="I290" i="11" s="1"/>
  <c r="J290" i="11" s="1"/>
  <c r="L290" i="11" s="1"/>
  <c r="AQ330" i="11"/>
  <c r="AR330" i="11" s="1"/>
  <c r="K276" i="11" s="1"/>
  <c r="AR301" i="11"/>
  <c r="H274" i="11" s="1"/>
  <c r="I274" i="11" s="1"/>
  <c r="J274" i="11" s="1"/>
  <c r="AQ311" i="11"/>
  <c r="AR311" i="11" s="1"/>
  <c r="H284" i="11" s="1"/>
  <c r="I284" i="11" s="1"/>
  <c r="J284" i="11" s="1"/>
  <c r="L284" i="11" s="1"/>
  <c r="AQ303" i="11"/>
  <c r="AR303" i="11" s="1"/>
  <c r="H276" i="11" s="1"/>
  <c r="I276" i="11" s="1"/>
  <c r="J276" i="11" s="1"/>
  <c r="AQ328" i="11"/>
  <c r="AR328" i="11" s="1"/>
  <c r="K274" i="11" s="1"/>
  <c r="AQ297" i="11"/>
  <c r="AR297" i="11" s="1"/>
  <c r="H270" i="11" s="1"/>
  <c r="I270" i="11" s="1"/>
  <c r="J270" i="11" s="1"/>
  <c r="AQ304" i="11"/>
  <c r="AR304" i="11" s="1"/>
  <c r="H277" i="11" s="1"/>
  <c r="I277" i="11" s="1"/>
  <c r="J277" i="11" s="1"/>
  <c r="AQ336" i="11"/>
  <c r="AR336" i="11" s="1"/>
  <c r="AR308" i="11"/>
  <c r="H281" i="11" s="1"/>
  <c r="I281" i="11" s="1"/>
  <c r="J281" i="11" s="1"/>
  <c r="L281" i="11" s="1"/>
  <c r="AR298" i="11"/>
  <c r="H271" i="11" s="1"/>
  <c r="I271" i="11" s="1"/>
  <c r="J271" i="11" s="1"/>
  <c r="L271" i="11" s="1"/>
  <c r="AQ299" i="11"/>
  <c r="AR299" i="11" s="1"/>
  <c r="H272" i="11" s="1"/>
  <c r="I272" i="11" s="1"/>
  <c r="J272" i="11" s="1"/>
  <c r="AQ300" i="11"/>
  <c r="AR300" i="11" s="1"/>
  <c r="H273" i="11" s="1"/>
  <c r="I273" i="11" s="1"/>
  <c r="J273" i="11" s="1"/>
  <c r="L273" i="11" s="1"/>
  <c r="AQ302" i="11"/>
  <c r="AR302" i="11" s="1"/>
  <c r="H275" i="11" s="1"/>
  <c r="I275" i="11" s="1"/>
  <c r="J275" i="11" s="1"/>
  <c r="AQ307" i="11"/>
  <c r="AR307" i="11" s="1"/>
  <c r="H280" i="11" s="1"/>
  <c r="I280" i="11" s="1"/>
  <c r="J280" i="11" s="1"/>
  <c r="L280" i="11" s="1"/>
  <c r="AQ306" i="11"/>
  <c r="AR306" i="11" s="1"/>
  <c r="H279" i="11" s="1"/>
  <c r="I279" i="11" s="1"/>
  <c r="J279" i="11" s="1"/>
  <c r="AQ329" i="11"/>
  <c r="AR329" i="11" s="1"/>
  <c r="K275" i="11" s="1"/>
  <c r="AQ334" i="11"/>
  <c r="AR334" i="11" s="1"/>
  <c r="AQ312" i="11"/>
  <c r="AR312" i="11" s="1"/>
  <c r="H285" i="11" s="1"/>
  <c r="I285" i="11" s="1"/>
  <c r="J285" i="11" s="1"/>
  <c r="L285" i="11" s="1"/>
  <c r="AQ316" i="11"/>
  <c r="AR316" i="11" s="1"/>
  <c r="H289" i="11" s="1"/>
  <c r="I289" i="11" s="1"/>
  <c r="J289" i="11" s="1"/>
  <c r="L289" i="11" s="1"/>
  <c r="AQ343" i="11"/>
  <c r="AR343" i="11" s="1"/>
  <c r="AQ324" i="11"/>
  <c r="AR324" i="11" s="1"/>
  <c r="K270" i="11" s="1"/>
  <c r="AQ310" i="11"/>
  <c r="AR310" i="11" s="1"/>
  <c r="H283" i="11" s="1"/>
  <c r="I283" i="11" s="1"/>
  <c r="J283" i="11" s="1"/>
  <c r="L283" i="11" s="1"/>
  <c r="AQ338" i="11"/>
  <c r="AR338" i="11" s="1"/>
  <c r="AR265" i="11"/>
  <c r="AQ339" i="11"/>
  <c r="AR339" i="11" s="1"/>
  <c r="AQ333" i="11"/>
  <c r="AR333" i="11" s="1"/>
  <c r="K279" i="11" s="1"/>
  <c r="AQ344" i="11"/>
  <c r="AR344" i="11" s="1"/>
  <c r="AQ314" i="11"/>
  <c r="AR314" i="11" s="1"/>
  <c r="H287" i="11" s="1"/>
  <c r="I287" i="11" s="1"/>
  <c r="J287" i="11" s="1"/>
  <c r="L287" i="11" s="1"/>
  <c r="AQ325" i="11"/>
  <c r="AR325" i="11" s="1"/>
  <c r="AQ337" i="11"/>
  <c r="AR337" i="11" s="1"/>
  <c r="L277" i="11" l="1"/>
  <c r="L272" i="11"/>
  <c r="L278" i="11"/>
  <c r="L275" i="11"/>
  <c r="L279" i="11"/>
  <c r="L274" i="11"/>
  <c r="L270" i="11"/>
  <c r="L276" i="11"/>
  <c r="I291" i="11"/>
  <c r="J291" i="11"/>
  <c r="K291" i="11"/>
  <c r="L291" i="11" l="1"/>
</calcChain>
</file>

<file path=xl/sharedStrings.xml><?xml version="1.0" encoding="utf-8"?>
<sst xmlns="http://schemas.openxmlformats.org/spreadsheetml/2006/main" count="1152" uniqueCount="354">
  <si>
    <t>專利類型</t>
    <phoneticPr fontId="1" type="noConversion"/>
  </si>
  <si>
    <t>申請費</t>
    <phoneticPr fontId="1" type="noConversion"/>
  </si>
  <si>
    <t>台灣</t>
    <phoneticPr fontId="1" type="noConversion"/>
  </si>
  <si>
    <t>大陸</t>
    <phoneticPr fontId="1" type="noConversion"/>
  </si>
  <si>
    <t>美國</t>
    <phoneticPr fontId="1" type="noConversion"/>
  </si>
  <si>
    <t>歐洲</t>
    <phoneticPr fontId="1" type="noConversion"/>
  </si>
  <si>
    <t>日本</t>
    <phoneticPr fontId="1" type="noConversion"/>
  </si>
  <si>
    <t>韓國</t>
    <phoneticPr fontId="1" type="noConversion"/>
  </si>
  <si>
    <t>新加坡</t>
    <phoneticPr fontId="1" type="noConversion"/>
  </si>
  <si>
    <t>越南</t>
    <phoneticPr fontId="1" type="noConversion"/>
  </si>
  <si>
    <t>泰國</t>
    <phoneticPr fontId="1" type="noConversion"/>
  </si>
  <si>
    <t>馬來西亞</t>
    <phoneticPr fontId="1" type="noConversion"/>
  </si>
  <si>
    <t>發明</t>
    <phoneticPr fontId="1" type="noConversion"/>
  </si>
  <si>
    <t>幣別</t>
    <phoneticPr fontId="1" type="noConversion"/>
  </si>
  <si>
    <t>NTD</t>
    <phoneticPr fontId="1" type="noConversion"/>
  </si>
  <si>
    <t>CNY</t>
    <phoneticPr fontId="1" type="noConversion"/>
  </si>
  <si>
    <t>USD</t>
    <phoneticPr fontId="1" type="noConversion"/>
  </si>
  <si>
    <t>EUR</t>
    <phoneticPr fontId="1" type="noConversion"/>
  </si>
  <si>
    <t>JPY</t>
    <phoneticPr fontId="1" type="noConversion"/>
  </si>
  <si>
    <t>KRW</t>
    <phoneticPr fontId="1" type="noConversion"/>
  </si>
  <si>
    <t>SGD</t>
    <phoneticPr fontId="1" type="noConversion"/>
  </si>
  <si>
    <t>VND</t>
    <phoneticPr fontId="1" type="noConversion"/>
  </si>
  <si>
    <t>THB</t>
    <phoneticPr fontId="1" type="noConversion"/>
  </si>
  <si>
    <t>MYR</t>
    <phoneticPr fontId="1" type="noConversion"/>
  </si>
  <si>
    <t>基本費</t>
    <phoneticPr fontId="1" type="noConversion"/>
  </si>
  <si>
    <t>總請求項數</t>
    <phoneticPr fontId="1" type="noConversion"/>
  </si>
  <si>
    <t>獨立項數</t>
    <phoneticPr fontId="1" type="noConversion"/>
  </si>
  <si>
    <t>案件基本參數</t>
    <phoneticPr fontId="1" type="noConversion"/>
  </si>
  <si>
    <t>請求項費</t>
    <phoneticPr fontId="1" type="noConversion"/>
  </si>
  <si>
    <t>獨立項費</t>
    <phoneticPr fontId="1" type="noConversion"/>
  </si>
  <si>
    <t>超字費</t>
    <phoneticPr fontId="1" type="noConversion"/>
  </si>
  <si>
    <t>超圖費</t>
    <phoneticPr fontId="1" type="noConversion"/>
  </si>
  <si>
    <t>慧盈服務費細項</t>
    <phoneticPr fontId="1" type="noConversion"/>
  </si>
  <si>
    <t>翻譯費</t>
    <phoneticPr fontId="1" type="noConversion"/>
  </si>
  <si>
    <t>中文案字數</t>
    <phoneticPr fontId="1" type="noConversion"/>
  </si>
  <si>
    <t>英文案字數</t>
    <phoneticPr fontId="1" type="noConversion"/>
  </si>
  <si>
    <t>外國代理人費用
(A2)</t>
    <phoneticPr fontId="1" type="noConversion"/>
  </si>
  <si>
    <t>申請人規模</t>
    <phoneticPr fontId="1" type="noConversion"/>
  </si>
  <si>
    <t>申請人規模</t>
    <phoneticPr fontId="1" type="noConversion"/>
  </si>
  <si>
    <t>500人以上</t>
    <phoneticPr fontId="1" type="noConversion"/>
  </si>
  <si>
    <t>翻譯案</t>
    <phoneticPr fontId="4" type="noConversion"/>
  </si>
  <si>
    <t>單純送件</t>
    <phoneticPr fontId="1" type="noConversion"/>
  </si>
  <si>
    <t>加拿大</t>
    <phoneticPr fontId="1" type="noConversion"/>
  </si>
  <si>
    <t>CAD</t>
    <phoneticPr fontId="1" type="noConversion"/>
  </si>
  <si>
    <t>審查費</t>
    <phoneticPr fontId="1" type="noConversion"/>
  </si>
  <si>
    <t>製圖費</t>
    <phoneticPr fontId="1" type="noConversion"/>
  </si>
  <si>
    <t>特殊程序費</t>
    <phoneticPr fontId="1" type="noConversion"/>
  </si>
  <si>
    <t>折合台幣</t>
    <phoneticPr fontId="1" type="noConversion"/>
  </si>
  <si>
    <t>備註：</t>
    <phoneticPr fontId="1" type="noConversion"/>
  </si>
  <si>
    <t>新型</t>
    <phoneticPr fontId="1" type="noConversion"/>
  </si>
  <si>
    <t>合計</t>
    <phoneticPr fontId="1" type="noConversion"/>
  </si>
  <si>
    <t>初稿案</t>
    <phoneticPr fontId="4" type="noConversion"/>
  </si>
  <si>
    <t>是</t>
    <phoneticPr fontId="1" type="noConversion"/>
  </si>
  <si>
    <t>否</t>
    <phoneticPr fontId="1" type="noConversion"/>
  </si>
  <si>
    <t>同語言轉換案</t>
    <phoneticPr fontId="1" type="noConversion"/>
  </si>
  <si>
    <t>專利類型</t>
    <phoneticPr fontId="1" type="noConversion"/>
  </si>
  <si>
    <t>原幣別金額</t>
    <phoneticPr fontId="1" type="noConversion"/>
  </si>
  <si>
    <t>是否選項</t>
    <phoneticPr fontId="1" type="noConversion"/>
  </si>
  <si>
    <t>附圖張數</t>
    <phoneticPr fontId="1" type="noConversion"/>
  </si>
  <si>
    <r>
      <t>要提供估算結果給客戶時，先把</t>
    </r>
    <r>
      <rPr>
        <b/>
        <sz val="12"/>
        <color rgb="FF0000FF"/>
        <rFont val="新細明體"/>
        <family val="1"/>
        <charset val="136"/>
        <scheme val="minor"/>
      </rPr>
      <t>藍底色「</t>
    </r>
    <r>
      <rPr>
        <b/>
        <sz val="12"/>
        <color theme="1"/>
        <rFont val="新細明體"/>
        <family val="1"/>
        <charset val="136"/>
        <scheme val="minor"/>
      </rPr>
      <t>以外」的欄位都設「隱藏」，只留下</t>
    </r>
    <r>
      <rPr>
        <b/>
        <sz val="12"/>
        <color rgb="FF0000FF"/>
        <rFont val="新細明體"/>
        <family val="1"/>
        <charset val="136"/>
        <scheme val="minor"/>
      </rPr>
      <t>藍底色</t>
    </r>
    <r>
      <rPr>
        <b/>
        <sz val="12"/>
        <color theme="1"/>
        <rFont val="新細明體"/>
        <family val="1"/>
        <charset val="136"/>
        <scheme val="minor"/>
      </rPr>
      <t>的欄位後再copy到WORD或Email中給客戶。</t>
    </r>
    <phoneticPr fontId="1" type="noConversion"/>
  </si>
  <si>
    <t>官方費用
(A1)</t>
    <phoneticPr fontId="1" type="noConversion"/>
  </si>
  <si>
    <t>中小企業</t>
    <phoneticPr fontId="1" type="noConversion"/>
  </si>
  <si>
    <t>繪製申請費圓餅圖專用</t>
    <phoneticPr fontId="1" type="noConversion"/>
  </si>
  <si>
    <t>大企業</t>
    <phoneticPr fontId="1" type="noConversion"/>
  </si>
  <si>
    <t>學校</t>
    <phoneticPr fontId="1" type="noConversion"/>
  </si>
  <si>
    <t>自然人</t>
    <phoneticPr fontId="1" type="noConversion"/>
  </si>
  <si>
    <t>領證繳年費</t>
    <phoneticPr fontId="1" type="noConversion"/>
  </si>
  <si>
    <t>申請人屬性</t>
    <phoneticPr fontId="1" type="noConversion"/>
  </si>
  <si>
    <r>
      <t>下表是委託慧盈專利辦理各國「</t>
    </r>
    <r>
      <rPr>
        <b/>
        <sz val="12"/>
        <color rgb="FFCC00FF"/>
        <rFont val="新細明體"/>
        <family val="1"/>
        <charset val="136"/>
        <scheme val="minor"/>
      </rPr>
      <t>發明/新型專利</t>
    </r>
    <r>
      <rPr>
        <b/>
        <sz val="12"/>
        <color theme="1"/>
        <rFont val="新細明體"/>
        <family val="1"/>
        <charset val="136"/>
        <scheme val="minor"/>
      </rPr>
      <t>」申請案的預估費用。</t>
    </r>
    <r>
      <rPr>
        <b/>
        <sz val="12"/>
        <color rgb="FFFF0000"/>
        <rFont val="新細明體"/>
        <family val="1"/>
        <charset val="136"/>
        <scheme val="minor"/>
      </rPr>
      <t>紅色部份</t>
    </r>
    <r>
      <rPr>
        <b/>
        <sz val="12"/>
        <color theme="1"/>
        <rFont val="新細明體"/>
        <family val="1"/>
        <charset val="136"/>
        <scheme val="minor"/>
      </rPr>
      <t>是可自行調整的數字或選單，</t>
    </r>
    <r>
      <rPr>
        <b/>
        <sz val="12"/>
        <color rgb="FF0000FF"/>
        <rFont val="新細明體"/>
        <family val="1"/>
        <charset val="136"/>
        <scheme val="minor"/>
      </rPr>
      <t>藍色數字</t>
    </r>
    <r>
      <rPr>
        <b/>
        <sz val="12"/>
        <color theme="1"/>
        <rFont val="新細明體"/>
        <family val="1"/>
        <charset val="136"/>
        <scheme val="minor"/>
      </rPr>
      <t>是依照本所收費標準估算的金額。</t>
    </r>
    <phoneticPr fontId="1" type="noConversion"/>
  </si>
  <si>
    <t>申請人屬性</t>
    <phoneticPr fontId="1" type="noConversion"/>
  </si>
  <si>
    <t>計費類型1</t>
  </si>
  <si>
    <t>不申請</t>
    <phoneticPr fontId="4" type="noConversion"/>
  </si>
  <si>
    <t>計費類型(越)</t>
    <phoneticPr fontId="1" type="noConversion"/>
  </si>
  <si>
    <t>計費類型(日韓泰)</t>
    <phoneticPr fontId="1" type="noConversion"/>
  </si>
  <si>
    <t>計費類型(台中美歐新馬加)</t>
    <phoneticPr fontId="1" type="noConversion"/>
  </si>
  <si>
    <t>USD</t>
    <phoneticPr fontId="1" type="noConversion"/>
  </si>
  <si>
    <t>外國代理人費用(A2)</t>
    <phoneticPr fontId="1" type="noConversion"/>
  </si>
  <si>
    <t>官方費用(A1)</t>
    <phoneticPr fontId="1" type="noConversion"/>
  </si>
  <si>
    <t>計費類型(設計)</t>
    <phoneticPr fontId="1" type="noConversion"/>
  </si>
  <si>
    <t>申請</t>
    <phoneticPr fontId="4" type="noConversion"/>
  </si>
  <si>
    <t>人民幣(CNY)</t>
    <phoneticPr fontId="1" type="noConversion"/>
  </si>
  <si>
    <t>美元(USD)</t>
    <phoneticPr fontId="1" type="noConversion"/>
  </si>
  <si>
    <t>歐元(EUR)</t>
    <phoneticPr fontId="1" type="noConversion"/>
  </si>
  <si>
    <t>日圓(JPY)</t>
    <phoneticPr fontId="1" type="noConversion"/>
  </si>
  <si>
    <t>韓元(KRW)</t>
    <phoneticPr fontId="1" type="noConversion"/>
  </si>
  <si>
    <t>新加坡幣(SGD)</t>
    <phoneticPr fontId="1" type="noConversion"/>
  </si>
  <si>
    <t>越南幣(VND)</t>
    <phoneticPr fontId="1" type="noConversion"/>
  </si>
  <si>
    <t>泰幣(THB)</t>
    <phoneticPr fontId="1" type="noConversion"/>
  </si>
  <si>
    <t>馬來幣(MYR)</t>
    <phoneticPr fontId="1" type="noConversion"/>
  </si>
  <si>
    <t>加拿大幣(CAD)</t>
    <phoneticPr fontId="1" type="noConversion"/>
  </si>
  <si>
    <t>←影響美國案、加拿大案的官方費用</t>
    <phoneticPr fontId="1" type="noConversion"/>
  </si>
  <si>
    <t>←影響部分中文案的慧盈服務費</t>
    <phoneticPr fontId="1" type="noConversion"/>
  </si>
  <si>
    <t>←影響部分英文案的慧盈服務費，及部分地區案件的外國代理人費</t>
    <phoneticPr fontId="1" type="noConversion"/>
  </si>
  <si>
    <t>←影響部分地區案件的官方費用，和/或外國代理人費</t>
    <phoneticPr fontId="1" type="noConversion"/>
  </si>
  <si>
    <t>←影響許多地區案件的官方費用，及部分案件的外國代理人費</t>
    <phoneticPr fontId="1" type="noConversion"/>
  </si>
  <si>
    <t>「初稿案」之慧盈服務費</t>
    <phoneticPr fontId="1" type="noConversion"/>
  </si>
  <si>
    <t>繪製申請費與年費加總分析圖</t>
    <phoneticPr fontId="1" type="noConversion"/>
  </si>
  <si>
    <t>←影響部分案件的慧盈服務費、官方費用、或外國代理人費</t>
    <phoneticPr fontId="1" type="noConversion"/>
  </si>
  <si>
    <t>←影響台灣案在年費階段的官方費用，企業需符合經濟部的中小企業認定標準才能算「中小企業」</t>
    <phoneticPr fontId="1" type="noConversion"/>
  </si>
  <si>
    <t>台灣-發明</t>
    <phoneticPr fontId="1" type="noConversion"/>
  </si>
  <si>
    <t>台灣-新型</t>
    <phoneticPr fontId="1" type="noConversion"/>
  </si>
  <si>
    <t>大陸-發明</t>
    <phoneticPr fontId="1" type="noConversion"/>
  </si>
  <si>
    <t>大陸-新型</t>
    <phoneticPr fontId="1" type="noConversion"/>
  </si>
  <si>
    <t>日本-發明</t>
    <phoneticPr fontId="1" type="noConversion"/>
  </si>
  <si>
    <t>日本-新型</t>
    <phoneticPr fontId="1" type="noConversion"/>
  </si>
  <si>
    <t>韓國-發明</t>
    <phoneticPr fontId="1" type="noConversion"/>
  </si>
  <si>
    <t>韓國-新型</t>
    <phoneticPr fontId="1" type="noConversion"/>
  </si>
  <si>
    <t>越南-發明</t>
    <phoneticPr fontId="1" type="noConversion"/>
  </si>
  <si>
    <t>越南-新型</t>
    <phoneticPr fontId="1" type="noConversion"/>
  </si>
  <si>
    <t>泰國-發明</t>
    <phoneticPr fontId="1" type="noConversion"/>
  </si>
  <si>
    <t>泰國-新型</t>
    <phoneticPr fontId="1" type="noConversion"/>
  </si>
  <si>
    <t>馬來西亞-發明</t>
    <phoneticPr fontId="1" type="noConversion"/>
  </si>
  <si>
    <t>馬來西亞-新型</t>
    <phoneticPr fontId="1" type="noConversion"/>
  </si>
  <si>
    <t>計費類型(一案兩請之新型)</t>
    <phoneticPr fontId="1" type="noConversion"/>
  </si>
  <si>
    <t>申請地區</t>
    <phoneticPr fontId="1" type="noConversion"/>
  </si>
  <si>
    <t>申請地區</t>
    <phoneticPr fontId="1" type="noConversion"/>
  </si>
  <si>
    <t>申請地區</t>
    <phoneticPr fontId="1" type="noConversion"/>
  </si>
  <si>
    <r>
      <t>*</t>
    </r>
    <r>
      <rPr>
        <b/>
        <sz val="12"/>
        <color theme="1"/>
        <rFont val="新細明體"/>
        <family val="1"/>
        <charset val="136"/>
      </rPr>
      <t>「計費類型」跟「慧盈服務費」之計算方式有關，選擇方式如下：</t>
    </r>
    <phoneticPr fontId="1" type="noConversion"/>
  </si>
  <si>
    <r>
      <rPr>
        <b/>
        <sz val="12"/>
        <color theme="1"/>
        <rFont val="新細明體"/>
        <family val="1"/>
        <charset val="136"/>
      </rPr>
      <t>　　</t>
    </r>
    <r>
      <rPr>
        <b/>
        <sz val="12"/>
        <color theme="1"/>
        <rFont val="Times New Roman"/>
        <family val="1"/>
      </rPr>
      <t xml:space="preserve">1. </t>
    </r>
    <r>
      <rPr>
        <b/>
        <sz val="12"/>
        <color theme="1"/>
        <rFont val="新細明體"/>
        <family val="1"/>
        <charset val="136"/>
      </rPr>
      <t>選擇需要最先撰稿的案件作為「初稿案」，且「初稿案」的總數只要「一件」就好。</t>
    </r>
    <phoneticPr fontId="1" type="noConversion"/>
  </si>
  <si>
    <r>
      <rPr>
        <b/>
        <sz val="12"/>
        <color theme="1"/>
        <rFont val="新細明體"/>
        <family val="1"/>
        <charset val="136"/>
      </rPr>
      <t>　　</t>
    </r>
    <r>
      <rPr>
        <b/>
        <sz val="12"/>
        <color theme="1"/>
        <rFont val="Times New Roman"/>
        <family val="1"/>
      </rPr>
      <t xml:space="preserve">5. </t>
    </r>
    <r>
      <rPr>
        <b/>
        <sz val="12"/>
        <color theme="1"/>
        <rFont val="新細明體"/>
        <family val="1"/>
        <charset val="136"/>
      </rPr>
      <t>使用「中文」的地區：台灣、大陸；使用「英文」的地區：美國、歐洲、新加坡、馬來西亞、加拿大。</t>
    </r>
    <phoneticPr fontId="1" type="noConversion"/>
  </si>
  <si>
    <r>
      <rPr>
        <b/>
        <sz val="12"/>
        <color theme="1"/>
        <rFont val="新細明體"/>
        <family val="1"/>
        <charset val="136"/>
      </rPr>
      <t>　　</t>
    </r>
    <r>
      <rPr>
        <b/>
        <sz val="12"/>
        <color theme="1"/>
        <rFont val="Times New Roman"/>
        <family val="1"/>
      </rPr>
      <t xml:space="preserve">3. </t>
    </r>
    <r>
      <rPr>
        <b/>
        <sz val="12"/>
        <color theme="1"/>
        <rFont val="新細明體"/>
        <family val="1"/>
        <charset val="136"/>
      </rPr>
      <t>個別案件後續可能發生的核駁答辯費用，以及領取專利證書的費用。</t>
    </r>
    <phoneticPr fontId="1" type="noConversion"/>
  </si>
  <si>
    <r>
      <t>*</t>
    </r>
    <r>
      <rPr>
        <b/>
        <sz val="12"/>
        <color theme="1"/>
        <rFont val="新細明體"/>
        <family val="1"/>
        <charset val="136"/>
      </rPr>
      <t>歐洲案申請時「不」一併申請實審，等將來回覆檢索報告時再決定要不要申請實審。</t>
    </r>
    <phoneticPr fontId="1" type="noConversion"/>
  </si>
  <si>
    <r>
      <t>*</t>
    </r>
    <r>
      <rPr>
        <b/>
        <sz val="12"/>
        <color theme="1"/>
        <rFont val="新細明體"/>
        <family val="1"/>
        <charset val="136"/>
      </rPr>
      <t>日本案跟韓國案的翻譯費皆優先以英文稿字數估價，沒有英文稿時才用中文稿字數估價。</t>
    </r>
    <phoneticPr fontId="1" type="noConversion"/>
  </si>
  <si>
    <r>
      <t>*</t>
    </r>
    <r>
      <rPr>
        <b/>
        <sz val="12"/>
        <color theme="1"/>
        <rFont val="新細明體"/>
        <family val="1"/>
        <charset val="136"/>
      </rPr>
      <t>泰國案需等到案件公開之後才能申請實審。</t>
    </r>
    <phoneticPr fontId="1" type="noConversion"/>
  </si>
  <si>
    <r>
      <t>*</t>
    </r>
    <r>
      <rPr>
        <b/>
        <sz val="12"/>
        <color theme="1"/>
        <rFont val="新細明體"/>
        <family val="1"/>
        <charset val="136"/>
      </rPr>
      <t>「沒有」新型專利制度的地區：美國、新加坡、加拿大。</t>
    </r>
    <phoneticPr fontId="1" type="noConversion"/>
  </si>
  <si>
    <r>
      <t>*</t>
    </r>
    <r>
      <rPr>
        <b/>
        <sz val="12"/>
        <rFont val="新細明體"/>
        <family val="1"/>
        <charset val="136"/>
      </rPr>
      <t>泰國案申請前需要在台辦理委任書</t>
    </r>
    <r>
      <rPr>
        <b/>
        <sz val="12"/>
        <rFont val="Times New Roman"/>
        <family val="1"/>
      </rPr>
      <t>(POA)</t>
    </r>
    <r>
      <rPr>
        <b/>
        <sz val="12"/>
        <rFont val="新細明體"/>
        <family val="1"/>
        <charset val="136"/>
      </rPr>
      <t>的公證跟認證程序。</t>
    </r>
    <phoneticPr fontId="1" type="noConversion"/>
  </si>
  <si>
    <r>
      <t>*</t>
    </r>
    <r>
      <rPr>
        <b/>
        <sz val="12"/>
        <color theme="1"/>
        <rFont val="新細明體"/>
        <family val="1"/>
        <charset val="136"/>
      </rPr>
      <t>由於專利申請態樣的組合甚多，上表自動檢核各案之「計費類型」有無選擇錯誤的能力有限，若有疑問請與本所聯繫。</t>
    </r>
    <phoneticPr fontId="1" type="noConversion"/>
  </si>
  <si>
    <r>
      <t>*</t>
    </r>
    <r>
      <rPr>
        <b/>
        <sz val="12"/>
        <color rgb="FFFF0000"/>
        <rFont val="新細明體"/>
        <family val="1"/>
        <charset val="136"/>
      </rPr>
      <t>「允許」發明與新型一案兩請的地區：台灣、大陸、越南、馬來西亞。</t>
    </r>
    <phoneticPr fontId="1" type="noConversion"/>
  </si>
  <si>
    <r>
      <rPr>
        <b/>
        <sz val="12"/>
        <color rgb="FFFF0000"/>
        <rFont val="新細明體"/>
        <family val="1"/>
        <charset val="136"/>
      </rPr>
      <t>【公開版刪除此列】</t>
    </r>
  </si>
  <si>
    <t>　　2. 各地區官方或代理人因案件篇幅過長所收取的「超頁費」。</t>
  </si>
  <si>
    <r>
      <t>*</t>
    </r>
    <r>
      <rPr>
        <b/>
        <sz val="12"/>
        <color rgb="FFFF0000"/>
        <rFont val="新細明體"/>
        <family val="1"/>
        <charset val="136"/>
      </rPr>
      <t>「不允許」發明與新型一案兩請的地區：日本、韓國、泰國、印尼。</t>
    </r>
    <phoneticPr fontId="1" type="noConversion"/>
  </si>
  <si>
    <t>印尼</t>
    <phoneticPr fontId="1" type="noConversion"/>
  </si>
  <si>
    <t>印尼-發明</t>
    <phoneticPr fontId="1" type="noConversion"/>
  </si>
  <si>
    <t>印尼-新型</t>
    <phoneticPr fontId="1" type="noConversion"/>
  </si>
  <si>
    <r>
      <t>*</t>
    </r>
    <r>
      <rPr>
        <b/>
        <sz val="12"/>
        <color theme="1"/>
        <rFont val="新細明體"/>
        <family val="1"/>
        <charset val="136"/>
      </rPr>
      <t>越南案、泰國案、印尼案皆係以英文稿字數來估算代理人費用，若無申請其他地區的英文對應案，則另需額外翻譯費用。</t>
    </r>
    <phoneticPr fontId="1" type="noConversion"/>
  </si>
  <si>
    <r>
      <t>*</t>
    </r>
    <r>
      <rPr>
        <b/>
        <sz val="12"/>
        <color theme="1"/>
        <rFont val="新細明體"/>
        <family val="1"/>
        <charset val="136"/>
      </rPr>
      <t>「新型專利需要實審」的地區：韓國、越南、馬來西亞、印尼。</t>
    </r>
    <phoneticPr fontId="1" type="noConversion"/>
  </si>
  <si>
    <r>
      <rPr>
        <b/>
        <sz val="12"/>
        <color theme="1"/>
        <rFont val="新細明體"/>
        <family val="1"/>
        <charset val="136"/>
      </rPr>
      <t>　　</t>
    </r>
    <r>
      <rPr>
        <b/>
        <sz val="12"/>
        <color theme="1"/>
        <rFont val="Times New Roman"/>
        <family val="1"/>
      </rPr>
      <t xml:space="preserve">2. </t>
    </r>
    <r>
      <rPr>
        <b/>
        <sz val="12"/>
        <color theme="1"/>
        <rFont val="新細明體"/>
        <family val="1"/>
        <charset val="136"/>
      </rPr>
      <t>跟「初稿案」使用語言「相同」的其他案件，計費類型都選「同語言轉換案」即可，費用較優惠。</t>
    </r>
    <phoneticPr fontId="1" type="noConversion"/>
  </si>
  <si>
    <r>
      <rPr>
        <b/>
        <sz val="12"/>
        <color theme="1"/>
        <rFont val="新細明體"/>
        <family val="1"/>
        <charset val="136"/>
      </rPr>
      <t>　　</t>
    </r>
    <r>
      <rPr>
        <b/>
        <sz val="12"/>
        <color theme="1"/>
        <rFont val="Times New Roman"/>
        <family val="1"/>
      </rPr>
      <t xml:space="preserve">3. </t>
    </r>
    <r>
      <rPr>
        <b/>
        <sz val="12"/>
        <color theme="1"/>
        <rFont val="新細明體"/>
        <family val="1"/>
        <charset val="136"/>
      </rPr>
      <t>要提出申請、但跟「初稿案」使用語言「不同」的其他案件，每種語言的案件中要選「一件」作為「翻譯案」。</t>
    </r>
    <phoneticPr fontId="1" type="noConversion"/>
  </si>
  <si>
    <r>
      <rPr>
        <b/>
        <sz val="12"/>
        <color theme="1"/>
        <rFont val="新細明體"/>
        <family val="1"/>
        <charset val="136"/>
      </rPr>
      <t>　　</t>
    </r>
    <r>
      <rPr>
        <b/>
        <sz val="12"/>
        <color theme="1"/>
        <rFont val="Times New Roman"/>
        <family val="1"/>
      </rPr>
      <t xml:space="preserve">4. </t>
    </r>
    <r>
      <rPr>
        <b/>
        <sz val="12"/>
        <color theme="1"/>
        <rFont val="新細明體"/>
        <family val="1"/>
        <charset val="136"/>
      </rPr>
      <t>跟「翻譯案」使用語言「相同」的其他案件，計費類型都選「同語言轉換案」即可，費用較優惠。</t>
    </r>
    <phoneticPr fontId="1" type="noConversion"/>
  </si>
  <si>
    <r>
      <rPr>
        <b/>
        <sz val="12"/>
        <color theme="1"/>
        <rFont val="新細明體"/>
        <family val="1"/>
        <charset val="136"/>
      </rPr>
      <t>　　</t>
    </r>
    <r>
      <rPr>
        <b/>
        <sz val="12"/>
        <color theme="1"/>
        <rFont val="Times New Roman"/>
        <family val="1"/>
      </rPr>
      <t xml:space="preserve">1. </t>
    </r>
    <r>
      <rPr>
        <b/>
        <sz val="12"/>
        <color theme="1"/>
        <rFont val="新細明體"/>
        <family val="1"/>
        <charset val="136"/>
      </rPr>
      <t>個別案件之「主張優先權」、「申請優先權證」、「提呈</t>
    </r>
    <r>
      <rPr>
        <b/>
        <sz val="12"/>
        <color theme="1"/>
        <rFont val="Times New Roman"/>
        <family val="1"/>
      </rPr>
      <t>IDS</t>
    </r>
    <r>
      <rPr>
        <b/>
        <sz val="12"/>
        <color theme="1"/>
        <rFont val="新細明體"/>
        <family val="1"/>
        <charset val="136"/>
      </rPr>
      <t>」、「補正文件」等額外程序費用。</t>
    </r>
    <phoneticPr fontId="1" type="noConversion"/>
  </si>
  <si>
    <r>
      <t>*</t>
    </r>
    <r>
      <rPr>
        <b/>
        <sz val="12"/>
        <color theme="1"/>
        <rFont val="新細明體"/>
        <family val="1"/>
        <charset val="136"/>
      </rPr>
      <t>上表計算結果僅係送件申請的概估費用，並「不」包含以下費用：</t>
    </r>
    <phoneticPr fontId="1" type="noConversion"/>
  </si>
  <si>
    <t>計費項目</t>
    <phoneticPr fontId="1" type="noConversion"/>
  </si>
  <si>
    <t>官方費用</t>
    <phoneticPr fontId="1" type="noConversion"/>
  </si>
  <si>
    <t>外國代理人費</t>
    <phoneticPr fontId="1" type="noConversion"/>
  </si>
  <si>
    <t>慧盈服務費</t>
    <phoneticPr fontId="1" type="noConversion"/>
  </si>
  <si>
    <t>匯率基礎</t>
    <phoneticPr fontId="1" type="noConversion"/>
  </si>
  <si>
    <t>菲律賓</t>
    <phoneticPr fontId="1" type="noConversion"/>
  </si>
  <si>
    <t>設計類型</t>
    <phoneticPr fontId="1" type="noConversion"/>
  </si>
  <si>
    <t>1 = 圖像設計</t>
    <phoneticPr fontId="4" type="noConversion"/>
  </si>
  <si>
    <t>2 = 其他設計</t>
    <phoneticPr fontId="4" type="noConversion"/>
  </si>
  <si>
    <r>
      <rPr>
        <b/>
        <sz val="12"/>
        <color theme="1"/>
        <rFont val="標楷體"/>
        <family val="4"/>
        <charset val="136"/>
      </rPr>
      <t>案件基本參數</t>
    </r>
    <phoneticPr fontId="1" type="noConversion"/>
  </si>
  <si>
    <r>
      <rPr>
        <b/>
        <sz val="12"/>
        <color theme="1"/>
        <rFont val="標楷體"/>
        <family val="4"/>
        <charset val="136"/>
      </rPr>
      <t>計費項目</t>
    </r>
    <phoneticPr fontId="1" type="noConversion"/>
  </si>
  <si>
    <r>
      <rPr>
        <b/>
        <sz val="12"/>
        <color theme="1"/>
        <rFont val="標楷體"/>
        <family val="4"/>
        <charset val="136"/>
      </rPr>
      <t>匯率基礎</t>
    </r>
    <phoneticPr fontId="1" type="noConversion"/>
  </si>
  <si>
    <r>
      <t>(</t>
    </r>
    <r>
      <rPr>
        <b/>
        <sz val="10"/>
        <color rgb="FFFF0000"/>
        <rFont val="標楷體"/>
        <family val="4"/>
        <charset val="136"/>
      </rPr>
      <t>正常要全勾</t>
    </r>
    <r>
      <rPr>
        <b/>
        <sz val="10"/>
        <color rgb="FFFF0000"/>
        <rFont val="Times New Roman"/>
        <family val="1"/>
      </rPr>
      <t>)</t>
    </r>
    <phoneticPr fontId="1" type="noConversion"/>
  </si>
  <si>
    <r>
      <rPr>
        <b/>
        <sz val="12"/>
        <color theme="1"/>
        <rFont val="標楷體"/>
        <family val="4"/>
        <charset val="136"/>
      </rPr>
      <t>美元</t>
    </r>
    <r>
      <rPr>
        <b/>
        <sz val="12"/>
        <color theme="1"/>
        <rFont val="Times New Roman"/>
        <family val="1"/>
      </rPr>
      <t>(USD)</t>
    </r>
    <phoneticPr fontId="1" type="noConversion"/>
  </si>
  <si>
    <r>
      <rPr>
        <b/>
        <sz val="12"/>
        <color theme="1"/>
        <rFont val="標楷體"/>
        <family val="4"/>
        <charset val="136"/>
      </rPr>
      <t>人民幣</t>
    </r>
    <r>
      <rPr>
        <b/>
        <sz val="12"/>
        <color theme="1"/>
        <rFont val="Times New Roman"/>
        <family val="1"/>
      </rPr>
      <t>(CNY)</t>
    </r>
    <phoneticPr fontId="1" type="noConversion"/>
  </si>
  <si>
    <r>
      <rPr>
        <b/>
        <sz val="12"/>
        <color theme="1"/>
        <rFont val="標楷體"/>
        <family val="4"/>
        <charset val="136"/>
      </rPr>
      <t>歐元</t>
    </r>
    <r>
      <rPr>
        <b/>
        <sz val="12"/>
        <color theme="1"/>
        <rFont val="Times New Roman"/>
        <family val="1"/>
      </rPr>
      <t>(EUR)</t>
    </r>
    <phoneticPr fontId="1" type="noConversion"/>
  </si>
  <si>
    <r>
      <rPr>
        <b/>
        <sz val="12"/>
        <color theme="1"/>
        <rFont val="標楷體"/>
        <family val="4"/>
        <charset val="136"/>
      </rPr>
      <t>新加坡幣</t>
    </r>
    <r>
      <rPr>
        <b/>
        <sz val="12"/>
        <color theme="1"/>
        <rFont val="Times New Roman"/>
        <family val="1"/>
      </rPr>
      <t>(SGD)</t>
    </r>
    <phoneticPr fontId="1" type="noConversion"/>
  </si>
  <si>
    <r>
      <rPr>
        <b/>
        <sz val="12"/>
        <color theme="1"/>
        <rFont val="標楷體"/>
        <family val="4"/>
        <charset val="136"/>
      </rPr>
      <t>日圓</t>
    </r>
    <r>
      <rPr>
        <b/>
        <sz val="12"/>
        <color theme="1"/>
        <rFont val="Times New Roman"/>
        <family val="1"/>
      </rPr>
      <t>(JPY)</t>
    </r>
    <phoneticPr fontId="1" type="noConversion"/>
  </si>
  <si>
    <r>
      <rPr>
        <b/>
        <sz val="12"/>
        <color theme="1"/>
        <rFont val="標楷體"/>
        <family val="4"/>
        <charset val="136"/>
      </rPr>
      <t>越南幣</t>
    </r>
    <r>
      <rPr>
        <b/>
        <sz val="12"/>
        <color theme="1"/>
        <rFont val="Times New Roman"/>
        <family val="1"/>
      </rPr>
      <t>(VND)</t>
    </r>
    <phoneticPr fontId="1" type="noConversion"/>
  </si>
  <si>
    <r>
      <rPr>
        <b/>
        <sz val="12"/>
        <color theme="1"/>
        <rFont val="標楷體"/>
        <family val="4"/>
        <charset val="136"/>
      </rPr>
      <t>韓元</t>
    </r>
    <r>
      <rPr>
        <b/>
        <sz val="12"/>
        <color theme="1"/>
        <rFont val="Times New Roman"/>
        <family val="1"/>
      </rPr>
      <t>(KRW)</t>
    </r>
    <phoneticPr fontId="1" type="noConversion"/>
  </si>
  <si>
    <r>
      <rPr>
        <b/>
        <sz val="12"/>
        <color theme="1"/>
        <rFont val="標楷體"/>
        <family val="4"/>
        <charset val="136"/>
      </rPr>
      <t>馬來幣</t>
    </r>
    <r>
      <rPr>
        <b/>
        <sz val="12"/>
        <color theme="1"/>
        <rFont val="Times New Roman"/>
        <family val="1"/>
      </rPr>
      <t>(MYR)</t>
    </r>
    <phoneticPr fontId="1" type="noConversion"/>
  </si>
  <si>
    <r>
      <rPr>
        <b/>
        <sz val="12"/>
        <color theme="1"/>
        <rFont val="標楷體"/>
        <family val="4"/>
        <charset val="136"/>
      </rPr>
      <t>申請人規模</t>
    </r>
    <phoneticPr fontId="1" type="noConversion"/>
  </si>
  <si>
    <r>
      <rPr>
        <b/>
        <sz val="12"/>
        <color theme="1"/>
        <rFont val="標楷體"/>
        <family val="4"/>
        <charset val="136"/>
      </rPr>
      <t>泰幣</t>
    </r>
    <r>
      <rPr>
        <b/>
        <sz val="12"/>
        <color theme="1"/>
        <rFont val="Times New Roman"/>
        <family val="1"/>
      </rPr>
      <t>(THB)</t>
    </r>
    <phoneticPr fontId="1" type="noConversion"/>
  </si>
  <si>
    <r>
      <rPr>
        <b/>
        <sz val="12"/>
        <color theme="1"/>
        <rFont val="標楷體"/>
        <family val="4"/>
        <charset val="136"/>
      </rPr>
      <t>加拿大幣</t>
    </r>
    <r>
      <rPr>
        <b/>
        <sz val="12"/>
        <color theme="1"/>
        <rFont val="Times New Roman"/>
        <family val="1"/>
      </rPr>
      <t>(CAD)</t>
    </r>
    <phoneticPr fontId="1" type="noConversion"/>
  </si>
  <si>
    <r>
      <rPr>
        <b/>
        <sz val="12"/>
        <color theme="1"/>
        <rFont val="標楷體"/>
        <family val="4"/>
        <charset val="136"/>
      </rPr>
      <t>申請人屬性</t>
    </r>
    <phoneticPr fontId="1" type="noConversion"/>
  </si>
  <si>
    <r>
      <rPr>
        <b/>
        <sz val="12"/>
        <color theme="1"/>
        <rFont val="標楷體"/>
        <family val="4"/>
        <charset val="136"/>
      </rPr>
      <t>申請地區</t>
    </r>
    <phoneticPr fontId="1" type="noConversion"/>
  </si>
  <si>
    <r>
      <rPr>
        <b/>
        <sz val="12"/>
        <color theme="1"/>
        <rFont val="標楷體"/>
        <family val="4"/>
        <charset val="136"/>
      </rPr>
      <t>專利類型</t>
    </r>
    <phoneticPr fontId="1" type="noConversion"/>
  </si>
  <si>
    <r>
      <rPr>
        <b/>
        <sz val="12"/>
        <color theme="1"/>
        <rFont val="標楷體"/>
        <family val="4"/>
        <charset val="136"/>
      </rPr>
      <t xml:space="preserve">是否申請
</t>
    </r>
    <r>
      <rPr>
        <b/>
        <sz val="12"/>
        <color rgb="FFFF0000"/>
        <rFont val="Times New Roman"/>
        <family val="1"/>
      </rPr>
      <t>(</t>
    </r>
    <r>
      <rPr>
        <b/>
        <sz val="12"/>
        <color rgb="FFFF0000"/>
        <rFont val="標楷體"/>
        <family val="4"/>
        <charset val="136"/>
      </rPr>
      <t>請勾選</t>
    </r>
    <r>
      <rPr>
        <b/>
        <sz val="12"/>
        <color rgb="FFFF0000"/>
        <rFont val="Times New Roman"/>
        <family val="1"/>
      </rPr>
      <t>)</t>
    </r>
    <phoneticPr fontId="1" type="noConversion"/>
  </si>
  <si>
    <r>
      <rPr>
        <b/>
        <sz val="12"/>
        <color theme="1"/>
        <rFont val="標楷體"/>
        <family val="4"/>
        <charset val="136"/>
      </rPr>
      <t xml:space="preserve">官方費用
</t>
    </r>
    <r>
      <rPr>
        <b/>
        <sz val="12"/>
        <color theme="1"/>
        <rFont val="Times New Roman"/>
        <family val="1"/>
      </rPr>
      <t>(A1)</t>
    </r>
    <phoneticPr fontId="1" type="noConversion"/>
  </si>
  <si>
    <r>
      <rPr>
        <b/>
        <sz val="12"/>
        <color theme="1"/>
        <rFont val="標楷體"/>
        <family val="4"/>
        <charset val="136"/>
      </rPr>
      <t xml:space="preserve">外國代理人費用
</t>
    </r>
    <r>
      <rPr>
        <b/>
        <sz val="12"/>
        <color theme="1"/>
        <rFont val="Times New Roman"/>
        <family val="1"/>
      </rPr>
      <t>(A2)</t>
    </r>
    <phoneticPr fontId="1" type="noConversion"/>
  </si>
  <si>
    <r>
      <rPr>
        <b/>
        <sz val="12"/>
        <color theme="1"/>
        <rFont val="標楷體"/>
        <family val="4"/>
        <charset val="136"/>
      </rPr>
      <t>幣別</t>
    </r>
    <phoneticPr fontId="1" type="noConversion"/>
  </si>
  <si>
    <r>
      <rPr>
        <b/>
        <sz val="12"/>
        <color theme="1"/>
        <rFont val="標楷體"/>
        <family val="4"/>
        <charset val="136"/>
      </rPr>
      <t>原幣別金額</t>
    </r>
    <phoneticPr fontId="1" type="noConversion"/>
  </si>
  <si>
    <r>
      <rPr>
        <b/>
        <sz val="12"/>
        <color theme="1"/>
        <rFont val="標楷體"/>
        <family val="4"/>
        <charset val="136"/>
      </rPr>
      <t>折合台幣</t>
    </r>
    <phoneticPr fontId="1" type="noConversion"/>
  </si>
  <si>
    <r>
      <rPr>
        <b/>
        <sz val="12"/>
        <color theme="1"/>
        <rFont val="標楷體"/>
        <family val="4"/>
        <charset val="136"/>
      </rPr>
      <t>台灣</t>
    </r>
    <phoneticPr fontId="1" type="noConversion"/>
  </si>
  <si>
    <r>
      <rPr>
        <b/>
        <sz val="12"/>
        <color theme="1"/>
        <rFont val="標楷體"/>
        <family val="4"/>
        <charset val="136"/>
      </rPr>
      <t>大陸</t>
    </r>
    <phoneticPr fontId="1" type="noConversion"/>
  </si>
  <si>
    <r>
      <rPr>
        <b/>
        <sz val="12"/>
        <color theme="1"/>
        <rFont val="標楷體"/>
        <family val="4"/>
        <charset val="136"/>
      </rPr>
      <t>美國</t>
    </r>
    <phoneticPr fontId="1" type="noConversion"/>
  </si>
  <si>
    <r>
      <rPr>
        <b/>
        <sz val="12"/>
        <color theme="1"/>
        <rFont val="標楷體"/>
        <family val="4"/>
        <charset val="136"/>
      </rPr>
      <t>日本</t>
    </r>
    <phoneticPr fontId="1" type="noConversion"/>
  </si>
  <si>
    <r>
      <rPr>
        <b/>
        <sz val="12"/>
        <color theme="1"/>
        <rFont val="標楷體"/>
        <family val="4"/>
        <charset val="136"/>
      </rPr>
      <t>韓國</t>
    </r>
    <phoneticPr fontId="1" type="noConversion"/>
  </si>
  <si>
    <r>
      <rPr>
        <b/>
        <sz val="12"/>
        <color theme="1"/>
        <rFont val="標楷體"/>
        <family val="4"/>
        <charset val="136"/>
      </rPr>
      <t>新加坡</t>
    </r>
    <phoneticPr fontId="1" type="noConversion"/>
  </si>
  <si>
    <r>
      <rPr>
        <b/>
        <sz val="12"/>
        <color theme="1"/>
        <rFont val="標楷體"/>
        <family val="4"/>
        <charset val="136"/>
      </rPr>
      <t>越南</t>
    </r>
    <phoneticPr fontId="1" type="noConversion"/>
  </si>
  <si>
    <r>
      <rPr>
        <b/>
        <sz val="12"/>
        <color theme="1"/>
        <rFont val="標楷體"/>
        <family val="4"/>
        <charset val="136"/>
      </rPr>
      <t>泰國</t>
    </r>
    <phoneticPr fontId="1" type="noConversion"/>
  </si>
  <si>
    <r>
      <rPr>
        <b/>
        <sz val="12"/>
        <color theme="1"/>
        <rFont val="標楷體"/>
        <family val="4"/>
        <charset val="136"/>
      </rPr>
      <t>馬來西亞</t>
    </r>
    <phoneticPr fontId="1" type="noConversion"/>
  </si>
  <si>
    <r>
      <rPr>
        <b/>
        <sz val="12"/>
        <color theme="1"/>
        <rFont val="標楷體"/>
        <family val="4"/>
        <charset val="136"/>
      </rPr>
      <t>印尼</t>
    </r>
    <phoneticPr fontId="1" type="noConversion"/>
  </si>
  <si>
    <r>
      <rPr>
        <b/>
        <sz val="12"/>
        <color theme="1"/>
        <rFont val="標楷體"/>
        <family val="4"/>
        <charset val="136"/>
      </rPr>
      <t>合計</t>
    </r>
    <phoneticPr fontId="1" type="noConversion"/>
  </si>
  <si>
    <r>
      <rPr>
        <b/>
        <sz val="12"/>
        <color theme="1"/>
        <rFont val="標楷體"/>
        <family val="4"/>
        <charset val="136"/>
      </rPr>
      <t>以下為慧盈提供各地區「發明</t>
    </r>
    <r>
      <rPr>
        <b/>
        <sz val="12"/>
        <color theme="1"/>
        <rFont val="Times New Roman"/>
        <family val="1"/>
      </rPr>
      <t>/</t>
    </r>
    <r>
      <rPr>
        <b/>
        <sz val="12"/>
        <color theme="1"/>
        <rFont val="標楷體"/>
        <family val="4"/>
        <charset val="136"/>
      </rPr>
      <t>新型專利」申請服務之預估費用。</t>
    </r>
    <r>
      <rPr>
        <b/>
        <sz val="12"/>
        <color rgb="FFFF0000"/>
        <rFont val="標楷體"/>
        <family val="4"/>
        <charset val="136"/>
      </rPr>
      <t>紅色部份</t>
    </r>
    <r>
      <rPr>
        <b/>
        <sz val="12"/>
        <color theme="1"/>
        <rFont val="標楷體"/>
        <family val="4"/>
        <charset val="136"/>
      </rPr>
      <t>是您可自行調整的數字</t>
    </r>
    <r>
      <rPr>
        <b/>
        <sz val="12"/>
        <color theme="1"/>
        <rFont val="Times New Roman"/>
        <family val="1"/>
      </rPr>
      <t>/</t>
    </r>
    <r>
      <rPr>
        <b/>
        <sz val="12"/>
        <color theme="1"/>
        <rFont val="標楷體"/>
        <family val="4"/>
        <charset val="136"/>
      </rPr>
      <t>選項，</t>
    </r>
    <r>
      <rPr>
        <b/>
        <sz val="12"/>
        <color rgb="FF0000FF"/>
        <rFont val="標楷體"/>
        <family val="4"/>
        <charset val="136"/>
      </rPr>
      <t>藍色數字</t>
    </r>
    <r>
      <rPr>
        <b/>
        <sz val="12"/>
        <color theme="1"/>
        <rFont val="標楷體"/>
        <family val="4"/>
        <charset val="136"/>
      </rPr>
      <t>是依照收費標準估算的金額。</t>
    </r>
    <phoneticPr fontId="1" type="noConversion"/>
  </si>
  <si>
    <r>
      <rPr>
        <b/>
        <sz val="12"/>
        <color theme="1"/>
        <rFont val="標楷體"/>
        <family val="4"/>
        <charset val="136"/>
      </rPr>
      <t>中文案字數</t>
    </r>
    <phoneticPr fontId="1" type="noConversion"/>
  </si>
  <si>
    <r>
      <rPr>
        <b/>
        <sz val="12"/>
        <color theme="1"/>
        <rFont val="標楷體"/>
        <family val="4"/>
        <charset val="136"/>
      </rPr>
      <t>英文案字數</t>
    </r>
    <phoneticPr fontId="1" type="noConversion"/>
  </si>
  <si>
    <r>
      <rPr>
        <b/>
        <sz val="12"/>
        <color theme="1"/>
        <rFont val="標楷體"/>
        <family val="4"/>
        <charset val="136"/>
      </rPr>
      <t>總請求項數</t>
    </r>
    <phoneticPr fontId="1" type="noConversion"/>
  </si>
  <si>
    <r>
      <rPr>
        <b/>
        <sz val="12"/>
        <color theme="1"/>
        <rFont val="標楷體"/>
        <family val="4"/>
        <charset val="136"/>
      </rPr>
      <t>獨立項數</t>
    </r>
    <phoneticPr fontId="1" type="noConversion"/>
  </si>
  <si>
    <r>
      <rPr>
        <b/>
        <sz val="12"/>
        <color theme="1"/>
        <rFont val="標楷體"/>
        <family val="4"/>
        <charset val="136"/>
      </rPr>
      <t>附圖張數</t>
    </r>
    <phoneticPr fontId="1" type="noConversion"/>
  </si>
  <si>
    <r>
      <rPr>
        <b/>
        <sz val="12"/>
        <rFont val="標楷體"/>
        <family val="4"/>
        <charset val="136"/>
      </rPr>
      <t>發明</t>
    </r>
    <phoneticPr fontId="1" type="noConversion"/>
  </si>
  <si>
    <r>
      <rPr>
        <b/>
        <sz val="12"/>
        <rFont val="標楷體"/>
        <family val="4"/>
        <charset val="136"/>
      </rPr>
      <t>新型</t>
    </r>
    <phoneticPr fontId="1" type="noConversion"/>
  </si>
  <si>
    <r>
      <rPr>
        <b/>
        <sz val="12"/>
        <color theme="1"/>
        <rFont val="標楷體"/>
        <family val="4"/>
        <charset val="136"/>
      </rPr>
      <t>歐洲</t>
    </r>
    <phoneticPr fontId="1" type="noConversion"/>
  </si>
  <si>
    <r>
      <rPr>
        <b/>
        <sz val="12"/>
        <color theme="1"/>
        <rFont val="標楷體"/>
        <family val="4"/>
        <charset val="136"/>
      </rPr>
      <t>加拿大</t>
    </r>
    <phoneticPr fontId="1" type="noConversion"/>
  </si>
  <si>
    <t>中小企業</t>
  </si>
  <si>
    <t>小計</t>
    <phoneticPr fontId="1" type="noConversion"/>
  </si>
  <si>
    <t>類型</t>
    <phoneticPr fontId="1" type="noConversion"/>
  </si>
  <si>
    <t>繳費年數，領證會含第一次年費，所以年費不能從第1年起算</t>
    <phoneticPr fontId="1" type="noConversion"/>
  </si>
  <si>
    <t>各年度官費</t>
    <phoneticPr fontId="1" type="noConversion"/>
  </si>
  <si>
    <t>各年官費（領證費會包含「第一次年費」，所以「第一次年費」要填0，以避免重複計算）</t>
    <phoneticPr fontId="1" type="noConversion"/>
  </si>
  <si>
    <t>不同繳納年數之累計官費</t>
    <phoneticPr fontId="1" type="noConversion"/>
  </si>
  <si>
    <t>各年度國外代理人費</t>
    <phoneticPr fontId="1" type="noConversion"/>
  </si>
  <si>
    <t>各年度慧盈服務費</t>
    <phoneticPr fontId="1" type="noConversion"/>
  </si>
  <si>
    <t>累計國外代理人費</t>
    <phoneticPr fontId="1" type="noConversion"/>
  </si>
  <si>
    <t>累計慧盈服務費</t>
    <phoneticPr fontId="1" type="noConversion"/>
  </si>
  <si>
    <r>
      <t>第一部分：辦理各地區「</t>
    </r>
    <r>
      <rPr>
        <b/>
        <sz val="12"/>
        <color rgb="FFCC00FF"/>
        <rFont val="新細明體"/>
        <family val="1"/>
        <charset val="136"/>
        <scheme val="minor"/>
      </rPr>
      <t>發明/新型專利</t>
    </r>
    <r>
      <rPr>
        <b/>
        <sz val="12"/>
        <color theme="1"/>
        <rFont val="新細明體"/>
        <family val="1"/>
        <charset val="136"/>
        <scheme val="minor"/>
      </rPr>
      <t>」的「申請費用」：從撰稿到提交申請。</t>
    </r>
    <phoneticPr fontId="1" type="noConversion"/>
  </si>
  <si>
    <t>撰稿到提交申請階段</t>
    <phoneticPr fontId="1" type="noConversion"/>
  </si>
  <si>
    <t>領證階段（包含最基本的第一次年費）</t>
    <phoneticPr fontId="1" type="noConversion"/>
  </si>
  <si>
    <t>後續年費階段（不包含最基本的第一次年費）</t>
    <phoneticPr fontId="1" type="noConversion"/>
  </si>
  <si>
    <t>答辯階段</t>
    <phoneticPr fontId="1" type="noConversion"/>
  </si>
  <si>
    <t>「初稿案」之慧盈服務費在所有費用中的佔比：</t>
    <phoneticPr fontId="1" type="noConversion"/>
  </si>
  <si>
    <t>繪製答辯費圓餅圖專用</t>
    <phoneticPr fontId="1" type="noConversion"/>
  </si>
  <si>
    <t>繪製領證費圓餅圖專用</t>
    <phoneticPr fontId="1" type="noConversion"/>
  </si>
  <si>
    <t>繪製後續年費圓餅圖專用</t>
    <phoneticPr fontId="1" type="noConversion"/>
  </si>
  <si>
    <t>答辯費</t>
    <phoneticPr fontId="1" type="noConversion"/>
  </si>
  <si>
    <t>OA通知費</t>
    <phoneticPr fontId="1" type="noConversion"/>
  </si>
  <si>
    <t>公開費</t>
    <phoneticPr fontId="1" type="noConversion"/>
  </si>
  <si>
    <t>實審費</t>
    <phoneticPr fontId="1" type="noConversion"/>
  </si>
  <si>
    <t>指定國費</t>
    <phoneticPr fontId="1" type="noConversion"/>
  </si>
  <si>
    <t>第二部分：辦理各地區「發明/新型專利」的「領證費用（包含最基本的第一次年費）」。</t>
    <phoneticPr fontId="1" type="noConversion"/>
  </si>
  <si>
    <t>修正費</t>
    <phoneticPr fontId="1" type="noConversion"/>
  </si>
  <si>
    <t>後續年費</t>
    <phoneticPr fontId="1" type="noConversion"/>
  </si>
  <si>
    <t>領證費</t>
    <phoneticPr fontId="1" type="noConversion"/>
  </si>
  <si>
    <t>階段費用</t>
    <phoneticPr fontId="1" type="noConversion"/>
  </si>
  <si>
    <t>最大年限</t>
    <phoneticPr fontId="1" type="noConversion"/>
  </si>
  <si>
    <t>二、委託慧盈辦理專利領證程序的「領證費」（包含最基本的第一次年費）：</t>
    <phoneticPr fontId="1" type="noConversion"/>
  </si>
  <si>
    <r>
      <rPr>
        <b/>
        <sz val="12"/>
        <color theme="1"/>
        <rFont val="標楷體"/>
        <family val="4"/>
        <charset val="136"/>
      </rPr>
      <t xml:space="preserve">總代墊費用
</t>
    </r>
    <r>
      <rPr>
        <b/>
        <sz val="12"/>
        <color theme="1"/>
        <rFont val="Times New Roman"/>
        <family val="1"/>
      </rPr>
      <t>(A1+A2)</t>
    </r>
    <phoneticPr fontId="1" type="noConversion"/>
  </si>
  <si>
    <r>
      <rPr>
        <b/>
        <sz val="12"/>
        <color theme="1"/>
        <rFont val="標楷體"/>
        <family val="4"/>
        <charset val="136"/>
      </rPr>
      <t xml:space="preserve">慧盈服務費
</t>
    </r>
    <r>
      <rPr>
        <b/>
        <sz val="12"/>
        <color theme="1"/>
        <rFont val="Times New Roman"/>
        <family val="1"/>
      </rPr>
      <t>(A3)
(NTD)</t>
    </r>
    <phoneticPr fontId="1" type="noConversion"/>
  </si>
  <si>
    <r>
      <rPr>
        <b/>
        <sz val="12"/>
        <color theme="1"/>
        <rFont val="標楷體"/>
        <family val="4"/>
        <charset val="136"/>
      </rPr>
      <t xml:space="preserve">專利申請費用
小計
</t>
    </r>
    <r>
      <rPr>
        <b/>
        <sz val="12"/>
        <color theme="1"/>
        <rFont val="Times New Roman"/>
        <family val="1"/>
      </rPr>
      <t>(A = A1+A2+A3)</t>
    </r>
    <phoneticPr fontId="1" type="noConversion"/>
  </si>
  <si>
    <r>
      <rPr>
        <b/>
        <sz val="12"/>
        <color theme="1"/>
        <rFont val="標楷體"/>
        <family val="4"/>
        <charset val="136"/>
      </rPr>
      <t xml:space="preserve">官方費用
</t>
    </r>
    <r>
      <rPr>
        <b/>
        <sz val="12"/>
        <color theme="1"/>
        <rFont val="Times New Roman"/>
        <family val="1"/>
      </rPr>
      <t>(M1)</t>
    </r>
    <phoneticPr fontId="1" type="noConversion"/>
  </si>
  <si>
    <r>
      <rPr>
        <b/>
        <sz val="12"/>
        <color theme="1"/>
        <rFont val="標楷體"/>
        <family val="4"/>
        <charset val="136"/>
      </rPr>
      <t xml:space="preserve">外國代理人費用
</t>
    </r>
    <r>
      <rPr>
        <b/>
        <sz val="12"/>
        <color theme="1"/>
        <rFont val="Times New Roman"/>
        <family val="1"/>
      </rPr>
      <t>(M2)</t>
    </r>
    <phoneticPr fontId="1" type="noConversion"/>
  </si>
  <si>
    <r>
      <rPr>
        <b/>
        <sz val="12"/>
        <color theme="1"/>
        <rFont val="標楷體"/>
        <family val="4"/>
        <charset val="136"/>
      </rPr>
      <t xml:space="preserve">總代墊費用
</t>
    </r>
    <r>
      <rPr>
        <b/>
        <sz val="12"/>
        <color theme="1"/>
        <rFont val="Times New Roman"/>
        <family val="1"/>
      </rPr>
      <t>(M1+M2)</t>
    </r>
    <phoneticPr fontId="1" type="noConversion"/>
  </si>
  <si>
    <r>
      <rPr>
        <b/>
        <sz val="12"/>
        <color theme="1"/>
        <rFont val="標楷體"/>
        <family val="4"/>
        <charset val="136"/>
      </rPr>
      <t xml:space="preserve">慧盈服務費
</t>
    </r>
    <r>
      <rPr>
        <b/>
        <sz val="12"/>
        <color theme="1"/>
        <rFont val="Times New Roman"/>
        <family val="1"/>
      </rPr>
      <t>(M3)
(NTD)</t>
    </r>
    <phoneticPr fontId="1" type="noConversion"/>
  </si>
  <si>
    <r>
      <rPr>
        <b/>
        <sz val="12"/>
        <color theme="1"/>
        <rFont val="標楷體"/>
        <family val="4"/>
        <charset val="136"/>
      </rPr>
      <t xml:space="preserve">專利後續年費
小計
</t>
    </r>
    <r>
      <rPr>
        <b/>
        <sz val="12"/>
        <color theme="1"/>
        <rFont val="Times New Roman"/>
        <family val="1"/>
      </rPr>
      <t>(M = M1+M2+M3)</t>
    </r>
    <phoneticPr fontId="1" type="noConversion"/>
  </si>
  <si>
    <r>
      <rPr>
        <b/>
        <sz val="12"/>
        <color theme="1"/>
        <rFont val="標楷體"/>
        <family val="4"/>
        <charset val="136"/>
      </rPr>
      <t xml:space="preserve">官方費用
</t>
    </r>
    <r>
      <rPr>
        <b/>
        <sz val="12"/>
        <color theme="1"/>
        <rFont val="Times New Roman"/>
        <family val="1"/>
      </rPr>
      <t>(R1)</t>
    </r>
    <phoneticPr fontId="1" type="noConversion"/>
  </si>
  <si>
    <r>
      <rPr>
        <b/>
        <sz val="12"/>
        <color theme="1"/>
        <rFont val="標楷體"/>
        <family val="4"/>
        <charset val="136"/>
      </rPr>
      <t xml:space="preserve">外國代理人費用
</t>
    </r>
    <r>
      <rPr>
        <b/>
        <sz val="12"/>
        <color theme="1"/>
        <rFont val="Times New Roman"/>
        <family val="1"/>
      </rPr>
      <t>(R2)</t>
    </r>
    <phoneticPr fontId="1" type="noConversion"/>
  </si>
  <si>
    <r>
      <rPr>
        <b/>
        <sz val="12"/>
        <color theme="1"/>
        <rFont val="標楷體"/>
        <family val="4"/>
        <charset val="136"/>
      </rPr>
      <t xml:space="preserve">總代墊費用
</t>
    </r>
    <r>
      <rPr>
        <b/>
        <sz val="12"/>
        <color theme="1"/>
        <rFont val="Times New Roman"/>
        <family val="1"/>
      </rPr>
      <t>(R1+R2)</t>
    </r>
    <phoneticPr fontId="1" type="noConversion"/>
  </si>
  <si>
    <r>
      <rPr>
        <b/>
        <sz val="12"/>
        <color theme="1"/>
        <rFont val="標楷體"/>
        <family val="4"/>
        <charset val="136"/>
      </rPr>
      <t xml:space="preserve">慧盈服務費
</t>
    </r>
    <r>
      <rPr>
        <b/>
        <sz val="12"/>
        <color theme="1"/>
        <rFont val="Times New Roman"/>
        <family val="1"/>
      </rPr>
      <t>(R3)
(NTD)</t>
    </r>
    <phoneticPr fontId="1" type="noConversion"/>
  </si>
  <si>
    <r>
      <rPr>
        <b/>
        <sz val="12"/>
        <color theme="1"/>
        <rFont val="標楷體"/>
        <family val="4"/>
        <charset val="136"/>
      </rPr>
      <t xml:space="preserve">專利答辯費用
小計
</t>
    </r>
    <r>
      <rPr>
        <b/>
        <sz val="12"/>
        <color theme="1"/>
        <rFont val="Times New Roman"/>
        <family val="1"/>
      </rPr>
      <t>(R = R1+R2+R3)</t>
    </r>
    <phoneticPr fontId="1" type="noConversion"/>
  </si>
  <si>
    <t>總代墊費用
(A1+A2)</t>
    <phoneticPr fontId="1" type="noConversion"/>
  </si>
  <si>
    <t>慧盈服務費
(A3)
(NTD)</t>
    <phoneticPr fontId="1" type="noConversion"/>
  </si>
  <si>
    <t>專利申請費用小計
(A = A1+A2+A3)
(NTD)</t>
    <phoneticPr fontId="1" type="noConversion"/>
  </si>
  <si>
    <t>慧盈服務費(A3)</t>
    <phoneticPr fontId="1" type="noConversion"/>
  </si>
  <si>
    <t>專利申請費用(A)</t>
    <phoneticPr fontId="1" type="noConversion"/>
  </si>
  <si>
    <t>官方費用
(R1)</t>
    <phoneticPr fontId="1" type="noConversion"/>
  </si>
  <si>
    <t>外國代理人費用
(R2)</t>
    <phoneticPr fontId="1" type="noConversion"/>
  </si>
  <si>
    <t>總代墊費用
(R1+R2)</t>
    <phoneticPr fontId="1" type="noConversion"/>
  </si>
  <si>
    <t>慧盈服務費
(R3)
(NTD)</t>
    <phoneticPr fontId="1" type="noConversion"/>
  </si>
  <si>
    <t>專利答辯費用小計
(R = R1+R2+R3)
(NTD)</t>
    <phoneticPr fontId="1" type="noConversion"/>
  </si>
  <si>
    <t>官方費用(R1)</t>
    <phoneticPr fontId="1" type="noConversion"/>
  </si>
  <si>
    <t>外國代理人費用(R2)</t>
    <phoneticPr fontId="1" type="noConversion"/>
  </si>
  <si>
    <t>慧盈服務費(R3)</t>
    <phoneticPr fontId="1" type="noConversion"/>
  </si>
  <si>
    <t>官方費用
(M1)</t>
    <phoneticPr fontId="1" type="noConversion"/>
  </si>
  <si>
    <t>外國代理人費用
(M2)</t>
    <phoneticPr fontId="1" type="noConversion"/>
  </si>
  <si>
    <t>總代墊費用
(M1+M2)</t>
    <phoneticPr fontId="1" type="noConversion"/>
  </si>
  <si>
    <t>慧盈服務費
(M3)
(NTD)</t>
    <phoneticPr fontId="1" type="noConversion"/>
  </si>
  <si>
    <t>專利後續維護費用小計
(M = M1+M2+M3)
(NTD)</t>
    <phoneticPr fontId="1" type="noConversion"/>
  </si>
  <si>
    <t>官方費用(M1)</t>
    <phoneticPr fontId="1" type="noConversion"/>
  </si>
  <si>
    <t>外國代理人費用(M2)</t>
    <phoneticPr fontId="1" type="noConversion"/>
  </si>
  <si>
    <t>慧盈服務費(M3)</t>
    <phoneticPr fontId="1" type="noConversion"/>
  </si>
  <si>
    <t>申請＋答辯一條、領證＋年費一條</t>
    <phoneticPr fontId="1" type="noConversion"/>
  </si>
  <si>
    <t>申請費用(A)</t>
    <phoneticPr fontId="1" type="noConversion"/>
  </si>
  <si>
    <t>答辯費用(R)</t>
    <phoneticPr fontId="1" type="noConversion"/>
  </si>
  <si>
    <t>後續年費(M)</t>
    <phoneticPr fontId="1" type="noConversion"/>
  </si>
  <si>
    <t>申請+答辯費用(A+R)</t>
    <phoneticPr fontId="1" type="noConversion"/>
  </si>
  <si>
    <t>繪製各國（申請+答辯費）與（領證＋年費）長條圖</t>
    <phoneticPr fontId="1" type="noConversion"/>
  </si>
  <si>
    <t>「初稿案」申請服務費(F)</t>
    <phoneticPr fontId="1" type="noConversion"/>
  </si>
  <si>
    <t>繪製初稿費與總成本之比較橫條圖</t>
    <phoneticPr fontId="1" type="noConversion"/>
  </si>
  <si>
    <t>繪製申請費與其他費用加總分析子母圖</t>
    <phoneticPr fontId="1" type="noConversion"/>
  </si>
  <si>
    <t>計算初稿費佔總成本之比例</t>
    <phoneticPr fontId="1" type="noConversion"/>
  </si>
  <si>
    <t>一、委託慧盈辦理「發明/新型專利」從撰稿到提交申請階段的預估「申請費」：</t>
    <phoneticPr fontId="1" type="noConversion"/>
  </si>
  <si>
    <r>
      <t>第四部分：辦理各地區「發明/新型專利」的「後續年費費用（不包含最基本的第一次年費）」，</t>
    </r>
    <r>
      <rPr>
        <b/>
        <sz val="12"/>
        <color rgb="FFFF0000"/>
        <rFont val="新細明體"/>
        <family val="1"/>
        <charset val="136"/>
        <scheme val="minor"/>
      </rPr>
      <t>連動「年費繳納年數」下拉選單</t>
    </r>
    <phoneticPr fontId="1" type="noConversion"/>
  </si>
  <si>
    <r>
      <t>第三部分：辦理各地區「</t>
    </r>
    <r>
      <rPr>
        <b/>
        <sz val="12"/>
        <color rgb="FFCC00FF"/>
        <rFont val="新細明體"/>
        <family val="1"/>
        <charset val="136"/>
        <scheme val="minor"/>
      </rPr>
      <t>發明/新型專利</t>
    </r>
    <r>
      <rPr>
        <b/>
        <sz val="12"/>
        <color theme="1"/>
        <rFont val="新細明體"/>
        <family val="1"/>
        <charset val="136"/>
        <scheme val="minor"/>
      </rPr>
      <t>」的「一次答辯費用」：估多次會牽涉到RCE、再審查等額外官費，太複雜。</t>
    </r>
    <phoneticPr fontId="1" type="noConversion"/>
  </si>
  <si>
    <r>
      <rPr>
        <b/>
        <sz val="12"/>
        <color theme="1"/>
        <rFont val="標楷體"/>
        <family val="4"/>
        <charset val="136"/>
      </rPr>
      <t xml:space="preserve">官方費用
</t>
    </r>
    <r>
      <rPr>
        <b/>
        <sz val="12"/>
        <color theme="1"/>
        <rFont val="Times New Roman"/>
        <family val="1"/>
      </rPr>
      <t>(C1)</t>
    </r>
    <phoneticPr fontId="1" type="noConversion"/>
  </si>
  <si>
    <r>
      <rPr>
        <b/>
        <sz val="12"/>
        <color theme="1"/>
        <rFont val="標楷體"/>
        <family val="4"/>
        <charset val="136"/>
      </rPr>
      <t xml:space="preserve">外國代理人費用
</t>
    </r>
    <r>
      <rPr>
        <b/>
        <sz val="12"/>
        <color theme="1"/>
        <rFont val="Times New Roman"/>
        <family val="1"/>
      </rPr>
      <t>(C2)</t>
    </r>
    <phoneticPr fontId="1" type="noConversion"/>
  </si>
  <si>
    <r>
      <rPr>
        <b/>
        <sz val="12"/>
        <color theme="1"/>
        <rFont val="標楷體"/>
        <family val="4"/>
        <charset val="136"/>
      </rPr>
      <t xml:space="preserve">總代墊費用
</t>
    </r>
    <r>
      <rPr>
        <b/>
        <sz val="12"/>
        <color theme="1"/>
        <rFont val="Times New Roman"/>
        <family val="1"/>
      </rPr>
      <t>(C1+C2)</t>
    </r>
    <phoneticPr fontId="1" type="noConversion"/>
  </si>
  <si>
    <r>
      <rPr>
        <b/>
        <sz val="12"/>
        <color theme="1"/>
        <rFont val="標楷體"/>
        <family val="4"/>
        <charset val="136"/>
      </rPr>
      <t xml:space="preserve">慧盈服務費
</t>
    </r>
    <r>
      <rPr>
        <b/>
        <sz val="12"/>
        <color theme="1"/>
        <rFont val="Times New Roman"/>
        <family val="1"/>
      </rPr>
      <t>(C3)
(NTD)</t>
    </r>
    <phoneticPr fontId="1" type="noConversion"/>
  </si>
  <si>
    <r>
      <rPr>
        <b/>
        <sz val="12"/>
        <color theme="1"/>
        <rFont val="標楷體"/>
        <family val="4"/>
        <charset val="136"/>
      </rPr>
      <t>專利領證費用
小計</t>
    </r>
    <r>
      <rPr>
        <b/>
        <sz val="12"/>
        <color theme="1"/>
        <rFont val="Times New Roman"/>
        <family val="4"/>
      </rPr>
      <t xml:space="preserve">
</t>
    </r>
    <r>
      <rPr>
        <b/>
        <sz val="12"/>
        <color theme="1"/>
        <rFont val="Times New Roman"/>
        <family val="1"/>
      </rPr>
      <t>(C = C1+C2+C3)</t>
    </r>
    <phoneticPr fontId="1" type="noConversion"/>
  </si>
  <si>
    <t>官方費用
(C1)</t>
    <phoneticPr fontId="1" type="noConversion"/>
  </si>
  <si>
    <t>外國代理人費用
(C2)</t>
    <phoneticPr fontId="1" type="noConversion"/>
  </si>
  <si>
    <t>總代墊費用
(C1+C2)</t>
    <phoneticPr fontId="1" type="noConversion"/>
  </si>
  <si>
    <t>慧盈服務費
(C3)
(NTD)</t>
    <phoneticPr fontId="1" type="noConversion"/>
  </si>
  <si>
    <t>專利領證費用小計
(C = C1+C2+C3)
(NTD)</t>
    <phoneticPr fontId="1" type="noConversion"/>
  </si>
  <si>
    <t>官方費用(C1)</t>
    <phoneticPr fontId="1" type="noConversion"/>
  </si>
  <si>
    <t>外國代理人費用(C2)</t>
    <phoneticPr fontId="1" type="noConversion"/>
  </si>
  <si>
    <t>慧盈服務費(C3)</t>
    <phoneticPr fontId="1" type="noConversion"/>
  </si>
  <si>
    <t>領證費用(C)</t>
    <phoneticPr fontId="1" type="noConversion"/>
  </si>
  <si>
    <t>申請+領證費用(A+C)</t>
    <phoneticPr fontId="1" type="noConversion"/>
  </si>
  <si>
    <t>申請+答辯+領證費(A+R+C)</t>
    <phoneticPr fontId="1" type="noConversion"/>
  </si>
  <si>
    <t>專利布局總成本(T = A+C+R+M)</t>
    <phoneticPr fontId="1" type="noConversion"/>
  </si>
  <si>
    <t>專利領證費用(C)</t>
    <phoneticPr fontId="1" type="noConversion"/>
  </si>
  <si>
    <t>領證+答辯+後續年費(C+R+M)</t>
    <phoneticPr fontId="1" type="noConversion"/>
  </si>
  <si>
    <t>領證+後續年費(C+M)</t>
    <phoneticPr fontId="1" type="noConversion"/>
  </si>
  <si>
    <t>備註：</t>
  </si>
  <si>
    <t>備註：大陸發明專利預估最快要2-3年左右才核准，所以領證時要繳納的第一次年費估計是「第3年年費」，因此，領證之後第2個年度的後續年費，應該要從「第4年年費」開始算，等於將第4年以後的年費往前平移。</t>
    <phoneticPr fontId="1" type="noConversion"/>
  </si>
  <si>
    <t>「初稿案」申請服務費</t>
    <phoneticPr fontId="1" type="noConversion"/>
  </si>
  <si>
    <r>
      <t>(</t>
    </r>
    <r>
      <rPr>
        <b/>
        <sz val="10"/>
        <color rgb="FFFF0000"/>
        <rFont val="標楷體"/>
        <family val="4"/>
        <charset val="136"/>
      </rPr>
      <t>視需要勾選</t>
    </r>
    <r>
      <rPr>
        <b/>
        <sz val="10"/>
        <color rgb="FFFF0000"/>
        <rFont val="Times New Roman"/>
        <family val="1"/>
      </rPr>
      <t>)</t>
    </r>
    <phoneticPr fontId="1" type="noConversion"/>
  </si>
  <si>
    <t>三、委託慧盈辦理專利申請案「核駁答辯程序」的預估「答辯費用」（只以答辯一次作為估算基礎）：</t>
    <phoneticPr fontId="1" type="noConversion"/>
  </si>
  <si>
    <t>四、委託慧盈控管及代繳已領證專利的「後續年費」（已扣除最基本的第一次年費）：</t>
    <phoneticPr fontId="1" type="noConversion"/>
  </si>
  <si>
    <t>年費繳納年數(下拉選單)</t>
    <phoneticPr fontId="1" type="noConversion"/>
  </si>
  <si>
    <r>
      <t xml:space="preserve">年費繳納年數
</t>
    </r>
    <r>
      <rPr>
        <b/>
        <sz val="12"/>
        <color rgb="FFFF0000"/>
        <rFont val="標楷體"/>
        <family val="4"/>
        <charset val="136"/>
      </rPr>
      <t>可自行調整→</t>
    </r>
    <phoneticPr fontId="1" type="noConversion"/>
  </si>
  <si>
    <t>設計年費繳納年數(黑圈)</t>
    <phoneticPr fontId="1" type="noConversion"/>
  </si>
  <si>
    <t>發明年費繳納年數(黑圈)</t>
    <phoneticPr fontId="1" type="noConversion"/>
  </si>
  <si>
    <t>是否估算</t>
    <phoneticPr fontId="1" type="noConversion"/>
  </si>
  <si>
    <t>【公開版刪除以下表格】</t>
    <phoneticPr fontId="1" type="noConversion"/>
  </si>
  <si>
    <t>五、委託慧盈代繳「發明/新型專利」之第Ｍ～Ｎ年年費的預估費用：</t>
    <phoneticPr fontId="1" type="noConversion"/>
  </si>
  <si>
    <r>
      <t xml:space="preserve">年費繳納年度
</t>
    </r>
    <r>
      <rPr>
        <b/>
        <sz val="12"/>
        <color rgb="FFFF0000"/>
        <rFont val="標楷體"/>
        <family val="4"/>
        <charset val="136"/>
      </rPr>
      <t>可複選→</t>
    </r>
    <phoneticPr fontId="1" type="noConversion"/>
  </si>
  <si>
    <r>
      <rPr>
        <b/>
        <sz val="12"/>
        <color theme="1"/>
        <rFont val="標楷體"/>
        <family val="4"/>
        <charset val="136"/>
      </rPr>
      <t>外國代理人費用</t>
    </r>
    <r>
      <rPr>
        <b/>
        <sz val="12"/>
        <color theme="1"/>
        <rFont val="Times New Roman"/>
        <family val="4"/>
      </rPr>
      <t xml:space="preserve">
</t>
    </r>
    <r>
      <rPr>
        <b/>
        <sz val="12"/>
        <color theme="1"/>
        <rFont val="Times New Roman"/>
        <family val="1"/>
      </rPr>
      <t>(A2)</t>
    </r>
    <phoneticPr fontId="1" type="noConversion"/>
  </si>
  <si>
    <t>備註：不管勾選「單一年度」還是「多個年度」，外國代理人費用(A2)跟慧盈服務費(A3)都只會計算「一次」，不會重複計費。</t>
    <phoneticPr fontId="1" type="noConversion"/>
  </si>
  <si>
    <t>是否申請</t>
    <phoneticPr fontId="1" type="noConversion"/>
  </si>
  <si>
    <t>發明</t>
  </si>
  <si>
    <t>新型</t>
  </si>
  <si>
    <t>初稿案</t>
    <phoneticPr fontId="1" type="noConversion"/>
  </si>
  <si>
    <t>初稿案代碼</t>
    <phoneticPr fontId="1" type="noConversion"/>
  </si>
  <si>
    <t>計費類型
(自動判斷)</t>
    <phoneticPr fontId="1" type="noConversion"/>
  </si>
  <si>
    <r>
      <t xml:space="preserve">要先送件
之初稿案
</t>
    </r>
    <r>
      <rPr>
        <b/>
        <sz val="12"/>
        <color rgb="FFFF0000"/>
        <rFont val="標楷體"/>
        <family val="4"/>
        <charset val="136"/>
      </rPr>
      <t>(請選擇)</t>
    </r>
    <phoneticPr fontId="1" type="noConversion"/>
  </si>
  <si>
    <t>如果有新增國別或調整國別排列順序，要記得重新設定上面三個欄位中的HLOOKUP的最後一個索引欄位數值是否由上而下依序順號，只要沒有順號，HLOOKUP抓出來的金額就會是錯的</t>
    <phoneticPr fontId="1" type="noConversion"/>
  </si>
  <si>
    <t>↑↑↑↑</t>
    <phoneticPr fontId="1" type="noConversion"/>
  </si>
  <si>
    <t>初稿案代碼：
1 = 台灣
2 = 大陸
3 = 美國
4 = 加拿大
5 = 新加坡
6 = 馬來西亞
7 = 菲律賓</t>
    <phoneticPr fontId="1" type="noConversion"/>
  </si>
  <si>
    <r>
      <rPr>
        <b/>
        <sz val="12"/>
        <color theme="1"/>
        <rFont val="標楷體"/>
        <family val="4"/>
        <charset val="136"/>
      </rPr>
      <t>是否繳費</t>
    </r>
    <r>
      <rPr>
        <b/>
        <sz val="12"/>
        <color theme="1"/>
        <rFont val="Times New Roman"/>
        <family val="4"/>
      </rPr>
      <t xml:space="preserve">
</t>
    </r>
    <r>
      <rPr>
        <b/>
        <sz val="12"/>
        <color rgb="FFFF0000"/>
        <rFont val="Times New Roman"/>
        <family val="1"/>
      </rPr>
      <t>(</t>
    </r>
    <r>
      <rPr>
        <b/>
        <sz val="12"/>
        <color rgb="FFFF0000"/>
        <rFont val="標楷體"/>
        <family val="4"/>
        <charset val="136"/>
      </rPr>
      <t>請勾選</t>
    </r>
    <r>
      <rPr>
        <b/>
        <sz val="12"/>
        <color rgb="FFFF0000"/>
        <rFont val="Times New Roman"/>
        <family val="1"/>
      </rPr>
      <t>)</t>
    </r>
    <phoneticPr fontId="1" type="noConversion"/>
  </si>
  <si>
    <t>1.上表中之「慧盈服務費」之計費原則說明如下：</t>
    <phoneticPr fontId="1" type="noConversion"/>
  </si>
  <si>
    <t>2.上表計算結果僅係送件申請的概估費用，並「不」包含以下費用：</t>
    <phoneticPr fontId="1" type="noConversion"/>
  </si>
  <si>
    <t>3.歐洲案申請時「不會」一併申請實審，等將來回覆檢索報告時再決定要不要申請實審。</t>
    <phoneticPr fontId="1" type="noConversion"/>
  </si>
  <si>
    <t>4.日本案跟韓國案的翻譯費皆優先以英文稿字數估價，沒有英文稿時才用中文稿字數估價。</t>
    <phoneticPr fontId="1" type="noConversion"/>
  </si>
  <si>
    <t>5.越南案、泰國案、印尼案皆係以英文稿字數來估算代理人費用，若無申請其他地區的英文對應案，則另需額外翻譯費用。</t>
    <phoneticPr fontId="1" type="noConversion"/>
  </si>
  <si>
    <t>6.泰國案需等到案件公開之後才能申請實審，且泰國案申請前需要在台辦理委任書(POA)的公證跟認證程序。</t>
    <phoneticPr fontId="1" type="noConversion"/>
  </si>
  <si>
    <t>7.「沒有」新型專利制度的地區：美國、新加坡、加拿大。</t>
    <phoneticPr fontId="1" type="noConversion"/>
  </si>
  <si>
    <t>8.「新型專利需要實審」的地區：韓國、越南、馬來西亞、印尼。</t>
    <phoneticPr fontId="1" type="noConversion"/>
  </si>
  <si>
    <t>9.「允許」發明與新型一案兩請的地區：台灣、大陸、越南、馬來西亞。</t>
    <phoneticPr fontId="1" type="noConversion"/>
  </si>
  <si>
    <t>10.「不允許」發明與新型一案兩請的地區：日本、韓國、泰國、印尼。</t>
    <phoneticPr fontId="1" type="noConversion"/>
  </si>
  <si>
    <t>11.當上表中的案件勾選方式有誤、或是「初稿案」的選擇出現異常時，表格右側會自動顯示提示文字，若有疑問請與本所聯繫。</t>
    <phoneticPr fontId="1" type="noConversion"/>
  </si>
  <si>
    <t>五、以下用視覺化圖形呈現各地區「發明/新型專利」的費用組成結構，讓您迅速掌握專利佈局成本的真實樣貌：</t>
    <phoneticPr fontId="1" type="noConversion"/>
  </si>
  <si>
    <t>　　(2)與「初稿案」同時委辦之其他地區的案件，「慧盈服務費」會自動以優惠費率計算。</t>
    <phoneticPr fontId="1" type="noConversion"/>
  </si>
  <si>
    <t>　　(3)使用「相同語言」的另一個地區案件，「慧盈服務費」會自動以更優惠的費率計算。</t>
    <phoneticPr fontId="1" type="noConversion"/>
  </si>
  <si>
    <t>　　(4)使用「中文」的地區：台灣、大陸；使用「英文」的地區：美國、歐洲、加拿大、新加坡、馬來西亞、菲律賓。</t>
    <phoneticPr fontId="1" type="noConversion"/>
  </si>
  <si>
    <t>　　(1)個別案件之「主張優先權」、「申請優先權證」、「提呈IDS」、「補正文件」等額外程序費用。</t>
    <phoneticPr fontId="1" type="noConversion"/>
  </si>
  <si>
    <t>　　(2)各地區官方或代理人因案件篇幅過長所收取的「超頁費」、「超項費」等額外費用。</t>
    <phoneticPr fontId="1" type="noConversion"/>
  </si>
  <si>
    <t>在公開版的「保護工作表」中，要把最下方的兩個選項「取消勾選」：編輯物件、編輯分析藍本</t>
    <phoneticPr fontId="1" type="noConversion"/>
  </si>
  <si>
    <t>1.上表中的預估費用，只包含領證費用及領證時必須一併繳納的最基本的第一次年費，不包含後續年費。</t>
  </si>
  <si>
    <t>1.上表是針對「發明專利案」及「要實體審查的新型專利案」進行答辯「一次」的估算費用，但有時候申請案不需要任何答辯就能獲准專利。</t>
  </si>
  <si>
    <t>3.新型專利案「要實體審查」的地區：韓國、越南、馬來西亞、印尼。</t>
  </si>
  <si>
    <t>4.新型專利案「不需實體審查」的地區基本上不需要進行答辯，只有在特殊情況下可能發生需要答辯的狀況，所以在上表中的估算費用都是0。</t>
  </si>
  <si>
    <t>獨立項費/申請權登記費</t>
    <phoneticPr fontId="1" type="noConversion"/>
  </si>
  <si>
    <t>1.新型專利的最長保護年限一般是10年，但韓國為15年、馬來西亞為20年。</t>
    <phoneticPr fontId="1" type="noConversion"/>
  </si>
  <si>
    <t>2.部分地區允許一次繳納複數年份的年費，採用這種繳費方式可使實際的外國代理人費用及慧盈服務費比上表的估算金額降低一半（甚至更多）。</t>
    <phoneticPr fontId="1" type="noConversion"/>
  </si>
  <si>
    <t>　　(1)在每次要跨國申請的專利家族中，需要事務所最先撰稿、送件的那一個地區的案件，就是「初稿案」。</t>
    <phoneticPr fontId="1" type="noConversion"/>
  </si>
  <si>
    <t>2.上表的估算金額並「不」包含：答辯字數超過門檻時的超字費、修改請求項後可能衍生的請求項超項官費、以及需要答辯超過一次時的費用。</t>
    <phoneticPr fontId="1" type="noConversion"/>
  </si>
  <si>
    <t>歐洲發明案的年費，是使用CPA的2021年度報價中的英、法、德三國的費用的加總結果，而非按照Metida報價</t>
    <phoneticPr fontId="1" type="noConversion"/>
  </si>
  <si>
    <t>EP代理人費，包含英、法、德三國生效官費、以及請求項的法文+德文翻譯費（翻譯費以5000字來高估，一般字數遠低於5000字）</t>
    <phoneticPr fontId="1" type="noConversion"/>
  </si>
  <si>
    <t>EP領證官費，已包含英、法、德三國生效官費(因為三國都是0元)</t>
    <phoneticPr fontId="1" type="noConversion"/>
  </si>
  <si>
    <t>100~500人</t>
    <phoneticPr fontId="1" type="noConversion"/>
  </si>
  <si>
    <t>少於100人</t>
  </si>
  <si>
    <t>少於100人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</si>
</sst>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2" x14ac:knownFonts="1">
    <font>
      <sz val="12"/>
      <color theme="1"/>
      <name val="新細明體"/>
      <family val="2"/>
      <scheme val="minor"/>
    </font>
    <font>
      <sz val="9"/>
      <name val="新細明體"/>
      <family val="3"/>
      <charset val="136"/>
      <scheme val="minor"/>
    </font>
    <font>
      <sz val="11"/>
      <color rgb="FF222222"/>
      <name val="細明體"/>
      <family val="3"/>
      <charset val="136"/>
    </font>
    <font>
      <b/>
      <sz val="12"/>
      <color rgb="FF0000FF"/>
      <name val="新細明體"/>
      <family val="1"/>
      <charset val="136"/>
      <scheme val="minor"/>
    </font>
    <font>
      <sz val="9"/>
      <name val="新細明體"/>
      <family val="1"/>
      <charset val="136"/>
    </font>
    <font>
      <sz val="12"/>
      <color rgb="FFFF0000"/>
      <name val="新細明體"/>
      <family val="2"/>
      <scheme val="minor"/>
    </font>
    <font>
      <sz val="12"/>
      <color rgb="FFFF0000"/>
      <name val="新細明體"/>
      <family val="1"/>
      <charset val="136"/>
      <scheme val="minor"/>
    </font>
    <font>
      <b/>
      <sz val="12"/>
      <color theme="1"/>
      <name val="新細明體"/>
      <family val="1"/>
      <charset val="136"/>
      <scheme val="minor"/>
    </font>
    <font>
      <b/>
      <sz val="12"/>
      <color rgb="FFFF0000"/>
      <name val="新細明體"/>
      <family val="1"/>
      <charset val="136"/>
      <scheme val="minor"/>
    </font>
    <font>
      <b/>
      <sz val="12"/>
      <color rgb="FFCC00FF"/>
      <name val="新細明體"/>
      <family val="1"/>
      <charset val="136"/>
      <scheme val="minor"/>
    </font>
    <font>
      <b/>
      <sz val="14"/>
      <color rgb="FF0000FF"/>
      <name val="新細明體"/>
      <family val="1"/>
      <charset val="136"/>
      <scheme val="minor"/>
    </font>
    <font>
      <sz val="12"/>
      <color rgb="FF0000FF"/>
      <name val="新細明體"/>
      <family val="2"/>
      <scheme val="minor"/>
    </font>
    <font>
      <sz val="11"/>
      <name val="細明體"/>
      <family val="3"/>
      <charset val="136"/>
    </font>
    <font>
      <sz val="11"/>
      <color rgb="FFFF0000"/>
      <name val="細明體"/>
      <family val="3"/>
      <charset val="136"/>
    </font>
    <font>
      <b/>
      <sz val="12"/>
      <color theme="1"/>
      <name val="新細明體"/>
      <family val="1"/>
      <charset val="136"/>
    </font>
    <font>
      <b/>
      <sz val="12"/>
      <color rgb="FFFF0000"/>
      <name val="新細明體"/>
      <family val="1"/>
      <charset val="136"/>
    </font>
    <font>
      <b/>
      <sz val="12"/>
      <name val="新細明體"/>
      <family val="1"/>
      <charset val="136"/>
    </font>
    <font>
      <b/>
      <sz val="12"/>
      <color theme="1"/>
      <name val="Times New Roman"/>
      <family val="1"/>
    </font>
    <font>
      <sz val="12"/>
      <color theme="1"/>
      <name val="Times New Roman"/>
      <family val="1"/>
    </font>
    <font>
      <b/>
      <sz val="12"/>
      <color rgb="FFFF0000"/>
      <name val="Times New Roman"/>
      <family val="1"/>
    </font>
    <font>
      <b/>
      <sz val="12"/>
      <name val="Times New Roman"/>
      <family val="1"/>
    </font>
    <font>
      <b/>
      <sz val="12"/>
      <color rgb="FF0000FF"/>
      <name val="Times New Roman"/>
      <family val="1"/>
    </font>
    <font>
      <b/>
      <sz val="14"/>
      <color rgb="FF0000FF"/>
      <name val="Times New Roman"/>
      <family val="1"/>
    </font>
    <font>
      <sz val="12"/>
      <color rgb="FFFF0000"/>
      <name val="Times New Roman"/>
      <family val="1"/>
    </font>
    <font>
      <b/>
      <sz val="12"/>
      <color theme="1"/>
      <name val="Times New Roman"/>
      <family val="1"/>
      <charset val="136"/>
    </font>
    <font>
      <sz val="12"/>
      <color theme="1"/>
      <name val="新細明體"/>
      <family val="2"/>
      <charset val="136"/>
    </font>
    <font>
      <b/>
      <sz val="10"/>
      <color rgb="FFFF0000"/>
      <name val="Times New Roman"/>
      <family val="1"/>
    </font>
    <font>
      <b/>
      <sz val="12"/>
      <color theme="1"/>
      <name val="標楷體"/>
      <family val="4"/>
      <charset val="136"/>
    </font>
    <font>
      <b/>
      <sz val="12"/>
      <color rgb="FFFF0000"/>
      <name val="標楷體"/>
      <family val="4"/>
      <charset val="136"/>
    </font>
    <font>
      <b/>
      <sz val="12"/>
      <color rgb="FF0000FF"/>
      <name val="標楷體"/>
      <family val="4"/>
      <charset val="136"/>
    </font>
    <font>
      <b/>
      <sz val="10"/>
      <color rgb="FFFF0000"/>
      <name val="標楷體"/>
      <family val="4"/>
      <charset val="136"/>
    </font>
    <font>
      <b/>
      <sz val="12"/>
      <name val="標楷體"/>
      <family val="4"/>
      <charset val="136"/>
    </font>
    <font>
      <b/>
      <sz val="14"/>
      <color rgb="FF0000FF"/>
      <name val="標楷體"/>
      <family val="4"/>
      <charset val="136"/>
    </font>
    <font>
      <b/>
      <sz val="12"/>
      <color rgb="FFFFFF00"/>
      <name val="Times New Roman"/>
      <family val="1"/>
    </font>
    <font>
      <b/>
      <sz val="14"/>
      <color theme="1"/>
      <name val="Times New Roman"/>
      <family val="1"/>
    </font>
    <font>
      <b/>
      <sz val="12"/>
      <color theme="1"/>
      <name val="Times New Roman"/>
      <family val="4"/>
    </font>
    <font>
      <b/>
      <sz val="12"/>
      <color theme="1"/>
      <name val="Times New Roman"/>
      <family val="4"/>
      <charset val="136"/>
    </font>
    <font>
      <b/>
      <sz val="12"/>
      <color theme="1"/>
      <name val="細明體"/>
      <family val="1"/>
      <charset val="136"/>
    </font>
    <font>
      <sz val="12"/>
      <name val="新細明體"/>
      <family val="2"/>
      <scheme val="minor"/>
    </font>
    <font>
      <sz val="12"/>
      <color theme="1"/>
      <name val="標楷體"/>
      <family val="4"/>
      <charset val="136"/>
    </font>
    <font>
      <sz val="9"/>
      <color rgb="FF000000"/>
      <name val="新細明體"/>
      <family val="1"/>
      <charset val="136"/>
    </font>
    <font>
      <sz val="9"/>
      <color rgb="FF000000"/>
      <name val="Microsoft JhengHei UI"/>
      <family val="2"/>
      <charset val="136"/>
    </font>
    <font>
      <b/>
      <strike/>
      <sz val="12"/>
      <color rgb="FFFF0000"/>
      <name val="新細明體"/>
      <family val="1"/>
      <charset val="136"/>
      <scheme val="minor"/>
    </font>
    <font>
      <b/>
      <strike/>
      <sz val="12"/>
      <color rgb="FFFFFF00"/>
      <name val="新細明體"/>
      <family val="1"/>
      <charset val="136"/>
      <scheme val="minor"/>
    </font>
    <font>
      <b/>
      <sz val="12"/>
      <color rgb="FFFFFF00"/>
      <name val="標楷體"/>
      <family val="4"/>
      <charset val="136"/>
    </font>
    <font>
      <strike/>
      <sz val="12"/>
      <color rgb="FFFF0000"/>
      <name val="新細明體"/>
      <family val="2"/>
      <scheme val="minor"/>
    </font>
    <font>
      <b/>
      <strike/>
      <sz val="12"/>
      <color rgb="FFFF0000"/>
      <name val="Times New Roman"/>
      <family val="1"/>
    </font>
    <font>
      <sz val="12"/>
      <color rgb="FF0000FF"/>
      <name val="標楷體"/>
      <family val="4"/>
      <charset val="136"/>
    </font>
    <font>
      <sz val="12"/>
      <color rgb="FF0000FF"/>
      <name val="新細明體"/>
      <family val="1"/>
      <charset val="136"/>
      <scheme val="minor"/>
    </font>
    <font>
      <sz val="14"/>
      <color theme="1"/>
      <name val="Times New Roman"/>
      <family val="1"/>
    </font>
    <font>
      <sz val="12"/>
      <color theme="1"/>
      <name val="Microsoft JhengHei UI"/>
      <family val="2"/>
      <charset val="136"/>
    </font>
    <font>
      <sz val="12"/>
      <color rgb="FFFF0000"/>
      <name val="標楷體"/>
      <family val="4"/>
      <charset val="136"/>
    </font>
  </fonts>
  <fills count="16">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gradientFill degree="270">
        <stop position="0">
          <color theme="0"/>
        </stop>
        <stop position="1">
          <color rgb="FFCCFFFF"/>
        </stop>
      </gradientFill>
    </fill>
    <fill>
      <gradientFill degree="270">
        <stop position="0">
          <color theme="0"/>
        </stop>
        <stop position="1">
          <color rgb="FFCCFFCC"/>
        </stop>
      </gradientFill>
    </fill>
    <fill>
      <gradientFill degree="270">
        <stop position="0">
          <color theme="0"/>
        </stop>
        <stop position="1">
          <color rgb="FFFFFFCC"/>
        </stop>
      </gradientFill>
    </fill>
    <fill>
      <gradientFill degree="270">
        <stop position="0">
          <color theme="0"/>
        </stop>
        <stop position="1">
          <color rgb="FFFFCCFF"/>
        </stop>
      </gradientFill>
    </fill>
    <fill>
      <gradientFill degree="270">
        <stop position="0">
          <color theme="0"/>
        </stop>
        <stop position="1">
          <color rgb="FFFFCC00"/>
        </stop>
      </gradientFill>
    </fill>
    <fill>
      <patternFill patternType="solid">
        <fgColor rgb="FFFFD757"/>
        <bgColor indexed="64"/>
      </patternFill>
    </fill>
    <fill>
      <patternFill patternType="solid">
        <fgColor rgb="FF99FF99"/>
        <bgColor indexed="64"/>
      </patternFill>
    </fill>
    <fill>
      <patternFill patternType="solid">
        <fgColor rgb="FFFFFF00"/>
        <bgColor auto="1"/>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282">
    <xf numFmtId="0" fontId="0" fillId="0" borderId="0" xfId="0"/>
    <xf numFmtId="0" fontId="0" fillId="0" borderId="0" xfId="0" applyAlignment="1">
      <alignment horizontal="center"/>
    </xf>
    <xf numFmtId="0" fontId="2" fillId="0" borderId="0" xfId="0" applyFont="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xf numFmtId="0" fontId="0" fillId="0" borderId="1" xfId="0" applyBorder="1" applyAlignment="1">
      <alignment horizontal="center"/>
    </xf>
    <xf numFmtId="176" fontId="3" fillId="0" borderId="1" xfId="0" applyNumberFormat="1" applyFont="1" applyBorder="1" applyAlignment="1">
      <alignment horizontal="right" vertical="center"/>
    </xf>
    <xf numFmtId="0" fontId="0" fillId="0" borderId="1" xfId="0" applyBorder="1" applyAlignment="1">
      <alignment horizontal="right" vertical="center"/>
    </xf>
    <xf numFmtId="0" fontId="7" fillId="0" borderId="0" xfId="0" applyFont="1"/>
    <xf numFmtId="176" fontId="3" fillId="3" borderId="1" xfId="0" applyNumberFormat="1" applyFont="1" applyFill="1" applyBorder="1" applyAlignment="1">
      <alignment horizontal="right" vertical="center"/>
    </xf>
    <xf numFmtId="0" fontId="11" fillId="0" borderId="1" xfId="0" applyFont="1" applyBorder="1" applyAlignment="1">
      <alignment horizontal="center"/>
    </xf>
    <xf numFmtId="176" fontId="3" fillId="0" borderId="1" xfId="0" applyNumberFormat="1" applyFont="1" applyBorder="1"/>
    <xf numFmtId="0" fontId="3" fillId="0" borderId="1" xfId="0" applyFont="1" applyBorder="1"/>
    <xf numFmtId="0" fontId="11" fillId="0" borderId="1" xfId="0" applyFont="1" applyBorder="1" applyAlignment="1">
      <alignment horizontal="center" vertical="center"/>
    </xf>
    <xf numFmtId="0" fontId="0" fillId="2" borderId="1" xfId="0" applyFill="1" applyBorder="1" applyAlignment="1">
      <alignment horizontal="center" vertical="center" wrapText="1"/>
    </xf>
    <xf numFmtId="0" fontId="5" fillId="0" borderId="0" xfId="0" applyFont="1"/>
    <xf numFmtId="0" fontId="12" fillId="0" borderId="0" xfId="0" applyFont="1"/>
    <xf numFmtId="0" fontId="0" fillId="0" borderId="4" xfId="0" applyBorder="1" applyAlignment="1">
      <alignment horizontal="center" vertical="center"/>
    </xf>
    <xf numFmtId="176" fontId="10" fillId="5" borderId="1" xfId="0" applyNumberFormat="1" applyFont="1" applyFill="1" applyBorder="1" applyAlignment="1">
      <alignment horizontal="right" vertical="center"/>
    </xf>
    <xf numFmtId="176" fontId="10" fillId="6" borderId="1" xfId="0" applyNumberFormat="1" applyFont="1" applyFill="1" applyBorder="1" applyAlignment="1">
      <alignment horizontal="right" vertical="center"/>
    </xf>
    <xf numFmtId="176" fontId="3" fillId="0" borderId="1" xfId="0" applyNumberFormat="1" applyFont="1" applyBorder="1" applyAlignment="1">
      <alignment horizontal="center"/>
    </xf>
    <xf numFmtId="176" fontId="3" fillId="6" borderId="1"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176" fontId="10" fillId="2" borderId="1" xfId="0" applyNumberFormat="1" applyFont="1" applyFill="1" applyBorder="1" applyAlignment="1">
      <alignment horizontal="right"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176" fontId="3" fillId="5" borderId="1" xfId="0" applyNumberFormat="1" applyFont="1" applyFill="1" applyBorder="1" applyAlignment="1">
      <alignment horizontal="right" vertical="center"/>
    </xf>
    <xf numFmtId="0" fontId="13" fillId="0" borderId="0" xfId="0" applyFont="1" applyAlignment="1">
      <alignment horizontal="center"/>
    </xf>
    <xf numFmtId="0" fontId="5" fillId="0" borderId="0" xfId="0" applyFont="1" applyAlignment="1">
      <alignment horizontal="center"/>
    </xf>
    <xf numFmtId="0" fontId="7" fillId="5" borderId="0" xfId="0" applyFont="1" applyFill="1"/>
    <xf numFmtId="0" fontId="0" fillId="5" borderId="0" xfId="0" applyFill="1"/>
    <xf numFmtId="0" fontId="3" fillId="0" borderId="1" xfId="0" applyFont="1" applyBorder="1" applyAlignment="1">
      <alignment horizontal="center"/>
    </xf>
    <xf numFmtId="10" fontId="3" fillId="0" borderId="7" xfId="0" applyNumberFormat="1" applyFont="1" applyBorder="1" applyAlignment="1">
      <alignment horizontal="center"/>
    </xf>
    <xf numFmtId="0" fontId="17" fillId="7" borderId="0" xfId="0" applyFont="1" applyFill="1"/>
    <xf numFmtId="0" fontId="18" fillId="7" borderId="0" xfId="0" applyFont="1" applyFill="1"/>
    <xf numFmtId="0" fontId="18" fillId="0" borderId="0" xfId="0" applyFont="1"/>
    <xf numFmtId="0" fontId="17" fillId="7" borderId="0" xfId="0" applyFont="1" applyFill="1" applyProtection="1">
      <protection locked="0"/>
    </xf>
    <xf numFmtId="0" fontId="18" fillId="7" borderId="0" xfId="0" applyFont="1" applyFill="1" applyAlignment="1">
      <alignment vertical="center"/>
    </xf>
    <xf numFmtId="176" fontId="21" fillId="0" borderId="1" xfId="0" applyNumberFormat="1" applyFont="1" applyBorder="1" applyAlignment="1">
      <alignment horizontal="right" vertical="center"/>
    </xf>
    <xf numFmtId="0" fontId="17" fillId="0" borderId="0" xfId="0" applyFont="1"/>
    <xf numFmtId="0" fontId="17" fillId="7" borderId="0" xfId="0" applyFont="1" applyFill="1" applyAlignment="1">
      <alignment vertical="center"/>
    </xf>
    <xf numFmtId="0" fontId="17" fillId="7" borderId="1" xfId="0" applyFont="1" applyFill="1" applyBorder="1"/>
    <xf numFmtId="0" fontId="18" fillId="7" borderId="0" xfId="0" applyFont="1" applyFill="1" applyProtection="1">
      <protection locked="0"/>
    </xf>
    <xf numFmtId="0" fontId="19" fillId="7" borderId="1" xfId="0" applyFont="1" applyFill="1" applyBorder="1" applyAlignment="1" applyProtection="1">
      <alignment vertical="center"/>
      <protection locked="0"/>
    </xf>
    <xf numFmtId="0" fontId="18" fillId="0" borderId="0" xfId="0" applyFont="1" applyAlignment="1">
      <alignment vertical="center"/>
    </xf>
    <xf numFmtId="0" fontId="17" fillId="7" borderId="0" xfId="0" applyFont="1" applyFill="1" applyAlignment="1" applyProtection="1">
      <alignment vertical="center"/>
      <protection locked="0"/>
    </xf>
    <xf numFmtId="0" fontId="20" fillId="7" borderId="0" xfId="0" applyFont="1" applyFill="1" applyAlignment="1">
      <alignment vertical="center"/>
    </xf>
    <xf numFmtId="0" fontId="19" fillId="7" borderId="0" xfId="0" applyFont="1" applyFill="1" applyAlignment="1" applyProtection="1">
      <alignment vertical="center"/>
      <protection locked="0"/>
    </xf>
    <xf numFmtId="0" fontId="23" fillId="7" borderId="0" xfId="0" applyFont="1" applyFill="1" applyAlignment="1">
      <alignment vertical="center"/>
    </xf>
    <xf numFmtId="0" fontId="19" fillId="7" borderId="0" xfId="0" applyFont="1" applyFill="1" applyAlignment="1">
      <alignment vertical="center"/>
    </xf>
    <xf numFmtId="0" fontId="19" fillId="3" borderId="0" xfId="0" applyFont="1" applyFill="1" applyAlignment="1" applyProtection="1">
      <alignment vertical="center"/>
      <protection locked="0"/>
    </xf>
    <xf numFmtId="0" fontId="17" fillId="3" borderId="0" xfId="0" applyFont="1" applyFill="1" applyAlignment="1" applyProtection="1">
      <alignment vertical="center"/>
      <protection locked="0"/>
    </xf>
    <xf numFmtId="0" fontId="24" fillId="7" borderId="0" xfId="0" applyFont="1" applyFill="1" applyAlignment="1">
      <alignment vertical="center"/>
    </xf>
    <xf numFmtId="0" fontId="25" fillId="0" borderId="1" xfId="0" applyFont="1" applyBorder="1" applyAlignment="1">
      <alignment horizontal="center" vertical="center"/>
    </xf>
    <xf numFmtId="0" fontId="17" fillId="7" borderId="1" xfId="0" applyFont="1" applyFill="1" applyBorder="1" applyAlignment="1" applyProtection="1">
      <alignment vertical="center"/>
      <protection locked="0"/>
    </xf>
    <xf numFmtId="0" fontId="17" fillId="0" borderId="1" xfId="0" applyFont="1" applyBorder="1" applyProtection="1">
      <protection locked="0"/>
    </xf>
    <xf numFmtId="0" fontId="17" fillId="0" borderId="1" xfId="0" applyFont="1" applyBorder="1" applyAlignment="1" applyProtection="1">
      <alignment horizontal="right" vertical="center"/>
      <protection locked="0"/>
    </xf>
    <xf numFmtId="176" fontId="22" fillId="10" borderId="1" xfId="0" applyNumberFormat="1" applyFont="1" applyFill="1" applyBorder="1" applyAlignment="1" applyProtection="1">
      <alignment horizontal="right" vertical="center"/>
      <protection locked="0"/>
    </xf>
    <xf numFmtId="176" fontId="22" fillId="11" borderId="1" xfId="0" applyNumberFormat="1" applyFont="1" applyFill="1" applyBorder="1" applyAlignment="1" applyProtection="1">
      <alignment horizontal="right" vertical="center"/>
      <protection locked="0"/>
    </xf>
    <xf numFmtId="176" fontId="22" fillId="0" borderId="1" xfId="0" applyNumberFormat="1" applyFont="1" applyBorder="1" applyAlignment="1" applyProtection="1">
      <alignment horizontal="right" vertical="center"/>
      <protection locked="0"/>
    </xf>
    <xf numFmtId="176" fontId="22" fillId="9" borderId="1" xfId="0" applyNumberFormat="1" applyFont="1" applyFill="1" applyBorder="1" applyAlignment="1" applyProtection="1">
      <alignment horizontal="right" vertical="center"/>
      <protection locked="0"/>
    </xf>
    <xf numFmtId="176" fontId="22" fillId="8" borderId="1" xfId="0" applyNumberFormat="1" applyFont="1" applyFill="1" applyBorder="1" applyAlignment="1" applyProtection="1">
      <alignment horizontal="right" vertical="center"/>
      <protection locked="0"/>
    </xf>
    <xf numFmtId="0" fontId="17" fillId="0" borderId="1" xfId="0" applyFont="1" applyBorder="1" applyAlignment="1" applyProtection="1">
      <alignment horizontal="center" vertical="center"/>
      <protection locked="0"/>
    </xf>
    <xf numFmtId="176" fontId="22" fillId="12" borderId="1" xfId="0" applyNumberFormat="1" applyFont="1" applyFill="1" applyBorder="1" applyAlignment="1" applyProtection="1">
      <alignment horizontal="right" vertical="center"/>
      <protection locked="0"/>
    </xf>
    <xf numFmtId="176" fontId="20" fillId="0" borderId="1" xfId="0" applyNumberFormat="1" applyFont="1" applyBorder="1" applyAlignment="1">
      <alignment horizontal="right" vertical="center"/>
    </xf>
    <xf numFmtId="0" fontId="18" fillId="7" borderId="0" xfId="0" applyFont="1" applyFill="1" applyAlignment="1">
      <alignment vertical="top"/>
    </xf>
    <xf numFmtId="0" fontId="18" fillId="0" borderId="0" xfId="0" applyFont="1" applyAlignment="1">
      <alignment vertical="top"/>
    </xf>
    <xf numFmtId="0" fontId="2" fillId="0" borderId="0" xfId="0" applyFont="1" applyAlignment="1">
      <alignment horizontal="center" vertical="center"/>
    </xf>
    <xf numFmtId="0" fontId="27" fillId="0" borderId="1" xfId="0" applyFont="1" applyBorder="1" applyAlignment="1" applyProtection="1">
      <alignment horizontal="center" vertical="center"/>
      <protection locked="0"/>
    </xf>
    <xf numFmtId="0" fontId="29" fillId="7" borderId="0" xfId="0" applyFont="1" applyFill="1" applyAlignment="1">
      <alignment vertical="center"/>
    </xf>
    <xf numFmtId="0" fontId="32" fillId="7" borderId="0" xfId="0" applyFont="1" applyFill="1" applyAlignment="1">
      <alignment vertical="center"/>
    </xf>
    <xf numFmtId="0" fontId="3" fillId="0" borderId="0" xfId="0" applyFont="1" applyAlignment="1">
      <alignment horizontal="center"/>
    </xf>
    <xf numFmtId="0" fontId="28" fillId="7" borderId="1" xfId="0" applyFont="1" applyFill="1" applyBorder="1" applyAlignment="1" applyProtection="1">
      <alignment horizontal="center" vertical="center"/>
      <protection locked="0"/>
    </xf>
    <xf numFmtId="0" fontId="33" fillId="7" borderId="0" xfId="0" applyFont="1" applyFill="1"/>
    <xf numFmtId="10" fontId="10" fillId="5" borderId="1" xfId="0" applyNumberFormat="1" applyFont="1" applyFill="1" applyBorder="1" applyAlignment="1">
      <alignment horizontal="right" vertical="center"/>
    </xf>
    <xf numFmtId="0" fontId="0" fillId="2" borderId="2" xfId="0" applyFill="1" applyBorder="1" applyAlignment="1">
      <alignment horizontal="center" vertical="center"/>
    </xf>
    <xf numFmtId="176" fontId="11" fillId="0" borderId="1" xfId="0" applyNumberFormat="1" applyFont="1" applyBorder="1" applyAlignment="1">
      <alignment horizontal="center"/>
    </xf>
    <xf numFmtId="0" fontId="0" fillId="0" borderId="0" xfId="0" applyAlignment="1">
      <alignment vertical="center"/>
    </xf>
    <xf numFmtId="0" fontId="0" fillId="2" borderId="2" xfId="0" applyFill="1" applyBorder="1" applyAlignment="1">
      <alignment horizontal="left" vertical="center"/>
    </xf>
    <xf numFmtId="0" fontId="0" fillId="0" borderId="0" xfId="0" applyAlignment="1">
      <alignment horizontal="right" vertical="center"/>
    </xf>
    <xf numFmtId="176" fontId="10" fillId="0" borderId="0" xfId="0" applyNumberFormat="1" applyFont="1" applyAlignment="1">
      <alignment horizontal="right" vertical="center"/>
    </xf>
    <xf numFmtId="176" fontId="3" fillId="0" borderId="0" xfId="0" applyNumberFormat="1" applyFont="1" applyAlignment="1">
      <alignment horizontal="right" vertical="center"/>
    </xf>
    <xf numFmtId="0" fontId="0" fillId="0" borderId="0" xfId="0" applyAlignment="1">
      <alignment horizontal="center" vertical="center"/>
    </xf>
    <xf numFmtId="10" fontId="10" fillId="0" borderId="0" xfId="0" applyNumberFormat="1" applyFont="1" applyAlignment="1">
      <alignment horizontal="right" vertical="center"/>
    </xf>
    <xf numFmtId="0" fontId="3" fillId="0" borderId="7" xfId="0" applyFont="1" applyBorder="1" applyAlignment="1">
      <alignment horizontal="center"/>
    </xf>
    <xf numFmtId="10" fontId="3" fillId="2" borderId="7" xfId="0" applyNumberFormat="1" applyFont="1" applyFill="1" applyBorder="1" applyAlignment="1">
      <alignment horizontal="center"/>
    </xf>
    <xf numFmtId="0" fontId="3" fillId="0" borderId="0" xfId="0" applyFont="1" applyAlignment="1">
      <alignment horizontal="right"/>
    </xf>
    <xf numFmtId="176" fontId="7" fillId="0" borderId="1" xfId="0" applyNumberFormat="1" applyFont="1" applyBorder="1" applyAlignment="1">
      <alignment horizontal="right" vertical="center"/>
    </xf>
    <xf numFmtId="176" fontId="8" fillId="0" borderId="1" xfId="0" applyNumberFormat="1" applyFont="1" applyBorder="1" applyAlignment="1">
      <alignment horizontal="right" vertical="center"/>
    </xf>
    <xf numFmtId="0" fontId="37" fillId="7" borderId="0" xfId="0" applyFont="1" applyFill="1" applyProtection="1">
      <protection locked="0"/>
    </xf>
    <xf numFmtId="176" fontId="3" fillId="14" borderId="1" xfId="0" applyNumberFormat="1" applyFont="1" applyFill="1" applyBorder="1" applyAlignment="1">
      <alignment horizontal="right" vertical="center"/>
    </xf>
    <xf numFmtId="176" fontId="3" fillId="5" borderId="4" xfId="0" applyNumberFormat="1" applyFont="1" applyFill="1" applyBorder="1" applyAlignment="1">
      <alignment horizontal="right" vertical="center"/>
    </xf>
    <xf numFmtId="176" fontId="3" fillId="5" borderId="10" xfId="0" applyNumberFormat="1" applyFont="1" applyFill="1" applyBorder="1" applyAlignment="1">
      <alignment horizontal="right" vertical="center"/>
    </xf>
    <xf numFmtId="176" fontId="3" fillId="5" borderId="11" xfId="0" applyNumberFormat="1" applyFont="1" applyFill="1" applyBorder="1" applyAlignment="1">
      <alignment horizontal="right" vertical="center"/>
    </xf>
    <xf numFmtId="176" fontId="10" fillId="5" borderId="12" xfId="0" applyNumberFormat="1" applyFont="1" applyFill="1" applyBorder="1" applyAlignment="1">
      <alignment horizontal="right" vertical="center"/>
    </xf>
    <xf numFmtId="176" fontId="3" fillId="5" borderId="15" xfId="0" applyNumberFormat="1" applyFont="1" applyFill="1" applyBorder="1" applyAlignment="1">
      <alignment horizontal="right" vertical="center"/>
    </xf>
    <xf numFmtId="176" fontId="3" fillId="5" borderId="16" xfId="0" applyNumberFormat="1" applyFont="1" applyFill="1" applyBorder="1" applyAlignment="1">
      <alignment horizontal="right" vertical="center"/>
    </xf>
    <xf numFmtId="0" fontId="38" fillId="0" borderId="1" xfId="0" applyFont="1" applyBorder="1" applyAlignment="1">
      <alignment horizontal="center"/>
    </xf>
    <xf numFmtId="177" fontId="11" fillId="0" borderId="1" xfId="0" applyNumberFormat="1" applyFont="1" applyBorder="1" applyAlignment="1">
      <alignment horizontal="center"/>
    </xf>
    <xf numFmtId="177" fontId="0" fillId="0" borderId="1" xfId="0" applyNumberFormat="1" applyBorder="1"/>
    <xf numFmtId="177" fontId="0" fillId="0" borderId="0" xfId="0" applyNumberFormat="1"/>
    <xf numFmtId="177" fontId="0" fillId="2" borderId="2" xfId="0" applyNumberFormat="1" applyFill="1" applyBorder="1" applyAlignment="1">
      <alignment horizontal="left" vertical="center"/>
    </xf>
    <xf numFmtId="177" fontId="0" fillId="2" borderId="2"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11" fillId="3" borderId="1" xfId="0" applyNumberFormat="1" applyFont="1" applyFill="1" applyBorder="1" applyAlignment="1">
      <alignment horizontal="center"/>
    </xf>
    <xf numFmtId="176" fontId="21" fillId="0" borderId="1" xfId="0" applyNumberFormat="1" applyFont="1" applyBorder="1" applyAlignment="1" applyProtection="1">
      <alignment horizontal="right" vertical="center"/>
      <protection locked="0"/>
    </xf>
    <xf numFmtId="0" fontId="36"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7" fillId="7" borderId="0" xfId="0" applyFont="1" applyFill="1" applyAlignment="1" applyProtection="1">
      <alignment vertical="center"/>
      <protection locked="0"/>
    </xf>
    <xf numFmtId="0" fontId="29" fillId="7" borderId="0" xfId="0" applyFont="1" applyFill="1" applyAlignment="1" applyProtection="1">
      <alignment vertical="center"/>
      <protection locked="0"/>
    </xf>
    <xf numFmtId="0" fontId="31" fillId="7" borderId="0" xfId="0" applyFont="1" applyFill="1" applyAlignment="1" applyProtection="1">
      <alignment vertical="center"/>
      <protection locked="0"/>
    </xf>
    <xf numFmtId="0" fontId="27" fillId="9" borderId="0" xfId="0" applyFont="1" applyFill="1" applyAlignment="1" applyProtection="1">
      <alignment vertical="top"/>
      <protection locked="0"/>
    </xf>
    <xf numFmtId="0" fontId="17" fillId="9" borderId="0" xfId="0" applyFont="1" applyFill="1" applyAlignment="1" applyProtection="1">
      <alignment vertical="top"/>
      <protection locked="0"/>
    </xf>
    <xf numFmtId="0" fontId="36" fillId="10" borderId="1" xfId="0" applyFont="1" applyFill="1" applyBorder="1" applyAlignment="1" applyProtection="1">
      <alignment horizontal="center" vertical="center" wrapText="1"/>
      <protection locked="0"/>
    </xf>
    <xf numFmtId="0" fontId="17" fillId="10" borderId="1" xfId="0" applyFont="1" applyFill="1" applyBorder="1" applyAlignment="1" applyProtection="1">
      <alignment horizontal="center" vertical="center"/>
      <protection locked="0"/>
    </xf>
    <xf numFmtId="0" fontId="18" fillId="0" borderId="0" xfId="0" applyFont="1" applyProtection="1">
      <protection locked="0"/>
    </xf>
    <xf numFmtId="0" fontId="18" fillId="7" borderId="0" xfId="0" applyFont="1" applyFill="1" applyAlignment="1" applyProtection="1">
      <alignment vertical="top"/>
      <protection locked="0"/>
    </xf>
    <xf numFmtId="0" fontId="18" fillId="0" borderId="0" xfId="0" applyFont="1" applyAlignment="1" applyProtection="1">
      <alignment vertical="top"/>
      <protection locked="0"/>
    </xf>
    <xf numFmtId="0" fontId="18" fillId="7" borderId="0" xfId="0" applyFont="1" applyFill="1" applyAlignment="1" applyProtection="1">
      <alignment vertical="center"/>
      <protection locked="0"/>
    </xf>
    <xf numFmtId="0" fontId="18" fillId="0" borderId="0" xfId="0" applyFont="1" applyAlignment="1" applyProtection="1">
      <alignment vertical="center"/>
      <protection locked="0"/>
    </xf>
    <xf numFmtId="0" fontId="17" fillId="0" borderId="0" xfId="0" applyFont="1" applyProtection="1">
      <protection locked="0"/>
    </xf>
    <xf numFmtId="0" fontId="27" fillId="7" borderId="2" xfId="0" applyFont="1" applyFill="1" applyBorder="1" applyAlignment="1" applyProtection="1">
      <alignment horizontal="center" vertical="center"/>
      <protection locked="0"/>
    </xf>
    <xf numFmtId="0" fontId="17" fillId="7" borderId="2" xfId="0" applyFont="1" applyFill="1" applyBorder="1" applyAlignment="1" applyProtection="1">
      <alignment horizontal="center" vertical="center"/>
      <protection locked="0"/>
    </xf>
    <xf numFmtId="0" fontId="17" fillId="7" borderId="1" xfId="0" applyFont="1" applyFill="1" applyBorder="1" applyAlignment="1" applyProtection="1">
      <alignment horizontal="center" vertical="center"/>
      <protection locked="0"/>
    </xf>
    <xf numFmtId="0" fontId="26" fillId="7" borderId="3" xfId="0" applyFont="1" applyFill="1" applyBorder="1" applyAlignment="1" applyProtection="1">
      <alignment horizontal="center" vertical="center" shrinkToFit="1"/>
      <protection locked="0"/>
    </xf>
    <xf numFmtId="0" fontId="17" fillId="7" borderId="1" xfId="0" applyFont="1" applyFill="1" applyBorder="1" applyAlignment="1" applyProtection="1">
      <alignment horizontal="center" vertical="center" shrinkToFit="1"/>
      <protection locked="0"/>
    </xf>
    <xf numFmtId="177" fontId="11" fillId="5" borderId="1" xfId="0" applyNumberFormat="1" applyFont="1" applyFill="1" applyBorder="1" applyAlignment="1">
      <alignment horizontal="center"/>
    </xf>
    <xf numFmtId="0" fontId="0" fillId="14" borderId="1" xfId="0" applyFill="1" applyBorder="1" applyAlignment="1">
      <alignment horizontal="center" vertical="center"/>
    </xf>
    <xf numFmtId="176" fontId="28" fillId="7" borderId="1" xfId="0" applyNumberFormat="1" applyFont="1" applyFill="1" applyBorder="1" applyAlignment="1" applyProtection="1">
      <alignment vertical="center"/>
      <protection locked="0"/>
    </xf>
    <xf numFmtId="0" fontId="18" fillId="7" borderId="1" xfId="0" applyFont="1" applyFill="1" applyBorder="1"/>
    <xf numFmtId="0" fontId="28" fillId="3" borderId="0" xfId="0" applyFont="1" applyFill="1" applyAlignment="1" applyProtection="1">
      <alignment vertical="center"/>
      <protection locked="0"/>
    </xf>
    <xf numFmtId="0" fontId="27" fillId="3" borderId="0" xfId="0" applyFont="1" applyFill="1" applyAlignment="1" applyProtection="1">
      <alignment vertical="center"/>
      <protection locked="0"/>
    </xf>
    <xf numFmtId="0" fontId="42" fillId="0" borderId="0" xfId="0" applyFont="1"/>
    <xf numFmtId="0" fontId="43" fillId="0" borderId="0" xfId="0" applyFont="1"/>
    <xf numFmtId="0" fontId="44" fillId="3" borderId="0" xfId="0" applyFont="1" applyFill="1" applyAlignment="1" applyProtection="1">
      <alignment vertical="center"/>
      <protection locked="0"/>
    </xf>
    <xf numFmtId="0" fontId="18" fillId="0" borderId="0" xfId="0" applyFont="1" applyAlignment="1">
      <alignment horizontal="center"/>
    </xf>
    <xf numFmtId="0" fontId="29" fillId="7" borderId="0" xfId="0" applyFont="1" applyFill="1"/>
    <xf numFmtId="176" fontId="3" fillId="0" borderId="0" xfId="0" applyNumberFormat="1" applyFont="1"/>
    <xf numFmtId="176" fontId="3" fillId="0" borderId="0" xfId="0" applyNumberFormat="1" applyFont="1" applyAlignment="1">
      <alignment horizontal="center"/>
    </xf>
    <xf numFmtId="0" fontId="0" fillId="2" borderId="3" xfId="0" applyFill="1" applyBorder="1" applyAlignment="1">
      <alignment horizontal="center" vertical="center"/>
    </xf>
    <xf numFmtId="0" fontId="45" fillId="0" borderId="0" xfId="0" applyFont="1"/>
    <xf numFmtId="0" fontId="45" fillId="0" borderId="1" xfId="0" applyFont="1" applyBorder="1" applyAlignment="1">
      <alignment horizontal="right" vertical="center"/>
    </xf>
    <xf numFmtId="0" fontId="45" fillId="0" borderId="0" xfId="0" applyFont="1" applyAlignment="1">
      <alignment horizontal="right" vertical="center"/>
    </xf>
    <xf numFmtId="0" fontId="46" fillId="7" borderId="0" xfId="0" applyFont="1" applyFill="1" applyAlignment="1" applyProtection="1">
      <alignment vertical="center"/>
      <protection locked="0"/>
    </xf>
    <xf numFmtId="0" fontId="47" fillId="7" borderId="0" xfId="0" applyFont="1" applyFill="1" applyAlignment="1">
      <alignment vertical="center"/>
    </xf>
    <xf numFmtId="176" fontId="11" fillId="0" borderId="1" xfId="0" applyNumberFormat="1" applyFont="1" applyBorder="1" applyAlignment="1">
      <alignment horizontal="center" vertical="center"/>
    </xf>
    <xf numFmtId="0" fontId="48" fillId="0" borderId="1" xfId="0" applyFont="1" applyBorder="1" applyAlignment="1">
      <alignment horizontal="center"/>
    </xf>
    <xf numFmtId="0" fontId="49" fillId="7" borderId="0" xfId="0" applyFont="1" applyFill="1" applyAlignment="1">
      <alignment horizontal="left"/>
    </xf>
    <xf numFmtId="0" fontId="49" fillId="0" borderId="0" xfId="0" applyFont="1" applyAlignment="1">
      <alignment horizontal="left"/>
    </xf>
    <xf numFmtId="0" fontId="49" fillId="7" borderId="0" xfId="0" applyFont="1" applyFill="1" applyAlignment="1">
      <alignment horizontal="center"/>
    </xf>
    <xf numFmtId="0" fontId="49" fillId="0" borderId="0" xfId="0" applyFont="1" applyAlignment="1">
      <alignment horizontal="center"/>
    </xf>
    <xf numFmtId="0" fontId="50" fillId="0" borderId="0" xfId="0" applyFont="1"/>
    <xf numFmtId="0" fontId="39" fillId="7" borderId="0" xfId="0" applyFont="1" applyFill="1"/>
    <xf numFmtId="0" fontId="39" fillId="7" borderId="0" xfId="0" applyFont="1" applyFill="1" applyAlignment="1" applyProtection="1">
      <alignment vertical="center"/>
      <protection locked="0"/>
    </xf>
    <xf numFmtId="0" fontId="39" fillId="0" borderId="0" xfId="0" applyFont="1" applyAlignment="1" applyProtection="1">
      <alignment vertical="center"/>
      <protection locked="0"/>
    </xf>
    <xf numFmtId="0" fontId="28" fillId="7" borderId="0" xfId="0" applyFont="1" applyFill="1" applyAlignment="1" applyProtection="1">
      <alignment vertical="center"/>
      <protection locked="0"/>
    </xf>
    <xf numFmtId="0" fontId="51" fillId="7" borderId="0" xfId="0" applyFont="1" applyFill="1" applyAlignment="1" applyProtection="1">
      <alignment vertical="center"/>
      <protection locked="0"/>
    </xf>
    <xf numFmtId="0" fontId="27" fillId="7" borderId="0" xfId="0" applyFont="1" applyFill="1" applyAlignment="1">
      <alignment vertical="center"/>
    </xf>
    <xf numFmtId="0" fontId="39" fillId="7" borderId="0" xfId="0" applyFont="1" applyFill="1" applyAlignment="1">
      <alignment vertical="center"/>
    </xf>
    <xf numFmtId="0" fontId="39" fillId="0" borderId="0" xfId="0" applyFont="1" applyAlignment="1">
      <alignment vertical="center"/>
    </xf>
    <xf numFmtId="0" fontId="27" fillId="7" borderId="0" xfId="0" applyFont="1" applyFill="1" applyProtection="1">
      <protection locked="0"/>
    </xf>
    <xf numFmtId="0" fontId="37" fillId="3" borderId="0" xfId="0" applyFont="1" applyFill="1"/>
    <xf numFmtId="0" fontId="17" fillId="3" borderId="0" xfId="0" applyFont="1" applyFill="1"/>
    <xf numFmtId="0" fontId="17" fillId="7" borderId="1" xfId="0" applyFont="1" applyFill="1" applyBorder="1" applyProtection="1">
      <protection locked="0"/>
    </xf>
    <xf numFmtId="10" fontId="34" fillId="7" borderId="0" xfId="0" applyNumberFormat="1" applyFont="1" applyFill="1" applyAlignment="1">
      <alignment horizontal="center" vertical="center"/>
    </xf>
    <xf numFmtId="0" fontId="34" fillId="7" borderId="0" xfId="0" applyFont="1" applyFill="1" applyAlignment="1">
      <alignment horizontal="left"/>
    </xf>
    <xf numFmtId="0" fontId="34" fillId="7" borderId="0" xfId="0" applyFont="1" applyFill="1" applyAlignment="1">
      <alignment horizontal="center"/>
    </xf>
    <xf numFmtId="0" fontId="34" fillId="0" borderId="0" xfId="0" applyFont="1" applyAlignment="1">
      <alignment horizontal="center"/>
    </xf>
    <xf numFmtId="0" fontId="39" fillId="0" borderId="1" xfId="0" applyFont="1" applyBorder="1" applyAlignment="1">
      <alignment horizontal="center" vertical="center"/>
    </xf>
    <xf numFmtId="0" fontId="8" fillId="0" borderId="0" xfId="0" applyFont="1"/>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10" borderId="1" xfId="0" applyFont="1" applyFill="1" applyBorder="1" applyAlignment="1" applyProtection="1">
      <alignment horizontal="center" vertical="center"/>
      <protection locked="0"/>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6" fillId="10" borderId="1" xfId="0" applyFont="1" applyFill="1" applyBorder="1" applyAlignment="1" applyProtection="1">
      <alignment horizontal="center" vertical="center" wrapText="1"/>
      <protection locked="0"/>
    </xf>
    <xf numFmtId="0" fontId="27" fillId="10" borderId="1" xfId="0" applyFont="1" applyFill="1" applyBorder="1" applyAlignment="1" applyProtection="1">
      <alignment horizontal="center" vertical="center" wrapText="1"/>
      <protection locked="0"/>
    </xf>
    <xf numFmtId="0" fontId="27" fillId="10" borderId="1" xfId="0" applyFont="1" applyFill="1" applyBorder="1" applyAlignment="1" applyProtection="1">
      <alignment horizontal="center" vertical="center"/>
      <protection locked="0"/>
    </xf>
    <xf numFmtId="0" fontId="27" fillId="0" borderId="18"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17" fillId="0" borderId="18" xfId="0" applyFont="1" applyBorder="1" applyAlignment="1" applyProtection="1">
      <alignment horizontal="right" vertical="center"/>
      <protection locked="0"/>
    </xf>
    <xf numFmtId="0" fontId="0" fillId="0" borderId="20" xfId="0" applyBorder="1" applyProtection="1">
      <protection locked="0"/>
    </xf>
    <xf numFmtId="0" fontId="0" fillId="0" borderId="21" xfId="0" applyBorder="1" applyProtection="1">
      <protection locked="0"/>
    </xf>
    <xf numFmtId="0" fontId="0" fillId="0" borderId="19" xfId="0" applyBorder="1" applyProtection="1">
      <protection locked="0"/>
    </xf>
    <xf numFmtId="0" fontId="0" fillId="0" borderId="17" xfId="0" applyBorder="1" applyProtection="1">
      <protection locked="0"/>
    </xf>
    <xf numFmtId="0" fontId="0" fillId="0" borderId="22" xfId="0" applyBorder="1" applyProtection="1">
      <protection locked="0"/>
    </xf>
    <xf numFmtId="0" fontId="27" fillId="0" borderId="2"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36" fillId="10" borderId="2" xfId="0" applyFont="1" applyFill="1" applyBorder="1" applyAlignment="1" applyProtection="1">
      <alignment horizontal="center" vertical="center" wrapText="1"/>
      <protection locked="0"/>
    </xf>
    <xf numFmtId="0" fontId="17" fillId="10" borderId="3" xfId="0" applyFont="1" applyFill="1" applyBorder="1" applyAlignment="1" applyProtection="1">
      <alignment horizontal="center" vertical="center"/>
      <protection locked="0"/>
    </xf>
    <xf numFmtId="0" fontId="17" fillId="7" borderId="1" xfId="0"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0" fontId="27" fillId="8" borderId="2" xfId="0" applyFont="1" applyFill="1" applyBorder="1" applyAlignment="1" applyProtection="1">
      <alignment horizontal="center" vertical="center" wrapText="1"/>
      <protection locked="0"/>
    </xf>
    <xf numFmtId="0" fontId="27" fillId="8" borderId="3" xfId="0" applyFont="1" applyFill="1" applyBorder="1" applyAlignment="1" applyProtection="1">
      <alignment horizontal="center" vertical="center" wrapText="1"/>
      <protection locked="0"/>
    </xf>
    <xf numFmtId="0" fontId="36" fillId="8" borderId="1" xfId="0" applyFont="1" applyFill="1" applyBorder="1" applyAlignment="1" applyProtection="1">
      <alignment horizontal="center" vertical="center" wrapText="1"/>
      <protection locked="0"/>
    </xf>
    <xf numFmtId="0" fontId="17" fillId="7" borderId="1" xfId="0" applyFont="1" applyFill="1" applyBorder="1" applyAlignment="1" applyProtection="1">
      <alignment vertical="center"/>
      <protection locked="0"/>
    </xf>
    <xf numFmtId="0" fontId="17" fillId="10" borderId="1" xfId="0" applyFont="1" applyFill="1" applyBorder="1" applyAlignment="1" applyProtection="1">
      <alignment horizontal="center" vertical="center" wrapText="1"/>
      <protection locked="0"/>
    </xf>
    <xf numFmtId="0" fontId="36" fillId="8" borderId="2" xfId="0" applyFont="1" applyFill="1" applyBorder="1" applyAlignment="1" applyProtection="1">
      <alignment horizontal="center" vertical="center" wrapText="1"/>
      <protection locked="0"/>
    </xf>
    <xf numFmtId="0" fontId="36" fillId="8" borderId="3"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0" fontId="17" fillId="8" borderId="3"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protection locked="0"/>
    </xf>
    <xf numFmtId="0" fontId="17" fillId="8" borderId="3" xfId="0" applyFont="1" applyFill="1" applyBorder="1" applyAlignment="1" applyProtection="1">
      <alignment horizontal="center" vertical="center"/>
      <protection locked="0"/>
    </xf>
    <xf numFmtId="0" fontId="17" fillId="8" borderId="4"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center" vertical="center" wrapText="1"/>
      <protection locked="0"/>
    </xf>
    <xf numFmtId="0" fontId="17" fillId="8" borderId="6" xfId="0" applyFont="1" applyFill="1" applyBorder="1" applyAlignment="1" applyProtection="1">
      <alignment horizontal="center" vertical="center" wrapText="1"/>
      <protection locked="0"/>
    </xf>
    <xf numFmtId="0" fontId="36" fillId="8" borderId="4" xfId="0" applyFont="1" applyFill="1" applyBorder="1" applyAlignment="1" applyProtection="1">
      <alignment horizontal="center" vertical="center" wrapText="1"/>
      <protection locked="0"/>
    </xf>
    <xf numFmtId="0" fontId="7" fillId="2" borderId="4"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7" fillId="0" borderId="20" xfId="0" applyFont="1" applyBorder="1" applyAlignment="1" applyProtection="1">
      <alignment horizontal="right" vertical="center"/>
      <protection locked="0"/>
    </xf>
    <xf numFmtId="0" fontId="17" fillId="0" borderId="21" xfId="0" applyFont="1" applyBorder="1" applyAlignment="1" applyProtection="1">
      <alignment horizontal="right" vertical="center"/>
      <protection locked="0"/>
    </xf>
    <xf numFmtId="0" fontId="17" fillId="0" borderId="19" xfId="0" applyFont="1" applyBorder="1" applyAlignment="1" applyProtection="1">
      <alignment horizontal="right" vertical="center"/>
      <protection locked="0"/>
    </xf>
    <xf numFmtId="0" fontId="17" fillId="0" borderId="17" xfId="0" applyFont="1" applyBorder="1" applyAlignment="1" applyProtection="1">
      <alignment horizontal="right" vertical="center"/>
      <protection locked="0"/>
    </xf>
    <xf numFmtId="0" fontId="17" fillId="0" borderId="22" xfId="0" applyFont="1" applyBorder="1" applyAlignment="1" applyProtection="1">
      <alignment horizontal="right" vertical="center"/>
      <protection locked="0"/>
    </xf>
    <xf numFmtId="0" fontId="27" fillId="15" borderId="2" xfId="0" applyFont="1" applyFill="1" applyBorder="1" applyAlignment="1" applyProtection="1">
      <alignment horizontal="center" vertical="center" wrapText="1"/>
      <protection locked="0"/>
    </xf>
    <xf numFmtId="0" fontId="36" fillId="15" borderId="3" xfId="0" applyFont="1" applyFill="1" applyBorder="1" applyAlignment="1" applyProtection="1">
      <alignment horizontal="center" vertical="center" wrapText="1"/>
      <protection locked="0"/>
    </xf>
    <xf numFmtId="0" fontId="0" fillId="13" borderId="4" xfId="0" applyFill="1" applyBorder="1" applyAlignment="1">
      <alignment horizontal="center"/>
    </xf>
    <xf numFmtId="0" fontId="0" fillId="13" borderId="5" xfId="0" applyFill="1" applyBorder="1" applyAlignment="1">
      <alignment horizontal="center"/>
    </xf>
    <xf numFmtId="0" fontId="0" fillId="13" borderId="5" xfId="0" applyFill="1" applyBorder="1"/>
    <xf numFmtId="0" fontId="0" fillId="13" borderId="6" xfId="0" applyFill="1" applyBorder="1"/>
    <xf numFmtId="0" fontId="11" fillId="0" borderId="2" xfId="0" applyFont="1" applyBorder="1" applyAlignment="1">
      <alignment horizontal="center" vertical="center"/>
    </xf>
    <xf numFmtId="0" fontId="5" fillId="5" borderId="1" xfId="0" applyFont="1" applyFill="1" applyBorder="1" applyAlignment="1">
      <alignment horizontal="center" wrapText="1"/>
    </xf>
    <xf numFmtId="0" fontId="6" fillId="5" borderId="1" xfId="0" applyFont="1" applyFill="1" applyBorder="1" applyAlignment="1">
      <alignment horizontal="center" wrapText="1"/>
    </xf>
    <xf numFmtId="0" fontId="0" fillId="2" borderId="1" xfId="0" applyFill="1" applyBorder="1" applyAlignment="1">
      <alignment horizontal="center" vertical="center"/>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5" xfId="0" applyFill="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25" fillId="0" borderId="4" xfId="0" applyFont="1" applyBorder="1" applyAlignment="1">
      <alignment horizontal="center"/>
    </xf>
    <xf numFmtId="0" fontId="0" fillId="0" borderId="6" xfId="0" applyBorder="1"/>
    <xf numFmtId="0" fontId="0" fillId="3" borderId="4" xfId="0" applyFill="1" applyBorder="1" applyAlignment="1">
      <alignment horizontal="center"/>
    </xf>
    <xf numFmtId="0" fontId="0" fillId="3" borderId="5" xfId="0" applyFill="1" applyBorder="1" applyAlignment="1">
      <alignment horizontal="center"/>
    </xf>
    <xf numFmtId="0" fontId="0" fillId="3" borderId="5" xfId="0" applyFill="1" applyBorder="1"/>
    <xf numFmtId="0" fontId="0" fillId="3" borderId="6" xfId="0" applyFill="1" applyBorder="1"/>
    <xf numFmtId="0" fontId="0" fillId="0" borderId="1" xfId="0" applyBorder="1" applyAlignment="1">
      <alignment horizontal="center" vertical="center" wrapText="1"/>
    </xf>
    <xf numFmtId="0" fontId="0" fillId="4" borderId="1" xfId="0" applyFill="1" applyBorder="1" applyAlignment="1">
      <alignment horizontal="center"/>
    </xf>
    <xf numFmtId="0" fontId="0" fillId="0" borderId="1" xfId="0" applyBorder="1" applyAlignment="1">
      <alignment horizontal="center"/>
    </xf>
    <xf numFmtId="176" fontId="11" fillId="0" borderId="2" xfId="0" applyNumberFormat="1" applyFont="1" applyBorder="1" applyAlignment="1">
      <alignment horizontal="center" vertical="center"/>
    </xf>
    <xf numFmtId="176" fontId="11" fillId="0" borderId="3" xfId="0" applyNumberFormat="1" applyFont="1" applyBorder="1" applyAlignment="1">
      <alignment horizontal="center" vertical="center"/>
    </xf>
    <xf numFmtId="0" fontId="38" fillId="0" borderId="2" xfId="0" applyFont="1"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5" fillId="5" borderId="4" xfId="0" applyFont="1" applyFill="1" applyBorder="1" applyAlignment="1">
      <alignment horizontal="center" wrapText="1"/>
    </xf>
    <xf numFmtId="0" fontId="0" fillId="0" borderId="6" xfId="0" applyBorder="1" applyAlignment="1">
      <alignment horizont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6" fillId="5" borderId="2" xfId="0" applyFont="1" applyFill="1" applyBorder="1" applyAlignment="1">
      <alignment horizontal="center" wrapText="1"/>
    </xf>
    <xf numFmtId="0" fontId="0" fillId="0" borderId="2" xfId="0" applyBorder="1" applyAlignment="1">
      <alignment horizontal="center" wrapText="1"/>
    </xf>
    <xf numFmtId="0" fontId="0" fillId="0" borderId="1" xfId="0" applyBorder="1" applyAlignment="1">
      <alignment horizontal="center" wrapText="1"/>
    </xf>
    <xf numFmtId="0" fontId="0" fillId="5" borderId="7"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cellXfs>
  <cellStyles count="1">
    <cellStyle name="一般" xfId="0" builtinId="0"/>
  </cellStyles>
  <dxfs count="0"/>
  <tableStyles count="0" defaultTableStyle="TableStyleMedium2" defaultPivotStyle="PivotStyleMedium9"/>
  <colors>
    <mruColors>
      <color rgb="FF0000FF"/>
      <color rgb="FFCCFFCC"/>
      <color rgb="FFCCECFF"/>
      <color rgb="FF99FF99"/>
      <color rgb="FFFFFF66"/>
      <color rgb="FFFFFF99"/>
      <color rgb="FFFFFFCC"/>
      <color rgb="FFFFD757"/>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慧盈之「初稿案」申請服務費在專利佈局總成本</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(T</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 </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 </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A+C+R+M)</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中之佔比分析</a:t>
            </a:r>
            <a:endPar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endParaRPr>
          </a:p>
        </c:rich>
      </c:tx>
      <c:layout>
        <c:manualLayout>
          <c:xMode val="edge"/>
          <c:yMode val="edge"/>
          <c:x val="1.9321890708552763E-2"/>
          <c:y val="2.9729308777920089E-2"/>
        </c:manualLayout>
      </c:layout>
      <c:overlay val="0"/>
    </c:title>
    <c:autoTitleDeleted val="0"/>
    <c:plotArea>
      <c:layout>
        <c:manualLayout>
          <c:layoutTarget val="inner"/>
          <c:xMode val="edge"/>
          <c:yMode val="edge"/>
          <c:x val="7.8770383483109885E-2"/>
          <c:y val="0.18504561224941479"/>
          <c:w val="0.88603198009470496"/>
          <c:h val="0.71412854989520091"/>
        </c:manualLayout>
      </c:layout>
      <c:barChart>
        <c:barDir val="bar"/>
        <c:grouping val="stacked"/>
        <c:varyColors val="0"/>
        <c:ser>
          <c:idx val="0"/>
          <c:order val="0"/>
          <c:invertIfNegative val="0"/>
          <c:dPt>
            <c:idx val="0"/>
            <c:invertIfNegative val="0"/>
            <c:bubble3D val="0"/>
            <c:spPr>
              <a:gradFill>
                <a:gsLst>
                  <a:gs pos="0">
                    <a:srgbClr val="00B050"/>
                  </a:gs>
                  <a:gs pos="50000">
                    <a:srgbClr val="99FF99"/>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10A2-45BA-AE4B-588ACF04F8D2}"/>
              </c:ext>
            </c:extLst>
          </c:dPt>
          <c:dPt>
            <c:idx val="1"/>
            <c:invertIfNegative val="0"/>
            <c:bubble3D val="0"/>
            <c:spPr>
              <a:gradFill>
                <a:gsLst>
                  <a:gs pos="0">
                    <a:srgbClr val="7030A0"/>
                  </a:gs>
                  <a:gs pos="40000">
                    <a:srgbClr val="CC99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10A2-45BA-AE4B-588ACF04F8D2}"/>
              </c:ext>
            </c:extLst>
          </c:dPt>
          <c:dPt>
            <c:idx val="2"/>
            <c:invertIfNegative val="0"/>
            <c:bubble3D val="0"/>
            <c:spPr>
              <a:gradFill>
                <a:gsLst>
                  <a:gs pos="0">
                    <a:srgbClr val="99FF99"/>
                  </a:gs>
                  <a:gs pos="50000">
                    <a:srgbClr val="CCFFCC"/>
                  </a:gs>
                  <a:gs pos="100000">
                    <a:schemeClr val="bg1"/>
                  </a:gs>
                </a:gsLst>
                <a:lin ang="5400000" scaled="0"/>
              </a:gradFill>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10A2-45BA-AE4B-588ACF04F8D2}"/>
              </c:ext>
            </c:extLst>
          </c:dPt>
          <c:dLbls>
            <c:dLbl>
              <c:idx val="0"/>
              <c:layout>
                <c:manualLayout>
                  <c:x val="7.2377406542596376E-2"/>
                  <c:y val="-0.17283954351004904"/>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0A2-45BA-AE4B-588ACF04F8D2}"/>
                </c:ext>
              </c:extLst>
            </c:dLbl>
            <c:dLbl>
              <c:idx val="1"/>
              <c:layout>
                <c:manualLayout>
                  <c:x val="-0.12929792412924651"/>
                  <c:y val="-0.17563904537575184"/>
                </c:manualLayout>
              </c:layout>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0A2-45BA-AE4B-588ACF04F8D2}"/>
                </c:ext>
              </c:extLst>
            </c:dLbl>
            <c:dLbl>
              <c:idx val="2"/>
              <c:dLblPos val="ct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0A2-45BA-AE4B-588ACF04F8D2}"/>
                </c:ext>
              </c:extLst>
            </c:dLbl>
            <c:numFmt formatCode="#,##0_);[Red]\(#,##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ct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cat>
            <c:strRef>
              <c:f>'P(M)'!$BY$15:$BZ$16</c:f>
              <c:strCache>
                <c:ptCount val="2"/>
                <c:pt idx="0">
                  <c:v>「初稿案」申請服務費</c:v>
                </c:pt>
                <c:pt idx="1">
                  <c:v>專利布局總成本(T = A+C+R+M)</c:v>
                </c:pt>
              </c:strCache>
            </c:strRef>
          </c:cat>
          <c:val>
            <c:numRef>
              <c:f>'P(M)'!$BY$38:$BZ$38</c:f>
              <c:numCache>
                <c:formatCode>#,##0_ </c:formatCode>
                <c:ptCount val="2"/>
                <c:pt idx="0">
                  <c:v>85000</c:v>
                </c:pt>
                <c:pt idx="1">
                  <c:v>6317033.7630000003</c:v>
                </c:pt>
              </c:numCache>
            </c:numRef>
          </c:val>
          <c:extLst>
            <c:ext xmlns:c16="http://schemas.microsoft.com/office/drawing/2014/chart" uri="{C3380CC4-5D6E-409C-BE32-E72D297353CC}">
              <c16:uniqueId val="{00000006-10A2-45BA-AE4B-588ACF04F8D2}"/>
            </c:ext>
          </c:extLst>
        </c:ser>
        <c:dLbls>
          <c:showLegendKey val="0"/>
          <c:showVal val="0"/>
          <c:showCatName val="0"/>
          <c:showSerName val="0"/>
          <c:showPercent val="0"/>
          <c:showBubbleSize val="0"/>
        </c:dLbls>
        <c:gapWidth val="200"/>
        <c:overlap val="100"/>
        <c:axId val="2034351887"/>
        <c:axId val="2034352719"/>
      </c:barChart>
      <c:valAx>
        <c:axId val="2034352719"/>
        <c:scaling>
          <c:orientation val="minMax"/>
        </c:scaling>
        <c:delete val="0"/>
        <c:axPos val="b"/>
        <c:majorGridlines>
          <c:spPr>
            <a:ln>
              <a:prstDash val="sysDot"/>
            </a:ln>
          </c:spPr>
        </c:majorGridlines>
        <c:numFmt formatCode="#,##0_ " sourceLinked="1"/>
        <c:majorTickMark val="out"/>
        <c:minorTickMark val="none"/>
        <c:tickLblPos val="nextTo"/>
        <c:txPr>
          <a:bodyPr/>
          <a:lstStyle/>
          <a:p>
            <a:pPr>
              <a:defRPr sz="1200" b="1">
                <a:latin typeface="Times New Roman" panose="02020603050405020304" pitchFamily="18" charset="0"/>
                <a:cs typeface="Times New Roman" panose="02020603050405020304" pitchFamily="18" charset="0"/>
              </a:defRPr>
            </a:pPr>
            <a:endParaRPr lang="zh-TW"/>
          </a:p>
        </c:txPr>
        <c:crossAx val="2034351887"/>
        <c:crosses val="autoZero"/>
        <c:crossBetween val="between"/>
      </c:valAx>
      <c:catAx>
        <c:axId val="2034351887"/>
        <c:scaling>
          <c:orientation val="minMax"/>
        </c:scaling>
        <c:delete val="1"/>
        <c:axPos val="l"/>
        <c:numFmt formatCode="General" sourceLinked="1"/>
        <c:majorTickMark val="out"/>
        <c:minorTickMark val="none"/>
        <c:tickLblPos val="nextTo"/>
        <c:crossAx val="2034352719"/>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專利申請費用</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(A)</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與</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其他</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費用</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(C+R+M)</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之</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加總分析</a:t>
            </a:r>
            <a:endParaRPr lang="zh-TW" altLang="zh-TW" sz="1400" b="0">
              <a:effectLst/>
              <a:latin typeface="Times New Roman" panose="02020603050405020304" pitchFamily="18" charset="0"/>
              <a:ea typeface="標楷體" panose="03000509000000000000" pitchFamily="65" charset="-120"/>
              <a:cs typeface="Times New Roman" panose="02020603050405020304" pitchFamily="18" charset="0"/>
            </a:endParaRPr>
          </a:p>
        </c:rich>
      </c:tx>
      <c:layout>
        <c:manualLayout>
          <c:xMode val="edge"/>
          <c:yMode val="edge"/>
          <c:x val="0.35504307462638812"/>
          <c:y val="6.9135600068488082E-2"/>
        </c:manualLayout>
      </c:layout>
      <c:overlay val="0"/>
    </c:title>
    <c:autoTitleDeleted val="0"/>
    <c:plotArea>
      <c:layout>
        <c:manualLayout>
          <c:layoutTarget val="inner"/>
          <c:xMode val="edge"/>
          <c:yMode val="edge"/>
          <c:x val="1.6645654116771994E-2"/>
          <c:y val="0.12911140612502564"/>
          <c:w val="0.94746854964802474"/>
          <c:h val="0.83101127094354932"/>
        </c:manualLayout>
      </c:layout>
      <c:ofPieChart>
        <c:ofPieType val="pie"/>
        <c:varyColors val="1"/>
        <c:ser>
          <c:idx val="0"/>
          <c:order val="0"/>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a:effectLst>
                <a:outerShdw blurRad="40005" dist="22860" dir="162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88D8-47BD-8EC6-1CA8595C94B3}"/>
              </c:ext>
            </c:extLst>
          </c:dPt>
          <c:dPt>
            <c:idx val="1"/>
            <c:bubble3D val="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88D8-47BD-8EC6-1CA8595C94B3}"/>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88D8-47BD-8EC6-1CA8595C94B3}"/>
              </c:ext>
            </c:extLst>
          </c:dPt>
          <c:dPt>
            <c:idx val="3"/>
            <c:bubble3D val="0"/>
            <c:spPr>
              <a:gradFill>
                <a:gsLst>
                  <a:gs pos="0">
                    <a:srgbClr val="FFC000"/>
                  </a:gs>
                  <a:gs pos="50000">
                    <a:srgbClr val="FFCC99"/>
                  </a:gs>
                  <a:gs pos="100000">
                    <a:schemeClr val="bg1"/>
                  </a:gs>
                </a:gsLst>
                <a:lin ang="8100000" scaled="1"/>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7-88D8-47BD-8EC6-1CA8595C94B3}"/>
              </c:ext>
            </c:extLst>
          </c:dPt>
          <c:dPt>
            <c:idx val="4"/>
            <c:bubble3D val="0"/>
            <c:spPr>
              <a:gradFill>
                <a:gsLst>
                  <a:gs pos="0">
                    <a:srgbClr val="CCECFF"/>
                  </a:gs>
                  <a:gs pos="50000">
                    <a:srgbClr val="CCE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9-88D8-47BD-8EC6-1CA8595C94B3}"/>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8D8-47BD-8EC6-1CA8595C94B3}"/>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8D8-47BD-8EC6-1CA8595C94B3}"/>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8D8-47BD-8EC6-1CA8595C94B3}"/>
                </c:ext>
              </c:extLst>
            </c:dLbl>
            <c:dLbl>
              <c:idx val="3"/>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8D8-47BD-8EC6-1CA8595C94B3}"/>
                </c:ext>
              </c:extLst>
            </c:dLbl>
            <c:dLbl>
              <c:idx val="4"/>
              <c:tx>
                <c:rich>
                  <a:bodyPr/>
                  <a:lstStyle/>
                  <a:p>
                    <a:r>
                      <a:rPr lang="zh-TW" altLang="en-US" baseline="0"/>
                      <a:t>申請費用</a:t>
                    </a:r>
                    <a:r>
                      <a:rPr lang="en-US" altLang="zh-TW" baseline="0"/>
                      <a:t>(A)
</a:t>
                    </a:r>
                    <a:fld id="{97B56B14-ECD6-42B9-A444-BA392EE1FED0}" type="VALUE">
                      <a:rPr lang="en-US" altLang="zh-TW" baseline="0"/>
                      <a:pPr/>
                      <a:t>[值]</a:t>
                    </a:fld>
                    <a:r>
                      <a:rPr lang="en-US" altLang="zh-TW" baseline="0"/>
                      <a:t>
</a:t>
                    </a:r>
                    <a:fld id="{0344FA96-8415-4842-931B-A6AE0DA28647}" type="PERCENTAGE">
                      <a:rPr lang="en-US" altLang="zh-TW" baseline="0"/>
                      <a:pPr/>
                      <a:t>[百分比]</a:t>
                    </a:fld>
                    <a:endParaRPr lang="en-US" altLang="zh-TW" baseline="0"/>
                  </a:p>
                </c:rich>
              </c:tx>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0505621438085448"/>
                      <c:h val="0.20327832011613919"/>
                    </c:manualLayout>
                  </c15:layout>
                  <c15:dlblFieldTable/>
                  <c15:showDataLabelsRange val="0"/>
                </c:ext>
                <c:ext xmlns:c16="http://schemas.microsoft.com/office/drawing/2014/chart" uri="{C3380CC4-5D6E-409C-BE32-E72D297353CC}">
                  <c16:uniqueId val="{00000009-88D8-47BD-8EC6-1CA8595C94B3}"/>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'P(M)'!$BT$15:$BW$16</c:f>
              <c:strCache>
                <c:ptCount val="4"/>
                <c:pt idx="0">
                  <c:v>官方費用(A1)</c:v>
                </c:pt>
                <c:pt idx="1">
                  <c:v>外國代理人費用(A2)</c:v>
                </c:pt>
                <c:pt idx="2">
                  <c:v>慧盈服務費(A3)</c:v>
                </c:pt>
                <c:pt idx="3">
                  <c:v>領證+答辯+後續年費(C+R+M)</c:v>
                </c:pt>
              </c:strCache>
            </c:strRef>
          </c:cat>
          <c:val>
            <c:numRef>
              <c:f>'P(M)'!$BT$38:$BW$38</c:f>
              <c:numCache>
                <c:formatCode>#,##0_ </c:formatCode>
                <c:ptCount val="4"/>
                <c:pt idx="0">
                  <c:v>255039.95</c:v>
                </c:pt>
                <c:pt idx="1">
                  <c:v>276348.7</c:v>
                </c:pt>
                <c:pt idx="2">
                  <c:v>355000</c:v>
                </c:pt>
                <c:pt idx="3">
                  <c:v>5430645.1129999999</c:v>
                </c:pt>
              </c:numCache>
            </c:numRef>
          </c:val>
          <c:extLst>
            <c:ext xmlns:c16="http://schemas.microsoft.com/office/drawing/2014/chart" uri="{C3380CC4-5D6E-409C-BE32-E72D297353CC}">
              <c16:uniqueId val="{0000000A-88D8-47BD-8EC6-1CA8595C94B3}"/>
            </c:ext>
          </c:extLst>
        </c:ser>
        <c:dLbls>
          <c:dLblPos val="bestFit"/>
          <c:showLegendKey val="0"/>
          <c:showVal val="0"/>
          <c:showCatName val="1"/>
          <c:showSerName val="0"/>
          <c:showPercent val="1"/>
          <c:showBubbleSize val="0"/>
          <c:showLeaderLines val="1"/>
        </c:dLbls>
        <c:gapWidth val="105"/>
        <c:splitType val="cust"/>
        <c:custSplit>
          <c:secondPiePt val="0"/>
          <c:secondPiePt val="1"/>
          <c:secondPiePt val="2"/>
        </c:custSplit>
        <c:secondPieSize val="90"/>
        <c:serLines/>
      </c:of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專利</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領證</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費用</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(C)</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之組成結構</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(C = C1+C2+C3)</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2245044439986952"/>
          <c:y val="0.14205565032868545"/>
          <c:w val="0.73672812910964747"/>
          <c:h val="0.79868026723932239"/>
        </c:manualLayout>
      </c:layout>
      <c:pieChart>
        <c:varyColors val="1"/>
        <c:ser>
          <c:idx val="0"/>
          <c:order val="0"/>
          <c:tx>
            <c:v>專利領證費之成本結構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68C7-4742-BA01-C4A74633B97F}"/>
              </c:ext>
            </c:extLst>
          </c:dPt>
          <c:dPt>
            <c:idx val="1"/>
            <c:bubble3D val="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68C7-4742-BA01-C4A74633B97F}"/>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68C7-4742-BA01-C4A74633B97F}"/>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68C7-4742-BA01-C4A74633B97F}"/>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68C7-4742-BA01-C4A74633B97F}"/>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8C7-4742-BA01-C4A74633B97F}"/>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'P(M)'!$BB$15:$BD$16</c:f>
              <c:strCache>
                <c:ptCount val="3"/>
                <c:pt idx="0">
                  <c:v>官方費用(C1)</c:v>
                </c:pt>
                <c:pt idx="1">
                  <c:v>外國代理人費用(C2)</c:v>
                </c:pt>
                <c:pt idx="2">
                  <c:v>慧盈服務費(C3)</c:v>
                </c:pt>
              </c:strCache>
            </c:strRef>
          </c:cat>
          <c:val>
            <c:numRef>
              <c:f>'P(M)'!$BB$38:$BD$38</c:f>
              <c:numCache>
                <c:formatCode>#,##0_ </c:formatCode>
                <c:ptCount val="3"/>
                <c:pt idx="0">
                  <c:v>85950.54</c:v>
                </c:pt>
                <c:pt idx="1">
                  <c:v>144013</c:v>
                </c:pt>
                <c:pt idx="2">
                  <c:v>25000</c:v>
                </c:pt>
              </c:numCache>
            </c:numRef>
          </c:val>
          <c:extLst>
            <c:ext xmlns:c16="http://schemas.microsoft.com/office/drawing/2014/chart" uri="{C3380CC4-5D6E-409C-BE32-E72D297353CC}">
              <c16:uniqueId val="{00000006-68C7-4742-BA01-C4A74633B97F}"/>
            </c:ext>
          </c:extLst>
        </c:ser>
        <c:dLbls>
          <c:showLegendKey val="0"/>
          <c:showVal val="0"/>
          <c:showCatName val="1"/>
          <c:showSerName val="0"/>
          <c:showPercent val="1"/>
          <c:showBubbleSize val="0"/>
          <c:showLeaderLines val="1"/>
        </c:dLbls>
        <c:firstSliceAng val="27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專利申請費用</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(A)</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之組成結構</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(A = A1+A2+A3)</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2884084477919722"/>
          <c:y val="0.14968570980392157"/>
          <c:w val="0.73672812910964747"/>
          <c:h val="0.79868026723932239"/>
        </c:manualLayout>
      </c:layout>
      <c:pieChart>
        <c:varyColors val="1"/>
        <c:ser>
          <c:idx val="0"/>
          <c:order val="0"/>
          <c:tx>
            <c:v>專利申請費之成本結構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5DC4-4D9C-B0A5-AFEAFF5CD650}"/>
              </c:ext>
            </c:extLst>
          </c:dPt>
          <c:dPt>
            <c:idx val="1"/>
            <c:bubble3D val="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5DC4-4D9C-B0A5-AFEAFF5CD650}"/>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5DC4-4D9C-B0A5-AFEAFF5CD650}"/>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DC4-4D9C-B0A5-AFEAFF5CD650}"/>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DC4-4D9C-B0A5-AFEAFF5CD650}"/>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5DC4-4D9C-B0A5-AFEAFF5CD650}"/>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'P(M)'!$AD$15:$AF$16</c:f>
              <c:strCache>
                <c:ptCount val="3"/>
                <c:pt idx="0">
                  <c:v>官方費用(A1)</c:v>
                </c:pt>
                <c:pt idx="1">
                  <c:v>外國代理人費用(A2)</c:v>
                </c:pt>
                <c:pt idx="2">
                  <c:v>慧盈服務費(A3)</c:v>
                </c:pt>
              </c:strCache>
            </c:strRef>
          </c:cat>
          <c:val>
            <c:numRef>
              <c:f>'P(M)'!$AD$38:$AF$38</c:f>
              <c:numCache>
                <c:formatCode>#,##0_ </c:formatCode>
                <c:ptCount val="3"/>
                <c:pt idx="0">
                  <c:v>255039.95</c:v>
                </c:pt>
                <c:pt idx="1">
                  <c:v>276348.7</c:v>
                </c:pt>
                <c:pt idx="2">
                  <c:v>355000</c:v>
                </c:pt>
              </c:numCache>
            </c:numRef>
          </c:val>
          <c:extLst>
            <c:ext xmlns:c16="http://schemas.microsoft.com/office/drawing/2014/chart" uri="{C3380CC4-5D6E-409C-BE32-E72D297353CC}">
              <c16:uniqueId val="{00000006-5DC4-4D9C-B0A5-AFEAFF5CD650}"/>
            </c:ext>
          </c:extLst>
        </c:ser>
        <c:dLbls>
          <c:showLegendKey val="0"/>
          <c:showVal val="0"/>
          <c:showCatName val="1"/>
          <c:showSerName val="0"/>
          <c:showPercent val="1"/>
          <c:showBubbleSize val="0"/>
          <c:showLeaderLines val="1"/>
        </c:dLbls>
        <c:firstSliceAng val="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專利</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答辯</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費用</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(R)</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之組成結構</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(R = R1+R2+R3)</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2245044439986952"/>
          <c:y val="0.14205565032868545"/>
          <c:w val="0.73672812910964747"/>
          <c:h val="0.79868026723932239"/>
        </c:manualLayout>
      </c:layout>
      <c:pieChart>
        <c:varyColors val="1"/>
        <c:ser>
          <c:idx val="0"/>
          <c:order val="0"/>
          <c:tx>
            <c:v>專利答辯費之成本結構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68C7-4742-BA01-C4A74633B97F}"/>
              </c:ext>
            </c:extLst>
          </c:dPt>
          <c:dPt>
            <c:idx val="1"/>
            <c:bubble3D val="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68C7-4742-BA01-C4A74633B97F}"/>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68C7-4742-BA01-C4A74633B97F}"/>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68C7-4742-BA01-C4A74633B97F}"/>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68C7-4742-BA01-C4A74633B97F}"/>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8C7-4742-BA01-C4A74633B97F}"/>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'P(M)'!$AD$44:$AF$45</c:f>
              <c:strCache>
                <c:ptCount val="3"/>
                <c:pt idx="0">
                  <c:v>官方費用(R1)</c:v>
                </c:pt>
                <c:pt idx="1">
                  <c:v>外國代理人費用(R2)</c:v>
                </c:pt>
                <c:pt idx="2">
                  <c:v>慧盈服務費(R3)</c:v>
                </c:pt>
              </c:strCache>
            </c:strRef>
          </c:cat>
          <c:val>
            <c:numRef>
              <c:f>'P(M)'!$AD$67:$AF$67</c:f>
              <c:numCache>
                <c:formatCode>#,##0_ </c:formatCode>
                <c:ptCount val="3"/>
                <c:pt idx="0">
                  <c:v>86604</c:v>
                </c:pt>
                <c:pt idx="1">
                  <c:v>355376.8</c:v>
                </c:pt>
                <c:pt idx="2">
                  <c:v>330000</c:v>
                </c:pt>
              </c:numCache>
            </c:numRef>
          </c:val>
          <c:extLst>
            <c:ext xmlns:c16="http://schemas.microsoft.com/office/drawing/2014/chart" uri="{C3380CC4-5D6E-409C-BE32-E72D297353CC}">
              <c16:uniqueId val="{00000006-68C7-4742-BA01-C4A74633B97F}"/>
            </c:ext>
          </c:extLst>
        </c:ser>
        <c:dLbls>
          <c:showLegendKey val="0"/>
          <c:showVal val="0"/>
          <c:showCatName val="1"/>
          <c:showSerName val="0"/>
          <c:showPercent val="1"/>
          <c:showBubbleSize val="0"/>
          <c:showLeaderLines val="1"/>
        </c:dLbls>
        <c:firstSliceAng val="27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專利</a:t>
            </a:r>
            <a:r>
              <a:rPr lang="zh-TW" altLang="en-US" sz="1400" b="1" i="0" baseline="0">
                <a:effectLst/>
                <a:latin typeface="Times New Roman" panose="02020603050405020304" pitchFamily="18" charset="0"/>
                <a:ea typeface="標楷體" panose="03000509000000000000" pitchFamily="65" charset="-120"/>
                <a:cs typeface="Times New Roman" panose="02020603050405020304" pitchFamily="18" charset="0"/>
              </a:rPr>
              <a:t>後續年</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費</a:t>
            </a: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(M)</a:t>
            </a:r>
            <a:r>
              <a:rPr lang="zh-TW"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之組成結構</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en-US" altLang="zh-TW" sz="1400" b="1" i="0" baseline="0">
                <a:effectLst/>
                <a:latin typeface="Times New Roman" panose="02020603050405020304" pitchFamily="18" charset="0"/>
                <a:ea typeface="標楷體" panose="03000509000000000000" pitchFamily="65" charset="-120"/>
                <a:cs typeface="Times New Roman" panose="02020603050405020304" pitchFamily="18" charset="0"/>
              </a:rPr>
              <a:t>(M = M1+M2+M3)</a:t>
            </a:r>
            <a:endParaRPr lang="zh-TW" altLang="zh-TW" sz="1400">
              <a:effectLst/>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2884084477919722"/>
          <c:y val="0.14968570980392157"/>
          <c:w val="0.73672812910964747"/>
          <c:h val="0.79868026723932239"/>
        </c:manualLayout>
      </c:layout>
      <c:pieChart>
        <c:varyColors val="1"/>
        <c:ser>
          <c:idx val="0"/>
          <c:order val="0"/>
          <c:tx>
            <c:v>專利後續年費之成本結構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5DC4-4D9C-B0A5-AFEAFF5CD650}"/>
              </c:ext>
            </c:extLst>
          </c:dPt>
          <c:dPt>
            <c:idx val="1"/>
            <c:bubble3D val="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5DC4-4D9C-B0A5-AFEAFF5CD650}"/>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5DC4-4D9C-B0A5-AFEAFF5CD650}"/>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DC4-4D9C-B0A5-AFEAFF5CD650}"/>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DC4-4D9C-B0A5-AFEAFF5CD650}"/>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5DC4-4D9C-B0A5-AFEAFF5CD650}"/>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'P(M)'!$BB$44:$BD$45</c:f>
              <c:strCache>
                <c:ptCount val="3"/>
                <c:pt idx="0">
                  <c:v>官方費用(M1)</c:v>
                </c:pt>
                <c:pt idx="1">
                  <c:v>外國代理人費用(M2)</c:v>
                </c:pt>
                <c:pt idx="2">
                  <c:v>慧盈服務費(M3)</c:v>
                </c:pt>
              </c:strCache>
            </c:strRef>
          </c:cat>
          <c:val>
            <c:numRef>
              <c:f>'P(M)'!$BB$67:$BD$67</c:f>
              <c:numCache>
                <c:formatCode>#,##0_ </c:formatCode>
                <c:ptCount val="3"/>
                <c:pt idx="0">
                  <c:v>2901141.3769999999</c:v>
                </c:pt>
                <c:pt idx="1">
                  <c:v>683559.39599999995</c:v>
                </c:pt>
                <c:pt idx="2">
                  <c:v>819000</c:v>
                </c:pt>
              </c:numCache>
            </c:numRef>
          </c:val>
          <c:extLst>
            <c:ext xmlns:c16="http://schemas.microsoft.com/office/drawing/2014/chart" uri="{C3380CC4-5D6E-409C-BE32-E72D297353CC}">
              <c16:uniqueId val="{00000006-5DC4-4D9C-B0A5-AFEAFF5CD650}"/>
            </c:ext>
          </c:extLst>
        </c:ser>
        <c:dLbls>
          <c:showLegendKey val="0"/>
          <c:showVal val="0"/>
          <c:showCatName val="1"/>
          <c:showSerName val="0"/>
          <c:showPercent val="1"/>
          <c:showBubbleSize val="0"/>
          <c:showLeaderLines val="1"/>
        </c:dLbls>
        <c:firstSliceAng val="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400">
                <a:latin typeface="Times New Roman" panose="02020603050405020304" pitchFamily="18" charset="0"/>
                <a:ea typeface="標楷體" panose="03000509000000000000" pitchFamily="65" charset="-120"/>
                <a:cs typeface="Times New Roman" panose="02020603050405020304" pitchFamily="18" charset="0"/>
              </a:rPr>
              <a:t>「專利申請費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(A)</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」與「領證費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(C)</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＋後續年費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(M)</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」之比較</a:t>
            </a:r>
          </a:p>
        </c:rich>
      </c:tx>
      <c:layout>
        <c:manualLayout>
          <c:xMode val="edge"/>
          <c:yMode val="edge"/>
          <c:x val="0.15435140761661775"/>
          <c:y val="1.8833564674757684E-2"/>
        </c:manualLayout>
      </c:layout>
      <c:overlay val="0"/>
    </c:title>
    <c:autoTitleDeleted val="0"/>
    <c:plotArea>
      <c:layout>
        <c:manualLayout>
          <c:layoutTarget val="inner"/>
          <c:xMode val="edge"/>
          <c:yMode val="edge"/>
          <c:x val="7.9696688826387127E-2"/>
          <c:y val="0.1112350945951523"/>
          <c:w val="0.91280110753744503"/>
          <c:h val="0.63886158704634144"/>
        </c:manualLayout>
      </c:layout>
      <c:barChart>
        <c:barDir val="col"/>
        <c:grouping val="clustered"/>
        <c:varyColors val="0"/>
        <c:ser>
          <c:idx val="0"/>
          <c:order val="0"/>
          <c:tx>
            <c:strRef>
              <c:f>'P(M)'!$BG$15:$BG$16</c:f>
              <c:strCache>
                <c:ptCount val="2"/>
                <c:pt idx="0">
                  <c:v>申請費用(A)</c:v>
                </c:pt>
              </c:strCache>
            </c:strRef>
          </c:tx>
          <c:spPr>
            <a:solidFill>
              <a:srgbClr val="CCECFF"/>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'P(M)'!$BG$17:$BG$37</c:f>
              <c:numCache>
                <c:formatCode>#,##0_ </c:formatCode>
                <c:ptCount val="21"/>
                <c:pt idx="0">
                  <c:v>94100</c:v>
                </c:pt>
                <c:pt idx="1">
                  <c:v>0</c:v>
                </c:pt>
                <c:pt idx="2">
                  <c:v>43690</c:v>
                </c:pt>
                <c:pt idx="3">
                  <c:v>0</c:v>
                </c:pt>
                <c:pt idx="4">
                  <c:v>105816</c:v>
                </c:pt>
                <c:pt idx="5">
                  <c:v>113179</c:v>
                </c:pt>
                <c:pt idx="6">
                  <c:v>139230</c:v>
                </c:pt>
                <c:pt idx="7">
                  <c:v>0</c:v>
                </c:pt>
                <c:pt idx="8">
                  <c:v>138744</c:v>
                </c:pt>
                <c:pt idx="9">
                  <c:v>0</c:v>
                </c:pt>
                <c:pt idx="10">
                  <c:v>68297.95</c:v>
                </c:pt>
                <c:pt idx="11">
                  <c:v>125500</c:v>
                </c:pt>
                <c:pt idx="12">
                  <c:v>57831.7</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86E-47FD-86A4-BCCC4FA228A8}"/>
            </c:ext>
          </c:extLst>
        </c:ser>
        <c:ser>
          <c:idx val="1"/>
          <c:order val="1"/>
          <c:tx>
            <c:strRef>
              <c:f>'P(M)'!$BN$15:$BN$16</c:f>
              <c:strCache>
                <c:ptCount val="2"/>
                <c:pt idx="0">
                  <c:v>領證+後續年費(C+M)</c:v>
                </c:pt>
              </c:strCache>
            </c:strRef>
          </c:tx>
          <c:spPr>
            <a:solidFill>
              <a:srgbClr val="FFC000"/>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'P(M)'!$BN$17:$BN$37</c:f>
              <c:numCache>
                <c:formatCode>#,##0_ </c:formatCode>
                <c:ptCount val="21"/>
                <c:pt idx="0">
                  <c:v>274500</c:v>
                </c:pt>
                <c:pt idx="1">
                  <c:v>0</c:v>
                </c:pt>
                <c:pt idx="2">
                  <c:v>454003</c:v>
                </c:pt>
                <c:pt idx="3">
                  <c:v>0</c:v>
                </c:pt>
                <c:pt idx="4">
                  <c:v>248462.40000000002</c:v>
                </c:pt>
                <c:pt idx="5">
                  <c:v>1649646.1080000002</c:v>
                </c:pt>
                <c:pt idx="6">
                  <c:v>434272</c:v>
                </c:pt>
                <c:pt idx="7">
                  <c:v>0</c:v>
                </c:pt>
                <c:pt idx="8">
                  <c:v>480598</c:v>
                </c:pt>
                <c:pt idx="9">
                  <c:v>0</c:v>
                </c:pt>
                <c:pt idx="10">
                  <c:v>278649.30500000005</c:v>
                </c:pt>
                <c:pt idx="11">
                  <c:v>505625</c:v>
                </c:pt>
                <c:pt idx="12">
                  <c:v>332908.5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86E-47FD-86A4-BCCC4FA228A8}"/>
            </c:ext>
          </c:extLst>
        </c:ser>
        <c:dLbls>
          <c:showLegendKey val="0"/>
          <c:showVal val="0"/>
          <c:showCatName val="0"/>
          <c:showSerName val="0"/>
          <c:showPercent val="0"/>
          <c:showBubbleSize val="0"/>
        </c:dLbls>
        <c:gapWidth val="30"/>
        <c:axId val="185535104"/>
        <c:axId val="185561472"/>
      </c:barChart>
      <c:catAx>
        <c:axId val="185535104"/>
        <c:scaling>
          <c:orientation val="minMax"/>
        </c:scaling>
        <c:delete val="0"/>
        <c:axPos val="b"/>
        <c:numFmt formatCode="General" sourceLinked="0"/>
        <c:majorTickMark val="out"/>
        <c:minorTickMark val="none"/>
        <c:tickLblPos val="nextTo"/>
        <c:txPr>
          <a:bodyPr/>
          <a:lstStyle/>
          <a:p>
            <a:pPr>
              <a:defRPr sz="1200" b="1">
                <a:latin typeface="標楷體" panose="03000509000000000000" pitchFamily="65" charset="-120"/>
                <a:ea typeface="標楷體" panose="03000509000000000000" pitchFamily="65" charset="-120"/>
              </a:defRPr>
            </a:pPr>
            <a:endParaRPr lang="zh-TW"/>
          </a:p>
        </c:txPr>
        <c:crossAx val="185561472"/>
        <c:crosses val="autoZero"/>
        <c:auto val="1"/>
        <c:lblAlgn val="ctr"/>
        <c:lblOffset val="0"/>
        <c:tickLblSkip val="1"/>
        <c:tickMarkSkip val="1"/>
        <c:noMultiLvlLbl val="0"/>
      </c:catAx>
      <c:valAx>
        <c:axId val="185561472"/>
        <c:scaling>
          <c:orientation val="minMax"/>
        </c:scaling>
        <c:delete val="0"/>
        <c:axPos val="l"/>
        <c:majorGridlines/>
        <c:title>
          <c:tx>
            <c:rich>
              <a:bodyPr rot="0" vert="horz"/>
              <a:lstStyle/>
              <a:p>
                <a:pPr>
                  <a:defRPr sz="1200" b="1">
                    <a:latin typeface="Times New Roman" panose="02020603050405020304" pitchFamily="18" charset="0"/>
                    <a:ea typeface="+mn-ea"/>
                    <a:cs typeface="Times New Roman" panose="02020603050405020304" pitchFamily="18" charset="0"/>
                  </a:defRPr>
                </a:pPr>
                <a:r>
                  <a:rPr lang="en-US" altLang="zh-TW" sz="1200" b="1">
                    <a:latin typeface="Times New Roman" panose="02020603050405020304" pitchFamily="18" charset="0"/>
                    <a:ea typeface="+mn-ea"/>
                    <a:cs typeface="Times New Roman" panose="02020603050405020304" pitchFamily="18" charset="0"/>
                  </a:rPr>
                  <a:t>(NTD)</a:t>
                </a:r>
                <a:endParaRPr lang="zh-TW" altLang="en-US" sz="1200" b="1">
                  <a:latin typeface="Times New Roman" panose="02020603050405020304" pitchFamily="18" charset="0"/>
                  <a:ea typeface="+mn-ea"/>
                  <a:cs typeface="Times New Roman" panose="02020603050405020304" pitchFamily="18" charset="0"/>
                </a:endParaRPr>
              </a:p>
            </c:rich>
          </c:tx>
          <c:layout>
            <c:manualLayout>
              <c:xMode val="edge"/>
              <c:yMode val="edge"/>
              <c:x val="2.4441251154491753E-2"/>
              <c:y val="2.8549505859071088E-2"/>
            </c:manualLayout>
          </c:layout>
          <c:overlay val="0"/>
        </c:title>
        <c:numFmt formatCode="#,##0_ " sourceLinked="1"/>
        <c:majorTickMark val="none"/>
        <c:minorTickMark val="none"/>
        <c:tickLblPos val="nextTo"/>
        <c:spPr>
          <a:ln w="9525">
            <a:noFill/>
          </a:ln>
        </c:spPr>
        <c:txPr>
          <a:bodyPr/>
          <a:lstStyle/>
          <a:p>
            <a:pPr>
              <a:defRPr sz="1200" b="1">
                <a:latin typeface="Times New Roman" panose="02020603050405020304" pitchFamily="18" charset="0"/>
                <a:ea typeface="+mn-ea"/>
                <a:cs typeface="Times New Roman" panose="02020603050405020304" pitchFamily="18" charset="0"/>
              </a:defRPr>
            </a:pPr>
            <a:endParaRPr lang="zh-TW"/>
          </a:p>
        </c:txPr>
        <c:crossAx val="185535104"/>
        <c:crosses val="autoZero"/>
        <c:crossBetween val="between"/>
      </c:valAx>
      <c:spPr>
        <a:noFill/>
      </c:spPr>
    </c:plotArea>
    <c:legend>
      <c:legendPos val="t"/>
      <c:layout>
        <c:manualLayout>
          <c:xMode val="edge"/>
          <c:yMode val="edge"/>
          <c:x val="0.65950119445613997"/>
          <c:y val="2.5702378268933419E-2"/>
          <c:w val="0.31709818705764609"/>
          <c:h val="6.5354039215686263E-2"/>
        </c:manualLayout>
      </c:layout>
      <c:overlay val="1"/>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ea typeface="+mn-ea"/>
              </a:defRPr>
            </a:pPr>
            <a:r>
              <a:rPr lang="zh-TW" altLang="en-US" sz="1400">
                <a:latin typeface="+mn-lt"/>
                <a:ea typeface="+mn-ea"/>
              </a:rPr>
              <a:t>各地區之專利申請費用</a:t>
            </a:r>
            <a:r>
              <a:rPr lang="en-US" altLang="zh-TW" sz="1400">
                <a:latin typeface="+mn-lt"/>
                <a:ea typeface="+mn-ea"/>
              </a:rPr>
              <a:t>(C)</a:t>
            </a:r>
            <a:r>
              <a:rPr lang="zh-TW" altLang="en-US" sz="1400">
                <a:latin typeface="+mn-lt"/>
                <a:ea typeface="+mn-ea"/>
              </a:rPr>
              <a:t>與專利維護費用</a:t>
            </a:r>
            <a:r>
              <a:rPr lang="en-US" altLang="zh-TW" sz="1400">
                <a:latin typeface="+mn-lt"/>
                <a:ea typeface="+mn-ea"/>
              </a:rPr>
              <a:t>(F)</a:t>
            </a:r>
            <a:r>
              <a:rPr lang="zh-TW" altLang="en-US" sz="1400">
                <a:latin typeface="+mn-lt"/>
                <a:ea typeface="+mn-ea"/>
              </a:rPr>
              <a:t>比較</a:t>
            </a:r>
          </a:p>
        </c:rich>
      </c:tx>
      <c:overlay val="0"/>
    </c:title>
    <c:autoTitleDeleted val="0"/>
    <c:plotArea>
      <c:layout>
        <c:manualLayout>
          <c:layoutTarget val="inner"/>
          <c:xMode val="edge"/>
          <c:yMode val="edge"/>
          <c:x val="7.9696688826387127E-2"/>
          <c:y val="0.1112350945951523"/>
          <c:w val="0.91280110753744503"/>
          <c:h val="0.63886158704634144"/>
        </c:manualLayout>
      </c:layout>
      <c:barChart>
        <c:barDir val="col"/>
        <c:grouping val="stacked"/>
        <c:varyColors val="0"/>
        <c:ser>
          <c:idx val="0"/>
          <c:order val="0"/>
          <c:tx>
            <c:strRef>
              <c:f>'P(M)'!$BG$15:$BG$16</c:f>
              <c:strCache>
                <c:ptCount val="2"/>
                <c:pt idx="0">
                  <c:v>申請費用(A)</c:v>
                </c:pt>
              </c:strCache>
            </c:strRef>
          </c:tx>
          <c:spPr>
            <a:solidFill>
              <a:srgbClr val="99CCFF"/>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'P(M)'!$BG$17:$BG$37</c:f>
              <c:numCache>
                <c:formatCode>#,##0_ </c:formatCode>
                <c:ptCount val="21"/>
                <c:pt idx="0">
                  <c:v>94100</c:v>
                </c:pt>
                <c:pt idx="1">
                  <c:v>0</c:v>
                </c:pt>
                <c:pt idx="2">
                  <c:v>43690</c:v>
                </c:pt>
                <c:pt idx="3">
                  <c:v>0</c:v>
                </c:pt>
                <c:pt idx="4">
                  <c:v>105816</c:v>
                </c:pt>
                <c:pt idx="5">
                  <c:v>113179</c:v>
                </c:pt>
                <c:pt idx="6">
                  <c:v>139230</c:v>
                </c:pt>
                <c:pt idx="7">
                  <c:v>0</c:v>
                </c:pt>
                <c:pt idx="8">
                  <c:v>138744</c:v>
                </c:pt>
                <c:pt idx="9">
                  <c:v>0</c:v>
                </c:pt>
                <c:pt idx="10">
                  <c:v>68297.95</c:v>
                </c:pt>
                <c:pt idx="11">
                  <c:v>125500</c:v>
                </c:pt>
                <c:pt idx="12">
                  <c:v>57831.7</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F02-4146-A80F-9F626C967CE2}"/>
            </c:ext>
          </c:extLst>
        </c:ser>
        <c:ser>
          <c:idx val="1"/>
          <c:order val="1"/>
          <c:tx>
            <c:strRef>
              <c:f>'P(M)'!$BI$15:$BI$16</c:f>
              <c:strCache>
                <c:ptCount val="2"/>
                <c:pt idx="0">
                  <c:v>領證費用(C)</c:v>
                </c:pt>
              </c:strCache>
            </c:strRef>
          </c:tx>
          <c:spPr>
            <a:solidFill>
              <a:srgbClr val="FFC000"/>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'P(M)'!$BI$17:$BI$37</c:f>
              <c:numCache>
                <c:formatCode>#,##0_ </c:formatCode>
                <c:ptCount val="21"/>
                <c:pt idx="0">
                  <c:v>2700</c:v>
                </c:pt>
                <c:pt idx="1">
                  <c:v>0</c:v>
                </c:pt>
                <c:pt idx="2">
                  <c:v>5083</c:v>
                </c:pt>
                <c:pt idx="3">
                  <c:v>0</c:v>
                </c:pt>
                <c:pt idx="4">
                  <c:v>28751.200000000004</c:v>
                </c:pt>
                <c:pt idx="5">
                  <c:v>125686</c:v>
                </c:pt>
                <c:pt idx="6">
                  <c:v>10318</c:v>
                </c:pt>
                <c:pt idx="7">
                  <c:v>0</c:v>
                </c:pt>
                <c:pt idx="8">
                  <c:v>18342</c:v>
                </c:pt>
                <c:pt idx="9">
                  <c:v>0</c:v>
                </c:pt>
                <c:pt idx="10">
                  <c:v>15896.34</c:v>
                </c:pt>
                <c:pt idx="11">
                  <c:v>44000</c:v>
                </c:pt>
                <c:pt idx="12">
                  <c:v>4187</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DF02-4146-A80F-9F626C967CE2}"/>
            </c:ext>
          </c:extLst>
        </c:ser>
        <c:dLbls>
          <c:showLegendKey val="0"/>
          <c:showVal val="0"/>
          <c:showCatName val="0"/>
          <c:showSerName val="0"/>
          <c:showPercent val="0"/>
          <c:showBubbleSize val="0"/>
        </c:dLbls>
        <c:gapWidth val="30"/>
        <c:overlap val="100"/>
        <c:axId val="187956224"/>
        <c:axId val="183689984"/>
      </c:barChart>
      <c:catAx>
        <c:axId val="187956224"/>
        <c:scaling>
          <c:orientation val="minMax"/>
        </c:scaling>
        <c:delete val="0"/>
        <c:axPos val="b"/>
        <c:numFmt formatCode="General" sourceLinked="0"/>
        <c:majorTickMark val="out"/>
        <c:minorTickMark val="none"/>
        <c:tickLblPos val="nextTo"/>
        <c:txPr>
          <a:bodyPr/>
          <a:lstStyle/>
          <a:p>
            <a:pPr>
              <a:defRPr sz="1200" b="1">
                <a:latin typeface="+mn-ea"/>
                <a:ea typeface="+mn-ea"/>
              </a:defRPr>
            </a:pPr>
            <a:endParaRPr lang="zh-TW"/>
          </a:p>
        </c:txPr>
        <c:crossAx val="183689984"/>
        <c:crosses val="autoZero"/>
        <c:auto val="1"/>
        <c:lblAlgn val="ctr"/>
        <c:lblOffset val="0"/>
        <c:noMultiLvlLbl val="0"/>
      </c:catAx>
      <c:valAx>
        <c:axId val="183689984"/>
        <c:scaling>
          <c:orientation val="minMax"/>
        </c:scaling>
        <c:delete val="0"/>
        <c:axPos val="l"/>
        <c:majorGridlines/>
        <c:title>
          <c:tx>
            <c:rich>
              <a:bodyPr rot="0" vert="horz"/>
              <a:lstStyle/>
              <a:p>
                <a:pPr>
                  <a:defRPr sz="1200" b="1">
                    <a:latin typeface="+mn-lt"/>
                    <a:ea typeface="+mn-ea"/>
                  </a:defRPr>
                </a:pPr>
                <a:r>
                  <a:rPr lang="en-US" altLang="zh-TW" sz="1200" b="1">
                    <a:latin typeface="+mn-lt"/>
                    <a:ea typeface="+mn-ea"/>
                    <a:cs typeface="Times New Roman" panose="02020603050405020304" pitchFamily="18" charset="0"/>
                  </a:rPr>
                  <a:t>(NTD)</a:t>
                </a:r>
                <a:endParaRPr lang="zh-TW" altLang="en-US" sz="1200" b="1">
                  <a:latin typeface="+mn-lt"/>
                  <a:ea typeface="+mn-ea"/>
                  <a:cs typeface="Times New Roman" panose="02020603050405020304" pitchFamily="18" charset="0"/>
                </a:endParaRPr>
              </a:p>
            </c:rich>
          </c:tx>
          <c:layout>
            <c:manualLayout>
              <c:xMode val="edge"/>
              <c:yMode val="edge"/>
              <c:x val="2.8849639564705067E-2"/>
              <c:y val="3.1716458825774368E-2"/>
            </c:manualLayout>
          </c:layout>
          <c:overlay val="0"/>
        </c:title>
        <c:numFmt formatCode="#,##0_ " sourceLinked="1"/>
        <c:majorTickMark val="none"/>
        <c:minorTickMark val="none"/>
        <c:tickLblPos val="nextTo"/>
        <c:spPr>
          <a:ln w="9525">
            <a:noFill/>
          </a:ln>
        </c:spPr>
        <c:txPr>
          <a:bodyPr/>
          <a:lstStyle/>
          <a:p>
            <a:pPr>
              <a:defRPr sz="1200" b="1">
                <a:latin typeface="+mn-lt"/>
                <a:ea typeface="+mn-ea"/>
                <a:cs typeface="Times New Roman" panose="02020603050405020304" pitchFamily="18" charset="0"/>
              </a:defRPr>
            </a:pPr>
            <a:endParaRPr lang="zh-TW"/>
          </a:p>
        </c:txPr>
        <c:crossAx val="187956224"/>
        <c:crosses val="autoZero"/>
        <c:crossBetween val="between"/>
        <c:majorUnit val="200000"/>
      </c:valAx>
    </c:plotArea>
    <c:legend>
      <c:legendPos val="t"/>
      <c:layout>
        <c:manualLayout>
          <c:xMode val="edge"/>
          <c:yMode val="edge"/>
          <c:x val="0.70527083496741005"/>
          <c:y val="0.1152985542482918"/>
          <c:w val="0.26053623414431276"/>
          <c:h val="6.5354039215686263E-2"/>
        </c:manualLayout>
      </c:layout>
      <c:overlay val="1"/>
      <c:txPr>
        <a:bodyPr/>
        <a:lstStyle/>
        <a:p>
          <a:pPr>
            <a:defRPr sz="1200" b="1">
              <a:latin typeface="+mn-lt"/>
            </a:defRPr>
          </a:pPr>
          <a:endParaRPr lang="zh-TW"/>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400">
                <a:latin typeface="Times New Roman" panose="02020603050405020304" pitchFamily="18" charset="0"/>
                <a:ea typeface="標楷體" panose="03000509000000000000" pitchFamily="65" charset="-120"/>
                <a:cs typeface="Times New Roman" panose="02020603050405020304" pitchFamily="18" charset="0"/>
              </a:rPr>
              <a:t>「專利申請費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(A)+</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領證費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(C)</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」與「後續年費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(M)</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」之比較</a:t>
            </a:r>
          </a:p>
        </c:rich>
      </c:tx>
      <c:layout>
        <c:manualLayout>
          <c:xMode val="edge"/>
          <c:yMode val="edge"/>
          <c:x val="0.15435140761661775"/>
          <c:y val="1.8833564674757684E-2"/>
        </c:manualLayout>
      </c:layout>
      <c:overlay val="0"/>
    </c:title>
    <c:autoTitleDeleted val="0"/>
    <c:plotArea>
      <c:layout>
        <c:manualLayout>
          <c:layoutTarget val="inner"/>
          <c:xMode val="edge"/>
          <c:yMode val="edge"/>
          <c:x val="7.9696688826387127E-2"/>
          <c:y val="0.1112350945951523"/>
          <c:w val="0.91280110753744503"/>
          <c:h val="0.63886158704634144"/>
        </c:manualLayout>
      </c:layout>
      <c:barChart>
        <c:barDir val="col"/>
        <c:grouping val="clustered"/>
        <c:varyColors val="0"/>
        <c:ser>
          <c:idx val="0"/>
          <c:order val="0"/>
          <c:tx>
            <c:strRef>
              <c:f>'P(M)'!$BL$15:$BL$16</c:f>
              <c:strCache>
                <c:ptCount val="2"/>
                <c:pt idx="0">
                  <c:v>申請+領證費用(A+C)</c:v>
                </c:pt>
              </c:strCache>
            </c:strRef>
          </c:tx>
          <c:spPr>
            <a:solidFill>
              <a:srgbClr val="99CCFF"/>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'P(M)'!$BL$17:$BL$37</c:f>
              <c:numCache>
                <c:formatCode>#,##0_ </c:formatCode>
                <c:ptCount val="21"/>
                <c:pt idx="0">
                  <c:v>96800</c:v>
                </c:pt>
                <c:pt idx="1">
                  <c:v>0</c:v>
                </c:pt>
                <c:pt idx="2">
                  <c:v>48773</c:v>
                </c:pt>
                <c:pt idx="3">
                  <c:v>0</c:v>
                </c:pt>
                <c:pt idx="4">
                  <c:v>134567.20000000001</c:v>
                </c:pt>
                <c:pt idx="5">
                  <c:v>238865</c:v>
                </c:pt>
                <c:pt idx="6">
                  <c:v>149548</c:v>
                </c:pt>
                <c:pt idx="7">
                  <c:v>0</c:v>
                </c:pt>
                <c:pt idx="8">
                  <c:v>157086</c:v>
                </c:pt>
                <c:pt idx="9">
                  <c:v>0</c:v>
                </c:pt>
                <c:pt idx="10">
                  <c:v>84194.29</c:v>
                </c:pt>
                <c:pt idx="11">
                  <c:v>169500</c:v>
                </c:pt>
                <c:pt idx="12">
                  <c:v>62018.7</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9AFD-4D2E-A07F-9E5B711DCC51}"/>
            </c:ext>
          </c:extLst>
        </c:ser>
        <c:ser>
          <c:idx val="1"/>
          <c:order val="1"/>
          <c:tx>
            <c:strRef>
              <c:f>'P(M)'!$BJ$15:$BJ$16</c:f>
              <c:strCache>
                <c:ptCount val="2"/>
                <c:pt idx="0">
                  <c:v>後續年費(M)</c:v>
                </c:pt>
              </c:strCache>
            </c:strRef>
          </c:tx>
          <c:spPr>
            <a:solidFill>
              <a:srgbClr val="FFC000"/>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'P(M)'!$BJ$17:$BJ$37</c:f>
              <c:numCache>
                <c:formatCode>#,##0_ </c:formatCode>
                <c:ptCount val="21"/>
                <c:pt idx="0">
                  <c:v>271800</c:v>
                </c:pt>
                <c:pt idx="1">
                  <c:v>0</c:v>
                </c:pt>
                <c:pt idx="2">
                  <c:v>448920</c:v>
                </c:pt>
                <c:pt idx="3">
                  <c:v>0</c:v>
                </c:pt>
                <c:pt idx="4">
                  <c:v>219711.2</c:v>
                </c:pt>
                <c:pt idx="5">
                  <c:v>1523960.1080000002</c:v>
                </c:pt>
                <c:pt idx="6">
                  <c:v>423954</c:v>
                </c:pt>
                <c:pt idx="7">
                  <c:v>0</c:v>
                </c:pt>
                <c:pt idx="8">
                  <c:v>462256</c:v>
                </c:pt>
                <c:pt idx="9">
                  <c:v>0</c:v>
                </c:pt>
                <c:pt idx="10">
                  <c:v>262752.96500000003</c:v>
                </c:pt>
                <c:pt idx="11">
                  <c:v>461625</c:v>
                </c:pt>
                <c:pt idx="12">
                  <c:v>328721.5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9AFD-4D2E-A07F-9E5B711DCC51}"/>
            </c:ext>
          </c:extLst>
        </c:ser>
        <c:dLbls>
          <c:showLegendKey val="0"/>
          <c:showVal val="0"/>
          <c:showCatName val="0"/>
          <c:showSerName val="0"/>
          <c:showPercent val="0"/>
          <c:showBubbleSize val="0"/>
        </c:dLbls>
        <c:gapWidth val="30"/>
        <c:axId val="185535104"/>
        <c:axId val="185561472"/>
      </c:barChart>
      <c:catAx>
        <c:axId val="185535104"/>
        <c:scaling>
          <c:orientation val="minMax"/>
        </c:scaling>
        <c:delete val="0"/>
        <c:axPos val="b"/>
        <c:numFmt formatCode="General" sourceLinked="0"/>
        <c:majorTickMark val="out"/>
        <c:minorTickMark val="none"/>
        <c:tickLblPos val="nextTo"/>
        <c:txPr>
          <a:bodyPr/>
          <a:lstStyle/>
          <a:p>
            <a:pPr>
              <a:defRPr sz="1200" b="1">
                <a:latin typeface="標楷體" panose="03000509000000000000" pitchFamily="65" charset="-120"/>
                <a:ea typeface="標楷體" panose="03000509000000000000" pitchFamily="65" charset="-120"/>
              </a:defRPr>
            </a:pPr>
            <a:endParaRPr lang="zh-TW"/>
          </a:p>
        </c:txPr>
        <c:crossAx val="185561472"/>
        <c:crosses val="autoZero"/>
        <c:auto val="1"/>
        <c:lblAlgn val="ctr"/>
        <c:lblOffset val="0"/>
        <c:tickLblSkip val="1"/>
        <c:tickMarkSkip val="1"/>
        <c:noMultiLvlLbl val="0"/>
      </c:catAx>
      <c:valAx>
        <c:axId val="185561472"/>
        <c:scaling>
          <c:orientation val="minMax"/>
        </c:scaling>
        <c:delete val="0"/>
        <c:axPos val="l"/>
        <c:majorGridlines/>
        <c:title>
          <c:tx>
            <c:rich>
              <a:bodyPr rot="0" vert="horz"/>
              <a:lstStyle/>
              <a:p>
                <a:pPr>
                  <a:defRPr sz="1200" b="1">
                    <a:latin typeface="Times New Roman" panose="02020603050405020304" pitchFamily="18" charset="0"/>
                    <a:ea typeface="+mn-ea"/>
                    <a:cs typeface="Times New Roman" panose="02020603050405020304" pitchFamily="18" charset="0"/>
                  </a:defRPr>
                </a:pPr>
                <a:r>
                  <a:rPr lang="en-US" altLang="zh-TW" sz="1200" b="1">
                    <a:latin typeface="Times New Roman" panose="02020603050405020304" pitchFamily="18" charset="0"/>
                    <a:ea typeface="+mn-ea"/>
                    <a:cs typeface="Times New Roman" panose="02020603050405020304" pitchFamily="18" charset="0"/>
                  </a:rPr>
                  <a:t>(NTD)</a:t>
                </a:r>
                <a:endParaRPr lang="zh-TW" altLang="en-US" sz="1200" b="1">
                  <a:latin typeface="Times New Roman" panose="02020603050405020304" pitchFamily="18" charset="0"/>
                  <a:ea typeface="+mn-ea"/>
                  <a:cs typeface="Times New Roman" panose="02020603050405020304" pitchFamily="18" charset="0"/>
                </a:endParaRPr>
              </a:p>
            </c:rich>
          </c:tx>
          <c:layout>
            <c:manualLayout>
              <c:xMode val="edge"/>
              <c:yMode val="edge"/>
              <c:x val="2.4441251154491753E-2"/>
              <c:y val="2.8549505859071088E-2"/>
            </c:manualLayout>
          </c:layout>
          <c:overlay val="0"/>
        </c:title>
        <c:numFmt formatCode="#,##0_ " sourceLinked="1"/>
        <c:majorTickMark val="none"/>
        <c:minorTickMark val="none"/>
        <c:tickLblPos val="nextTo"/>
        <c:spPr>
          <a:ln w="9525">
            <a:noFill/>
          </a:ln>
        </c:spPr>
        <c:txPr>
          <a:bodyPr/>
          <a:lstStyle/>
          <a:p>
            <a:pPr>
              <a:defRPr sz="1200" b="1">
                <a:latin typeface="Times New Roman" panose="02020603050405020304" pitchFamily="18" charset="0"/>
                <a:ea typeface="+mn-ea"/>
                <a:cs typeface="Times New Roman" panose="02020603050405020304" pitchFamily="18" charset="0"/>
              </a:defRPr>
            </a:pPr>
            <a:endParaRPr lang="zh-TW"/>
          </a:p>
        </c:txPr>
        <c:crossAx val="185535104"/>
        <c:crosses val="autoZero"/>
        <c:crossBetween val="between"/>
      </c:valAx>
    </c:plotArea>
    <c:legend>
      <c:legendPos val="t"/>
      <c:layout>
        <c:manualLayout>
          <c:xMode val="edge"/>
          <c:yMode val="edge"/>
          <c:x val="0.65950119445613997"/>
          <c:y val="2.5702378268933419E-2"/>
          <c:w val="0.31709818705764609"/>
          <c:h val="6.5354039215686263E-2"/>
        </c:manualLayout>
      </c:layout>
      <c:overlay val="1"/>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legend>
    <c:plotVisOnly val="1"/>
    <c:dispBlanksAs val="gap"/>
    <c:showDLblsOverMax val="0"/>
  </c:chart>
  <c:spPr>
    <a:ln>
      <a:no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400">
                <a:latin typeface="Times New Roman" panose="02020603050405020304" pitchFamily="18" charset="0"/>
                <a:ea typeface="標楷體" panose="03000509000000000000" pitchFamily="65" charset="-120"/>
                <a:cs typeface="Times New Roman" panose="02020603050405020304" pitchFamily="18" charset="0"/>
              </a:rPr>
              <a:t>「申請費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(A)+</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答辯費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(R)+</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領證費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(C)</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」與「後續年費</a:t>
            </a:r>
            <a:r>
              <a:rPr lang="en-US" altLang="zh-TW" sz="1400">
                <a:latin typeface="Times New Roman" panose="02020603050405020304" pitchFamily="18" charset="0"/>
                <a:ea typeface="標楷體" panose="03000509000000000000" pitchFamily="65" charset="-120"/>
                <a:cs typeface="Times New Roman" panose="02020603050405020304" pitchFamily="18" charset="0"/>
              </a:rPr>
              <a:t>(M)</a:t>
            </a:r>
            <a:r>
              <a:rPr lang="zh-TW" altLang="en-US" sz="1400">
                <a:latin typeface="Times New Roman" panose="02020603050405020304" pitchFamily="18" charset="0"/>
                <a:ea typeface="標楷體" panose="03000509000000000000" pitchFamily="65" charset="-120"/>
                <a:cs typeface="Times New Roman" panose="02020603050405020304" pitchFamily="18" charset="0"/>
              </a:rPr>
              <a:t>」之比較</a:t>
            </a:r>
          </a:p>
        </c:rich>
      </c:tx>
      <c:layout>
        <c:manualLayout>
          <c:xMode val="edge"/>
          <c:yMode val="edge"/>
          <c:x val="0.15435140761661775"/>
          <c:y val="1.8833564674757684E-2"/>
        </c:manualLayout>
      </c:layout>
      <c:overlay val="0"/>
    </c:title>
    <c:autoTitleDeleted val="0"/>
    <c:plotArea>
      <c:layout>
        <c:manualLayout>
          <c:layoutTarget val="inner"/>
          <c:xMode val="edge"/>
          <c:yMode val="edge"/>
          <c:x val="7.9696688826387127E-2"/>
          <c:y val="0.1112350945951523"/>
          <c:w val="0.91280110753744503"/>
          <c:h val="0.63886158704634144"/>
        </c:manualLayout>
      </c:layout>
      <c:barChart>
        <c:barDir val="col"/>
        <c:grouping val="clustered"/>
        <c:varyColors val="0"/>
        <c:ser>
          <c:idx val="0"/>
          <c:order val="0"/>
          <c:tx>
            <c:strRef>
              <c:f>'P(M)'!$BM$15:$BM$16</c:f>
              <c:strCache>
                <c:ptCount val="2"/>
                <c:pt idx="0">
                  <c:v>申請+答辯+領證費(A+R+C)</c:v>
                </c:pt>
              </c:strCache>
            </c:strRef>
          </c:tx>
          <c:spPr>
            <a:solidFill>
              <a:srgbClr val="99CCFF"/>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'P(M)'!$BM$17:$BM$37</c:f>
              <c:numCache>
                <c:formatCode>#,##0_ </c:formatCode>
                <c:ptCount val="21"/>
                <c:pt idx="0">
                  <c:v>121800</c:v>
                </c:pt>
                <c:pt idx="1">
                  <c:v>0</c:v>
                </c:pt>
                <c:pt idx="2">
                  <c:v>79293</c:v>
                </c:pt>
                <c:pt idx="3">
                  <c:v>0</c:v>
                </c:pt>
                <c:pt idx="4">
                  <c:v>218391.2</c:v>
                </c:pt>
                <c:pt idx="5">
                  <c:v>433873</c:v>
                </c:pt>
                <c:pt idx="6">
                  <c:v>236848</c:v>
                </c:pt>
                <c:pt idx="7">
                  <c:v>0</c:v>
                </c:pt>
                <c:pt idx="8">
                  <c:v>263590</c:v>
                </c:pt>
                <c:pt idx="9">
                  <c:v>0</c:v>
                </c:pt>
                <c:pt idx="10">
                  <c:v>171194.29</c:v>
                </c:pt>
                <c:pt idx="11">
                  <c:v>257000</c:v>
                </c:pt>
                <c:pt idx="12">
                  <c:v>131343.5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697F-41A7-938B-6026BD735F62}"/>
            </c:ext>
          </c:extLst>
        </c:ser>
        <c:ser>
          <c:idx val="1"/>
          <c:order val="1"/>
          <c:tx>
            <c:strRef>
              <c:f>'P(M)'!$BJ$15:$BJ$16</c:f>
              <c:strCache>
                <c:ptCount val="2"/>
                <c:pt idx="0">
                  <c:v>後續年費(M)</c:v>
                </c:pt>
              </c:strCache>
            </c:strRef>
          </c:tx>
          <c:spPr>
            <a:solidFill>
              <a:srgbClr val="FFC000"/>
            </a:solidFill>
            <a:ln w="12700">
              <a:solidFill>
                <a:schemeClr val="accent1"/>
              </a:solidFill>
            </a:ln>
            <a:effectLst/>
            <a:scene3d>
              <a:camera prst="orthographicFront"/>
              <a:lightRig rig="threePt" dir="t">
                <a:rot lat="0" lon="0" rev="1200000"/>
              </a:lightRig>
            </a:scene3d>
            <a:sp3d>
              <a:bevelT w="63500" h="25400"/>
            </a:sp3d>
          </c:spPr>
          <c:invertIfNegative val="0"/>
          <c:cat>
            <c:strRef>
              <c:f>'P(M)'!$BF$17:$BF$37</c:f>
              <c:strCache>
                <c:ptCount val="21"/>
                <c:pt idx="0">
                  <c:v>台灣-發明</c:v>
                </c:pt>
                <c:pt idx="1">
                  <c:v>台灣-新型</c:v>
                </c:pt>
                <c:pt idx="2">
                  <c:v>大陸-發明</c:v>
                </c:pt>
                <c:pt idx="3">
                  <c:v>大陸-新型</c:v>
                </c:pt>
                <c:pt idx="4">
                  <c:v>美國</c:v>
                </c:pt>
                <c:pt idx="5">
                  <c:v>歐洲</c:v>
                </c:pt>
                <c:pt idx="6">
                  <c:v>日本-發明</c:v>
                </c:pt>
                <c:pt idx="7">
                  <c:v>日本-新型</c:v>
                </c:pt>
                <c:pt idx="8">
                  <c:v>韓國-發明</c:v>
                </c:pt>
                <c:pt idx="9">
                  <c:v>韓國-新型</c:v>
                </c:pt>
                <c:pt idx="10">
                  <c:v>加拿大</c:v>
                </c:pt>
                <c:pt idx="11">
                  <c:v>新加坡</c:v>
                </c:pt>
                <c:pt idx="12">
                  <c:v>馬來西亞-發明</c:v>
                </c:pt>
                <c:pt idx="13">
                  <c:v>馬來西亞-新型</c:v>
                </c:pt>
                <c:pt idx="14">
                  <c:v>菲律賓</c:v>
                </c:pt>
                <c:pt idx="15">
                  <c:v>印尼-發明</c:v>
                </c:pt>
                <c:pt idx="16">
                  <c:v>印尼-新型</c:v>
                </c:pt>
                <c:pt idx="17">
                  <c:v>越南-發明</c:v>
                </c:pt>
                <c:pt idx="18">
                  <c:v>越南-新型</c:v>
                </c:pt>
                <c:pt idx="19">
                  <c:v>泰國-發明</c:v>
                </c:pt>
                <c:pt idx="20">
                  <c:v>泰國-新型</c:v>
                </c:pt>
              </c:strCache>
            </c:strRef>
          </c:cat>
          <c:val>
            <c:numRef>
              <c:f>'P(M)'!$BJ$17:$BJ$37</c:f>
              <c:numCache>
                <c:formatCode>#,##0_ </c:formatCode>
                <c:ptCount val="21"/>
                <c:pt idx="0">
                  <c:v>271800</c:v>
                </c:pt>
                <c:pt idx="1">
                  <c:v>0</c:v>
                </c:pt>
                <c:pt idx="2">
                  <c:v>448920</c:v>
                </c:pt>
                <c:pt idx="3">
                  <c:v>0</c:v>
                </c:pt>
                <c:pt idx="4">
                  <c:v>219711.2</c:v>
                </c:pt>
                <c:pt idx="5">
                  <c:v>1523960.1080000002</c:v>
                </c:pt>
                <c:pt idx="6">
                  <c:v>423954</c:v>
                </c:pt>
                <c:pt idx="7">
                  <c:v>0</c:v>
                </c:pt>
                <c:pt idx="8">
                  <c:v>462256</c:v>
                </c:pt>
                <c:pt idx="9">
                  <c:v>0</c:v>
                </c:pt>
                <c:pt idx="10">
                  <c:v>262752.96500000003</c:v>
                </c:pt>
                <c:pt idx="11">
                  <c:v>461625</c:v>
                </c:pt>
                <c:pt idx="12">
                  <c:v>328721.5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697F-41A7-938B-6026BD735F62}"/>
            </c:ext>
          </c:extLst>
        </c:ser>
        <c:dLbls>
          <c:showLegendKey val="0"/>
          <c:showVal val="0"/>
          <c:showCatName val="0"/>
          <c:showSerName val="0"/>
          <c:showPercent val="0"/>
          <c:showBubbleSize val="0"/>
        </c:dLbls>
        <c:gapWidth val="30"/>
        <c:axId val="185535104"/>
        <c:axId val="185561472"/>
      </c:barChart>
      <c:catAx>
        <c:axId val="185535104"/>
        <c:scaling>
          <c:orientation val="minMax"/>
        </c:scaling>
        <c:delete val="0"/>
        <c:axPos val="b"/>
        <c:numFmt formatCode="General" sourceLinked="0"/>
        <c:majorTickMark val="out"/>
        <c:minorTickMark val="none"/>
        <c:tickLblPos val="nextTo"/>
        <c:txPr>
          <a:bodyPr/>
          <a:lstStyle/>
          <a:p>
            <a:pPr>
              <a:defRPr sz="1200" b="1">
                <a:latin typeface="標楷體" panose="03000509000000000000" pitchFamily="65" charset="-120"/>
                <a:ea typeface="標楷體" panose="03000509000000000000" pitchFamily="65" charset="-120"/>
              </a:defRPr>
            </a:pPr>
            <a:endParaRPr lang="zh-TW"/>
          </a:p>
        </c:txPr>
        <c:crossAx val="185561472"/>
        <c:crosses val="autoZero"/>
        <c:auto val="1"/>
        <c:lblAlgn val="ctr"/>
        <c:lblOffset val="0"/>
        <c:tickLblSkip val="1"/>
        <c:tickMarkSkip val="1"/>
        <c:noMultiLvlLbl val="0"/>
      </c:catAx>
      <c:valAx>
        <c:axId val="185561472"/>
        <c:scaling>
          <c:orientation val="minMax"/>
        </c:scaling>
        <c:delete val="0"/>
        <c:axPos val="l"/>
        <c:majorGridlines/>
        <c:title>
          <c:tx>
            <c:rich>
              <a:bodyPr rot="0" vert="horz"/>
              <a:lstStyle/>
              <a:p>
                <a:pPr>
                  <a:defRPr sz="1200" b="1">
                    <a:latin typeface="Times New Roman" panose="02020603050405020304" pitchFamily="18" charset="0"/>
                    <a:ea typeface="+mn-ea"/>
                    <a:cs typeface="Times New Roman" panose="02020603050405020304" pitchFamily="18" charset="0"/>
                  </a:defRPr>
                </a:pPr>
                <a:r>
                  <a:rPr lang="en-US" altLang="zh-TW" sz="1200" b="1">
                    <a:latin typeface="Times New Roman" panose="02020603050405020304" pitchFamily="18" charset="0"/>
                    <a:ea typeface="+mn-ea"/>
                    <a:cs typeface="Times New Roman" panose="02020603050405020304" pitchFamily="18" charset="0"/>
                  </a:rPr>
                  <a:t>(NTD)</a:t>
                </a:r>
                <a:endParaRPr lang="zh-TW" altLang="en-US" sz="1200" b="1">
                  <a:latin typeface="Times New Roman" panose="02020603050405020304" pitchFamily="18" charset="0"/>
                  <a:ea typeface="+mn-ea"/>
                  <a:cs typeface="Times New Roman" panose="02020603050405020304" pitchFamily="18" charset="0"/>
                </a:endParaRPr>
              </a:p>
            </c:rich>
          </c:tx>
          <c:layout>
            <c:manualLayout>
              <c:xMode val="edge"/>
              <c:yMode val="edge"/>
              <c:x val="2.4441251154491753E-2"/>
              <c:y val="2.8549505859071088E-2"/>
            </c:manualLayout>
          </c:layout>
          <c:overlay val="0"/>
        </c:title>
        <c:numFmt formatCode="#,##0_ " sourceLinked="1"/>
        <c:majorTickMark val="none"/>
        <c:minorTickMark val="none"/>
        <c:tickLblPos val="nextTo"/>
        <c:spPr>
          <a:ln w="9525">
            <a:noFill/>
          </a:ln>
        </c:spPr>
        <c:txPr>
          <a:bodyPr/>
          <a:lstStyle/>
          <a:p>
            <a:pPr>
              <a:defRPr sz="1200" b="1">
                <a:latin typeface="Times New Roman" panose="02020603050405020304" pitchFamily="18" charset="0"/>
                <a:ea typeface="+mn-ea"/>
                <a:cs typeface="Times New Roman" panose="02020603050405020304" pitchFamily="18" charset="0"/>
              </a:defRPr>
            </a:pPr>
            <a:endParaRPr lang="zh-TW"/>
          </a:p>
        </c:txPr>
        <c:crossAx val="185535104"/>
        <c:crosses val="autoZero"/>
        <c:crossBetween val="between"/>
      </c:valAx>
    </c:plotArea>
    <c:legend>
      <c:legendPos val="t"/>
      <c:layout>
        <c:manualLayout>
          <c:xMode val="edge"/>
          <c:yMode val="edge"/>
          <c:x val="0.65950119445613997"/>
          <c:y val="2.5702378268933419E-2"/>
          <c:w val="0.31709818705764609"/>
          <c:h val="6.5354039215686263E-2"/>
        </c:manualLayout>
      </c:layout>
      <c:overlay val="1"/>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legend>
    <c:plotVisOnly val="1"/>
    <c:dispBlanksAs val="gap"/>
    <c:showDLblsOverMax val="0"/>
  </c:chart>
  <c:spPr>
    <a:ln>
      <a:noFill/>
    </a:ln>
  </c:sp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CheckBox" checked="Checked" fmlaLink="'P(M)'!$W$5" lockText="1" noThreeD="1"/>
</file>

<file path=xl/ctrlProps/ctrlProp2.xml><?xml version="1.0" encoding="utf-8"?>
<formControlPr xmlns="http://schemas.microsoft.com/office/spreadsheetml/2009/9/main" objectType="CheckBox" checked="Checked" fmlaLink="'P(M)'!$W$6" lockText="1" noThreeD="1"/>
</file>

<file path=xl/ctrlProps/ctrlProp3.xml><?xml version="1.0" encoding="utf-8"?>
<formControlPr xmlns="http://schemas.microsoft.com/office/spreadsheetml/2009/9/main" objectType="CheckBox" checked="Checked" fmlaLink="'P(M)'!$W$7" lockText="1" noThreeD="1"/>
</file>

<file path=xl/ctrlProps/ctrlProp4.xml><?xml version="1.0" encoding="utf-8"?>
<formControlPr xmlns="http://schemas.microsoft.com/office/spreadsheetml/2009/9/main" objectType="CheckBox" checked="Checked" fmlaLink="'P(M)'!$U$5" lockText="1" noThreeD="1"/>
</file>

<file path=xl/ctrlProps/ctrlProp5.xml><?xml version="1.0" encoding="utf-8"?>
<formControlPr xmlns="http://schemas.microsoft.com/office/spreadsheetml/2009/9/main" objectType="CheckBox" checked="Checked" fmlaLink="'P(M)'!$U$6" lockText="1" noThreeD="1"/>
</file>

<file path=xl/ctrlProps/ctrlProp6.xml><?xml version="1.0" encoding="utf-8"?>
<formControlPr xmlns="http://schemas.microsoft.com/office/spreadsheetml/2009/9/main" objectType="CheckBox" checked="Checked" fmlaLink="'P(M)'!$U$7" lockText="1" noThreeD="1"/>
</file>

<file path=xl/ctrlProps/ctrlProp7.xml><?xml version="1.0" encoding="utf-8"?>
<formControlPr xmlns="http://schemas.microsoft.com/office/spreadsheetml/2009/9/main" objectType="CheckBox" checked="Checked" fmlaLink="'P(M)'!$U$8" lockText="1" noThreeD="1"/>
</file>

<file path=xl/ctrlProps/ctrlProp8.xml><?xml version="1.0" encoding="utf-8"?>
<formControlPr xmlns="http://schemas.microsoft.com/office/spreadsheetml/2009/9/main" objectType="Radio" firstButton="1" fmlaLink="選項!$M$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checked="Checked" fmlaLink="O270" lockText="1" noThreeD="1"/>
</file>

<file path=xl/ctrlProps/ctrlProp35.xml><?xml version="1.0" encoding="utf-8"?>
<formControlPr xmlns="http://schemas.microsoft.com/office/spreadsheetml/2009/9/main" objectType="CheckBox" fmlaLink="O271" lockText="1" noThreeD="1"/>
</file>

<file path=xl/ctrlProps/ctrlProp36.xml><?xml version="1.0" encoding="utf-8"?>
<formControlPr xmlns="http://schemas.microsoft.com/office/spreadsheetml/2009/9/main" objectType="CheckBox" checked="Checked" fmlaLink="O272" lockText="1" noThreeD="1"/>
</file>

<file path=xl/ctrlProps/ctrlProp37.xml><?xml version="1.0" encoding="utf-8"?>
<formControlPr xmlns="http://schemas.microsoft.com/office/spreadsheetml/2009/9/main" objectType="CheckBox" fmlaLink="O273" lockText="1" noThreeD="1"/>
</file>

<file path=xl/ctrlProps/ctrlProp38.xml><?xml version="1.0" encoding="utf-8"?>
<formControlPr xmlns="http://schemas.microsoft.com/office/spreadsheetml/2009/9/main" objectType="CheckBox" checked="Checked" fmlaLink="O274" lockText="1" noThreeD="1"/>
</file>

<file path=xl/ctrlProps/ctrlProp39.xml><?xml version="1.0" encoding="utf-8"?>
<formControlPr xmlns="http://schemas.microsoft.com/office/spreadsheetml/2009/9/main" objectType="CheckBox" checked="Checked" fmlaLink="O275" lockText="1" noThreeD="1"/>
</file>

<file path=xl/ctrlProps/ctrlProp40.xml><?xml version="1.0" encoding="utf-8"?>
<formControlPr xmlns="http://schemas.microsoft.com/office/spreadsheetml/2009/9/main" objectType="CheckBox" checked="Checked" fmlaLink="O276" lockText="1" noThreeD="1"/>
</file>

<file path=xl/ctrlProps/ctrlProp41.xml><?xml version="1.0" encoding="utf-8"?>
<formControlPr xmlns="http://schemas.microsoft.com/office/spreadsheetml/2009/9/main" objectType="CheckBox" fmlaLink="O277" lockText="1" noThreeD="1"/>
</file>

<file path=xl/ctrlProps/ctrlProp42.xml><?xml version="1.0" encoding="utf-8"?>
<formControlPr xmlns="http://schemas.microsoft.com/office/spreadsheetml/2009/9/main" objectType="CheckBox" checked="Checked" fmlaLink="O278" lockText="1" noThreeD="1"/>
</file>

<file path=xl/ctrlProps/ctrlProp43.xml><?xml version="1.0" encoding="utf-8"?>
<formControlPr xmlns="http://schemas.microsoft.com/office/spreadsheetml/2009/9/main" objectType="CheckBox" checked="Checked" fmlaLink="O279" lockText="1" noThreeD="1"/>
</file>

<file path=xl/ctrlProps/ctrlProp44.xml><?xml version="1.0" encoding="utf-8"?>
<formControlPr xmlns="http://schemas.microsoft.com/office/spreadsheetml/2009/9/main" objectType="CheckBox" checked="Checked" fmlaLink="O281" lockText="1" noThreeD="1"/>
</file>

<file path=xl/ctrlProps/ctrlProp45.xml><?xml version="1.0" encoding="utf-8"?>
<formControlPr xmlns="http://schemas.microsoft.com/office/spreadsheetml/2009/9/main" objectType="CheckBox" fmlaLink="O284" lockText="1" noThreeD="1"/>
</file>

<file path=xl/ctrlProps/ctrlProp46.xml><?xml version="1.0" encoding="utf-8"?>
<formControlPr xmlns="http://schemas.microsoft.com/office/spreadsheetml/2009/9/main" objectType="CheckBox" fmlaLink="O287" lockText="1" noThreeD="1"/>
</file>

<file path=xl/ctrlProps/ctrlProp47.xml><?xml version="1.0" encoding="utf-8"?>
<formControlPr xmlns="http://schemas.microsoft.com/office/spreadsheetml/2009/9/main" objectType="CheckBox" fmlaLink="O288" lockText="1" noThreeD="1"/>
</file>

<file path=xl/ctrlProps/ctrlProp48.xml><?xml version="1.0" encoding="utf-8"?>
<formControlPr xmlns="http://schemas.microsoft.com/office/spreadsheetml/2009/9/main" objectType="CheckBox" fmlaLink="O289" lockText="1" noThreeD="1"/>
</file>

<file path=xl/ctrlProps/ctrlProp49.xml><?xml version="1.0" encoding="utf-8"?>
<formControlPr xmlns="http://schemas.microsoft.com/office/spreadsheetml/2009/9/main" objectType="CheckBox" fmlaLink="O290" lockText="1" noThreeD="1"/>
</file>

<file path=xl/ctrlProps/ctrlProp50.xml><?xml version="1.0" encoding="utf-8"?>
<formControlPr xmlns="http://schemas.microsoft.com/office/spreadsheetml/2009/9/main" objectType="CheckBox" fmlaLink="O282" lockText="1" noThreeD="1"/>
</file>

<file path=xl/ctrlProps/ctrlProp51.xml><?xml version="1.0" encoding="utf-8"?>
<formControlPr xmlns="http://schemas.microsoft.com/office/spreadsheetml/2009/9/main" objectType="CheckBox" fmlaLink="O283" lockText="1" noThreeD="1"/>
</file>

<file path=xl/ctrlProps/ctrlProp52.xml><?xml version="1.0" encoding="utf-8"?>
<formControlPr xmlns="http://schemas.microsoft.com/office/spreadsheetml/2009/9/main" objectType="CheckBox" fmlaLink="O285" lockText="1" noThreeD="1"/>
</file>

<file path=xl/ctrlProps/ctrlProp53.xml><?xml version="1.0" encoding="utf-8"?>
<formControlPr xmlns="http://schemas.microsoft.com/office/spreadsheetml/2009/9/main" objectType="CheckBox" fmlaLink="O286" lockText="1" noThreeD="1"/>
</file>

<file path=xl/ctrlProps/ctrlProp54.xml><?xml version="1.0" encoding="utf-8"?>
<formControlPr xmlns="http://schemas.microsoft.com/office/spreadsheetml/2009/9/main" objectType="CheckBox" fmlaLink="O280" lockText="1" noThreeD="1"/>
</file>

<file path=xl/ctrlProps/ctrlProp55.xml><?xml version="1.0" encoding="utf-8"?>
<formControlPr xmlns="http://schemas.microsoft.com/office/spreadsheetml/2009/9/main" objectType="CheckBox" fmlaLink="$T$266" lockText="1" noThreeD="1"/>
</file>

<file path=xl/ctrlProps/ctrlProp56.xml><?xml version="1.0" encoding="utf-8"?>
<formControlPr xmlns="http://schemas.microsoft.com/office/spreadsheetml/2009/9/main" objectType="CheckBox" fmlaLink="$U$266" lockText="1" noThreeD="1"/>
</file>

<file path=xl/ctrlProps/ctrlProp57.xml><?xml version="1.0" encoding="utf-8"?>
<formControlPr xmlns="http://schemas.microsoft.com/office/spreadsheetml/2009/9/main" objectType="CheckBox" fmlaLink="$V$266" lockText="1" noThreeD="1"/>
</file>

<file path=xl/ctrlProps/ctrlProp58.xml><?xml version="1.0" encoding="utf-8"?>
<formControlPr xmlns="http://schemas.microsoft.com/office/spreadsheetml/2009/9/main" objectType="CheckBox" fmlaLink="$W$266" lockText="1" noThreeD="1"/>
</file>

<file path=xl/ctrlProps/ctrlProp59.xml><?xml version="1.0" encoding="utf-8"?>
<formControlPr xmlns="http://schemas.microsoft.com/office/spreadsheetml/2009/9/main" objectType="CheckBox" fmlaLink="$X$266" lockText="1" noThreeD="1"/>
</file>

<file path=xl/ctrlProps/ctrlProp60.xml><?xml version="1.0" encoding="utf-8"?>
<formControlPr xmlns="http://schemas.microsoft.com/office/spreadsheetml/2009/9/main" objectType="CheckBox" fmlaLink="$Y$266" lockText="1" noThreeD="1"/>
</file>

<file path=xl/ctrlProps/ctrlProp61.xml><?xml version="1.0" encoding="utf-8"?>
<formControlPr xmlns="http://schemas.microsoft.com/office/spreadsheetml/2009/9/main" objectType="CheckBox" checked="Checked" fmlaLink="$Z$266" lockText="1" noThreeD="1"/>
</file>

<file path=xl/ctrlProps/ctrlProp62.xml><?xml version="1.0" encoding="utf-8"?>
<formControlPr xmlns="http://schemas.microsoft.com/office/spreadsheetml/2009/9/main" objectType="CheckBox" checked="Checked" fmlaLink="$AA$266" lockText="1" noThreeD="1"/>
</file>

<file path=xl/ctrlProps/ctrlProp63.xml><?xml version="1.0" encoding="utf-8"?>
<formControlPr xmlns="http://schemas.microsoft.com/office/spreadsheetml/2009/9/main" objectType="CheckBox" checked="Checked" fmlaLink="$AB$266" lockText="1" noThreeD="1"/>
</file>

<file path=xl/ctrlProps/ctrlProp64.xml><?xml version="1.0" encoding="utf-8"?>
<formControlPr xmlns="http://schemas.microsoft.com/office/spreadsheetml/2009/9/main" objectType="CheckBox" fmlaLink="$AC$266" lockText="1" noThreeD="1"/>
</file>

<file path=xl/ctrlProps/ctrlProp65.xml><?xml version="1.0" encoding="utf-8"?>
<formControlPr xmlns="http://schemas.microsoft.com/office/spreadsheetml/2009/9/main" objectType="CheckBox" fmlaLink="$AF$266" lockText="1" noThreeD="1"/>
</file>

<file path=xl/ctrlProps/ctrlProp66.xml><?xml version="1.0" encoding="utf-8"?>
<formControlPr xmlns="http://schemas.microsoft.com/office/spreadsheetml/2009/9/main" objectType="CheckBox" fmlaLink="$AG$266" lockText="1" noThreeD="1"/>
</file>

<file path=xl/ctrlProps/ctrlProp67.xml><?xml version="1.0" encoding="utf-8"?>
<formControlPr xmlns="http://schemas.microsoft.com/office/spreadsheetml/2009/9/main" objectType="CheckBox" fmlaLink="$AH$266" lockText="1" noThreeD="1"/>
</file>

<file path=xl/ctrlProps/ctrlProp68.xml><?xml version="1.0" encoding="utf-8"?>
<formControlPr xmlns="http://schemas.microsoft.com/office/spreadsheetml/2009/9/main" objectType="CheckBox" fmlaLink="$AI$266" lockText="1" noThreeD="1"/>
</file>

<file path=xl/ctrlProps/ctrlProp69.xml><?xml version="1.0" encoding="utf-8"?>
<formControlPr xmlns="http://schemas.microsoft.com/office/spreadsheetml/2009/9/main" objectType="CheckBox" fmlaLink="$AJ$266" lockText="1" noThreeD="1"/>
</file>

<file path=xl/ctrlProps/ctrlProp70.xml><?xml version="1.0" encoding="utf-8"?>
<formControlPr xmlns="http://schemas.microsoft.com/office/spreadsheetml/2009/9/main" objectType="CheckBox" fmlaLink="$AK$266" lockText="1" noThreeD="1"/>
</file>

<file path=xl/ctrlProps/ctrlProp71.xml><?xml version="1.0" encoding="utf-8"?>
<formControlPr xmlns="http://schemas.microsoft.com/office/spreadsheetml/2009/9/main" objectType="CheckBox" fmlaLink="$AL$266" lockText="1" noThreeD="1"/>
</file>

<file path=xl/ctrlProps/ctrlProp72.xml><?xml version="1.0" encoding="utf-8"?>
<formControlPr xmlns="http://schemas.microsoft.com/office/spreadsheetml/2009/9/main" objectType="CheckBox" fmlaLink="$AM$266" lockText="1" noThreeD="1"/>
</file>

<file path=xl/ctrlProps/ctrlProp73.xml><?xml version="1.0" encoding="utf-8"?>
<formControlPr xmlns="http://schemas.microsoft.com/office/spreadsheetml/2009/9/main" objectType="CheckBox" fmlaLink="$AN$266" lockText="1" noThreeD="1"/>
</file>

<file path=xl/ctrlProps/ctrlProp74.xml><?xml version="1.0" encoding="utf-8"?>
<formControlPr xmlns="http://schemas.microsoft.com/office/spreadsheetml/2009/9/main" objectType="CheckBox" fmlaLink="$AO$266" lockText="1" noThreeD="1"/>
</file>

<file path=xl/ctrlProps/ctrlProp75.xml><?xml version="1.0" encoding="utf-8"?>
<formControlPr xmlns="http://schemas.microsoft.com/office/spreadsheetml/2009/9/main" objectType="CheckBox" fmlaLink="$AD$266" lockText="1" noThreeD="1"/>
</file>

<file path=xl/ctrlProps/ctrlProp76.xml><?xml version="1.0" encoding="utf-8"?>
<formControlPr xmlns="http://schemas.microsoft.com/office/spreadsheetml/2009/9/main" objectType="CheckBox" fmlaLink="$AE$266" lockText="1" noThreeD="1"/>
</file>

<file path=xl/ctrlProps/ctrlProp77.xml><?xml version="1.0" encoding="utf-8"?>
<formControlPr xmlns="http://schemas.microsoft.com/office/spreadsheetml/2009/9/main" objectType="CheckBox" fmlaLink="$AP$266" lockText="1" noThreeD="1"/>
</file>

<file path=xl/ctrlProps/ctrlProp78.xml><?xml version="1.0" encoding="utf-8"?>
<formControlPr xmlns="http://schemas.microsoft.com/office/spreadsheetml/2009/9/main" objectType="CheckBox" fmlaLink="$AQ$266" lockText="1" noThreeD="1"/>
</file>

<file path=xl/ctrlProps/ctrlProp79.xml><?xml version="1.0" encoding="utf-8"?>
<formControlPr xmlns="http://schemas.microsoft.com/office/spreadsheetml/2009/9/main" objectType="CheckBox" checked="Checked" fmlaLink="'P(M)'!$C$17" lockText="1" noThreeD="1"/>
</file>

<file path=xl/ctrlProps/ctrlProp80.xml><?xml version="1.0" encoding="utf-8"?>
<formControlPr xmlns="http://schemas.microsoft.com/office/spreadsheetml/2009/9/main" objectType="CheckBox" fmlaLink="'P(M)'!$C$18" lockText="1" noThreeD="1"/>
</file>

<file path=xl/ctrlProps/ctrlProp81.xml><?xml version="1.0" encoding="utf-8"?>
<formControlPr xmlns="http://schemas.microsoft.com/office/spreadsheetml/2009/9/main" objectType="CheckBox" checked="Checked" fmlaLink="'P(M)'!$C$19" lockText="1" noThreeD="1"/>
</file>

<file path=xl/ctrlProps/ctrlProp82.xml><?xml version="1.0" encoding="utf-8"?>
<formControlPr xmlns="http://schemas.microsoft.com/office/spreadsheetml/2009/9/main" objectType="CheckBox" fmlaLink="'P(M)'!$C$20" lockText="1" noThreeD="1"/>
</file>

<file path=xl/ctrlProps/ctrlProp83.xml><?xml version="1.0" encoding="utf-8"?>
<formControlPr xmlns="http://schemas.microsoft.com/office/spreadsheetml/2009/9/main" objectType="CheckBox" checked="Checked" fmlaLink="'P(M)'!$C$21" lockText="1" noThreeD="1"/>
</file>

<file path=xl/ctrlProps/ctrlProp84.xml><?xml version="1.0" encoding="utf-8"?>
<formControlPr xmlns="http://schemas.microsoft.com/office/spreadsheetml/2009/9/main" objectType="CheckBox" checked="Checked" fmlaLink="'P(M)'!$C$22" lockText="1" noThreeD="1"/>
</file>

<file path=xl/ctrlProps/ctrlProp85.xml><?xml version="1.0" encoding="utf-8"?>
<formControlPr xmlns="http://schemas.microsoft.com/office/spreadsheetml/2009/9/main" objectType="CheckBox" checked="Checked" fmlaLink="'P(M)'!$C$23" lockText="1" noThreeD="1"/>
</file>

<file path=xl/ctrlProps/ctrlProp86.xml><?xml version="1.0" encoding="utf-8"?>
<formControlPr xmlns="http://schemas.microsoft.com/office/spreadsheetml/2009/9/main" objectType="CheckBox" fmlaLink="'P(M)'!$C$24" lockText="1" noThreeD="1"/>
</file>

<file path=xl/ctrlProps/ctrlProp87.xml><?xml version="1.0" encoding="utf-8"?>
<formControlPr xmlns="http://schemas.microsoft.com/office/spreadsheetml/2009/9/main" objectType="CheckBox" checked="Checked" fmlaLink="'P(M)'!$C$25" lockText="1" noThreeD="1"/>
</file>

<file path=xl/ctrlProps/ctrlProp88.xml><?xml version="1.0" encoding="utf-8"?>
<formControlPr xmlns="http://schemas.microsoft.com/office/spreadsheetml/2009/9/main" objectType="CheckBox" fmlaLink="'P(M)'!$C$26" lockText="1" noThreeD="1"/>
</file>

<file path=xl/ctrlProps/ctrlProp89.xml><?xml version="1.0" encoding="utf-8"?>
<formControlPr xmlns="http://schemas.microsoft.com/office/spreadsheetml/2009/9/main" objectType="CheckBox" fmlaLink="'P(M)'!$C$34" lockText="1" noThreeD="1"/>
</file>

<file path=xl/ctrlProps/ctrlProp90.xml><?xml version="1.0" encoding="utf-8"?>
<formControlPr xmlns="http://schemas.microsoft.com/office/spreadsheetml/2009/9/main" objectType="CheckBox" fmlaLink="'P(M)'!$C$35" lockText="1" noThreeD="1"/>
</file>

<file path=xl/ctrlProps/ctrlProp91.xml><?xml version="1.0" encoding="utf-8"?>
<formControlPr xmlns="http://schemas.microsoft.com/office/spreadsheetml/2009/9/main" objectType="CheckBox" fmlaLink="'P(M)'!$C$36" lockText="1" noThreeD="1"/>
</file>

<file path=xl/ctrlProps/ctrlProp92.xml><?xml version="1.0" encoding="utf-8"?>
<formControlPr xmlns="http://schemas.microsoft.com/office/spreadsheetml/2009/9/main" objectType="CheckBox" fmlaLink="'P(M)'!$C$37" lockText="1" noThreeD="1"/>
</file>

<file path=xl/ctrlProps/ctrlProp93.xml><?xml version="1.0" encoding="utf-8"?>
<formControlPr xmlns="http://schemas.microsoft.com/office/spreadsheetml/2009/9/main" objectType="CheckBox" checked="Checked" fmlaLink="'P(M)'!$C$29" lockText="1" noThreeD="1"/>
</file>

<file path=xl/ctrlProps/ctrlProp94.xml><?xml version="1.0" encoding="utf-8"?>
<formControlPr xmlns="http://schemas.microsoft.com/office/spreadsheetml/2009/9/main" objectType="CheckBox" fmlaLink="'P(M)'!$C$30" lockText="1" noThreeD="1"/>
</file>

<file path=xl/ctrlProps/ctrlProp95.xml><?xml version="1.0" encoding="utf-8"?>
<formControlPr xmlns="http://schemas.microsoft.com/office/spreadsheetml/2009/9/main" objectType="CheckBox" fmlaLink="'P(M)'!$C$32" lockText="1" noThreeD="1"/>
</file>

<file path=xl/ctrlProps/ctrlProp96.xml><?xml version="1.0" encoding="utf-8"?>
<formControlPr xmlns="http://schemas.microsoft.com/office/spreadsheetml/2009/9/main" objectType="CheckBox" fmlaLink="'P(M)'!$C$33" lockText="1" noThreeD="1"/>
</file>

<file path=xl/ctrlProps/ctrlProp97.xml><?xml version="1.0" encoding="utf-8"?>
<formControlPr xmlns="http://schemas.microsoft.com/office/spreadsheetml/2009/9/main" objectType="CheckBox" checked="Checked" fmlaLink="'P(M)'!$C$28" lockText="1" noThreeD="1"/>
</file>

<file path=xl/ctrlProps/ctrlProp98.xml><?xml version="1.0" encoding="utf-8"?>
<formControlPr xmlns="http://schemas.microsoft.com/office/spreadsheetml/2009/9/main" objectType="CheckBox" fmlaLink="'P(M)'!$C$31" lockText="1" noThreeD="1"/>
</file>

<file path=xl/ctrlProps/ctrlProp99.xml><?xml version="1.0" encoding="utf-8"?>
<formControlPr xmlns="http://schemas.microsoft.com/office/spreadsheetml/2009/9/main" objectType="CheckBox" checked="Checked" fmlaLink="'P(M)'!$C$27" lockText="1" noThreeD="1"/>
</file>

<file path=xl/ctrlProps/ctrlProp100.xml><?xml version="1.0" encoding="utf-8"?>
<formControlPr xmlns="http://schemas.microsoft.com/office/spreadsheetml/2009/9/main" objectType="Radio" checked="Checked" firstButton="1" fmlaLink="'P(M)'!$D$17"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CheckBox" checked="Checked" fmlaLink="'P(M)'!$C$17" lockText="1" noThreeD="1"/>
</file>

<file path=xl/ctrlProps/ctrlProp109.xml><?xml version="1.0" encoding="utf-8"?>
<formControlPr xmlns="http://schemas.microsoft.com/office/spreadsheetml/2009/9/main" objectType="CheckBox" fmlaLink="'P(M)'!$C$18" lockText="1" noThreeD="1"/>
</file>

<file path=xl/ctrlProps/ctrlProp110.xml><?xml version="1.0" encoding="utf-8"?>
<formControlPr xmlns="http://schemas.microsoft.com/office/spreadsheetml/2009/9/main" objectType="CheckBox" checked="Checked" fmlaLink="'P(M)'!$C$19" lockText="1" noThreeD="1"/>
</file>

<file path=xl/ctrlProps/ctrlProp111.xml><?xml version="1.0" encoding="utf-8"?>
<formControlPr xmlns="http://schemas.microsoft.com/office/spreadsheetml/2009/9/main" objectType="CheckBox" fmlaLink="'P(M)'!$C$20" lockText="1" noThreeD="1"/>
</file>

<file path=xl/ctrlProps/ctrlProp112.xml><?xml version="1.0" encoding="utf-8"?>
<formControlPr xmlns="http://schemas.microsoft.com/office/spreadsheetml/2009/9/main" objectType="CheckBox" checked="Checked" fmlaLink="'P(M)'!$C$21" lockText="1" noThreeD="1"/>
</file>

<file path=xl/ctrlProps/ctrlProp113.xml><?xml version="1.0" encoding="utf-8"?>
<formControlPr xmlns="http://schemas.microsoft.com/office/spreadsheetml/2009/9/main" objectType="CheckBox" checked="Checked" fmlaLink="'P(M)'!$C$22" lockText="1" noThreeD="1"/>
</file>

<file path=xl/ctrlProps/ctrlProp114.xml><?xml version="1.0" encoding="utf-8"?>
<formControlPr xmlns="http://schemas.microsoft.com/office/spreadsheetml/2009/9/main" objectType="CheckBox" checked="Checked" fmlaLink="'P(M)'!$C$23" lockText="1" noThreeD="1"/>
</file>

<file path=xl/ctrlProps/ctrlProp115.xml><?xml version="1.0" encoding="utf-8"?>
<formControlPr xmlns="http://schemas.microsoft.com/office/spreadsheetml/2009/9/main" objectType="CheckBox" fmlaLink="'P(M)'!$C$24" lockText="1" noThreeD="1"/>
</file>

<file path=xl/ctrlProps/ctrlProp116.xml><?xml version="1.0" encoding="utf-8"?>
<formControlPr xmlns="http://schemas.microsoft.com/office/spreadsheetml/2009/9/main" objectType="CheckBox" checked="Checked" fmlaLink="'P(M)'!$C$25" lockText="1" noThreeD="1"/>
</file>

<file path=xl/ctrlProps/ctrlProp117.xml><?xml version="1.0" encoding="utf-8"?>
<formControlPr xmlns="http://schemas.microsoft.com/office/spreadsheetml/2009/9/main" objectType="CheckBox" fmlaLink="'P(M)'!$C$26" lockText="1" noThreeD="1"/>
</file>

<file path=xl/ctrlProps/ctrlProp118.xml><?xml version="1.0" encoding="utf-8"?>
<formControlPr xmlns="http://schemas.microsoft.com/office/spreadsheetml/2009/9/main" objectType="CheckBox" fmlaLink="'P(M)'!$C$34" lockText="1" noThreeD="1"/>
</file>

<file path=xl/ctrlProps/ctrlProp119.xml><?xml version="1.0" encoding="utf-8"?>
<formControlPr xmlns="http://schemas.microsoft.com/office/spreadsheetml/2009/9/main" objectType="CheckBox" fmlaLink="'P(M)'!$C$35" lockText="1" noThreeD="1"/>
</file>

<file path=xl/ctrlProps/ctrlProp120.xml><?xml version="1.0" encoding="utf-8"?>
<formControlPr xmlns="http://schemas.microsoft.com/office/spreadsheetml/2009/9/main" objectType="CheckBox" fmlaLink="'P(M)'!$C$36" lockText="1" noThreeD="1"/>
</file>

<file path=xl/ctrlProps/ctrlProp121.xml><?xml version="1.0" encoding="utf-8"?>
<formControlPr xmlns="http://schemas.microsoft.com/office/spreadsheetml/2009/9/main" objectType="CheckBox" fmlaLink="'P(M)'!$C$37" lockText="1" noThreeD="1"/>
</file>

<file path=xl/ctrlProps/ctrlProp122.xml><?xml version="1.0" encoding="utf-8"?>
<formControlPr xmlns="http://schemas.microsoft.com/office/spreadsheetml/2009/9/main" objectType="CheckBox" checked="Checked" fmlaLink="'P(M)'!$C$29" lockText="1" noThreeD="1"/>
</file>

<file path=xl/ctrlProps/ctrlProp123.xml><?xml version="1.0" encoding="utf-8"?>
<formControlPr xmlns="http://schemas.microsoft.com/office/spreadsheetml/2009/9/main" objectType="CheckBox" fmlaLink="'P(M)'!$C$30" lockText="1" noThreeD="1"/>
</file>

<file path=xl/ctrlProps/ctrlProp124.xml><?xml version="1.0" encoding="utf-8"?>
<formControlPr xmlns="http://schemas.microsoft.com/office/spreadsheetml/2009/9/main" objectType="CheckBox" fmlaLink="'P(M)'!$C$32" lockText="1" noThreeD="1"/>
</file>

<file path=xl/ctrlProps/ctrlProp125.xml><?xml version="1.0" encoding="utf-8"?>
<formControlPr xmlns="http://schemas.microsoft.com/office/spreadsheetml/2009/9/main" objectType="CheckBox" fmlaLink="'P(M)'!$C$33" lockText="1" noThreeD="1"/>
</file>

<file path=xl/ctrlProps/ctrlProp126.xml><?xml version="1.0" encoding="utf-8"?>
<formControlPr xmlns="http://schemas.microsoft.com/office/spreadsheetml/2009/9/main" objectType="CheckBox" checked="Checked" fmlaLink="'P(M)'!$C$28" lockText="1" noThreeD="1"/>
</file>

<file path=xl/ctrlProps/ctrlProp127.xml><?xml version="1.0" encoding="utf-8"?>
<formControlPr xmlns="http://schemas.microsoft.com/office/spreadsheetml/2009/9/main" objectType="CheckBox" fmlaLink="'P(M)'!$C$31" lockText="1" noThreeD="1"/>
</file>

<file path=xl/ctrlProps/ctrlProp128.xml><?xml version="1.0" encoding="utf-8"?>
<formControlPr xmlns="http://schemas.microsoft.com/office/spreadsheetml/2009/9/main" objectType="CheckBox" checked="Checked" fmlaLink="'P(M)'!$C$27" lockText="1" noThreeD="1"/>
</file>

<file path=xl/ctrlProps/ctrlProp129.xml><?xml version="1.0" encoding="utf-8"?>
<formControlPr xmlns="http://schemas.microsoft.com/office/spreadsheetml/2009/9/main" objectType="CheckBox" checked="Checked" fmlaLink="'P(M)'!$C$17" lockText="1" noThreeD="1"/>
</file>

<file path=xl/ctrlProps/ctrlProp130.xml><?xml version="1.0" encoding="utf-8"?>
<formControlPr xmlns="http://schemas.microsoft.com/office/spreadsheetml/2009/9/main" objectType="CheckBox" fmlaLink="'P(M)'!$C$18" lockText="1" noThreeD="1"/>
</file>

<file path=xl/ctrlProps/ctrlProp131.xml><?xml version="1.0" encoding="utf-8"?>
<formControlPr xmlns="http://schemas.microsoft.com/office/spreadsheetml/2009/9/main" objectType="CheckBox" checked="Checked" fmlaLink="'P(M)'!$C$19" lockText="1" noThreeD="1"/>
</file>

<file path=xl/ctrlProps/ctrlProp132.xml><?xml version="1.0" encoding="utf-8"?>
<formControlPr xmlns="http://schemas.microsoft.com/office/spreadsheetml/2009/9/main" objectType="CheckBox" fmlaLink="'P(M)'!$C$20" lockText="1" noThreeD="1"/>
</file>

<file path=xl/ctrlProps/ctrlProp133.xml><?xml version="1.0" encoding="utf-8"?>
<formControlPr xmlns="http://schemas.microsoft.com/office/spreadsheetml/2009/9/main" objectType="CheckBox" checked="Checked" fmlaLink="'P(M)'!$C$21" lockText="1" noThreeD="1"/>
</file>

<file path=xl/ctrlProps/ctrlProp134.xml><?xml version="1.0" encoding="utf-8"?>
<formControlPr xmlns="http://schemas.microsoft.com/office/spreadsheetml/2009/9/main" objectType="CheckBox" checked="Checked" fmlaLink="'P(M)'!$C$22" lockText="1" noThreeD="1"/>
</file>

<file path=xl/ctrlProps/ctrlProp135.xml><?xml version="1.0" encoding="utf-8"?>
<formControlPr xmlns="http://schemas.microsoft.com/office/spreadsheetml/2009/9/main" objectType="CheckBox" checked="Checked" fmlaLink="'P(M)'!$C$23" lockText="1" noThreeD="1"/>
</file>

<file path=xl/ctrlProps/ctrlProp136.xml><?xml version="1.0" encoding="utf-8"?>
<formControlPr xmlns="http://schemas.microsoft.com/office/spreadsheetml/2009/9/main" objectType="CheckBox" fmlaLink="'P(M)'!$C$24" lockText="1" noThreeD="1"/>
</file>

<file path=xl/ctrlProps/ctrlProp137.xml><?xml version="1.0" encoding="utf-8"?>
<formControlPr xmlns="http://schemas.microsoft.com/office/spreadsheetml/2009/9/main" objectType="CheckBox" checked="Checked" fmlaLink="'P(M)'!$C$25" lockText="1" noThreeD="1"/>
</file>

<file path=xl/ctrlProps/ctrlProp138.xml><?xml version="1.0" encoding="utf-8"?>
<formControlPr xmlns="http://schemas.microsoft.com/office/spreadsheetml/2009/9/main" objectType="CheckBox" fmlaLink="'P(M)'!$C$26" lockText="1" noThreeD="1"/>
</file>

<file path=xl/ctrlProps/ctrlProp139.xml><?xml version="1.0" encoding="utf-8"?>
<formControlPr xmlns="http://schemas.microsoft.com/office/spreadsheetml/2009/9/main" objectType="CheckBox" fmlaLink="'P(M)'!$C$34" lockText="1" noThreeD="1"/>
</file>

<file path=xl/ctrlProps/ctrlProp140.xml><?xml version="1.0" encoding="utf-8"?>
<formControlPr xmlns="http://schemas.microsoft.com/office/spreadsheetml/2009/9/main" objectType="CheckBox" fmlaLink="'P(M)'!$C$35" lockText="1" noThreeD="1"/>
</file>

<file path=xl/ctrlProps/ctrlProp141.xml><?xml version="1.0" encoding="utf-8"?>
<formControlPr xmlns="http://schemas.microsoft.com/office/spreadsheetml/2009/9/main" objectType="CheckBox" fmlaLink="'P(M)'!$C$36" lockText="1" noThreeD="1"/>
</file>

<file path=xl/ctrlProps/ctrlProp142.xml><?xml version="1.0" encoding="utf-8"?>
<formControlPr xmlns="http://schemas.microsoft.com/office/spreadsheetml/2009/9/main" objectType="CheckBox" fmlaLink="'P(M)'!$C$37" lockText="1" noThreeD="1"/>
</file>

<file path=xl/ctrlProps/ctrlProp143.xml><?xml version="1.0" encoding="utf-8"?>
<formControlPr xmlns="http://schemas.microsoft.com/office/spreadsheetml/2009/9/main" objectType="CheckBox" checked="Checked" fmlaLink="'P(M)'!$C$29" lockText="1" noThreeD="1"/>
</file>

<file path=xl/ctrlProps/ctrlProp144.xml><?xml version="1.0" encoding="utf-8"?>
<formControlPr xmlns="http://schemas.microsoft.com/office/spreadsheetml/2009/9/main" objectType="CheckBox" fmlaLink="'P(M)'!$C$30" lockText="1" noThreeD="1"/>
</file>

<file path=xl/ctrlProps/ctrlProp145.xml><?xml version="1.0" encoding="utf-8"?>
<formControlPr xmlns="http://schemas.microsoft.com/office/spreadsheetml/2009/9/main" objectType="CheckBox" fmlaLink="'P(M)'!$C$32" lockText="1" noThreeD="1"/>
</file>

<file path=xl/ctrlProps/ctrlProp146.xml><?xml version="1.0" encoding="utf-8"?>
<formControlPr xmlns="http://schemas.microsoft.com/office/spreadsheetml/2009/9/main" objectType="CheckBox" fmlaLink="'P(M)'!$C$33" lockText="1" noThreeD="1"/>
</file>

<file path=xl/ctrlProps/ctrlProp147.xml><?xml version="1.0" encoding="utf-8"?>
<formControlPr xmlns="http://schemas.microsoft.com/office/spreadsheetml/2009/9/main" objectType="CheckBox" checked="Checked" fmlaLink="'P(M)'!$C$28" lockText="1" noThreeD="1"/>
</file>

<file path=xl/ctrlProps/ctrlProp148.xml><?xml version="1.0" encoding="utf-8"?>
<formControlPr xmlns="http://schemas.microsoft.com/office/spreadsheetml/2009/9/main" objectType="CheckBox" fmlaLink="'P(M)'!$C$31" lockText="1" noThreeD="1"/>
</file>

<file path=xl/ctrlProps/ctrlProp149.xml><?xml version="1.0" encoding="utf-8"?>
<formControlPr xmlns="http://schemas.microsoft.com/office/spreadsheetml/2009/9/main" objectType="CheckBox" checked="Checked" fmlaLink="'P(M)'!$C$27" lockText="1" noThreeD="1"/>
</file>

<file path=xl/ctrlProps/ctrlProp150.xml><?xml version="1.0" encoding="utf-8"?>
<formControlPr xmlns="http://schemas.microsoft.com/office/spreadsheetml/2009/9/main" objectType="CheckBox" checked="Checked" fmlaLink="'P(M)'!$C$17" lockText="1" noThreeD="1"/>
</file>

<file path=xl/ctrlProps/ctrlProp151.xml><?xml version="1.0" encoding="utf-8"?>
<formControlPr xmlns="http://schemas.microsoft.com/office/spreadsheetml/2009/9/main" objectType="CheckBox" fmlaLink="'P(M)'!$C$18" lockText="1" noThreeD="1"/>
</file>

<file path=xl/ctrlProps/ctrlProp152.xml><?xml version="1.0" encoding="utf-8"?>
<formControlPr xmlns="http://schemas.microsoft.com/office/spreadsheetml/2009/9/main" objectType="CheckBox" checked="Checked" fmlaLink="'P(M)'!$C$19" lockText="1" noThreeD="1"/>
</file>

<file path=xl/ctrlProps/ctrlProp153.xml><?xml version="1.0" encoding="utf-8"?>
<formControlPr xmlns="http://schemas.microsoft.com/office/spreadsheetml/2009/9/main" objectType="CheckBox" fmlaLink="'P(M)'!$C$20" lockText="1" noThreeD="1"/>
</file>

<file path=xl/ctrlProps/ctrlProp154.xml><?xml version="1.0" encoding="utf-8"?>
<formControlPr xmlns="http://schemas.microsoft.com/office/spreadsheetml/2009/9/main" objectType="CheckBox" checked="Checked" fmlaLink="'P(M)'!$C$21" lockText="1" noThreeD="1"/>
</file>

<file path=xl/ctrlProps/ctrlProp155.xml><?xml version="1.0" encoding="utf-8"?>
<formControlPr xmlns="http://schemas.microsoft.com/office/spreadsheetml/2009/9/main" objectType="CheckBox" checked="Checked" fmlaLink="'P(M)'!$C$22" lockText="1" noThreeD="1"/>
</file>

<file path=xl/ctrlProps/ctrlProp156.xml><?xml version="1.0" encoding="utf-8"?>
<formControlPr xmlns="http://schemas.microsoft.com/office/spreadsheetml/2009/9/main" objectType="CheckBox" checked="Checked" fmlaLink="'P(M)'!$C$23" lockText="1" noThreeD="1"/>
</file>

<file path=xl/ctrlProps/ctrlProp157.xml><?xml version="1.0" encoding="utf-8"?>
<formControlPr xmlns="http://schemas.microsoft.com/office/spreadsheetml/2009/9/main" objectType="CheckBox" fmlaLink="'P(M)'!$C$24" lockText="1" noThreeD="1"/>
</file>

<file path=xl/ctrlProps/ctrlProp158.xml><?xml version="1.0" encoding="utf-8"?>
<formControlPr xmlns="http://schemas.microsoft.com/office/spreadsheetml/2009/9/main" objectType="CheckBox" checked="Checked" fmlaLink="'P(M)'!$C$25" lockText="1" noThreeD="1"/>
</file>

<file path=xl/ctrlProps/ctrlProp159.xml><?xml version="1.0" encoding="utf-8"?>
<formControlPr xmlns="http://schemas.microsoft.com/office/spreadsheetml/2009/9/main" objectType="CheckBox" fmlaLink="'P(M)'!$C$26" lockText="1" noThreeD="1"/>
</file>

<file path=xl/ctrlProps/ctrlProp160.xml><?xml version="1.0" encoding="utf-8"?>
<formControlPr xmlns="http://schemas.microsoft.com/office/spreadsheetml/2009/9/main" objectType="CheckBox" fmlaLink="'P(M)'!$C$34" lockText="1" noThreeD="1"/>
</file>

<file path=xl/ctrlProps/ctrlProp161.xml><?xml version="1.0" encoding="utf-8"?>
<formControlPr xmlns="http://schemas.microsoft.com/office/spreadsheetml/2009/9/main" objectType="CheckBox" fmlaLink="'P(M)'!$C$35" lockText="1" noThreeD="1"/>
</file>

<file path=xl/ctrlProps/ctrlProp162.xml><?xml version="1.0" encoding="utf-8"?>
<formControlPr xmlns="http://schemas.microsoft.com/office/spreadsheetml/2009/9/main" objectType="CheckBox" fmlaLink="'P(M)'!$C$36" lockText="1" noThreeD="1"/>
</file>

<file path=xl/ctrlProps/ctrlProp163.xml><?xml version="1.0" encoding="utf-8"?>
<formControlPr xmlns="http://schemas.microsoft.com/office/spreadsheetml/2009/9/main" objectType="CheckBox" fmlaLink="'P(M)'!$C$37" lockText="1" noThreeD="1"/>
</file>

<file path=xl/ctrlProps/ctrlProp164.xml><?xml version="1.0" encoding="utf-8"?>
<formControlPr xmlns="http://schemas.microsoft.com/office/spreadsheetml/2009/9/main" objectType="CheckBox" checked="Checked" fmlaLink="'P(M)'!$C$29" lockText="1" noThreeD="1"/>
</file>

<file path=xl/ctrlProps/ctrlProp165.xml><?xml version="1.0" encoding="utf-8"?>
<formControlPr xmlns="http://schemas.microsoft.com/office/spreadsheetml/2009/9/main" objectType="CheckBox" fmlaLink="'P(M)'!$C$30" lockText="1" noThreeD="1"/>
</file>

<file path=xl/ctrlProps/ctrlProp166.xml><?xml version="1.0" encoding="utf-8"?>
<formControlPr xmlns="http://schemas.microsoft.com/office/spreadsheetml/2009/9/main" objectType="CheckBox" fmlaLink="'P(M)'!$C$32" lockText="1" noThreeD="1"/>
</file>

<file path=xl/ctrlProps/ctrlProp167.xml><?xml version="1.0" encoding="utf-8"?>
<formControlPr xmlns="http://schemas.microsoft.com/office/spreadsheetml/2009/9/main" objectType="CheckBox" fmlaLink="'P(M)'!$C$33" lockText="1" noThreeD="1"/>
</file>

<file path=xl/ctrlProps/ctrlProp168.xml><?xml version="1.0" encoding="utf-8"?>
<formControlPr xmlns="http://schemas.microsoft.com/office/spreadsheetml/2009/9/main" objectType="CheckBox" checked="Checked" fmlaLink="'P(M)'!$C$28" lockText="1" noThreeD="1"/>
</file>

<file path=xl/ctrlProps/ctrlProp169.xml><?xml version="1.0" encoding="utf-8"?>
<formControlPr xmlns="http://schemas.microsoft.com/office/spreadsheetml/2009/9/main" objectType="CheckBox" fmlaLink="'P(M)'!$C$31" lockText="1" noThreeD="1"/>
</file>

<file path=xl/ctrlProps/ctrlProp170.xml><?xml version="1.0" encoding="utf-8"?>
<formControlPr xmlns="http://schemas.microsoft.com/office/spreadsheetml/2009/9/main" objectType="CheckBox" checked="Checked" fmlaLink="'P(M)'!$C$27"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238</xdr:row>
      <xdr:rowOff>111489</xdr:rowOff>
    </xdr:from>
    <xdr:to>
      <xdr:col>13</xdr:col>
      <xdr:colOff>2495</xdr:colOff>
      <xdr:row>257</xdr:row>
      <xdr:rowOff>16565</xdr:rowOff>
    </xdr:to>
    <xdr:graphicFrame macro="">
      <xdr:nvGraphicFramePr>
        <xdr:cNvPr id="21" name="圖表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5603</xdr:colOff>
      <xdr:row>216</xdr:row>
      <xdr:rowOff>0</xdr:rowOff>
    </xdr:from>
    <xdr:to>
      <xdr:col>12</xdr:col>
      <xdr:colOff>669952</xdr:colOff>
      <xdr:row>237</xdr:row>
      <xdr:rowOff>5181</xdr:rowOff>
    </xdr:to>
    <xdr:graphicFrame macro="">
      <xdr:nvGraphicFramePr>
        <xdr:cNvPr id="24" name="圖表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33617</xdr:colOff>
      <xdr:row>172</xdr:row>
      <xdr:rowOff>27214</xdr:rowOff>
    </xdr:from>
    <xdr:to>
      <xdr:col>12</xdr:col>
      <xdr:colOff>78440</xdr:colOff>
      <xdr:row>192</xdr:row>
      <xdr:rowOff>13809</xdr:rowOff>
    </xdr:to>
    <xdr:graphicFrame macro="">
      <xdr:nvGraphicFramePr>
        <xdr:cNvPr id="10" name="圖表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112059</xdr:colOff>
      <xdr:row>172</xdr:row>
      <xdr:rowOff>27214</xdr:rowOff>
    </xdr:from>
    <xdr:to>
      <xdr:col>7</xdr:col>
      <xdr:colOff>246529</xdr:colOff>
      <xdr:row>192</xdr:row>
      <xdr:rowOff>13809</xdr:rowOff>
    </xdr:to>
    <xdr:graphicFrame macro="">
      <xdr:nvGraphicFramePr>
        <xdr:cNvPr id="11" name="圖表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xdr:from>
          <xdr:col>4</xdr:col>
          <xdr:colOff>38100</xdr:colOff>
          <xdr:row>5</xdr:row>
          <xdr:rowOff>49751</xdr:rowOff>
        </xdr:from>
        <xdr:to>
          <xdr:col>5</xdr:col>
          <xdr:colOff>781050</xdr:colOff>
          <xdr:row>8</xdr:row>
          <xdr:rowOff>192882</xdr:rowOff>
        </xdr:to>
        <xdr:grpSp>
          <xdr:nvGrpSpPr>
            <xdr:cNvPr id="4" name="群組 3">
              <a:extLst>
                <a:ext uri="{FF2B5EF4-FFF2-40B4-BE49-F238E27FC236}">
                  <a16:creationId xmlns:a16="http://schemas.microsoft.com/office/drawing/2014/main" id="{00000000-0008-0000-0000-000004000000}"/>
                </a:ext>
              </a:extLst>
            </xdr:cNvPr>
            <xdr:cNvGrpSpPr/>
          </xdr:nvGrpSpPr>
          <xdr:grpSpPr>
            <a:xfrm>
              <a:off x="3265394" y="1103104"/>
              <a:ext cx="1785097" cy="815484"/>
              <a:chOff x="3062288" y="1107009"/>
              <a:chExt cx="1714500" cy="828932"/>
            </a:xfrm>
          </xdr:grpSpPr>
          <xdr:sp macro="" textlink="">
            <xdr:nvSpPr>
              <xdr:cNvPr id="1025" name="Check Box 1" descr="官方費用"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4033838" y="1107009"/>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官方費用</a:t>
                </a:r>
              </a:p>
            </xdr:txBody>
          </xdr:sp>
          <xdr:sp macro="" textlink="">
            <xdr:nvSpPr>
              <xdr:cNvPr id="1026" name="Check Box 2" descr="官方費用"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4033838" y="1332887"/>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外國代理費</a:t>
                </a:r>
              </a:p>
            </xdr:txBody>
          </xdr:sp>
          <xdr:sp macro="" textlink="">
            <xdr:nvSpPr>
              <xdr:cNvPr id="1027" name="Check Box 3" descr="官方費用"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4033838" y="1561486"/>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慧盈服務費</a:t>
                </a:r>
              </a:p>
            </xdr:txBody>
          </xdr:sp>
          <xdr:sp macro="" textlink="">
            <xdr:nvSpPr>
              <xdr:cNvPr id="1028" name="Check Box 4" descr="官方費用"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3062288" y="1107009"/>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申請費</a:t>
                </a:r>
              </a:p>
            </xdr:txBody>
          </xdr:sp>
          <xdr:sp macro="" textlink="">
            <xdr:nvSpPr>
              <xdr:cNvPr id="1029" name="Check Box 5" descr="官方費用"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3062288" y="1332887"/>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領證費</a:t>
                </a:r>
              </a:p>
            </xdr:txBody>
          </xdr:sp>
          <xdr:sp macro="" textlink="">
            <xdr:nvSpPr>
              <xdr:cNvPr id="1030" name="Check Box 6" descr="官方費用"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3062288" y="1561486"/>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後續年費</a:t>
                </a:r>
              </a:p>
            </xdr:txBody>
          </xdr:sp>
          <xdr:sp macro="" textlink="">
            <xdr:nvSpPr>
              <xdr:cNvPr id="1031" name="Check Box 7" descr="官方費用"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3062288" y="1793066"/>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答辯費</a:t>
                </a:r>
              </a:p>
            </xdr:txBody>
          </xdr:sp>
        </xdr:grpSp>
        <xdr:clientData/>
      </xdr:twoCellAnchor>
    </mc:Choice>
    <mc:Fallback/>
  </mc:AlternateContent>
  <xdr:twoCellAnchor>
    <xdr:from>
      <xdr:col>6</xdr:col>
      <xdr:colOff>33617</xdr:colOff>
      <xdr:row>194</xdr:row>
      <xdr:rowOff>103054</xdr:rowOff>
    </xdr:from>
    <xdr:to>
      <xdr:col>12</xdr:col>
      <xdr:colOff>78440</xdr:colOff>
      <xdr:row>214</xdr:row>
      <xdr:rowOff>89648</xdr:rowOff>
    </xdr:to>
    <xdr:graphicFrame macro="">
      <xdr:nvGraphicFramePr>
        <xdr:cNvPr id="17" name="圖表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112059</xdr:colOff>
      <xdr:row>194</xdr:row>
      <xdr:rowOff>103054</xdr:rowOff>
    </xdr:from>
    <xdr:to>
      <xdr:col>7</xdr:col>
      <xdr:colOff>246529</xdr:colOff>
      <xdr:row>214</xdr:row>
      <xdr:rowOff>89648</xdr:rowOff>
    </xdr:to>
    <xdr:graphicFrame macro="">
      <xdr:nvGraphicFramePr>
        <xdr:cNvPr id="18" name="圖表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xdr:from>
          <xdr:col>2</xdr:col>
          <xdr:colOff>76200</xdr:colOff>
          <xdr:row>142</xdr:row>
          <xdr:rowOff>0</xdr:rowOff>
        </xdr:from>
        <xdr:to>
          <xdr:col>12</xdr:col>
          <xdr:colOff>761999</xdr:colOff>
          <xdr:row>143</xdr:row>
          <xdr:rowOff>248478</xdr:rowOff>
        </xdr:to>
        <xdr:grpSp>
          <xdr:nvGrpSpPr>
            <xdr:cNvPr id="6" name="群組 5">
              <a:extLst>
                <a:ext uri="{FF2B5EF4-FFF2-40B4-BE49-F238E27FC236}">
                  <a16:creationId xmlns:a16="http://schemas.microsoft.com/office/drawing/2014/main" id="{00000000-0008-0000-0000-000006000000}"/>
                </a:ext>
              </a:extLst>
            </xdr:cNvPr>
            <xdr:cNvGrpSpPr/>
          </xdr:nvGrpSpPr>
          <xdr:grpSpPr>
            <a:xfrm>
              <a:off x="1969994" y="31197176"/>
              <a:ext cx="10020299" cy="495008"/>
              <a:chOff x="1972917" y="31010087"/>
              <a:chExt cx="9987170" cy="496956"/>
            </a:xfrm>
          </xdr:grpSpPr>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2861711" y="31010087"/>
                <a:ext cx="49606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1年</a:t>
                </a:r>
              </a:p>
            </xdr:txBody>
          </xdr:sp>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3476638" y="31010087"/>
                <a:ext cx="49490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2年</a:t>
                </a:r>
              </a:p>
            </xdr:txBody>
          </xdr:sp>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4087858" y="31010087"/>
                <a:ext cx="492475"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3年</a:t>
                </a:r>
              </a:p>
            </xdr:txBody>
          </xdr:sp>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4676006" y="31010087"/>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4年</a:t>
                </a:r>
              </a:p>
            </xdr:txBody>
          </xdr:sp>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5286850" y="31010087"/>
                <a:ext cx="496141"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5年</a:t>
                </a:r>
              </a:p>
            </xdr:txBody>
          </xdr:sp>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5910172" y="31010087"/>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6年</a:t>
                </a:r>
              </a:p>
            </xdr:txBody>
          </xdr:sp>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6506711" y="31010087"/>
                <a:ext cx="495023"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7年</a:t>
                </a:r>
              </a:p>
            </xdr:txBody>
          </xdr:sp>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7118044" y="31010087"/>
                <a:ext cx="49519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8年</a:t>
                </a:r>
              </a:p>
            </xdr:txBody>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7719815" y="31010087"/>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9年</a:t>
                </a:r>
              </a:p>
            </xdr:txBody>
          </xdr:sp>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8334517" y="31010087"/>
                <a:ext cx="493870"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10年</a:t>
                </a:r>
              </a:p>
            </xdr:txBody>
          </xdr:sp>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8948304" y="31010087"/>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11年</a:t>
                </a:r>
              </a:p>
            </xdr:txBody>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9552108" y="31010087"/>
                <a:ext cx="493775"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12年</a:t>
                </a:r>
              </a:p>
            </xdr:txBody>
          </xdr:sp>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10151296" y="31010087"/>
                <a:ext cx="495426"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13年</a:t>
                </a:r>
              </a:p>
            </xdr:txBody>
          </xdr:sp>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10753293" y="31010087"/>
                <a:ext cx="492890"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14年</a:t>
                </a:r>
              </a:p>
            </xdr:txBody>
          </xdr:sp>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11354144" y="31010087"/>
                <a:ext cx="605943"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15年</a:t>
                </a:r>
              </a:p>
            </xdr:txBody>
          </xdr:sp>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2861711" y="31267476"/>
                <a:ext cx="49606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16年</a:t>
                </a:r>
              </a:p>
            </xdr:txBody>
          </xdr:sp>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3476638" y="31267476"/>
                <a:ext cx="49490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17年</a:t>
                </a:r>
              </a:p>
            </xdr:txBody>
          </xdr:sp>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4076960" y="31267476"/>
                <a:ext cx="492475"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18年</a:t>
                </a:r>
              </a:p>
            </xdr:txBody>
          </xdr:sp>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676006" y="31267476"/>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19年</a:t>
                </a:r>
              </a:p>
            </xdr:txBody>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5286850" y="31267476"/>
                <a:ext cx="496141"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20年</a:t>
                </a:r>
              </a:p>
            </xdr:txBody>
          </xdr:sp>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5910172" y="31267476"/>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21年</a:t>
                </a:r>
              </a:p>
            </xdr:txBody>
          </xdr:sp>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6506711" y="31267476"/>
                <a:ext cx="495023"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22年</a:t>
                </a:r>
              </a:p>
            </xdr:txBody>
          </xdr:sp>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7118044" y="31267476"/>
                <a:ext cx="495199"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23年</a:t>
                </a:r>
              </a:p>
            </xdr:txBody>
          </xdr:sp>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7719815" y="31267476"/>
                <a:ext cx="495842"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24年</a:t>
                </a:r>
              </a:p>
            </xdr:txBody>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8334517" y="31267476"/>
                <a:ext cx="493870"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25年</a:t>
                </a:r>
              </a:p>
            </xdr:txBody>
          </xdr:sp>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1972917" y="31010087"/>
                <a:ext cx="852443" cy="23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最大年限</a:t>
                </a:r>
              </a:p>
            </xdr:txBody>
          </xdr:sp>
        </xdr:grpSp>
        <xdr:clientData/>
      </xdr:twoCellAnchor>
    </mc:Choice>
    <mc:Fallback/>
  </mc:AlternateContent>
  <xdr:twoCellAnchor editAs="oneCell">
    <xdr:from>
      <xdr:col>0</xdr:col>
      <xdr:colOff>0</xdr:colOff>
      <xdr:row>151</xdr:row>
      <xdr:rowOff>0</xdr:rowOff>
    </xdr:from>
    <xdr:to>
      <xdr:col>13</xdr:col>
      <xdr:colOff>640</xdr:colOff>
      <xdr:row>171</xdr:row>
      <xdr:rowOff>11849</xdr:rowOff>
    </xdr:to>
    <xdr:graphicFrame macro="">
      <xdr:nvGraphicFramePr>
        <xdr:cNvPr id="44" name="圖表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2</xdr:col>
          <xdr:colOff>102291</xdr:colOff>
          <xdr:row>269</xdr:row>
          <xdr:rowOff>33338</xdr:rowOff>
        </xdr:from>
        <xdr:to>
          <xdr:col>2</xdr:col>
          <xdr:colOff>757859</xdr:colOff>
          <xdr:row>289</xdr:row>
          <xdr:rowOff>176213</xdr:rowOff>
        </xdr:to>
        <xdr:grpSp>
          <xdr:nvGrpSpPr>
            <xdr:cNvPr id="5" name="群組 4">
              <a:extLst>
                <a:ext uri="{FF2B5EF4-FFF2-40B4-BE49-F238E27FC236}">
                  <a16:creationId xmlns:a16="http://schemas.microsoft.com/office/drawing/2014/main" id="{00000000-0008-0000-0000-000005000000}"/>
                </a:ext>
              </a:extLst>
            </xdr:cNvPr>
            <xdr:cNvGrpSpPr/>
          </xdr:nvGrpSpPr>
          <xdr:grpSpPr>
            <a:xfrm>
              <a:off x="1996085" y="57620367"/>
              <a:ext cx="655568" cy="4401111"/>
              <a:chOff x="2052845" y="56640800"/>
              <a:chExt cx="523875" cy="4201393"/>
            </a:xfrm>
          </xdr:grpSpPr>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2052845" y="5664080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2052845" y="56843751"/>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2052845" y="57046675"/>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2052845" y="5724959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2052845" y="5745252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2052845" y="57655447"/>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2052845" y="57858371"/>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2052845" y="58061295"/>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2052845" y="5826421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2052845" y="58467142"/>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2052845" y="5887299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2052845" y="59481762"/>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2052845" y="60090534"/>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2052845" y="6029345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2052845" y="60496381"/>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2052845" y="6069931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2052845" y="59075915"/>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2052845" y="5927883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2052845" y="5968468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2052845" y="5988761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2052845" y="58670067"/>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繳年費</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142883</xdr:colOff>
          <xdr:row>291</xdr:row>
          <xdr:rowOff>71445</xdr:rowOff>
        </xdr:from>
        <xdr:to>
          <xdr:col>11</xdr:col>
          <xdr:colOff>994985</xdr:colOff>
          <xdr:row>292</xdr:row>
          <xdr:rowOff>189547</xdr:rowOff>
        </xdr:to>
        <xdr:grpSp>
          <xdr:nvGrpSpPr>
            <xdr:cNvPr id="91" name="群組 90">
              <a:extLst>
                <a:ext uri="{FF2B5EF4-FFF2-40B4-BE49-F238E27FC236}">
                  <a16:creationId xmlns:a16="http://schemas.microsoft.com/office/drawing/2014/main" id="{00000000-0008-0000-0000-00005B000000}"/>
                </a:ext>
              </a:extLst>
            </xdr:cNvPr>
            <xdr:cNvGrpSpPr/>
          </xdr:nvGrpSpPr>
          <xdr:grpSpPr>
            <a:xfrm>
              <a:off x="2036677" y="62364945"/>
              <a:ext cx="8886720" cy="364631"/>
              <a:chOff x="1709738" y="8265657"/>
              <a:chExt cx="8449130" cy="370793"/>
            </a:xfrm>
          </xdr:grpSpPr>
          <xdr:sp macro="" textlink="">
            <xdr:nvSpPr>
              <xdr:cNvPr id="1130" name="Check Box 106" descr="官方費用"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1709738" y="8265657"/>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第2年</a:t>
                </a:r>
              </a:p>
            </xdr:txBody>
          </xdr:sp>
          <xdr:sp macro="" textlink="">
            <xdr:nvSpPr>
              <xdr:cNvPr id="1131" name="Check Box 107" descr="官方費用"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2420450" y="8265657"/>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第3年</a:t>
                </a:r>
              </a:p>
            </xdr:txBody>
          </xdr:sp>
          <xdr:sp macro="" textlink="">
            <xdr:nvSpPr>
              <xdr:cNvPr id="1132" name="Check Box 108" descr="官方費用"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3129915" y="8265657"/>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第4年</a:t>
                </a:r>
              </a:p>
            </xdr:txBody>
          </xdr:sp>
          <xdr:sp macro="" textlink="">
            <xdr:nvSpPr>
              <xdr:cNvPr id="1133" name="Check Box 109" descr="官方費用"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3840627" y="8265657"/>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第5年</a:t>
                </a:r>
              </a:p>
            </xdr:txBody>
          </xdr:sp>
          <xdr:sp macro="" textlink="">
            <xdr:nvSpPr>
              <xdr:cNvPr id="1134" name="Check Box 110" descr="官方費用"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4552950" y="8265657"/>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第6年</a:t>
                </a:r>
              </a:p>
            </xdr:txBody>
          </xdr:sp>
          <xdr:sp macro="" textlink="">
            <xdr:nvSpPr>
              <xdr:cNvPr id="1135" name="Check Box 111" descr="官方費用"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5262710" y="8265657"/>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第7年</a:t>
                </a:r>
              </a:p>
            </xdr:txBody>
          </xdr:sp>
          <xdr:sp macro="" textlink="">
            <xdr:nvSpPr>
              <xdr:cNvPr id="1136" name="Check Box 112" descr="官方費用"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5973128" y="8265657"/>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第8年</a:t>
                </a:r>
              </a:p>
            </xdr:txBody>
          </xdr:sp>
          <xdr:sp macro="" textlink="">
            <xdr:nvSpPr>
              <xdr:cNvPr id="1137" name="Check Box 113" descr="官方費用"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6682887" y="8265657"/>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第9年</a:t>
                </a:r>
              </a:p>
            </xdr:txBody>
          </xdr:sp>
          <xdr:sp macro="" textlink="">
            <xdr:nvSpPr>
              <xdr:cNvPr id="1138" name="Check Box 114" descr="官方費用"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7399957" y="8265657"/>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第10年</a:t>
                </a:r>
              </a:p>
            </xdr:txBody>
          </xdr:sp>
          <xdr:sp macro="" textlink="">
            <xdr:nvSpPr>
              <xdr:cNvPr id="1139" name="Check Box 115" descr="官方費用"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8113556" y="8265657"/>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第11年</a:t>
                </a:r>
              </a:p>
            </xdr:txBody>
          </xdr:sp>
          <xdr:sp macro="" textlink="">
            <xdr:nvSpPr>
              <xdr:cNvPr id="1140" name="Check Box 116" descr="官方費用"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1709738" y="8493575"/>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第14年</a:t>
                </a:r>
              </a:p>
            </xdr:txBody>
          </xdr:sp>
          <xdr:sp macro="" textlink="">
            <xdr:nvSpPr>
              <xdr:cNvPr id="1141" name="Check Box 117" descr="官方費用"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2420450" y="8493575"/>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第15年</a:t>
                </a:r>
              </a:p>
            </xdr:txBody>
          </xdr:sp>
          <xdr:sp macro="" textlink="">
            <xdr:nvSpPr>
              <xdr:cNvPr id="1142" name="Check Box 118" descr="官方費用"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3129915" y="8493575"/>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第16年</a:t>
                </a:r>
              </a:p>
            </xdr:txBody>
          </xdr:sp>
          <xdr:sp macro="" textlink="">
            <xdr:nvSpPr>
              <xdr:cNvPr id="1143" name="Check Box 119" descr="官方費用"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3840627" y="8493575"/>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第17年</a:t>
                </a:r>
              </a:p>
            </xdr:txBody>
          </xdr:sp>
          <xdr:sp macro="" textlink="">
            <xdr:nvSpPr>
              <xdr:cNvPr id="1144" name="Check Box 120" descr="官方費用"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4552950" y="8493575"/>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第18年</a:t>
                </a:r>
              </a:p>
            </xdr:txBody>
          </xdr:sp>
          <xdr:sp macro="" textlink="">
            <xdr:nvSpPr>
              <xdr:cNvPr id="1145" name="Check Box 121" descr="官方費用"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5262710" y="8493575"/>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第19年</a:t>
                </a:r>
              </a:p>
            </xdr:txBody>
          </xdr:sp>
          <xdr:sp macro="" textlink="">
            <xdr:nvSpPr>
              <xdr:cNvPr id="1146" name="Check Box 122" descr="官方費用"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5973128" y="8493575"/>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第20年</a:t>
                </a:r>
              </a:p>
            </xdr:txBody>
          </xdr:sp>
          <xdr:sp macro="" textlink="">
            <xdr:nvSpPr>
              <xdr:cNvPr id="1147" name="Check Box 123" descr="官方費用"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6682887" y="8493575"/>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第21年</a:t>
                </a:r>
              </a:p>
            </xdr:txBody>
          </xdr:sp>
          <xdr:sp macro="" textlink="">
            <xdr:nvSpPr>
              <xdr:cNvPr id="1148" name="Check Box 124" descr="官方費用"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7399957" y="8493575"/>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第22年</a:t>
                </a:r>
              </a:p>
            </xdr:txBody>
          </xdr:sp>
          <xdr:sp macro="" textlink="">
            <xdr:nvSpPr>
              <xdr:cNvPr id="1149" name="Check Box 125" descr="官方費用"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8113556" y="8493575"/>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第23年</a:t>
                </a:r>
              </a:p>
            </xdr:txBody>
          </xdr:sp>
          <xdr:sp macro="" textlink="">
            <xdr:nvSpPr>
              <xdr:cNvPr id="1150" name="Check Box 126" descr="官方費用"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8838913" y="8265657"/>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第12年</a:t>
                </a:r>
              </a:p>
            </xdr:txBody>
          </xdr:sp>
          <xdr:sp macro="" textlink="">
            <xdr:nvSpPr>
              <xdr:cNvPr id="1151" name="Check Box 127" descr="官方費用"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9552511" y="8265657"/>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第13年</a:t>
                </a:r>
              </a:p>
            </xdr:txBody>
          </xdr:sp>
          <xdr:sp macro="" textlink="">
            <xdr:nvSpPr>
              <xdr:cNvPr id="1152" name="Check Box 128" descr="官方費用"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8838913" y="8493575"/>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第24年</a:t>
                </a:r>
              </a:p>
            </xdr:txBody>
          </xdr:sp>
          <xdr:sp macro="" textlink="">
            <xdr:nvSpPr>
              <xdr:cNvPr id="1153" name="Check Box 129" descr="官方費用"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9552511" y="8493575"/>
                <a:ext cx="606357"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第25年</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15</xdr:row>
          <xdr:rowOff>38100</xdr:rowOff>
        </xdr:from>
        <xdr:to>
          <xdr:col>1</xdr:col>
          <xdr:colOff>695325</xdr:colOff>
          <xdr:row>35</xdr:row>
          <xdr:rowOff>185738</xdr:rowOff>
        </xdr:to>
        <xdr:grpSp>
          <xdr:nvGrpSpPr>
            <xdr:cNvPr id="3" name="群組 2">
              <a:extLst>
                <a:ext uri="{FF2B5EF4-FFF2-40B4-BE49-F238E27FC236}">
                  <a16:creationId xmlns:a16="http://schemas.microsoft.com/office/drawing/2014/main" id="{00000000-0008-0000-0000-000003000000}"/>
                </a:ext>
              </a:extLst>
            </xdr:cNvPr>
            <xdr:cNvGrpSpPr/>
          </xdr:nvGrpSpPr>
          <xdr:grpSpPr>
            <a:xfrm>
              <a:off x="1168774" y="3500718"/>
              <a:ext cx="523875" cy="4405873"/>
              <a:chOff x="1111527" y="3516798"/>
              <a:chExt cx="523875" cy="4206117"/>
            </a:xfrm>
          </xdr:grpSpPr>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1111527" y="351679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1111527" y="3719720"/>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1111527" y="3922643"/>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1111527" y="412556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1111527" y="4328491"/>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1111527" y="4531416"/>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1111527" y="473433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1111527" y="494202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1111527" y="514495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1111527" y="5347874"/>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1111527" y="697126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1111527" y="717418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1111527" y="737711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1111527" y="758004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1111527" y="595664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1111527" y="615957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1111527" y="656541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1111527" y="6768341"/>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1111527" y="5753722"/>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1111527" y="636249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1111527" y="555079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12</xdr:col>
          <xdr:colOff>923925</xdr:colOff>
          <xdr:row>36</xdr:row>
          <xdr:rowOff>238125</xdr:rowOff>
        </xdr:to>
        <xdr:sp macro="" textlink="">
          <xdr:nvSpPr>
            <xdr:cNvPr id="1670" name="Group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52388</xdr:colOff>
          <xdr:row>15</xdr:row>
          <xdr:rowOff>123825</xdr:rowOff>
        </xdr:from>
        <xdr:to>
          <xdr:col>2</xdr:col>
          <xdr:colOff>695325</xdr:colOff>
          <xdr:row>29</xdr:row>
          <xdr:rowOff>187788</xdr:rowOff>
        </xdr:to>
        <xdr:grpSp>
          <xdr:nvGrpSpPr>
            <xdr:cNvPr id="2" name="群組 1">
              <a:extLst>
                <a:ext uri="{FF2B5EF4-FFF2-40B4-BE49-F238E27FC236}">
                  <a16:creationId xmlns:a16="http://schemas.microsoft.com/office/drawing/2014/main" id="{00000000-0008-0000-0000-000002000000}"/>
                </a:ext>
              </a:extLst>
            </xdr:cNvPr>
            <xdr:cNvGrpSpPr/>
          </xdr:nvGrpSpPr>
          <xdr:grpSpPr>
            <a:xfrm>
              <a:off x="1946182" y="3586443"/>
              <a:ext cx="642937" cy="3044727"/>
              <a:chOff x="1829008" y="3602522"/>
              <a:chExt cx="642937" cy="2904890"/>
            </a:xfrm>
          </xdr:grpSpPr>
          <xdr:sp macro="" textlink="">
            <xdr:nvSpPr>
              <xdr:cNvPr id="1281" name="Option Butto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1829008" y="3602522"/>
                <a:ext cx="642937" cy="1743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台灣</a:t>
                </a:r>
              </a:p>
            </xdr:txBody>
          </xdr:sp>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1829008" y="4008368"/>
                <a:ext cx="642937" cy="164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大陸</a:t>
                </a:r>
              </a:p>
            </xdr:txBody>
          </xdr:sp>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1829008" y="4314204"/>
                <a:ext cx="642937" cy="1666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美國</a:t>
                </a:r>
              </a:p>
            </xdr:txBody>
          </xdr:sp>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1829008" y="5530414"/>
                <a:ext cx="642937" cy="167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加拿大</a:t>
                </a:r>
              </a:p>
            </xdr:txBody>
          </xdr:sp>
          <xdr:sp macro="" textlink="">
            <xdr:nvSpPr>
              <xdr:cNvPr id="1291" name="Option Button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1829008" y="5730554"/>
                <a:ext cx="642937" cy="171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新加坡</a:t>
                </a:r>
              </a:p>
            </xdr:txBody>
          </xdr:sp>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1829008" y="6035773"/>
                <a:ext cx="642937" cy="1655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馬來西亞</a:t>
                </a:r>
              </a:p>
            </xdr:txBody>
          </xdr:sp>
          <xdr:sp macro="" textlink="">
            <xdr:nvSpPr>
              <xdr:cNvPr id="1671" name="Option Button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1829008" y="6340725"/>
                <a:ext cx="642937" cy="1666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菲律賓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59</xdr:row>
          <xdr:rowOff>38100</xdr:rowOff>
        </xdr:from>
        <xdr:to>
          <xdr:col>1</xdr:col>
          <xdr:colOff>695325</xdr:colOff>
          <xdr:row>79</xdr:row>
          <xdr:rowOff>185738</xdr:rowOff>
        </xdr:to>
        <xdr:grpSp>
          <xdr:nvGrpSpPr>
            <xdr:cNvPr id="185" name="群組 184">
              <a:extLst>
                <a:ext uri="{FF2B5EF4-FFF2-40B4-BE49-F238E27FC236}">
                  <a16:creationId xmlns:a16="http://schemas.microsoft.com/office/drawing/2014/main" id="{00000000-0008-0000-0000-0000B9000000}"/>
                </a:ext>
              </a:extLst>
            </xdr:cNvPr>
            <xdr:cNvGrpSpPr/>
          </xdr:nvGrpSpPr>
          <xdr:grpSpPr>
            <a:xfrm>
              <a:off x="1168774" y="13092953"/>
              <a:ext cx="523875" cy="4405873"/>
              <a:chOff x="1111527" y="3516798"/>
              <a:chExt cx="523875" cy="4206117"/>
            </a:xfrm>
          </xdr:grpSpPr>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1111527" y="351679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1111527" y="3719720"/>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1111527" y="3922643"/>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1111527" y="412556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1111527" y="4328491"/>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1111527" y="4531416"/>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1111527" y="473433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1111527" y="494202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1111527" y="514495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1111527" y="5347874"/>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1111527" y="697126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1111527" y="717418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1111527" y="737711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1111527" y="758004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1111527" y="595664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1111527" y="615957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1111527" y="656541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1111527" y="6768341"/>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1111527" y="5753722"/>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1111527" y="636249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1111527" y="555079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89</xdr:row>
          <xdr:rowOff>38100</xdr:rowOff>
        </xdr:from>
        <xdr:to>
          <xdr:col>1</xdr:col>
          <xdr:colOff>695325</xdr:colOff>
          <xdr:row>109</xdr:row>
          <xdr:rowOff>185738</xdr:rowOff>
        </xdr:to>
        <xdr:grpSp>
          <xdr:nvGrpSpPr>
            <xdr:cNvPr id="207" name="群組 206">
              <a:extLst>
                <a:ext uri="{FF2B5EF4-FFF2-40B4-BE49-F238E27FC236}">
                  <a16:creationId xmlns:a16="http://schemas.microsoft.com/office/drawing/2014/main" id="{00000000-0008-0000-0000-0000CF000000}"/>
                </a:ext>
              </a:extLst>
            </xdr:cNvPr>
            <xdr:cNvGrpSpPr/>
          </xdr:nvGrpSpPr>
          <xdr:grpSpPr>
            <a:xfrm>
              <a:off x="1168774" y="19704424"/>
              <a:ext cx="523875" cy="4405873"/>
              <a:chOff x="1111527" y="3516798"/>
              <a:chExt cx="523875" cy="4206117"/>
            </a:xfrm>
          </xdr:grpSpPr>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1111527" y="351679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1111527" y="3719720"/>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1111527" y="3922643"/>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1111527" y="412556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1111527" y="4328491"/>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1111527" y="4531416"/>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1111527" y="473433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1111527" y="494202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1111527" y="514495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1111527" y="5347874"/>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1111527" y="697126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1111527" y="717418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1111527" y="737711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1111527" y="758004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1111527" y="595664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1111527" y="615957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1111527" y="656541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1111527" y="6768341"/>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1111527" y="5753722"/>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1111527" y="636249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1111527" y="555079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120</xdr:row>
          <xdr:rowOff>38100</xdr:rowOff>
        </xdr:from>
        <xdr:to>
          <xdr:col>1</xdr:col>
          <xdr:colOff>695325</xdr:colOff>
          <xdr:row>140</xdr:row>
          <xdr:rowOff>185738</xdr:rowOff>
        </xdr:to>
        <xdr:grpSp>
          <xdr:nvGrpSpPr>
            <xdr:cNvPr id="229" name="群組 228">
              <a:extLst>
                <a:ext uri="{FF2B5EF4-FFF2-40B4-BE49-F238E27FC236}">
                  <a16:creationId xmlns:a16="http://schemas.microsoft.com/office/drawing/2014/main" id="{00000000-0008-0000-0000-0000E5000000}"/>
                </a:ext>
              </a:extLst>
            </xdr:cNvPr>
            <xdr:cNvGrpSpPr/>
          </xdr:nvGrpSpPr>
          <xdr:grpSpPr>
            <a:xfrm>
              <a:off x="1168774" y="26528806"/>
              <a:ext cx="523875" cy="4405873"/>
              <a:chOff x="1111527" y="3516798"/>
              <a:chExt cx="523875" cy="4206117"/>
            </a:xfrm>
          </xdr:grpSpPr>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1111527" y="351679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1111527" y="3719720"/>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1111527" y="3922643"/>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1111527" y="4125568"/>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1111527" y="4328491"/>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1111527" y="4531416"/>
                <a:ext cx="523875"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1111527" y="473433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1111527" y="494202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1111527" y="514495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1111527" y="5347874"/>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1111527" y="697126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1111527" y="7174189"/>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1111527" y="737711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1111527" y="758004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1111527" y="5956646"/>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1111527" y="6159570"/>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1111527" y="656541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1111527" y="6768341"/>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新型</a:t>
                </a:r>
              </a:p>
            </xdr:txBody>
          </xdr:sp>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1111527" y="5753722"/>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33" name="Check Box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1111527" y="6362493"/>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1111527" y="5550798"/>
                <a:ext cx="52387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發明</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57</xdr:col>
      <xdr:colOff>0</xdr:colOff>
      <xdr:row>86</xdr:row>
      <xdr:rowOff>0</xdr:rowOff>
    </xdr:from>
    <xdr:to>
      <xdr:col>68</xdr:col>
      <xdr:colOff>997425</xdr:colOff>
      <xdr:row>105</xdr:row>
      <xdr:rowOff>21974</xdr:rowOff>
    </xdr:to>
    <xdr:graphicFrame macro="">
      <xdr:nvGraphicFramePr>
        <xdr:cNvPr id="2" name="圖表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0</xdr:colOff>
      <xdr:row>39</xdr:row>
      <xdr:rowOff>0</xdr:rowOff>
    </xdr:from>
    <xdr:to>
      <xdr:col>69</xdr:col>
      <xdr:colOff>389965</xdr:colOff>
      <xdr:row>56</xdr:row>
      <xdr:rowOff>159768</xdr:rowOff>
    </xdr:to>
    <xdr:graphicFrame macro="">
      <xdr:nvGraphicFramePr>
        <xdr:cNvPr id="3" name="圖表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57</xdr:col>
      <xdr:colOff>0</xdr:colOff>
      <xdr:row>63</xdr:row>
      <xdr:rowOff>0</xdr:rowOff>
    </xdr:from>
    <xdr:to>
      <xdr:col>69</xdr:col>
      <xdr:colOff>389965</xdr:colOff>
      <xdr:row>81</xdr:row>
      <xdr:rowOff>132877</xdr:rowOff>
    </xdr:to>
    <xdr:graphicFrame macro="">
      <xdr:nvGraphicFramePr>
        <xdr:cNvPr id="4" name="圖表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2" Type="http://schemas.openxmlformats.org/officeDocument/2006/relationships/ctrlProp" Target="../ctrlProps/ctrlProp168.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vmlDrawing" Target="../drawings/vmlDrawing1.v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4" Type="http://schemas.openxmlformats.org/officeDocument/2006/relationships/vmlDrawing" Target="../drawings/vmlDrawing2.vml"/><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pageSetUpPr fitToPage="1"/>
  </sheetPr>
  <dimension ref="A1:DJ668"/>
  <sheetViews>
    <sheetView tabSelected="1" view="pageBreakPreview" zoomScale="85" zoomScaleNormal="100" zoomScaleSheetLayoutView="85" workbookViewId="0">
      <selection activeCell="A24" sqref="A24:A25"/>
    </sheetView>
  </sheetViews>
  <sheetFormatPr defaultColWidth="9" defaultRowHeight="15.75" x14ac:dyDescent="0.25"/>
  <cols>
    <col min="1" max="1" width="13.125" style="40" customWidth="1"/>
    <col min="2" max="2" width="11.75" style="40" customWidth="1"/>
    <col min="3" max="3" width="11.625" style="40" customWidth="1"/>
    <col min="4" max="4" width="5.875" style="40" customWidth="1"/>
    <col min="5" max="6" width="13.625" style="40" customWidth="1"/>
    <col min="7" max="7" width="5.875" style="40" customWidth="1"/>
    <col min="8" max="11" width="13.625" style="40" customWidth="1"/>
    <col min="12" max="12" width="17.125" style="40" customWidth="1"/>
    <col min="13" max="13" width="12.125" style="40" customWidth="1"/>
    <col min="14" max="14" width="9.5" style="36" bestFit="1" customWidth="1"/>
    <col min="15" max="15" width="11.5" style="36" customWidth="1"/>
    <col min="16" max="16" width="12.25" style="36" customWidth="1"/>
    <col min="17" max="17" width="12.375" style="36" customWidth="1"/>
    <col min="18" max="19" width="9" style="36"/>
    <col min="20" max="31" width="9.75" style="36" bestFit="1" customWidth="1"/>
    <col min="32" max="38" width="10.875" style="36" bestFit="1" customWidth="1"/>
    <col min="39" max="43" width="9" style="36"/>
    <col min="44" max="44" width="11.75" style="36" bestFit="1" customWidth="1"/>
    <col min="45" max="16384" width="9" style="36"/>
  </cols>
  <sheetData>
    <row r="1" spans="1:114" s="35" customFormat="1" ht="15.95" customHeight="1" x14ac:dyDescent="0.25">
      <c r="A1" s="37"/>
      <c r="B1" s="37"/>
      <c r="C1" s="37"/>
      <c r="D1" s="37"/>
      <c r="E1" s="37"/>
      <c r="F1" s="37"/>
      <c r="G1" s="37"/>
      <c r="H1" s="37"/>
      <c r="I1" s="37"/>
      <c r="J1" s="37"/>
      <c r="K1" s="37"/>
      <c r="L1" s="37"/>
      <c r="M1" s="37"/>
    </row>
    <row r="2" spans="1:114" ht="15.95" customHeight="1" x14ac:dyDescent="0.25">
      <c r="A2" s="46" t="s">
        <v>185</v>
      </c>
      <c r="B2" s="46"/>
      <c r="C2" s="46"/>
      <c r="D2" s="46"/>
      <c r="E2" s="46"/>
      <c r="F2" s="46"/>
      <c r="G2" s="46"/>
      <c r="H2" s="46"/>
      <c r="I2" s="46"/>
      <c r="J2" s="46"/>
      <c r="K2" s="46"/>
      <c r="L2" s="46"/>
      <c r="M2" s="37"/>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row>
    <row r="3" spans="1:114" ht="15.95" customHeight="1" x14ac:dyDescent="0.25">
      <c r="A3" s="46"/>
      <c r="B3" s="46"/>
      <c r="C3" s="46"/>
      <c r="D3" s="46"/>
      <c r="E3" s="46"/>
      <c r="F3" s="46"/>
      <c r="G3" s="46"/>
      <c r="H3" s="46"/>
      <c r="I3" s="46"/>
      <c r="J3" s="46"/>
      <c r="K3" s="46"/>
      <c r="L3" s="46"/>
      <c r="M3" s="37"/>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row>
    <row r="4" spans="1:114" ht="18" customHeight="1" x14ac:dyDescent="0.25">
      <c r="A4" s="194" t="s">
        <v>150</v>
      </c>
      <c r="B4" s="194"/>
      <c r="C4" s="46"/>
      <c r="D4" s="46"/>
      <c r="E4" s="123" t="s">
        <v>224</v>
      </c>
      <c r="F4" s="124" t="s">
        <v>151</v>
      </c>
      <c r="G4" s="46"/>
      <c r="H4" s="46"/>
      <c r="I4" s="46"/>
      <c r="J4" s="194" t="s">
        <v>152</v>
      </c>
      <c r="K4" s="194"/>
      <c r="L4" s="200"/>
      <c r="M4" s="200"/>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row>
    <row r="5" spans="1:114" ht="18" customHeight="1" x14ac:dyDescent="0.25">
      <c r="A5" s="125" t="s">
        <v>186</v>
      </c>
      <c r="B5" s="130">
        <v>7500</v>
      </c>
      <c r="C5" s="110"/>
      <c r="D5" s="46"/>
      <c r="E5" s="126" t="s">
        <v>297</v>
      </c>
      <c r="F5" s="126" t="s">
        <v>153</v>
      </c>
      <c r="G5" s="46"/>
      <c r="H5" s="46"/>
      <c r="I5" s="46"/>
      <c r="J5" s="127" t="s">
        <v>154</v>
      </c>
      <c r="K5" s="44">
        <v>33.200000000000003</v>
      </c>
      <c r="L5" s="127" t="s">
        <v>155</v>
      </c>
      <c r="M5" s="44">
        <v>4.5999999999999996</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row>
    <row r="6" spans="1:114" ht="18" customHeight="1" x14ac:dyDescent="0.25">
      <c r="A6" s="125" t="s">
        <v>187</v>
      </c>
      <c r="B6" s="130">
        <v>5000</v>
      </c>
      <c r="C6" s="110"/>
      <c r="D6" s="46"/>
      <c r="E6" s="55"/>
      <c r="F6" s="55"/>
      <c r="G6" s="46"/>
      <c r="H6" s="46"/>
      <c r="I6" s="46"/>
      <c r="J6" s="127" t="s">
        <v>156</v>
      </c>
      <c r="K6" s="44">
        <v>34.6</v>
      </c>
      <c r="L6" s="127" t="s">
        <v>157</v>
      </c>
      <c r="M6" s="44">
        <v>25</v>
      </c>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row>
    <row r="7" spans="1:114" ht="18" customHeight="1" x14ac:dyDescent="0.25">
      <c r="A7" s="125" t="s">
        <v>188</v>
      </c>
      <c r="B7" s="130">
        <v>10</v>
      </c>
      <c r="C7" s="110"/>
      <c r="D7" s="46"/>
      <c r="E7" s="55"/>
      <c r="F7" s="55"/>
      <c r="G7" s="46"/>
      <c r="H7" s="46"/>
      <c r="I7" s="46"/>
      <c r="J7" s="127" t="s">
        <v>158</v>
      </c>
      <c r="K7" s="44">
        <v>0.22</v>
      </c>
      <c r="L7" s="127" t="s">
        <v>159</v>
      </c>
      <c r="M7" s="44">
        <v>1.5E-3</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row>
    <row r="8" spans="1:114" ht="18" customHeight="1" x14ac:dyDescent="0.25">
      <c r="A8" s="125" t="s">
        <v>189</v>
      </c>
      <c r="B8" s="130">
        <v>3</v>
      </c>
      <c r="C8" s="110"/>
      <c r="D8" s="46"/>
      <c r="E8" s="55"/>
      <c r="F8" s="55"/>
      <c r="G8" s="46"/>
      <c r="H8" s="46"/>
      <c r="I8" s="46"/>
      <c r="J8" s="127" t="s">
        <v>160</v>
      </c>
      <c r="K8" s="44">
        <v>2.5999999999999999E-2</v>
      </c>
      <c r="L8" s="127" t="s">
        <v>161</v>
      </c>
      <c r="M8" s="44">
        <v>7.9</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row>
    <row r="9" spans="1:114" ht="18" customHeight="1" x14ac:dyDescent="0.25">
      <c r="A9" s="125" t="s">
        <v>190</v>
      </c>
      <c r="B9" s="130">
        <v>10</v>
      </c>
      <c r="C9" s="110"/>
      <c r="D9" s="46"/>
      <c r="E9" s="55"/>
      <c r="F9" s="122"/>
      <c r="G9" s="46"/>
      <c r="H9" s="46"/>
      <c r="I9" s="46"/>
      <c r="J9" s="127" t="s">
        <v>163</v>
      </c>
      <c r="K9" s="44">
        <v>1.03</v>
      </c>
      <c r="L9" s="127" t="s">
        <v>164</v>
      </c>
      <c r="M9" s="44">
        <v>23.5</v>
      </c>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row>
    <row r="10" spans="1:114" ht="18" customHeight="1" x14ac:dyDescent="0.25">
      <c r="A10" s="125" t="s">
        <v>162</v>
      </c>
      <c r="B10" s="73" t="s">
        <v>352</v>
      </c>
      <c r="C10" s="110"/>
      <c r="D10" s="46"/>
      <c r="E10" s="46"/>
      <c r="F10" s="46"/>
      <c r="G10" s="46"/>
      <c r="H10" s="46"/>
      <c r="I10" s="46"/>
      <c r="J10" s="46"/>
      <c r="K10" s="46"/>
      <c r="L10" s="46"/>
      <c r="M10" s="37"/>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row>
    <row r="11" spans="1:114" ht="18" customHeight="1" x14ac:dyDescent="0.25">
      <c r="A11" s="125" t="s">
        <v>165</v>
      </c>
      <c r="B11" s="73" t="s">
        <v>195</v>
      </c>
      <c r="C11" s="110"/>
      <c r="D11" s="46"/>
      <c r="E11" s="46"/>
      <c r="F11" s="46"/>
      <c r="G11" s="46"/>
      <c r="H11" s="46"/>
      <c r="I11" s="46"/>
      <c r="J11" s="46"/>
      <c r="K11" s="46"/>
      <c r="L11" s="46"/>
      <c r="M11" s="37"/>
      <c r="N11" s="35"/>
      <c r="O11" s="35"/>
      <c r="P11" s="35"/>
      <c r="Q11" s="35"/>
      <c r="R11" s="35"/>
      <c r="S11" s="35"/>
      <c r="T11" s="35"/>
      <c r="U11" s="35"/>
      <c r="V11" s="35"/>
      <c r="W11" s="35"/>
      <c r="X11" s="35"/>
      <c r="Y11" s="35"/>
      <c r="Z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row>
    <row r="12" spans="1:114" ht="18" customHeight="1" x14ac:dyDescent="0.25">
      <c r="A12" s="37"/>
      <c r="B12" s="37"/>
      <c r="C12" s="37"/>
      <c r="D12" s="37"/>
      <c r="E12" s="37"/>
      <c r="F12" s="37"/>
      <c r="G12" s="37"/>
      <c r="H12" s="37"/>
      <c r="I12" s="37"/>
      <c r="J12" s="37"/>
      <c r="K12" s="37"/>
      <c r="L12" s="37"/>
      <c r="M12" s="37"/>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row>
    <row r="13" spans="1:114" s="67" customFormat="1" ht="16.5" customHeight="1" x14ac:dyDescent="0.25">
      <c r="A13" s="113" t="s">
        <v>271</v>
      </c>
      <c r="B13" s="114"/>
      <c r="C13" s="114"/>
      <c r="D13" s="114"/>
      <c r="E13" s="114"/>
      <c r="F13" s="114"/>
      <c r="G13" s="114"/>
      <c r="H13" s="114"/>
      <c r="I13" s="114"/>
      <c r="J13" s="114"/>
      <c r="K13" s="114"/>
      <c r="L13" s="114"/>
      <c r="M13" s="114"/>
      <c r="N13" s="66"/>
      <c r="O13" s="35"/>
      <c r="P13" s="35"/>
      <c r="Q13" s="35"/>
      <c r="R13" s="35"/>
      <c r="S13" s="35"/>
      <c r="T13" s="35"/>
      <c r="U13" s="35"/>
      <c r="V13" s="35"/>
      <c r="W13" s="35"/>
      <c r="X13" s="35"/>
      <c r="Y13" s="35"/>
      <c r="Z13" s="35"/>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row>
    <row r="14" spans="1:114" ht="33" customHeight="1" x14ac:dyDescent="0.25">
      <c r="A14" s="195" t="s">
        <v>166</v>
      </c>
      <c r="B14" s="196" t="s">
        <v>168</v>
      </c>
      <c r="C14" s="197" t="s">
        <v>316</v>
      </c>
      <c r="D14" s="196" t="s">
        <v>169</v>
      </c>
      <c r="E14" s="195"/>
      <c r="F14" s="195"/>
      <c r="G14" s="196" t="s">
        <v>170</v>
      </c>
      <c r="H14" s="195"/>
      <c r="I14" s="195"/>
      <c r="J14" s="107" t="s">
        <v>227</v>
      </c>
      <c r="K14" s="199" t="s">
        <v>228</v>
      </c>
      <c r="L14" s="199" t="s">
        <v>229</v>
      </c>
      <c r="M14" s="196" t="s">
        <v>166</v>
      </c>
      <c r="N14" s="146"/>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row>
    <row r="15" spans="1:114" ht="16.5" x14ac:dyDescent="0.25">
      <c r="A15" s="195"/>
      <c r="B15" s="195"/>
      <c r="C15" s="198"/>
      <c r="D15" s="108" t="s">
        <v>171</v>
      </c>
      <c r="E15" s="108" t="s">
        <v>172</v>
      </c>
      <c r="F15" s="108" t="s">
        <v>173</v>
      </c>
      <c r="G15" s="108" t="s">
        <v>171</v>
      </c>
      <c r="H15" s="108" t="s">
        <v>172</v>
      </c>
      <c r="I15" s="108" t="s">
        <v>173</v>
      </c>
      <c r="J15" s="108" t="s">
        <v>173</v>
      </c>
      <c r="K15" s="195"/>
      <c r="L15" s="195"/>
      <c r="M15" s="195"/>
      <c r="N15" s="138"/>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row>
    <row r="16" spans="1:114" ht="16.5" x14ac:dyDescent="0.25">
      <c r="A16" s="172" t="s">
        <v>174</v>
      </c>
      <c r="B16" s="165"/>
      <c r="C16" s="172"/>
      <c r="D16" s="63" t="s">
        <v>14</v>
      </c>
      <c r="E16" s="65">
        <f>'P(M)'!K17</f>
        <v>9100</v>
      </c>
      <c r="F16" s="106">
        <f>E16</f>
        <v>9100</v>
      </c>
      <c r="G16" s="63" t="s">
        <v>14</v>
      </c>
      <c r="H16" s="65">
        <f>'P(M)'!T17</f>
        <v>0</v>
      </c>
      <c r="I16" s="106">
        <f>H16</f>
        <v>0</v>
      </c>
      <c r="J16" s="106">
        <f>F16+I16</f>
        <v>9100</v>
      </c>
      <c r="K16" s="39">
        <f>'P(M)'!AA17</f>
        <v>85000</v>
      </c>
      <c r="L16" s="106">
        <f>J16+K16</f>
        <v>94100</v>
      </c>
      <c r="M16" s="172" t="s">
        <v>174</v>
      </c>
      <c r="N16" s="138" t="str">
        <f>IF(K16=999999,"初稿案申請地區選擇有誤，請加以調整！",IF(AND('P(M)'!$D$17=1,'P(M)'!C17=FALSE,'P(M)'!C18=FALSE),"以台灣案做為初稿案時，需勾選發明與新型的至少其一！",""))</f>
        <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row>
    <row r="17" spans="1:114" ht="16.5" x14ac:dyDescent="0.25">
      <c r="A17" s="173"/>
      <c r="B17" s="165"/>
      <c r="C17" s="173"/>
      <c r="D17" s="63" t="s">
        <v>14</v>
      </c>
      <c r="E17" s="65">
        <f>'P(M)'!K18</f>
        <v>0</v>
      </c>
      <c r="F17" s="106">
        <f>E17</f>
        <v>0</v>
      </c>
      <c r="G17" s="63" t="s">
        <v>14</v>
      </c>
      <c r="H17" s="65">
        <f>'P(M)'!T18</f>
        <v>0</v>
      </c>
      <c r="I17" s="106">
        <f>H17</f>
        <v>0</v>
      </c>
      <c r="J17" s="106">
        <f t="shared" ref="J17:J36" si="0">F17+I17</f>
        <v>0</v>
      </c>
      <c r="K17" s="39">
        <f>'P(M)'!AA18</f>
        <v>0</v>
      </c>
      <c r="L17" s="106">
        <f t="shared" ref="L17:L36" si="1">J17+K17</f>
        <v>0</v>
      </c>
      <c r="M17" s="173"/>
      <c r="N17" s="138" t="str">
        <f>IF(K17=999999,"初稿案申請地區選擇有誤，請加以調整！",IF(AND('P(M)'!$D$17=1,'P(M)'!C17=FALSE,'P(M)'!C18=FALSE),"以台灣案做為初稿案時，需勾選發明與新型的至少其一！",""))</f>
        <v/>
      </c>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row>
    <row r="18" spans="1:114" ht="16.5" x14ac:dyDescent="0.25">
      <c r="A18" s="172" t="s">
        <v>175</v>
      </c>
      <c r="B18" s="165"/>
      <c r="C18" s="172"/>
      <c r="D18" s="63" t="s">
        <v>15</v>
      </c>
      <c r="E18" s="65">
        <f>'P(M)'!K19</f>
        <v>3450</v>
      </c>
      <c r="F18" s="106">
        <f>E18*$M$5</f>
        <v>15869.999999999998</v>
      </c>
      <c r="G18" s="63" t="s">
        <v>15</v>
      </c>
      <c r="H18" s="65">
        <f>'P(M)'!T19</f>
        <v>1700</v>
      </c>
      <c r="I18" s="106">
        <f>H18*$M$5</f>
        <v>7819.9999999999991</v>
      </c>
      <c r="J18" s="106">
        <f t="shared" si="0"/>
        <v>23689.999999999996</v>
      </c>
      <c r="K18" s="39">
        <f>'P(M)'!AA19</f>
        <v>20000</v>
      </c>
      <c r="L18" s="106">
        <f t="shared" si="1"/>
        <v>43690</v>
      </c>
      <c r="M18" s="172" t="s">
        <v>175</v>
      </c>
      <c r="N18" s="138" t="str">
        <f>IF(K18=999999,"初稿案申請地區選擇有誤，請加以調整！",IF(AND('P(M)'!$D$17=2,'P(M)'!C19=FALSE,'P(M)'!C20=FALSE),"以大陸案做為初稿案時，需勾選發明與新型的至少其一！",""))</f>
        <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row>
    <row r="19" spans="1:114" ht="16.5" x14ac:dyDescent="0.25">
      <c r="A19" s="173"/>
      <c r="B19" s="165"/>
      <c r="C19" s="173"/>
      <c r="D19" s="63" t="s">
        <v>15</v>
      </c>
      <c r="E19" s="65">
        <f>'P(M)'!K20</f>
        <v>0</v>
      </c>
      <c r="F19" s="106">
        <f>E19*$M$5</f>
        <v>0</v>
      </c>
      <c r="G19" s="63" t="s">
        <v>15</v>
      </c>
      <c r="H19" s="65">
        <f>'P(M)'!T20</f>
        <v>0</v>
      </c>
      <c r="I19" s="106">
        <f>H19*$M$5</f>
        <v>0</v>
      </c>
      <c r="J19" s="106">
        <f t="shared" si="0"/>
        <v>0</v>
      </c>
      <c r="K19" s="39">
        <f>'P(M)'!AA20</f>
        <v>0</v>
      </c>
      <c r="L19" s="106">
        <f t="shared" si="1"/>
        <v>0</v>
      </c>
      <c r="M19" s="173"/>
      <c r="N19" s="138" t="str">
        <f>IF(K19=999999,"初稿案申請地區選擇有誤，請加以調整！",IF(AND('P(M)'!$D$17=2,'P(M)'!C19=FALSE,'P(M)'!C20=FALSE),"以大陸案做為初稿案時，需勾選發明與新型的至少其一！",""))</f>
        <v/>
      </c>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row>
    <row r="20" spans="1:114" ht="16.5" x14ac:dyDescent="0.25">
      <c r="A20" s="63" t="s">
        <v>176</v>
      </c>
      <c r="B20" s="165"/>
      <c r="C20" s="63"/>
      <c r="D20" s="63" t="s">
        <v>75</v>
      </c>
      <c r="E20" s="65">
        <f>'P(M)'!K21</f>
        <v>730</v>
      </c>
      <c r="F20" s="106">
        <f>E20*$K$5</f>
        <v>24236.000000000004</v>
      </c>
      <c r="G20" s="63" t="s">
        <v>16</v>
      </c>
      <c r="H20" s="65">
        <f>'P(M)'!T21</f>
        <v>650</v>
      </c>
      <c r="I20" s="106">
        <f>H20*$K$5</f>
        <v>21580.000000000004</v>
      </c>
      <c r="J20" s="106">
        <f t="shared" si="0"/>
        <v>45816.000000000007</v>
      </c>
      <c r="K20" s="39">
        <f>'P(M)'!AA21</f>
        <v>60000</v>
      </c>
      <c r="L20" s="106">
        <f t="shared" si="1"/>
        <v>105816</v>
      </c>
      <c r="M20" s="63" t="s">
        <v>176</v>
      </c>
      <c r="N20" s="138" t="str">
        <f>IF(K20=999999,"初稿案申請地區選擇有誤，請加以調整！",IF(AND('P(M)'!$D$17=3,'P(M)'!C21=FALSE),"以美國案做為初稿案時，需勾選發明！",""))</f>
        <v/>
      </c>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row>
    <row r="21" spans="1:114" ht="16.5" x14ac:dyDescent="0.25">
      <c r="A21" s="63" t="s">
        <v>193</v>
      </c>
      <c r="B21" s="165"/>
      <c r="C21" s="63"/>
      <c r="D21" s="63" t="s">
        <v>17</v>
      </c>
      <c r="E21" s="65">
        <f>'P(M)'!K22</f>
        <v>1655</v>
      </c>
      <c r="F21" s="106">
        <f>E21*$K$6</f>
        <v>57263</v>
      </c>
      <c r="G21" s="63" t="s">
        <v>17</v>
      </c>
      <c r="H21" s="65">
        <f>'P(M)'!T22</f>
        <v>460</v>
      </c>
      <c r="I21" s="106">
        <f>H21*$K$6</f>
        <v>15916</v>
      </c>
      <c r="J21" s="106">
        <f t="shared" si="0"/>
        <v>73179</v>
      </c>
      <c r="K21" s="39">
        <f>'P(M)'!AA22</f>
        <v>40000</v>
      </c>
      <c r="L21" s="106">
        <f t="shared" si="1"/>
        <v>113179</v>
      </c>
      <c r="M21" s="63" t="s">
        <v>193</v>
      </c>
      <c r="N21" s="138" t="str">
        <f>IF(K21=999999,"需勾選至少一件中文案或一件其他地區的英文案，才能勾選歐洲發明案！","")</f>
        <v/>
      </c>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row>
    <row r="22" spans="1:114" ht="16.5" x14ac:dyDescent="0.25">
      <c r="A22" s="172" t="s">
        <v>177</v>
      </c>
      <c r="B22" s="165"/>
      <c r="C22" s="172"/>
      <c r="D22" s="63" t="s">
        <v>18</v>
      </c>
      <c r="E22" s="65">
        <f>'P(M)'!K23</f>
        <v>192000</v>
      </c>
      <c r="F22" s="106">
        <f>E22*$K$7</f>
        <v>42240</v>
      </c>
      <c r="G22" s="63" t="s">
        <v>18</v>
      </c>
      <c r="H22" s="65">
        <f>'P(M)'!T23</f>
        <v>304500</v>
      </c>
      <c r="I22" s="106">
        <f>H22*$K$7</f>
        <v>66990</v>
      </c>
      <c r="J22" s="106">
        <f t="shared" si="0"/>
        <v>109230</v>
      </c>
      <c r="K22" s="39">
        <f>'P(M)'!AA23</f>
        <v>30000</v>
      </c>
      <c r="L22" s="106">
        <f t="shared" si="1"/>
        <v>139230</v>
      </c>
      <c r="M22" s="172" t="s">
        <v>177</v>
      </c>
      <c r="N22" s="138" t="str">
        <f>IF(K22=999999,"需勾選至少一件英文案或一件中文案，才能勾選日本案！",IF(AND('P(M)'!C23=TRUE,'P(M)'!C24=TRUE),"日本不允許同時申請發明專利與新型專利，請擇一申請！",""))</f>
        <v/>
      </c>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row>
    <row r="23" spans="1:114" ht="16.5" x14ac:dyDescent="0.25">
      <c r="A23" s="173"/>
      <c r="B23" s="165"/>
      <c r="C23" s="173"/>
      <c r="D23" s="63" t="s">
        <v>18</v>
      </c>
      <c r="E23" s="65">
        <f>'P(M)'!K24</f>
        <v>0</v>
      </c>
      <c r="F23" s="106">
        <f>E23*$K$7</f>
        <v>0</v>
      </c>
      <c r="G23" s="63" t="s">
        <v>18</v>
      </c>
      <c r="H23" s="65">
        <f>'P(M)'!T24</f>
        <v>0</v>
      </c>
      <c r="I23" s="106">
        <f>H23*$K$7</f>
        <v>0</v>
      </c>
      <c r="J23" s="106">
        <f t="shared" si="0"/>
        <v>0</v>
      </c>
      <c r="K23" s="39">
        <f>'P(M)'!AA24</f>
        <v>0</v>
      </c>
      <c r="L23" s="106">
        <f t="shared" si="1"/>
        <v>0</v>
      </c>
      <c r="M23" s="173"/>
      <c r="N23" s="138" t="str">
        <f>IF(K23=999999,"需勾選至少一件英文案或一件中文案，才能勾選日本案！",IF(AND('P(M)'!C23=TRUE,'P(M)'!C24=TRUE),"日本不允許同時申請發明專利與新型專利，請擇一申請！",""))</f>
        <v/>
      </c>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row>
    <row r="24" spans="1:114" ht="16.5" x14ac:dyDescent="0.25">
      <c r="A24" s="172" t="s">
        <v>178</v>
      </c>
      <c r="B24" s="165"/>
      <c r="C24" s="172"/>
      <c r="D24" s="63" t="s">
        <v>19</v>
      </c>
      <c r="E24" s="65">
        <f>'P(M)'!K25</f>
        <v>722000</v>
      </c>
      <c r="F24" s="106">
        <f>E24*$K$8</f>
        <v>18772</v>
      </c>
      <c r="G24" s="63" t="s">
        <v>16</v>
      </c>
      <c r="H24" s="65">
        <f>'P(M)'!T25</f>
        <v>2710</v>
      </c>
      <c r="I24" s="106">
        <f>H24*$K$5</f>
        <v>89972.000000000015</v>
      </c>
      <c r="J24" s="106">
        <f t="shared" si="0"/>
        <v>108744.00000000001</v>
      </c>
      <c r="K24" s="39">
        <f>'P(M)'!AA25</f>
        <v>30000</v>
      </c>
      <c r="L24" s="106">
        <f t="shared" si="1"/>
        <v>138744</v>
      </c>
      <c r="M24" s="172" t="s">
        <v>178</v>
      </c>
      <c r="N24" s="138" t="str">
        <f>IF(K24=999999,"需勾選至少一件英文案或一件中文案，才能勾選韓國案！",IF(AND('P(M)'!C25=TRUE,'P(M)'!C26=TRUE),"韓國不允許同時申請發明專利與新型專利，請擇一申請！",""))</f>
        <v/>
      </c>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row>
    <row r="25" spans="1:114" ht="16.5" x14ac:dyDescent="0.25">
      <c r="A25" s="173"/>
      <c r="B25" s="165"/>
      <c r="C25" s="173"/>
      <c r="D25" s="63" t="s">
        <v>19</v>
      </c>
      <c r="E25" s="65">
        <f>'P(M)'!K26</f>
        <v>0</v>
      </c>
      <c r="F25" s="106">
        <f>E25*$K$8</f>
        <v>0</v>
      </c>
      <c r="G25" s="63" t="s">
        <v>16</v>
      </c>
      <c r="H25" s="65">
        <f>'P(M)'!T26</f>
        <v>0</v>
      </c>
      <c r="I25" s="106">
        <f>H25*$K$5</f>
        <v>0</v>
      </c>
      <c r="J25" s="106">
        <f t="shared" si="0"/>
        <v>0</v>
      </c>
      <c r="K25" s="39">
        <f>'P(M)'!AA26</f>
        <v>0</v>
      </c>
      <c r="L25" s="106">
        <f t="shared" si="1"/>
        <v>0</v>
      </c>
      <c r="M25" s="173"/>
      <c r="N25" s="138" t="str">
        <f>IF(K25=999999,"需勾選至少一件英文案或一件中文案，才能勾選韓國案！",IF(AND('P(M)'!C25=TRUE,'P(M)'!C26=TRUE),"韓國不允許同時申請發明專利與新型專利，請擇一申請！",""))</f>
        <v/>
      </c>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row>
    <row r="26" spans="1:114" ht="16.5" x14ac:dyDescent="0.25">
      <c r="A26" s="63" t="s">
        <v>194</v>
      </c>
      <c r="B26" s="165"/>
      <c r="C26" s="63"/>
      <c r="D26" s="63" t="s">
        <v>43</v>
      </c>
      <c r="E26" s="65">
        <f>'P(M)'!K27</f>
        <v>829.7</v>
      </c>
      <c r="F26" s="106">
        <f>E26*$M$9</f>
        <v>19497.95</v>
      </c>
      <c r="G26" s="63" t="s">
        <v>43</v>
      </c>
      <c r="H26" s="65">
        <f>'P(M)'!T27</f>
        <v>800</v>
      </c>
      <c r="I26" s="106">
        <f>H26*$M$9</f>
        <v>18800</v>
      </c>
      <c r="J26" s="106">
        <f>F26+I26</f>
        <v>38297.949999999997</v>
      </c>
      <c r="K26" s="39">
        <f>'P(M)'!AA27</f>
        <v>30000</v>
      </c>
      <c r="L26" s="106">
        <f>J26+K26</f>
        <v>68297.95</v>
      </c>
      <c r="M26" s="63" t="s">
        <v>194</v>
      </c>
      <c r="N26" s="138" t="str">
        <f>IF(K26=999999,"初稿案申請地區選擇有誤，請加以調整！",IF(AND('P(M)'!$D$17=4,'P(M)'!C27=FALSE),"以加拿大案做為初稿案時，需勾選發明！",""))</f>
        <v/>
      </c>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row>
    <row r="27" spans="1:114" ht="16.5" x14ac:dyDescent="0.25">
      <c r="A27" s="63" t="s">
        <v>179</v>
      </c>
      <c r="B27" s="165"/>
      <c r="C27" s="63"/>
      <c r="D27" s="63" t="s">
        <v>20</v>
      </c>
      <c r="E27" s="65">
        <f>'P(M)'!K28</f>
        <v>2220</v>
      </c>
      <c r="F27" s="106">
        <f>E27*$M$6</f>
        <v>55500</v>
      </c>
      <c r="G27" s="63" t="s">
        <v>20</v>
      </c>
      <c r="H27" s="65">
        <f>'P(M)'!T28</f>
        <v>1600</v>
      </c>
      <c r="I27" s="106">
        <f>H27*$M$6</f>
        <v>40000</v>
      </c>
      <c r="J27" s="106">
        <f t="shared" si="0"/>
        <v>95500</v>
      </c>
      <c r="K27" s="39">
        <f>'P(M)'!AA28</f>
        <v>30000</v>
      </c>
      <c r="L27" s="106">
        <f t="shared" si="1"/>
        <v>125500</v>
      </c>
      <c r="M27" s="63" t="s">
        <v>179</v>
      </c>
      <c r="N27" s="138" t="str">
        <f>IF(K27=999999,"初稿案申請地區選擇有誤，請加以調整！",IF(AND('P(M)'!$D$17=5,'P(M)'!C28=FALSE),"以新加坡案做為初稿案時，需勾選發明！",""))</f>
        <v/>
      </c>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row>
    <row r="28" spans="1:114" ht="16.5" x14ac:dyDescent="0.25">
      <c r="A28" s="172" t="s">
        <v>182</v>
      </c>
      <c r="B28" s="165"/>
      <c r="C28" s="172"/>
      <c r="D28" s="63" t="s">
        <v>23</v>
      </c>
      <c r="E28" s="65">
        <f>'P(M)'!K29</f>
        <v>1590</v>
      </c>
      <c r="F28" s="106">
        <f>E28*$M$8</f>
        <v>12561</v>
      </c>
      <c r="G28" s="63" t="s">
        <v>23</v>
      </c>
      <c r="H28" s="65">
        <f>'P(M)'!T29</f>
        <v>1933</v>
      </c>
      <c r="I28" s="106">
        <f>H28*$M$8</f>
        <v>15270.7</v>
      </c>
      <c r="J28" s="106">
        <f>F28+I28</f>
        <v>27831.7</v>
      </c>
      <c r="K28" s="39">
        <f>'P(M)'!AA29</f>
        <v>30000</v>
      </c>
      <c r="L28" s="106">
        <f>J28+K28</f>
        <v>57831.7</v>
      </c>
      <c r="M28" s="172" t="s">
        <v>182</v>
      </c>
      <c r="N28" s="138" t="str">
        <f>IF(K28=999999,"初稿案申請地區選擇有誤，請加以調整！",IF(AND('P(M)'!$D$17=6,'P(M)'!C29=FALSE,'P(M)'!C30=FALSE),"以馬來西亞案做為初稿案時，需勾選發明與新型的至少其一！",""))</f>
        <v/>
      </c>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row>
    <row r="29" spans="1:114" ht="16.5" x14ac:dyDescent="0.25">
      <c r="A29" s="173"/>
      <c r="B29" s="165"/>
      <c r="C29" s="173"/>
      <c r="D29" s="63" t="s">
        <v>23</v>
      </c>
      <c r="E29" s="65">
        <f>'P(M)'!K30</f>
        <v>0</v>
      </c>
      <c r="F29" s="106">
        <f>E29*$M$8</f>
        <v>0</v>
      </c>
      <c r="G29" s="63" t="s">
        <v>23</v>
      </c>
      <c r="H29" s="65">
        <f>'P(M)'!T30</f>
        <v>0</v>
      </c>
      <c r="I29" s="106">
        <f>H29*$M$8</f>
        <v>0</v>
      </c>
      <c r="J29" s="106">
        <f>F29+I29</f>
        <v>0</v>
      </c>
      <c r="K29" s="39">
        <f>'P(M)'!AA30</f>
        <v>0</v>
      </c>
      <c r="L29" s="106">
        <f>J29+K29</f>
        <v>0</v>
      </c>
      <c r="M29" s="173"/>
      <c r="N29" s="138" t="str">
        <f>IF(K29=999999,"初稿案申請地區選擇有誤，請加以調整！",IF(AND('P(M)'!$D$17=6,'P(M)'!C29=FALSE,'P(M)'!C30=FALSE),"以馬來西亞案做為初稿案時，需勾選發明與新型的至少其一！",""))</f>
        <v/>
      </c>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row>
    <row r="30" spans="1:114" ht="16.5" x14ac:dyDescent="0.25">
      <c r="A30" s="69" t="s">
        <v>146</v>
      </c>
      <c r="B30" s="165"/>
      <c r="C30" s="69"/>
      <c r="D30" s="63" t="s">
        <v>16</v>
      </c>
      <c r="E30" s="65">
        <f>'P(M)'!K31</f>
        <v>0</v>
      </c>
      <c r="F30" s="106">
        <f>E30*$K$5</f>
        <v>0</v>
      </c>
      <c r="G30" s="63" t="s">
        <v>16</v>
      </c>
      <c r="H30" s="65">
        <f>'P(M)'!T31</f>
        <v>0</v>
      </c>
      <c r="I30" s="106">
        <f>H30*$K$5</f>
        <v>0</v>
      </c>
      <c r="J30" s="106">
        <f t="shared" si="0"/>
        <v>0</v>
      </c>
      <c r="K30" s="39">
        <f>'P(M)'!AA31</f>
        <v>0</v>
      </c>
      <c r="L30" s="106">
        <f t="shared" si="1"/>
        <v>0</v>
      </c>
      <c r="M30" s="69" t="s">
        <v>146</v>
      </c>
      <c r="N30" s="138" t="str">
        <f>IF(K30=999999,"初稿案申請地區選擇有誤，請加以調整！",IF(AND('P(M)'!$D$17=7,'P(M)'!C31=FALSE),"以菲律賓案做為初稿案時，需勾選發明！",""))</f>
        <v/>
      </c>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row>
    <row r="31" spans="1:114" ht="16.5" x14ac:dyDescent="0.25">
      <c r="A31" s="172" t="s">
        <v>183</v>
      </c>
      <c r="B31" s="165"/>
      <c r="C31" s="172"/>
      <c r="D31" s="63" t="s">
        <v>16</v>
      </c>
      <c r="E31" s="65">
        <f>'P(M)'!K32</f>
        <v>0</v>
      </c>
      <c r="F31" s="106">
        <f>E31*$K$5</f>
        <v>0</v>
      </c>
      <c r="G31" s="63" t="s">
        <v>16</v>
      </c>
      <c r="H31" s="65">
        <f>'P(M)'!T32</f>
        <v>0</v>
      </c>
      <c r="I31" s="106">
        <f>H31*$K$5</f>
        <v>0</v>
      </c>
      <c r="J31" s="106">
        <f>F31+I31</f>
        <v>0</v>
      </c>
      <c r="K31" s="39">
        <f>'P(M)'!AA32</f>
        <v>0</v>
      </c>
      <c r="L31" s="106">
        <f>J31+K31</f>
        <v>0</v>
      </c>
      <c r="M31" s="172" t="s">
        <v>183</v>
      </c>
      <c r="N31" s="138" t="str">
        <f>IF(K31=999999,"需勾選至少一件英文案，才能勾選印尼案！",IF(AND('P(M)'!C32=TRUE,'P(M)'!C33=TRUE),"印尼不允許同時申請發明專利與新型專利，請擇一申請！",""))</f>
        <v/>
      </c>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row>
    <row r="32" spans="1:114" ht="16.5" x14ac:dyDescent="0.25">
      <c r="A32" s="173"/>
      <c r="B32" s="165"/>
      <c r="C32" s="173"/>
      <c r="D32" s="63" t="s">
        <v>16</v>
      </c>
      <c r="E32" s="65">
        <f>'P(M)'!K33</f>
        <v>0</v>
      </c>
      <c r="F32" s="106">
        <f>E32*$K$5</f>
        <v>0</v>
      </c>
      <c r="G32" s="63" t="s">
        <v>16</v>
      </c>
      <c r="H32" s="65">
        <f>'P(M)'!T33</f>
        <v>0</v>
      </c>
      <c r="I32" s="106">
        <f>H32*$K$5</f>
        <v>0</v>
      </c>
      <c r="J32" s="106">
        <f>F32+I32</f>
        <v>0</v>
      </c>
      <c r="K32" s="39">
        <f>'P(M)'!AA33</f>
        <v>0</v>
      </c>
      <c r="L32" s="106">
        <f>J32+K32</f>
        <v>0</v>
      </c>
      <c r="M32" s="173"/>
      <c r="N32" s="138" t="str">
        <f>IF(K32=999999,"需勾選至少一件英文案，才能勾選印尼案！",IF(AND('P(M)'!C32=TRUE,'P(M)'!C33=TRUE),"印尼不允許同時申請發明專利與新型專利，請擇一申請！",""))</f>
        <v/>
      </c>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row>
    <row r="33" spans="1:114" ht="16.5" x14ac:dyDescent="0.25">
      <c r="A33" s="172" t="s">
        <v>180</v>
      </c>
      <c r="B33" s="165"/>
      <c r="C33" s="172"/>
      <c r="D33" s="63" t="s">
        <v>21</v>
      </c>
      <c r="E33" s="65">
        <f>'P(M)'!K34</f>
        <v>0</v>
      </c>
      <c r="F33" s="106">
        <f>E33*$M$7</f>
        <v>0</v>
      </c>
      <c r="G33" s="63" t="s">
        <v>16</v>
      </c>
      <c r="H33" s="65">
        <f>'P(M)'!T34</f>
        <v>0</v>
      </c>
      <c r="I33" s="106">
        <f>H33*$K$5</f>
        <v>0</v>
      </c>
      <c r="J33" s="106">
        <f t="shared" si="0"/>
        <v>0</v>
      </c>
      <c r="K33" s="39">
        <f>'P(M)'!AA34</f>
        <v>0</v>
      </c>
      <c r="L33" s="106">
        <f t="shared" si="1"/>
        <v>0</v>
      </c>
      <c r="M33" s="172" t="s">
        <v>180</v>
      </c>
      <c r="N33" s="138" t="str">
        <f>IF(K33=999999,"需勾選至少一件英文案，才能勾選越南案！","")</f>
        <v/>
      </c>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row>
    <row r="34" spans="1:114" ht="16.5" x14ac:dyDescent="0.25">
      <c r="A34" s="173"/>
      <c r="B34" s="165"/>
      <c r="C34" s="173"/>
      <c r="D34" s="63" t="s">
        <v>21</v>
      </c>
      <c r="E34" s="65">
        <f>'P(M)'!K35</f>
        <v>0</v>
      </c>
      <c r="F34" s="106">
        <f>E34*$M$7</f>
        <v>0</v>
      </c>
      <c r="G34" s="63" t="s">
        <v>16</v>
      </c>
      <c r="H34" s="65">
        <f>'P(M)'!T35</f>
        <v>0</v>
      </c>
      <c r="I34" s="106">
        <f>H34*$K$5</f>
        <v>0</v>
      </c>
      <c r="J34" s="106">
        <f t="shared" si="0"/>
        <v>0</v>
      </c>
      <c r="K34" s="39">
        <f>'P(M)'!AA35</f>
        <v>0</v>
      </c>
      <c r="L34" s="106">
        <f t="shared" si="1"/>
        <v>0</v>
      </c>
      <c r="M34" s="173"/>
      <c r="N34" s="138" t="str">
        <f>IF(K34=999999,"需勾選至少一件英文案，才能勾選越南案！","")</f>
        <v/>
      </c>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row>
    <row r="35" spans="1:114" ht="16.5" x14ac:dyDescent="0.25">
      <c r="A35" s="172" t="s">
        <v>181</v>
      </c>
      <c r="B35" s="165"/>
      <c r="C35" s="172"/>
      <c r="D35" s="63" t="s">
        <v>22</v>
      </c>
      <c r="E35" s="65">
        <f>'P(M)'!K36</f>
        <v>0</v>
      </c>
      <c r="F35" s="106">
        <f>E35*$K$9</f>
        <v>0</v>
      </c>
      <c r="G35" s="63" t="s">
        <v>22</v>
      </c>
      <c r="H35" s="65">
        <f>'P(M)'!T36</f>
        <v>0</v>
      </c>
      <c r="I35" s="106">
        <f>H35*$K$9</f>
        <v>0</v>
      </c>
      <c r="J35" s="106">
        <f t="shared" si="0"/>
        <v>0</v>
      </c>
      <c r="K35" s="39">
        <f>'P(M)'!AA36</f>
        <v>0</v>
      </c>
      <c r="L35" s="106">
        <f t="shared" si="1"/>
        <v>0</v>
      </c>
      <c r="M35" s="172" t="s">
        <v>181</v>
      </c>
      <c r="N35" s="138" t="str">
        <f>IF(K35=999999,"需勾選至少一件英文案，才能勾選泰國案！",IF(AND('P(M)'!C36=TRUE,'P(M)'!C37=TRUE),"泰國不允許同時申請發明專利與新型專利，請擇一申請！",""))</f>
        <v/>
      </c>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row>
    <row r="36" spans="1:114" ht="16.5" x14ac:dyDescent="0.25">
      <c r="A36" s="173"/>
      <c r="B36" s="165"/>
      <c r="C36" s="173"/>
      <c r="D36" s="63" t="s">
        <v>22</v>
      </c>
      <c r="E36" s="65">
        <f>'P(M)'!K37</f>
        <v>0</v>
      </c>
      <c r="F36" s="106">
        <f>E36*$K$9</f>
        <v>0</v>
      </c>
      <c r="G36" s="63" t="s">
        <v>22</v>
      </c>
      <c r="H36" s="65">
        <f>'P(M)'!T37</f>
        <v>0</v>
      </c>
      <c r="I36" s="106">
        <f>H36*$K$9</f>
        <v>0</v>
      </c>
      <c r="J36" s="106">
        <f t="shared" si="0"/>
        <v>0</v>
      </c>
      <c r="K36" s="39">
        <f>'P(M)'!AA37</f>
        <v>0</v>
      </c>
      <c r="L36" s="106">
        <f t="shared" si="1"/>
        <v>0</v>
      </c>
      <c r="M36" s="173"/>
      <c r="N36" s="138" t="str">
        <f>IF(K36=999999,"需勾選至少一件英文案，才能勾選泰國案！",IF(AND('P(M)'!C36=TRUE,'P(M)'!C37=TRUE),"泰國不允許同時申請發明專利與新型專利，請擇一申請！",""))</f>
        <v/>
      </c>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row>
    <row r="37" spans="1:114" ht="18.75" x14ac:dyDescent="0.25">
      <c r="A37" s="56"/>
      <c r="B37" s="56"/>
      <c r="C37" s="57"/>
      <c r="D37" s="56"/>
      <c r="E37" s="57" t="s">
        <v>184</v>
      </c>
      <c r="F37" s="58">
        <f>SUM(F16:F36)</f>
        <v>255039.95</v>
      </c>
      <c r="G37" s="56"/>
      <c r="H37" s="57" t="s">
        <v>184</v>
      </c>
      <c r="I37" s="59">
        <f>SUM(I16:I36)</f>
        <v>276348.7</v>
      </c>
      <c r="J37" s="60">
        <f>SUM(J16:J36)</f>
        <v>531388.65</v>
      </c>
      <c r="K37" s="61">
        <f>SUM(K16:K36)</f>
        <v>355000</v>
      </c>
      <c r="L37" s="62">
        <f>SUM(L16:L36)</f>
        <v>886388.64999999991</v>
      </c>
      <c r="M37" s="63"/>
      <c r="N37" s="138"/>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row>
    <row r="38" spans="1:114" s="156" customFormat="1" ht="16.5" x14ac:dyDescent="0.25">
      <c r="A38" s="110" t="s">
        <v>48</v>
      </c>
      <c r="B38" s="110"/>
      <c r="C38" s="110"/>
      <c r="D38" s="110"/>
      <c r="E38" s="110"/>
      <c r="F38" s="110"/>
      <c r="G38" s="110"/>
      <c r="H38" s="110"/>
      <c r="I38" s="110"/>
      <c r="J38" s="110"/>
      <c r="K38" s="110"/>
      <c r="L38" s="110"/>
      <c r="M38" s="110"/>
      <c r="N38" s="138"/>
      <c r="O38" s="154"/>
      <c r="P38" s="154"/>
      <c r="Q38" s="154"/>
      <c r="R38" s="154"/>
      <c r="S38" s="154"/>
      <c r="T38" s="154"/>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row>
    <row r="39" spans="1:114" s="156" customFormat="1" ht="16.5" x14ac:dyDescent="0.25">
      <c r="A39" s="110" t="s">
        <v>321</v>
      </c>
      <c r="B39" s="110"/>
      <c r="C39" s="110"/>
      <c r="D39" s="110"/>
      <c r="E39" s="110"/>
      <c r="F39" s="110"/>
      <c r="G39" s="110"/>
      <c r="H39" s="110"/>
      <c r="I39" s="110"/>
      <c r="J39" s="110"/>
      <c r="K39" s="110"/>
      <c r="L39" s="110"/>
      <c r="M39" s="110"/>
      <c r="N39" s="138"/>
      <c r="O39" s="154"/>
      <c r="P39" s="154"/>
      <c r="Q39" s="154"/>
      <c r="R39" s="154"/>
      <c r="S39" s="154"/>
      <c r="T39" s="154"/>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55"/>
      <c r="DI39" s="155"/>
      <c r="DJ39" s="155"/>
    </row>
    <row r="40" spans="1:114" s="156" customFormat="1" ht="16.5" x14ac:dyDescent="0.25">
      <c r="A40" s="110" t="s">
        <v>346</v>
      </c>
      <c r="B40" s="110"/>
      <c r="C40" s="110"/>
      <c r="D40" s="110"/>
      <c r="E40" s="157"/>
      <c r="F40" s="110"/>
      <c r="G40" s="110"/>
      <c r="H40" s="110"/>
      <c r="I40" s="110"/>
      <c r="J40" s="110"/>
      <c r="K40" s="110"/>
      <c r="L40" s="110"/>
      <c r="M40" s="110"/>
      <c r="N40" s="138"/>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c r="DE40" s="155"/>
      <c r="DF40" s="155"/>
      <c r="DG40" s="155"/>
      <c r="DH40" s="155"/>
      <c r="DI40" s="155"/>
      <c r="DJ40" s="155"/>
    </row>
    <row r="41" spans="1:114" s="156" customFormat="1" ht="16.5" x14ac:dyDescent="0.25">
      <c r="A41" s="110" t="s">
        <v>333</v>
      </c>
      <c r="B41" s="110"/>
      <c r="C41" s="110"/>
      <c r="D41" s="110"/>
      <c r="E41" s="157"/>
      <c r="F41" s="110"/>
      <c r="G41" s="110"/>
      <c r="H41" s="110"/>
      <c r="I41" s="110"/>
      <c r="J41" s="110"/>
      <c r="K41" s="110"/>
      <c r="L41" s="110"/>
      <c r="M41" s="110"/>
      <c r="N41" s="138"/>
      <c r="O41" s="155"/>
      <c r="P41" s="158"/>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55"/>
      <c r="DI41" s="155"/>
      <c r="DJ41" s="155"/>
    </row>
    <row r="42" spans="1:114" s="156" customFormat="1" ht="16.5" x14ac:dyDescent="0.25">
      <c r="A42" s="110" t="s">
        <v>334</v>
      </c>
      <c r="B42" s="110"/>
      <c r="C42" s="110"/>
      <c r="D42" s="110"/>
      <c r="E42" s="157"/>
      <c r="F42" s="110"/>
      <c r="G42" s="110"/>
      <c r="H42" s="110"/>
      <c r="I42" s="110"/>
      <c r="J42" s="110"/>
      <c r="K42" s="110"/>
      <c r="L42" s="110"/>
      <c r="M42" s="110"/>
      <c r="N42" s="138"/>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row>
    <row r="43" spans="1:114" s="156" customFormat="1" ht="16.5" x14ac:dyDescent="0.25">
      <c r="A43" s="110" t="s">
        <v>335</v>
      </c>
      <c r="B43" s="110"/>
      <c r="C43" s="110"/>
      <c r="D43" s="110"/>
      <c r="E43" s="110"/>
      <c r="F43" s="110"/>
      <c r="G43" s="110"/>
      <c r="H43" s="110"/>
      <c r="I43" s="110"/>
      <c r="J43" s="110"/>
      <c r="K43" s="110"/>
      <c r="L43" s="110"/>
      <c r="M43" s="110"/>
      <c r="N43" s="138"/>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row>
    <row r="44" spans="1:114" s="156" customFormat="1" ht="16.5" x14ac:dyDescent="0.25">
      <c r="A44" s="110" t="s">
        <v>322</v>
      </c>
      <c r="B44" s="110"/>
      <c r="C44" s="110"/>
      <c r="D44" s="110"/>
      <c r="E44" s="110"/>
      <c r="F44" s="110"/>
      <c r="G44" s="110"/>
      <c r="H44" s="110"/>
      <c r="I44" s="110"/>
      <c r="J44" s="110"/>
      <c r="K44" s="110"/>
      <c r="L44" s="110"/>
      <c r="M44" s="110"/>
      <c r="N44" s="138"/>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c r="DE44" s="155"/>
      <c r="DF44" s="155"/>
      <c r="DG44" s="155"/>
      <c r="DH44" s="155"/>
      <c r="DI44" s="155"/>
      <c r="DJ44" s="155"/>
    </row>
    <row r="45" spans="1:114" s="156" customFormat="1" ht="16.5" x14ac:dyDescent="0.25">
      <c r="A45" s="110" t="s">
        <v>336</v>
      </c>
      <c r="B45" s="110"/>
      <c r="C45" s="110"/>
      <c r="D45" s="110"/>
      <c r="E45" s="110"/>
      <c r="F45" s="110"/>
      <c r="G45" s="110"/>
      <c r="H45" s="110"/>
      <c r="I45" s="110"/>
      <c r="J45" s="110"/>
      <c r="K45" s="110"/>
      <c r="L45" s="110"/>
      <c r="M45" s="110"/>
      <c r="N45" s="138"/>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c r="DE45" s="155"/>
      <c r="DF45" s="155"/>
      <c r="DG45" s="155"/>
      <c r="DH45" s="155"/>
      <c r="DI45" s="155"/>
      <c r="DJ45" s="155"/>
    </row>
    <row r="46" spans="1:114" s="156" customFormat="1" ht="16.5" x14ac:dyDescent="0.25">
      <c r="A46" s="110" t="s">
        <v>337</v>
      </c>
      <c r="B46" s="110"/>
      <c r="C46" s="110"/>
      <c r="D46" s="110"/>
      <c r="E46" s="110"/>
      <c r="F46" s="110"/>
      <c r="G46" s="110"/>
      <c r="H46" s="110"/>
      <c r="I46" s="110"/>
      <c r="J46" s="110"/>
      <c r="K46" s="110"/>
      <c r="L46" s="110"/>
      <c r="M46" s="110"/>
      <c r="N46" s="138"/>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c r="DG46" s="155"/>
      <c r="DH46" s="155"/>
      <c r="DI46" s="155"/>
      <c r="DJ46" s="155"/>
    </row>
    <row r="47" spans="1:114" s="156" customFormat="1" ht="16.5" x14ac:dyDescent="0.25">
      <c r="A47" s="110" t="s">
        <v>323</v>
      </c>
      <c r="B47" s="110"/>
      <c r="C47" s="110"/>
      <c r="D47" s="110"/>
      <c r="E47" s="110"/>
      <c r="F47" s="110"/>
      <c r="G47" s="110"/>
      <c r="H47" s="110"/>
      <c r="I47" s="110"/>
      <c r="J47" s="110"/>
      <c r="K47" s="110"/>
      <c r="L47" s="110"/>
      <c r="M47" s="110"/>
      <c r="N47" s="138"/>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c r="DJ47" s="155"/>
    </row>
    <row r="48" spans="1:114" s="156" customFormat="1" ht="16.5" x14ac:dyDescent="0.25">
      <c r="A48" s="110" t="s">
        <v>324</v>
      </c>
      <c r="B48" s="110"/>
      <c r="C48" s="110"/>
      <c r="D48" s="110"/>
      <c r="E48" s="110"/>
      <c r="F48" s="110"/>
      <c r="G48" s="110"/>
      <c r="H48" s="110"/>
      <c r="I48" s="110"/>
      <c r="J48" s="110"/>
      <c r="K48" s="110"/>
      <c r="L48" s="110"/>
      <c r="M48" s="110"/>
      <c r="N48" s="138"/>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c r="DF48" s="155"/>
      <c r="DG48" s="155"/>
      <c r="DH48" s="155"/>
      <c r="DI48" s="155"/>
      <c r="DJ48" s="155"/>
    </row>
    <row r="49" spans="1:114" s="156" customFormat="1" ht="16.5" x14ac:dyDescent="0.25">
      <c r="A49" s="110" t="s">
        <v>325</v>
      </c>
      <c r="B49" s="110"/>
      <c r="C49" s="110"/>
      <c r="D49" s="110"/>
      <c r="E49" s="110"/>
      <c r="F49" s="110"/>
      <c r="G49" s="110"/>
      <c r="H49" s="110"/>
      <c r="I49" s="110"/>
      <c r="J49" s="110"/>
      <c r="K49" s="110"/>
      <c r="L49" s="110"/>
      <c r="M49" s="110"/>
      <c r="N49" s="138"/>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55"/>
      <c r="CE49" s="155"/>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c r="DC49" s="155"/>
      <c r="DD49" s="155"/>
      <c r="DE49" s="155"/>
      <c r="DF49" s="155"/>
      <c r="DG49" s="155"/>
      <c r="DH49" s="155"/>
      <c r="DI49" s="155"/>
      <c r="DJ49" s="155"/>
    </row>
    <row r="50" spans="1:114" s="156" customFormat="1" ht="16.5" x14ac:dyDescent="0.25">
      <c r="A50" s="110" t="s">
        <v>326</v>
      </c>
      <c r="B50" s="110"/>
      <c r="C50" s="110"/>
      <c r="D50" s="110"/>
      <c r="E50" s="110"/>
      <c r="F50" s="110"/>
      <c r="G50" s="110"/>
      <c r="H50" s="110"/>
      <c r="I50" s="110"/>
      <c r="J50" s="110"/>
      <c r="K50" s="110"/>
      <c r="L50" s="110"/>
      <c r="M50" s="110"/>
      <c r="N50" s="138"/>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c r="DG50" s="155"/>
      <c r="DH50" s="155"/>
      <c r="DI50" s="155"/>
      <c r="DJ50" s="155"/>
    </row>
    <row r="51" spans="1:114" s="156" customFormat="1" ht="16.5" x14ac:dyDescent="0.25">
      <c r="A51" s="110" t="s">
        <v>327</v>
      </c>
      <c r="B51" s="110"/>
      <c r="C51" s="110"/>
      <c r="D51" s="110"/>
      <c r="E51" s="110"/>
      <c r="F51" s="110"/>
      <c r="G51" s="110"/>
      <c r="H51" s="110"/>
      <c r="I51" s="110"/>
      <c r="J51" s="110"/>
      <c r="K51" s="110"/>
      <c r="L51" s="110"/>
      <c r="M51" s="110"/>
      <c r="N51" s="138"/>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row>
    <row r="52" spans="1:114" s="156" customFormat="1" ht="16.5" x14ac:dyDescent="0.25">
      <c r="A52" s="110" t="s">
        <v>328</v>
      </c>
      <c r="B52" s="110"/>
      <c r="C52" s="110"/>
      <c r="D52" s="110"/>
      <c r="E52" s="110"/>
      <c r="F52" s="110"/>
      <c r="G52" s="110"/>
      <c r="H52" s="110"/>
      <c r="I52" s="110"/>
      <c r="J52" s="110"/>
      <c r="K52" s="110"/>
      <c r="L52" s="110"/>
      <c r="M52" s="110"/>
      <c r="N52" s="138"/>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c r="DG52" s="155"/>
      <c r="DH52" s="155"/>
      <c r="DI52" s="155"/>
      <c r="DJ52" s="155"/>
    </row>
    <row r="53" spans="1:114" s="156" customFormat="1" ht="16.5" x14ac:dyDescent="0.25">
      <c r="A53" s="112" t="s">
        <v>329</v>
      </c>
      <c r="B53" s="110"/>
      <c r="C53" s="110"/>
      <c r="D53" s="110"/>
      <c r="E53" s="110"/>
      <c r="F53" s="110"/>
      <c r="G53" s="110"/>
      <c r="H53" s="110"/>
      <c r="I53" s="110"/>
      <c r="J53" s="110"/>
      <c r="K53" s="110"/>
      <c r="L53" s="110"/>
      <c r="M53" s="110"/>
      <c r="N53" s="138"/>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5"/>
      <c r="DF53" s="155"/>
      <c r="DG53" s="155"/>
      <c r="DH53" s="155"/>
      <c r="DI53" s="155"/>
      <c r="DJ53" s="155"/>
    </row>
    <row r="54" spans="1:114" s="156" customFormat="1" ht="16.5" x14ac:dyDescent="0.25">
      <c r="A54" s="112" t="s">
        <v>330</v>
      </c>
      <c r="B54" s="110"/>
      <c r="C54" s="110"/>
      <c r="D54" s="110"/>
      <c r="E54" s="110"/>
      <c r="F54" s="110"/>
      <c r="G54" s="110"/>
      <c r="H54" s="110"/>
      <c r="I54" s="110"/>
      <c r="J54" s="110"/>
      <c r="K54" s="110"/>
      <c r="L54" s="110"/>
      <c r="M54" s="110"/>
      <c r="N54" s="138"/>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155"/>
      <c r="DJ54" s="155"/>
    </row>
    <row r="55" spans="1:114" s="156" customFormat="1" ht="16.5" x14ac:dyDescent="0.25">
      <c r="A55" s="110" t="s">
        <v>331</v>
      </c>
      <c r="B55" s="110"/>
      <c r="C55" s="110"/>
      <c r="D55" s="110"/>
      <c r="E55" s="110"/>
      <c r="F55" s="110"/>
      <c r="G55" s="110"/>
      <c r="H55" s="110"/>
      <c r="I55" s="110"/>
      <c r="J55" s="110"/>
      <c r="K55" s="110"/>
      <c r="L55" s="110"/>
      <c r="M55" s="110"/>
      <c r="N55" s="138"/>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155"/>
      <c r="DJ55" s="155"/>
    </row>
    <row r="56" spans="1:114" s="117" customFormat="1" ht="16.5" x14ac:dyDescent="0.25">
      <c r="A56" s="37"/>
      <c r="B56" s="37"/>
      <c r="C56" s="37"/>
      <c r="D56" s="37"/>
      <c r="E56" s="37"/>
      <c r="F56" s="37"/>
      <c r="G56" s="37"/>
      <c r="H56" s="37"/>
      <c r="I56" s="37"/>
      <c r="J56" s="37"/>
      <c r="K56" s="37"/>
      <c r="L56" s="37"/>
      <c r="M56" s="37"/>
      <c r="N56" s="138"/>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row>
    <row r="57" spans="1:114" s="119" customFormat="1" ht="16.5" x14ac:dyDescent="0.25">
      <c r="A57" s="113" t="s">
        <v>226</v>
      </c>
      <c r="B57" s="114"/>
      <c r="C57" s="114"/>
      <c r="D57" s="114"/>
      <c r="E57" s="114"/>
      <c r="F57" s="114"/>
      <c r="G57" s="114"/>
      <c r="H57" s="114"/>
      <c r="I57" s="114"/>
      <c r="J57" s="114"/>
      <c r="K57" s="114"/>
      <c r="L57" s="114"/>
      <c r="M57" s="114"/>
      <c r="N57" s="13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row>
    <row r="58" spans="1:114" s="117" customFormat="1" ht="33" customHeight="1" x14ac:dyDescent="0.25">
      <c r="A58" s="174" t="s">
        <v>166</v>
      </c>
      <c r="B58" s="177" t="s">
        <v>168</v>
      </c>
      <c r="C58" s="178" t="s">
        <v>313</v>
      </c>
      <c r="D58" s="177" t="s">
        <v>274</v>
      </c>
      <c r="E58" s="174"/>
      <c r="F58" s="174"/>
      <c r="G58" s="177" t="s">
        <v>275</v>
      </c>
      <c r="H58" s="174"/>
      <c r="I58" s="174"/>
      <c r="J58" s="115" t="s">
        <v>276</v>
      </c>
      <c r="K58" s="177" t="s">
        <v>277</v>
      </c>
      <c r="L58" s="177" t="s">
        <v>278</v>
      </c>
      <c r="M58" s="201" t="s">
        <v>166</v>
      </c>
      <c r="N58" s="138"/>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row>
    <row r="59" spans="1:114" s="117" customFormat="1" ht="16.5" x14ac:dyDescent="0.25">
      <c r="A59" s="174"/>
      <c r="B59" s="174"/>
      <c r="C59" s="179"/>
      <c r="D59" s="116" t="s">
        <v>171</v>
      </c>
      <c r="E59" s="116" t="s">
        <v>172</v>
      </c>
      <c r="F59" s="116" t="s">
        <v>173</v>
      </c>
      <c r="G59" s="116" t="s">
        <v>171</v>
      </c>
      <c r="H59" s="116" t="s">
        <v>172</v>
      </c>
      <c r="I59" s="116" t="s">
        <v>173</v>
      </c>
      <c r="J59" s="116" t="s">
        <v>173</v>
      </c>
      <c r="K59" s="174"/>
      <c r="L59" s="174"/>
      <c r="M59" s="174"/>
      <c r="N59" s="138"/>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row>
    <row r="60" spans="1:114" ht="16.5" customHeight="1" x14ac:dyDescent="0.25">
      <c r="A60" s="172" t="s">
        <v>174</v>
      </c>
      <c r="B60" s="165"/>
      <c r="C60" s="175" t="str">
        <f>IF('P(M)'!$D$17=1,"●","○")</f>
        <v>●</v>
      </c>
      <c r="D60" s="63" t="s">
        <v>14</v>
      </c>
      <c r="E60" s="65">
        <f>'P(M)'!AO17</f>
        <v>2700</v>
      </c>
      <c r="F60" s="106">
        <f>E60</f>
        <v>2700</v>
      </c>
      <c r="G60" s="63" t="s">
        <v>14</v>
      </c>
      <c r="H60" s="65">
        <f>'P(M)'!AU17</f>
        <v>0</v>
      </c>
      <c r="I60" s="106">
        <f>H60</f>
        <v>0</v>
      </c>
      <c r="J60" s="106">
        <f>F60+I60</f>
        <v>2700</v>
      </c>
      <c r="K60" s="39">
        <f>'P(M)'!AY17</f>
        <v>0</v>
      </c>
      <c r="L60" s="106">
        <f>J60+K60</f>
        <v>2700</v>
      </c>
      <c r="M60" s="190" t="str">
        <f>A60</f>
        <v>台灣</v>
      </c>
      <c r="N60" s="138" t="str">
        <f t="shared" ref="N60:N80" si="2">N16</f>
        <v/>
      </c>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row>
    <row r="61" spans="1:114" ht="16.5" customHeight="1" x14ac:dyDescent="0.25">
      <c r="A61" s="173"/>
      <c r="B61" s="165"/>
      <c r="C61" s="176"/>
      <c r="D61" s="63" t="s">
        <v>14</v>
      </c>
      <c r="E61" s="65">
        <f>'P(M)'!AO18</f>
        <v>0</v>
      </c>
      <c r="F61" s="106">
        <f>E61</f>
        <v>0</v>
      </c>
      <c r="G61" s="63" t="s">
        <v>14</v>
      </c>
      <c r="H61" s="65">
        <f>'P(M)'!AU18</f>
        <v>0</v>
      </c>
      <c r="I61" s="106">
        <f>H61</f>
        <v>0</v>
      </c>
      <c r="J61" s="106">
        <f t="shared" ref="J61:J80" si="3">F61+I61</f>
        <v>0</v>
      </c>
      <c r="K61" s="39">
        <f>'P(M)'!AY18</f>
        <v>0</v>
      </c>
      <c r="L61" s="106">
        <f t="shared" ref="L61:L80" si="4">J61+K61</f>
        <v>0</v>
      </c>
      <c r="M61" s="191"/>
      <c r="N61" s="138" t="str">
        <f t="shared" si="2"/>
        <v/>
      </c>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row>
    <row r="62" spans="1:114" ht="16.5" customHeight="1" x14ac:dyDescent="0.25">
      <c r="A62" s="172" t="s">
        <v>175</v>
      </c>
      <c r="B62" s="165"/>
      <c r="C62" s="175" t="str">
        <f>IF('P(M)'!$D$17=2,"●","○")</f>
        <v>○</v>
      </c>
      <c r="D62" s="63" t="s">
        <v>15</v>
      </c>
      <c r="E62" s="65">
        <f>'P(M)'!AO19</f>
        <v>905</v>
      </c>
      <c r="F62" s="106">
        <f>E62*$M$5</f>
        <v>4163</v>
      </c>
      <c r="G62" s="63" t="s">
        <v>15</v>
      </c>
      <c r="H62" s="65">
        <f>'P(M)'!AU19</f>
        <v>200</v>
      </c>
      <c r="I62" s="106">
        <f>H62*$M$5</f>
        <v>919.99999999999989</v>
      </c>
      <c r="J62" s="106">
        <f t="shared" si="3"/>
        <v>5083</v>
      </c>
      <c r="K62" s="39">
        <f>'P(M)'!AY19</f>
        <v>0</v>
      </c>
      <c r="L62" s="106">
        <f t="shared" si="4"/>
        <v>5083</v>
      </c>
      <c r="M62" s="190" t="s">
        <v>3</v>
      </c>
      <c r="N62" s="138" t="str">
        <f t="shared" si="2"/>
        <v/>
      </c>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row>
    <row r="63" spans="1:114" ht="16.5" customHeight="1" x14ac:dyDescent="0.25">
      <c r="A63" s="173"/>
      <c r="B63" s="165"/>
      <c r="C63" s="176"/>
      <c r="D63" s="63" t="s">
        <v>15</v>
      </c>
      <c r="E63" s="65">
        <f>'P(M)'!AO20</f>
        <v>0</v>
      </c>
      <c r="F63" s="106">
        <f>E63*$M$5</f>
        <v>0</v>
      </c>
      <c r="G63" s="63" t="s">
        <v>15</v>
      </c>
      <c r="H63" s="65">
        <f>'P(M)'!AU20</f>
        <v>0</v>
      </c>
      <c r="I63" s="106">
        <f>H63*$M$5</f>
        <v>0</v>
      </c>
      <c r="J63" s="106">
        <f t="shared" si="3"/>
        <v>0</v>
      </c>
      <c r="K63" s="39">
        <f>'P(M)'!AY20</f>
        <v>0</v>
      </c>
      <c r="L63" s="106">
        <f t="shared" si="4"/>
        <v>0</v>
      </c>
      <c r="M63" s="191"/>
      <c r="N63" s="138" t="str">
        <f t="shared" si="2"/>
        <v/>
      </c>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row>
    <row r="64" spans="1:114" ht="16.5" customHeight="1" x14ac:dyDescent="0.25">
      <c r="A64" s="63" t="s">
        <v>176</v>
      </c>
      <c r="B64" s="165"/>
      <c r="C64" s="170" t="str">
        <f>IF('P(M)'!$D$17=3,"●","○")</f>
        <v>○</v>
      </c>
      <c r="D64" s="63" t="s">
        <v>16</v>
      </c>
      <c r="E64" s="65">
        <f>'P(M)'!AO21</f>
        <v>516</v>
      </c>
      <c r="F64" s="106">
        <f>E64*$K$5</f>
        <v>17131.2</v>
      </c>
      <c r="G64" s="63" t="s">
        <v>16</v>
      </c>
      <c r="H64" s="65">
        <f>'P(M)'!AU21</f>
        <v>350</v>
      </c>
      <c r="I64" s="106">
        <f>H64*$K$5</f>
        <v>11620.000000000002</v>
      </c>
      <c r="J64" s="106">
        <f t="shared" si="3"/>
        <v>28751.200000000004</v>
      </c>
      <c r="K64" s="39">
        <f>'P(M)'!AY21</f>
        <v>0</v>
      </c>
      <c r="L64" s="106">
        <f t="shared" si="4"/>
        <v>28751.200000000004</v>
      </c>
      <c r="M64" s="69" t="s">
        <v>4</v>
      </c>
      <c r="N64" s="138" t="str">
        <f t="shared" si="2"/>
        <v/>
      </c>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row>
    <row r="65" spans="1:114" ht="16.5" customHeight="1" x14ac:dyDescent="0.25">
      <c r="A65" s="63" t="s">
        <v>193</v>
      </c>
      <c r="B65" s="165"/>
      <c r="C65" s="170"/>
      <c r="D65" s="63" t="s">
        <v>17</v>
      </c>
      <c r="E65" s="65">
        <f>'P(M)'!AO22</f>
        <v>1080</v>
      </c>
      <c r="F65" s="106">
        <f>E65*$K$6</f>
        <v>37368</v>
      </c>
      <c r="G65" s="63" t="s">
        <v>17</v>
      </c>
      <c r="H65" s="65">
        <f>'P(M)'!AU22</f>
        <v>1830</v>
      </c>
      <c r="I65" s="106">
        <f>H65*$K$6</f>
        <v>63318</v>
      </c>
      <c r="J65" s="106">
        <f t="shared" si="3"/>
        <v>100686</v>
      </c>
      <c r="K65" s="39">
        <f>'P(M)'!AY22</f>
        <v>25000</v>
      </c>
      <c r="L65" s="106">
        <f t="shared" si="4"/>
        <v>125686</v>
      </c>
      <c r="M65" s="69" t="s">
        <v>5</v>
      </c>
      <c r="N65" s="138" t="str">
        <f t="shared" si="2"/>
        <v/>
      </c>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row>
    <row r="66" spans="1:114" ht="16.5" customHeight="1" x14ac:dyDescent="0.25">
      <c r="A66" s="172" t="s">
        <v>177</v>
      </c>
      <c r="B66" s="165"/>
      <c r="C66" s="175"/>
      <c r="D66" s="63" t="s">
        <v>18</v>
      </c>
      <c r="E66" s="65">
        <f>'P(M)'!AO23</f>
        <v>21900</v>
      </c>
      <c r="F66" s="106">
        <f>E66*$K$7</f>
        <v>4818</v>
      </c>
      <c r="G66" s="63" t="s">
        <v>18</v>
      </c>
      <c r="H66" s="65">
        <f>'P(M)'!AU23</f>
        <v>25000</v>
      </c>
      <c r="I66" s="106">
        <f>H66*$K$7</f>
        <v>5500</v>
      </c>
      <c r="J66" s="106">
        <f t="shared" si="3"/>
        <v>10318</v>
      </c>
      <c r="K66" s="39">
        <f>'P(M)'!AY23</f>
        <v>0</v>
      </c>
      <c r="L66" s="106">
        <f t="shared" si="4"/>
        <v>10318</v>
      </c>
      <c r="M66" s="190" t="s">
        <v>6</v>
      </c>
      <c r="N66" s="138" t="str">
        <f t="shared" si="2"/>
        <v/>
      </c>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row>
    <row r="67" spans="1:114" ht="16.5" customHeight="1" x14ac:dyDescent="0.25">
      <c r="A67" s="173"/>
      <c r="B67" s="165"/>
      <c r="C67" s="176"/>
      <c r="D67" s="63" t="s">
        <v>18</v>
      </c>
      <c r="E67" s="65">
        <f>'P(M)'!AO24</f>
        <v>0</v>
      </c>
      <c r="F67" s="106">
        <f>E67*$K$7</f>
        <v>0</v>
      </c>
      <c r="G67" s="63" t="s">
        <v>18</v>
      </c>
      <c r="H67" s="65">
        <f>'P(M)'!AU24</f>
        <v>0</v>
      </c>
      <c r="I67" s="106">
        <f>H67*$K$7</f>
        <v>0</v>
      </c>
      <c r="J67" s="106">
        <f t="shared" si="3"/>
        <v>0</v>
      </c>
      <c r="K67" s="39">
        <f>'P(M)'!AY24</f>
        <v>0</v>
      </c>
      <c r="L67" s="106">
        <f t="shared" si="4"/>
        <v>0</v>
      </c>
      <c r="M67" s="191"/>
      <c r="N67" s="138" t="str">
        <f t="shared" si="2"/>
        <v/>
      </c>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row>
    <row r="68" spans="1:114" ht="16.5" customHeight="1" x14ac:dyDescent="0.25">
      <c r="A68" s="172" t="s">
        <v>178</v>
      </c>
      <c r="B68" s="165"/>
      <c r="C68" s="175"/>
      <c r="D68" s="63" t="s">
        <v>19</v>
      </c>
      <c r="E68" s="65">
        <f>'P(M)'!AO25</f>
        <v>399000</v>
      </c>
      <c r="F68" s="106">
        <f>E68*$K$8</f>
        <v>10374</v>
      </c>
      <c r="G68" s="63" t="s">
        <v>16</v>
      </c>
      <c r="H68" s="65">
        <f>'P(M)'!AU25</f>
        <v>240</v>
      </c>
      <c r="I68" s="106">
        <f>H68*$K$5</f>
        <v>7968.0000000000009</v>
      </c>
      <c r="J68" s="106">
        <f t="shared" si="3"/>
        <v>18342</v>
      </c>
      <c r="K68" s="39">
        <f>'P(M)'!AY25</f>
        <v>0</v>
      </c>
      <c r="L68" s="106">
        <f t="shared" si="4"/>
        <v>18342</v>
      </c>
      <c r="M68" s="190" t="s">
        <v>7</v>
      </c>
      <c r="N68" s="138" t="str">
        <f t="shared" si="2"/>
        <v/>
      </c>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row>
    <row r="69" spans="1:114" ht="16.5" customHeight="1" x14ac:dyDescent="0.25">
      <c r="A69" s="173"/>
      <c r="B69" s="165"/>
      <c r="C69" s="176"/>
      <c r="D69" s="63" t="s">
        <v>19</v>
      </c>
      <c r="E69" s="65">
        <f>'P(M)'!AO26</f>
        <v>0</v>
      </c>
      <c r="F69" s="106">
        <f>E69*$K$8</f>
        <v>0</v>
      </c>
      <c r="G69" s="63" t="s">
        <v>16</v>
      </c>
      <c r="H69" s="65">
        <f>'P(M)'!AU26</f>
        <v>0</v>
      </c>
      <c r="I69" s="106">
        <f>H69*$K$5</f>
        <v>0</v>
      </c>
      <c r="J69" s="106">
        <f t="shared" si="3"/>
        <v>0</v>
      </c>
      <c r="K69" s="39">
        <f>'P(M)'!AY26</f>
        <v>0</v>
      </c>
      <c r="L69" s="106">
        <f t="shared" si="4"/>
        <v>0</v>
      </c>
      <c r="M69" s="191"/>
      <c r="N69" s="138" t="str">
        <f t="shared" si="2"/>
        <v/>
      </c>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row>
    <row r="70" spans="1:114" ht="16.5" customHeight="1" x14ac:dyDescent="0.25">
      <c r="A70" s="63" t="s">
        <v>194</v>
      </c>
      <c r="B70" s="165"/>
      <c r="C70" s="170" t="str">
        <f>IF('P(M)'!$D$17=4,"●","○")</f>
        <v>○</v>
      </c>
      <c r="D70" s="63" t="s">
        <v>43</v>
      </c>
      <c r="E70" s="65">
        <f>'P(M)'!AO27</f>
        <v>176.44</v>
      </c>
      <c r="F70" s="106">
        <f>E70*$M$9</f>
        <v>4146.34</v>
      </c>
      <c r="G70" s="63" t="s">
        <v>43</v>
      </c>
      <c r="H70" s="65">
        <f>'P(M)'!AU27</f>
        <v>500</v>
      </c>
      <c r="I70" s="106">
        <f>H70*$M$9</f>
        <v>11750</v>
      </c>
      <c r="J70" s="106">
        <f>F70+I70</f>
        <v>15896.34</v>
      </c>
      <c r="K70" s="39">
        <f>'P(M)'!AY27</f>
        <v>0</v>
      </c>
      <c r="L70" s="106">
        <f>J70+K70</f>
        <v>15896.34</v>
      </c>
      <c r="M70" s="69" t="s">
        <v>42</v>
      </c>
      <c r="N70" s="138" t="str">
        <f t="shared" si="2"/>
        <v/>
      </c>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row>
    <row r="71" spans="1:114" ht="16.5" customHeight="1" x14ac:dyDescent="0.25">
      <c r="A71" s="63" t="s">
        <v>179</v>
      </c>
      <c r="B71" s="165"/>
      <c r="C71" s="170" t="str">
        <f>IF('P(M)'!$D$17=5,"●","○")</f>
        <v>○</v>
      </c>
      <c r="D71" s="63" t="s">
        <v>20</v>
      </c>
      <c r="E71" s="65">
        <f>'P(M)'!AO28</f>
        <v>210</v>
      </c>
      <c r="F71" s="106">
        <f>E71*$M$6</f>
        <v>5250</v>
      </c>
      <c r="G71" s="63" t="s">
        <v>20</v>
      </c>
      <c r="H71" s="65">
        <f>'P(M)'!AU28</f>
        <v>1550</v>
      </c>
      <c r="I71" s="106">
        <f>H71*$M$6</f>
        <v>38750</v>
      </c>
      <c r="J71" s="106">
        <f t="shared" si="3"/>
        <v>44000</v>
      </c>
      <c r="K71" s="39">
        <f>'P(M)'!AY28</f>
        <v>0</v>
      </c>
      <c r="L71" s="106">
        <f t="shared" si="4"/>
        <v>44000</v>
      </c>
      <c r="M71" s="69" t="s">
        <v>8</v>
      </c>
      <c r="N71" s="138" t="str">
        <f t="shared" si="2"/>
        <v/>
      </c>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row>
    <row r="72" spans="1:114" ht="16.5" customHeight="1" x14ac:dyDescent="0.25">
      <c r="A72" s="172" t="s">
        <v>182</v>
      </c>
      <c r="B72" s="165"/>
      <c r="C72" s="175" t="str">
        <f>IF('P(M)'!$D$17=6,"●","○")</f>
        <v>○</v>
      </c>
      <c r="D72" s="63" t="s">
        <v>23</v>
      </c>
      <c r="E72" s="65">
        <f>'P(M)'!AO29</f>
        <v>0</v>
      </c>
      <c r="F72" s="106">
        <f>E72*$M$8</f>
        <v>0</v>
      </c>
      <c r="G72" s="63" t="s">
        <v>23</v>
      </c>
      <c r="H72" s="65">
        <f>'P(M)'!AU29</f>
        <v>530</v>
      </c>
      <c r="I72" s="106">
        <f>H72*$M$8</f>
        <v>4187</v>
      </c>
      <c r="J72" s="106">
        <f>F72+I72</f>
        <v>4187</v>
      </c>
      <c r="K72" s="39">
        <f>'P(M)'!AY29</f>
        <v>0</v>
      </c>
      <c r="L72" s="106">
        <f>J72+K72</f>
        <v>4187</v>
      </c>
      <c r="M72" s="190" t="s">
        <v>11</v>
      </c>
      <c r="N72" s="138" t="str">
        <f t="shared" si="2"/>
        <v/>
      </c>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row>
    <row r="73" spans="1:114" ht="16.5" customHeight="1" x14ac:dyDescent="0.25">
      <c r="A73" s="173"/>
      <c r="B73" s="165"/>
      <c r="C73" s="176"/>
      <c r="D73" s="63" t="s">
        <v>23</v>
      </c>
      <c r="E73" s="65">
        <f>'P(M)'!AO30</f>
        <v>0</v>
      </c>
      <c r="F73" s="106">
        <f>E73*$M$8</f>
        <v>0</v>
      </c>
      <c r="G73" s="63" t="s">
        <v>23</v>
      </c>
      <c r="H73" s="65">
        <f>'P(M)'!AU30</f>
        <v>0</v>
      </c>
      <c r="I73" s="106">
        <f>H73*$M$8</f>
        <v>0</v>
      </c>
      <c r="J73" s="106">
        <f>F73+I73</f>
        <v>0</v>
      </c>
      <c r="K73" s="39">
        <f>'P(M)'!AY30</f>
        <v>0</v>
      </c>
      <c r="L73" s="106">
        <f>J73+K73</f>
        <v>0</v>
      </c>
      <c r="M73" s="191"/>
      <c r="N73" s="138" t="str">
        <f t="shared" si="2"/>
        <v/>
      </c>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row>
    <row r="74" spans="1:114" ht="16.5" customHeight="1" x14ac:dyDescent="0.25">
      <c r="A74" s="69" t="s">
        <v>146</v>
      </c>
      <c r="B74" s="165"/>
      <c r="C74" s="170" t="str">
        <f>IF('P(M)'!$D$17=7,"●","○")</f>
        <v>○</v>
      </c>
      <c r="D74" s="63" t="s">
        <v>16</v>
      </c>
      <c r="E74" s="65">
        <f>'P(M)'!AO31</f>
        <v>0</v>
      </c>
      <c r="F74" s="106">
        <f>E74*$K$5</f>
        <v>0</v>
      </c>
      <c r="G74" s="63" t="s">
        <v>16</v>
      </c>
      <c r="H74" s="65">
        <f>'P(M)'!AU31</f>
        <v>0</v>
      </c>
      <c r="I74" s="106">
        <f>H74*$K$5</f>
        <v>0</v>
      </c>
      <c r="J74" s="106">
        <f t="shared" si="3"/>
        <v>0</v>
      </c>
      <c r="K74" s="39">
        <f>'P(M)'!AY31</f>
        <v>0</v>
      </c>
      <c r="L74" s="106">
        <f t="shared" si="4"/>
        <v>0</v>
      </c>
      <c r="M74" s="69" t="s">
        <v>146</v>
      </c>
      <c r="N74" s="138" t="str">
        <f t="shared" si="2"/>
        <v/>
      </c>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row>
    <row r="75" spans="1:114" ht="16.5" customHeight="1" x14ac:dyDescent="0.25">
      <c r="A75" s="172" t="s">
        <v>183</v>
      </c>
      <c r="B75" s="165"/>
      <c r="C75" s="175"/>
      <c r="D75" s="63" t="s">
        <v>16</v>
      </c>
      <c r="E75" s="65">
        <f>'P(M)'!AO32</f>
        <v>0</v>
      </c>
      <c r="F75" s="106">
        <f>E75*$K$5</f>
        <v>0</v>
      </c>
      <c r="G75" s="63" t="s">
        <v>16</v>
      </c>
      <c r="H75" s="65">
        <f>'P(M)'!AU32</f>
        <v>0</v>
      </c>
      <c r="I75" s="106">
        <f>H75*$K$5</f>
        <v>0</v>
      </c>
      <c r="J75" s="106">
        <f>F75+I75</f>
        <v>0</v>
      </c>
      <c r="K75" s="39">
        <f>'P(M)'!AY32</f>
        <v>0</v>
      </c>
      <c r="L75" s="106">
        <f>J75+K75</f>
        <v>0</v>
      </c>
      <c r="M75" s="190" t="s">
        <v>131</v>
      </c>
      <c r="N75" s="138" t="str">
        <f t="shared" si="2"/>
        <v/>
      </c>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row>
    <row r="76" spans="1:114" ht="16.5" customHeight="1" x14ac:dyDescent="0.25">
      <c r="A76" s="173"/>
      <c r="B76" s="165"/>
      <c r="C76" s="176"/>
      <c r="D76" s="63" t="s">
        <v>16</v>
      </c>
      <c r="E76" s="65">
        <f>'P(M)'!AO33</f>
        <v>0</v>
      </c>
      <c r="F76" s="106">
        <f>E76*$K$5</f>
        <v>0</v>
      </c>
      <c r="G76" s="63" t="s">
        <v>16</v>
      </c>
      <c r="H76" s="65">
        <f>'P(M)'!AU33</f>
        <v>0</v>
      </c>
      <c r="I76" s="106">
        <f>H76*$K$5</f>
        <v>0</v>
      </c>
      <c r="J76" s="106">
        <f>F76+I76</f>
        <v>0</v>
      </c>
      <c r="K76" s="39">
        <f>'P(M)'!AY33</f>
        <v>0</v>
      </c>
      <c r="L76" s="106">
        <f>J76+K76</f>
        <v>0</v>
      </c>
      <c r="M76" s="191"/>
      <c r="N76" s="138" t="str">
        <f t="shared" si="2"/>
        <v/>
      </c>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row>
    <row r="77" spans="1:114" ht="16.5" customHeight="1" x14ac:dyDescent="0.25">
      <c r="A77" s="172" t="s">
        <v>180</v>
      </c>
      <c r="B77" s="165"/>
      <c r="C77" s="175"/>
      <c r="D77" s="63" t="s">
        <v>21</v>
      </c>
      <c r="E77" s="65">
        <f>'P(M)'!AO34</f>
        <v>0</v>
      </c>
      <c r="F77" s="106">
        <f>E77*$M$7</f>
        <v>0</v>
      </c>
      <c r="G77" s="63" t="s">
        <v>16</v>
      </c>
      <c r="H77" s="65">
        <f>'P(M)'!AU34</f>
        <v>0</v>
      </c>
      <c r="I77" s="106">
        <f>H77*$K$5</f>
        <v>0</v>
      </c>
      <c r="J77" s="106">
        <f t="shared" si="3"/>
        <v>0</v>
      </c>
      <c r="K77" s="39">
        <f>'P(M)'!AY34</f>
        <v>0</v>
      </c>
      <c r="L77" s="106">
        <f t="shared" si="4"/>
        <v>0</v>
      </c>
      <c r="M77" s="190" t="s">
        <v>9</v>
      </c>
      <c r="N77" s="138" t="str">
        <f t="shared" si="2"/>
        <v/>
      </c>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row>
    <row r="78" spans="1:114" ht="16.5" customHeight="1" x14ac:dyDescent="0.25">
      <c r="A78" s="173"/>
      <c r="B78" s="165"/>
      <c r="C78" s="176"/>
      <c r="D78" s="63" t="s">
        <v>21</v>
      </c>
      <c r="E78" s="65">
        <f>'P(M)'!AO35</f>
        <v>0</v>
      </c>
      <c r="F78" s="106">
        <f>E78*$M$7</f>
        <v>0</v>
      </c>
      <c r="G78" s="63" t="s">
        <v>16</v>
      </c>
      <c r="H78" s="65">
        <f>'P(M)'!AU35</f>
        <v>0</v>
      </c>
      <c r="I78" s="106">
        <f>H78*$K$5</f>
        <v>0</v>
      </c>
      <c r="J78" s="106">
        <f t="shared" si="3"/>
        <v>0</v>
      </c>
      <c r="K78" s="39">
        <f>'P(M)'!AY35</f>
        <v>0</v>
      </c>
      <c r="L78" s="106">
        <f t="shared" si="4"/>
        <v>0</v>
      </c>
      <c r="M78" s="191"/>
      <c r="N78" s="138" t="str">
        <f t="shared" si="2"/>
        <v/>
      </c>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row>
    <row r="79" spans="1:114" ht="16.5" customHeight="1" x14ac:dyDescent="0.25">
      <c r="A79" s="172" t="s">
        <v>181</v>
      </c>
      <c r="B79" s="165"/>
      <c r="C79" s="175"/>
      <c r="D79" s="63" t="s">
        <v>22</v>
      </c>
      <c r="E79" s="65">
        <f>'P(M)'!AO36</f>
        <v>0</v>
      </c>
      <c r="F79" s="106">
        <f>E79*$K$9</f>
        <v>0</v>
      </c>
      <c r="G79" s="63" t="s">
        <v>22</v>
      </c>
      <c r="H79" s="65">
        <f>'P(M)'!AU36</f>
        <v>0</v>
      </c>
      <c r="I79" s="106">
        <f>H79*$K$9</f>
        <v>0</v>
      </c>
      <c r="J79" s="106">
        <f t="shared" si="3"/>
        <v>0</v>
      </c>
      <c r="K79" s="39">
        <f>'P(M)'!AY36</f>
        <v>0</v>
      </c>
      <c r="L79" s="106">
        <f t="shared" si="4"/>
        <v>0</v>
      </c>
      <c r="M79" s="190" t="s">
        <v>10</v>
      </c>
      <c r="N79" s="138" t="str">
        <f t="shared" si="2"/>
        <v/>
      </c>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row>
    <row r="80" spans="1:114" ht="16.5" customHeight="1" x14ac:dyDescent="0.25">
      <c r="A80" s="173"/>
      <c r="B80" s="165"/>
      <c r="C80" s="176"/>
      <c r="D80" s="63" t="s">
        <v>22</v>
      </c>
      <c r="E80" s="65">
        <f>'P(M)'!AO37</f>
        <v>0</v>
      </c>
      <c r="F80" s="106">
        <f>E80*$K$9</f>
        <v>0</v>
      </c>
      <c r="G80" s="63" t="s">
        <v>22</v>
      </c>
      <c r="H80" s="65">
        <f>'P(M)'!AU37</f>
        <v>0</v>
      </c>
      <c r="I80" s="106">
        <f>H80*$K$9</f>
        <v>0</v>
      </c>
      <c r="J80" s="106">
        <f t="shared" si="3"/>
        <v>0</v>
      </c>
      <c r="K80" s="39">
        <f>'P(M)'!AY37</f>
        <v>0</v>
      </c>
      <c r="L80" s="106">
        <f t="shared" si="4"/>
        <v>0</v>
      </c>
      <c r="M80" s="191"/>
      <c r="N80" s="138" t="str">
        <f t="shared" si="2"/>
        <v/>
      </c>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row>
    <row r="81" spans="1:114" ht="18.75" x14ac:dyDescent="0.25">
      <c r="A81" s="56"/>
      <c r="B81" s="56"/>
      <c r="C81" s="57"/>
      <c r="D81" s="56"/>
      <c r="E81" s="57" t="s">
        <v>184</v>
      </c>
      <c r="F81" s="58">
        <f>SUM(F60:F80)</f>
        <v>85950.54</v>
      </c>
      <c r="G81" s="56"/>
      <c r="H81" s="57" t="s">
        <v>184</v>
      </c>
      <c r="I81" s="59">
        <f>SUM(I60:I80)</f>
        <v>144013</v>
      </c>
      <c r="J81" s="60">
        <f>SUM(J60:J80)</f>
        <v>229963.54</v>
      </c>
      <c r="K81" s="61">
        <f>SUM(K60:K80)</f>
        <v>25000</v>
      </c>
      <c r="L81" s="64">
        <f>SUM(L60:L80)</f>
        <v>254963.54</v>
      </c>
      <c r="M81" s="63"/>
      <c r="N81" s="138"/>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row>
    <row r="82" spans="1:114" s="161" customFormat="1" ht="16.5" x14ac:dyDescent="0.25">
      <c r="A82" s="112" t="s">
        <v>294</v>
      </c>
      <c r="B82" s="159"/>
      <c r="C82" s="159"/>
      <c r="D82" s="159"/>
      <c r="E82" s="159"/>
      <c r="F82" s="159"/>
      <c r="G82" s="159"/>
      <c r="H82" s="159"/>
      <c r="I82" s="159"/>
      <c r="J82" s="159"/>
      <c r="K82" s="159"/>
      <c r="L82" s="159"/>
      <c r="M82" s="159"/>
      <c r="N82" s="138"/>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row>
    <row r="83" spans="1:114" s="161" customFormat="1" ht="16.5" x14ac:dyDescent="0.25">
      <c r="A83" s="112" t="s">
        <v>339</v>
      </c>
      <c r="B83" s="159"/>
      <c r="C83" s="159"/>
      <c r="D83" s="159"/>
      <c r="E83" s="159"/>
      <c r="F83" s="159"/>
      <c r="G83" s="159"/>
      <c r="H83" s="159"/>
      <c r="I83" s="159"/>
      <c r="J83" s="159"/>
      <c r="K83" s="159"/>
      <c r="L83" s="159"/>
      <c r="M83" s="159"/>
      <c r="N83" s="138"/>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row>
    <row r="84" spans="1:114" ht="16.5" x14ac:dyDescent="0.25">
      <c r="A84" s="70" t="str">
        <f>IF('P(M)'!C22=TRUE,"2.歐洲案的領證費總額，需視辦理專利生效程序的國別數量而定，上表僅包含「德國」、「法國」、「英國」三國的預估費用。","")</f>
        <v>2.歐洲案的領證費總額，需視辦理專利生效程序的國別數量而定，上表僅包含「德國」、「法國」、「英國」三國的預估費用。</v>
      </c>
      <c r="B84" s="37"/>
      <c r="C84" s="37"/>
      <c r="D84" s="37"/>
      <c r="E84" s="37"/>
      <c r="F84" s="37"/>
      <c r="G84" s="37"/>
      <c r="H84" s="37"/>
      <c r="I84" s="37"/>
      <c r="J84" s="37"/>
      <c r="K84" s="37"/>
      <c r="L84" s="37"/>
      <c r="M84" s="37"/>
      <c r="N84" s="138"/>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row>
    <row r="85" spans="1:114" ht="16.5" x14ac:dyDescent="0.25">
      <c r="A85" s="111"/>
      <c r="B85" s="37"/>
      <c r="C85" s="37"/>
      <c r="D85" s="37"/>
      <c r="E85" s="37"/>
      <c r="F85" s="37"/>
      <c r="G85" s="37"/>
      <c r="H85" s="37"/>
      <c r="I85" s="37"/>
      <c r="J85" s="37"/>
      <c r="K85" s="37"/>
      <c r="L85" s="37"/>
      <c r="M85" s="37"/>
      <c r="N85" s="138"/>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row>
    <row r="86" spans="1:114" ht="16.5" x14ac:dyDescent="0.25">
      <c r="A86" s="37"/>
      <c r="B86" s="37"/>
      <c r="C86" s="37"/>
      <c r="D86" s="37"/>
      <c r="E86" s="37"/>
      <c r="F86" s="37"/>
      <c r="G86" s="37"/>
      <c r="H86" s="37"/>
      <c r="I86" s="37"/>
      <c r="J86" s="37"/>
      <c r="K86" s="37"/>
      <c r="L86" s="37"/>
      <c r="M86" s="90"/>
      <c r="N86" s="138"/>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row>
    <row r="87" spans="1:114" s="67" customFormat="1" ht="16.5" x14ac:dyDescent="0.25">
      <c r="A87" s="113" t="s">
        <v>298</v>
      </c>
      <c r="B87" s="114"/>
      <c r="C87" s="114"/>
      <c r="D87" s="114"/>
      <c r="E87" s="114"/>
      <c r="F87" s="114"/>
      <c r="G87" s="114"/>
      <c r="H87" s="114"/>
      <c r="I87" s="114"/>
      <c r="J87" s="114"/>
      <c r="K87" s="114"/>
      <c r="L87" s="114"/>
      <c r="M87" s="114"/>
      <c r="N87" s="138"/>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row>
    <row r="88" spans="1:114" ht="33" customHeight="1" x14ac:dyDescent="0.25">
      <c r="A88" s="174" t="s">
        <v>166</v>
      </c>
      <c r="B88" s="177" t="s">
        <v>168</v>
      </c>
      <c r="C88" s="178" t="s">
        <v>313</v>
      </c>
      <c r="D88" s="177" t="s">
        <v>235</v>
      </c>
      <c r="E88" s="174"/>
      <c r="F88" s="174"/>
      <c r="G88" s="177" t="s">
        <v>236</v>
      </c>
      <c r="H88" s="174"/>
      <c r="I88" s="174"/>
      <c r="J88" s="115" t="s">
        <v>237</v>
      </c>
      <c r="K88" s="177" t="s">
        <v>238</v>
      </c>
      <c r="L88" s="177" t="s">
        <v>239</v>
      </c>
      <c r="M88" s="201" t="s">
        <v>166</v>
      </c>
      <c r="N88" s="138"/>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row>
    <row r="89" spans="1:114" ht="16.5" customHeight="1" x14ac:dyDescent="0.25">
      <c r="A89" s="174"/>
      <c r="B89" s="174"/>
      <c r="C89" s="179"/>
      <c r="D89" s="116" t="s">
        <v>171</v>
      </c>
      <c r="E89" s="116" t="s">
        <v>172</v>
      </c>
      <c r="F89" s="116" t="s">
        <v>173</v>
      </c>
      <c r="G89" s="116" t="s">
        <v>171</v>
      </c>
      <c r="H89" s="116" t="s">
        <v>172</v>
      </c>
      <c r="I89" s="116" t="s">
        <v>173</v>
      </c>
      <c r="J89" s="116" t="s">
        <v>173</v>
      </c>
      <c r="K89" s="174"/>
      <c r="L89" s="174"/>
      <c r="M89" s="174"/>
      <c r="N89" s="138"/>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row>
    <row r="90" spans="1:114" ht="16.5" customHeight="1" x14ac:dyDescent="0.25">
      <c r="A90" s="172" t="s">
        <v>174</v>
      </c>
      <c r="B90" s="165"/>
      <c r="C90" s="175" t="str">
        <f>IF('P(M)'!$D$17=1,"●","○")</f>
        <v>●</v>
      </c>
      <c r="D90" s="63" t="s">
        <v>14</v>
      </c>
      <c r="E90" s="65">
        <f>'P(M)'!K46</f>
        <v>0</v>
      </c>
      <c r="F90" s="106">
        <f>E90</f>
        <v>0</v>
      </c>
      <c r="G90" s="63" t="s">
        <v>14</v>
      </c>
      <c r="H90" s="65">
        <f>'P(M)'!T46</f>
        <v>0</v>
      </c>
      <c r="I90" s="106">
        <f>H90</f>
        <v>0</v>
      </c>
      <c r="J90" s="106">
        <f>F90+I90</f>
        <v>0</v>
      </c>
      <c r="K90" s="39">
        <f>'P(M)'!AA46</f>
        <v>25000</v>
      </c>
      <c r="L90" s="106">
        <f>J90+K90</f>
        <v>25000</v>
      </c>
      <c r="M90" s="190" t="str">
        <f>A90</f>
        <v>台灣</v>
      </c>
      <c r="N90" s="138" t="str">
        <f t="shared" ref="N90:N110" si="5">N16</f>
        <v/>
      </c>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row>
    <row r="91" spans="1:114" ht="16.5" customHeight="1" x14ac:dyDescent="0.25">
      <c r="A91" s="173"/>
      <c r="B91" s="165"/>
      <c r="C91" s="176"/>
      <c r="D91" s="63" t="s">
        <v>14</v>
      </c>
      <c r="E91" s="65">
        <f>'P(M)'!K47</f>
        <v>0</v>
      </c>
      <c r="F91" s="106">
        <f>E91</f>
        <v>0</v>
      </c>
      <c r="G91" s="63" t="s">
        <v>14</v>
      </c>
      <c r="H91" s="65">
        <f>'P(M)'!T47</f>
        <v>0</v>
      </c>
      <c r="I91" s="106">
        <f>H91</f>
        <v>0</v>
      </c>
      <c r="J91" s="106">
        <f t="shared" ref="J91:J110" si="6">F91+I91</f>
        <v>0</v>
      </c>
      <c r="K91" s="39">
        <f>'P(M)'!AA47</f>
        <v>0</v>
      </c>
      <c r="L91" s="106">
        <f t="shared" ref="L91:L110" si="7">J91+K91</f>
        <v>0</v>
      </c>
      <c r="M91" s="191"/>
      <c r="N91" s="138" t="str">
        <f t="shared" si="5"/>
        <v/>
      </c>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row>
    <row r="92" spans="1:114" ht="16.5" customHeight="1" x14ac:dyDescent="0.25">
      <c r="A92" s="172" t="s">
        <v>175</v>
      </c>
      <c r="B92" s="165"/>
      <c r="C92" s="175" t="str">
        <f>IF('P(M)'!$D$17=2,"●","○")</f>
        <v>○</v>
      </c>
      <c r="D92" s="63" t="s">
        <v>15</v>
      </c>
      <c r="E92" s="65">
        <f>'P(M)'!K48</f>
        <v>0</v>
      </c>
      <c r="F92" s="106">
        <f>E92*$M$5</f>
        <v>0</v>
      </c>
      <c r="G92" s="63" t="s">
        <v>15</v>
      </c>
      <c r="H92" s="65">
        <f>'P(M)'!T48</f>
        <v>1200</v>
      </c>
      <c r="I92" s="106">
        <f>H92*$M$5</f>
        <v>5520</v>
      </c>
      <c r="J92" s="106">
        <f t="shared" si="6"/>
        <v>5520</v>
      </c>
      <c r="K92" s="39">
        <f>'P(M)'!AA48</f>
        <v>25000</v>
      </c>
      <c r="L92" s="106">
        <f t="shared" si="7"/>
        <v>30520</v>
      </c>
      <c r="M92" s="190" t="s">
        <v>3</v>
      </c>
      <c r="N92" s="138" t="str">
        <f t="shared" si="5"/>
        <v/>
      </c>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row>
    <row r="93" spans="1:114" ht="16.5" customHeight="1" x14ac:dyDescent="0.25">
      <c r="A93" s="173"/>
      <c r="B93" s="165"/>
      <c r="C93" s="176"/>
      <c r="D93" s="63" t="s">
        <v>15</v>
      </c>
      <c r="E93" s="65">
        <f>'P(M)'!K49</f>
        <v>0</v>
      </c>
      <c r="F93" s="106">
        <f>E93*$M$5</f>
        <v>0</v>
      </c>
      <c r="G93" s="63" t="s">
        <v>15</v>
      </c>
      <c r="H93" s="65">
        <f>'P(M)'!T49</f>
        <v>0</v>
      </c>
      <c r="I93" s="106">
        <f>H93*$M$5</f>
        <v>0</v>
      </c>
      <c r="J93" s="106">
        <f t="shared" si="6"/>
        <v>0</v>
      </c>
      <c r="K93" s="39">
        <f>'P(M)'!AA49</f>
        <v>0</v>
      </c>
      <c r="L93" s="106">
        <f t="shared" si="7"/>
        <v>0</v>
      </c>
      <c r="M93" s="191"/>
      <c r="N93" s="138" t="str">
        <f t="shared" si="5"/>
        <v/>
      </c>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row>
    <row r="94" spans="1:114" ht="16.5" customHeight="1" x14ac:dyDescent="0.25">
      <c r="A94" s="63" t="s">
        <v>176</v>
      </c>
      <c r="B94" s="165"/>
      <c r="C94" s="170" t="str">
        <f>IF('P(M)'!$D$17=3,"●","○")</f>
        <v>○</v>
      </c>
      <c r="D94" s="63" t="s">
        <v>16</v>
      </c>
      <c r="E94" s="65">
        <f>'P(M)'!K50</f>
        <v>0</v>
      </c>
      <c r="F94" s="106">
        <f>E94*$K$5</f>
        <v>0</v>
      </c>
      <c r="G94" s="63" t="s">
        <v>16</v>
      </c>
      <c r="H94" s="65">
        <f>'P(M)'!T50</f>
        <v>1320</v>
      </c>
      <c r="I94" s="106">
        <f>H94*$K$5</f>
        <v>43824.000000000007</v>
      </c>
      <c r="J94" s="106">
        <f t="shared" si="6"/>
        <v>43824.000000000007</v>
      </c>
      <c r="K94" s="39">
        <f>'P(M)'!AA50</f>
        <v>40000</v>
      </c>
      <c r="L94" s="106">
        <f t="shared" si="7"/>
        <v>83824</v>
      </c>
      <c r="M94" s="69" t="s">
        <v>4</v>
      </c>
      <c r="N94" s="138" t="str">
        <f t="shared" si="5"/>
        <v/>
      </c>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row>
    <row r="95" spans="1:114" ht="16.5" customHeight="1" x14ac:dyDescent="0.25">
      <c r="A95" s="63" t="s">
        <v>193</v>
      </c>
      <c r="B95" s="165"/>
      <c r="C95" s="170"/>
      <c r="D95" s="63" t="s">
        <v>17</v>
      </c>
      <c r="E95" s="65">
        <f>'P(M)'!K51</f>
        <v>2500</v>
      </c>
      <c r="F95" s="106">
        <f>E95*$K$6</f>
        <v>86500</v>
      </c>
      <c r="G95" s="63" t="s">
        <v>17</v>
      </c>
      <c r="H95" s="65">
        <f>'P(M)'!T51</f>
        <v>1980</v>
      </c>
      <c r="I95" s="106">
        <f>H95*$K$6</f>
        <v>68508</v>
      </c>
      <c r="J95" s="106">
        <f t="shared" si="6"/>
        <v>155008</v>
      </c>
      <c r="K95" s="39">
        <f>'P(M)'!AA51</f>
        <v>40000</v>
      </c>
      <c r="L95" s="106">
        <f t="shared" si="7"/>
        <v>195008</v>
      </c>
      <c r="M95" s="69" t="s">
        <v>5</v>
      </c>
      <c r="N95" s="138" t="str">
        <f t="shared" si="5"/>
        <v/>
      </c>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row>
    <row r="96" spans="1:114" ht="16.5" customHeight="1" x14ac:dyDescent="0.25">
      <c r="A96" s="172" t="s">
        <v>177</v>
      </c>
      <c r="B96" s="165"/>
      <c r="C96" s="175"/>
      <c r="D96" s="63" t="s">
        <v>18</v>
      </c>
      <c r="E96" s="65">
        <f>'P(M)'!K52</f>
        <v>0</v>
      </c>
      <c r="F96" s="106">
        <f>E96*$K$7</f>
        <v>0</v>
      </c>
      <c r="G96" s="63" t="s">
        <v>18</v>
      </c>
      <c r="H96" s="65">
        <f>'P(M)'!T52</f>
        <v>215000</v>
      </c>
      <c r="I96" s="106">
        <f>H96*$K$7</f>
        <v>47300</v>
      </c>
      <c r="J96" s="106">
        <f t="shared" si="6"/>
        <v>47300</v>
      </c>
      <c r="K96" s="39">
        <f>'P(M)'!AA52</f>
        <v>40000</v>
      </c>
      <c r="L96" s="106">
        <f t="shared" si="7"/>
        <v>87300</v>
      </c>
      <c r="M96" s="190" t="s">
        <v>6</v>
      </c>
      <c r="N96" s="138" t="str">
        <f t="shared" si="5"/>
        <v/>
      </c>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row>
    <row r="97" spans="1:114" ht="16.5" customHeight="1" x14ac:dyDescent="0.25">
      <c r="A97" s="173"/>
      <c r="B97" s="165"/>
      <c r="C97" s="176"/>
      <c r="D97" s="63" t="s">
        <v>18</v>
      </c>
      <c r="E97" s="65">
        <f>'P(M)'!K53</f>
        <v>0</v>
      </c>
      <c r="F97" s="106">
        <f>E97*$K$7</f>
        <v>0</v>
      </c>
      <c r="G97" s="63" t="s">
        <v>18</v>
      </c>
      <c r="H97" s="65">
        <f>'P(M)'!T53</f>
        <v>0</v>
      </c>
      <c r="I97" s="106">
        <f>H97*$K$7</f>
        <v>0</v>
      </c>
      <c r="J97" s="106">
        <f t="shared" si="6"/>
        <v>0</v>
      </c>
      <c r="K97" s="39">
        <f>'P(M)'!AA53</f>
        <v>0</v>
      </c>
      <c r="L97" s="106">
        <f t="shared" si="7"/>
        <v>0</v>
      </c>
      <c r="M97" s="191"/>
      <c r="N97" s="138" t="str">
        <f t="shared" si="5"/>
        <v/>
      </c>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row>
    <row r="98" spans="1:114" ht="16.5" customHeight="1" x14ac:dyDescent="0.25">
      <c r="A98" s="172" t="s">
        <v>178</v>
      </c>
      <c r="B98" s="165"/>
      <c r="C98" s="175"/>
      <c r="D98" s="63" t="s">
        <v>19</v>
      </c>
      <c r="E98" s="65">
        <f>'P(M)'!K54</f>
        <v>4000</v>
      </c>
      <c r="F98" s="106">
        <f>E98*$K$8</f>
        <v>104</v>
      </c>
      <c r="G98" s="63" t="s">
        <v>16</v>
      </c>
      <c r="H98" s="65">
        <f>'P(M)'!T54</f>
        <v>2000</v>
      </c>
      <c r="I98" s="106">
        <f>H98*$K$5</f>
        <v>66400</v>
      </c>
      <c r="J98" s="106">
        <f t="shared" si="6"/>
        <v>66504</v>
      </c>
      <c r="K98" s="39">
        <f>'P(M)'!AA54</f>
        <v>40000</v>
      </c>
      <c r="L98" s="106">
        <f t="shared" si="7"/>
        <v>106504</v>
      </c>
      <c r="M98" s="190" t="s">
        <v>7</v>
      </c>
      <c r="N98" s="138" t="str">
        <f t="shared" si="5"/>
        <v/>
      </c>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row>
    <row r="99" spans="1:114" ht="16.5" customHeight="1" x14ac:dyDescent="0.25">
      <c r="A99" s="173"/>
      <c r="B99" s="165"/>
      <c r="C99" s="176"/>
      <c r="D99" s="63" t="s">
        <v>19</v>
      </c>
      <c r="E99" s="65">
        <f>'P(M)'!K55</f>
        <v>0</v>
      </c>
      <c r="F99" s="106">
        <f>E99*$K$8</f>
        <v>0</v>
      </c>
      <c r="G99" s="63" t="s">
        <v>16</v>
      </c>
      <c r="H99" s="65">
        <f>'P(M)'!T55</f>
        <v>0</v>
      </c>
      <c r="I99" s="106">
        <f>H99*$K$5</f>
        <v>0</v>
      </c>
      <c r="J99" s="106">
        <f t="shared" si="6"/>
        <v>0</v>
      </c>
      <c r="K99" s="39">
        <f>'P(M)'!AA55</f>
        <v>0</v>
      </c>
      <c r="L99" s="106">
        <f t="shared" si="7"/>
        <v>0</v>
      </c>
      <c r="M99" s="191"/>
      <c r="N99" s="138" t="str">
        <f t="shared" si="5"/>
        <v/>
      </c>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row>
    <row r="100" spans="1:114" ht="16.5" customHeight="1" x14ac:dyDescent="0.25">
      <c r="A100" s="63" t="s">
        <v>194</v>
      </c>
      <c r="B100" s="165"/>
      <c r="C100" s="170" t="str">
        <f>IF('P(M)'!$D$17=4,"●","○")</f>
        <v>○</v>
      </c>
      <c r="D100" s="63" t="s">
        <v>43</v>
      </c>
      <c r="E100" s="65">
        <f>'P(M)'!K56</f>
        <v>0</v>
      </c>
      <c r="F100" s="106">
        <f>E100*$M$9</f>
        <v>0</v>
      </c>
      <c r="G100" s="63" t="s">
        <v>43</v>
      </c>
      <c r="H100" s="65">
        <f>'P(M)'!T56</f>
        <v>2000</v>
      </c>
      <c r="I100" s="106">
        <f>H100*$M$9</f>
        <v>47000</v>
      </c>
      <c r="J100" s="106">
        <f>F100+I100</f>
        <v>47000</v>
      </c>
      <c r="K100" s="39">
        <f>'P(M)'!AA56</f>
        <v>40000</v>
      </c>
      <c r="L100" s="106">
        <f>J100+K100</f>
        <v>87000</v>
      </c>
      <c r="M100" s="69" t="s">
        <v>42</v>
      </c>
      <c r="N100" s="138" t="str">
        <f t="shared" si="5"/>
        <v/>
      </c>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row>
    <row r="101" spans="1:114" ht="16.5" customHeight="1" x14ac:dyDescent="0.25">
      <c r="A101" s="63" t="s">
        <v>179</v>
      </c>
      <c r="B101" s="165"/>
      <c r="C101" s="170" t="str">
        <f>IF('P(M)'!$D$17=5,"●","○")</f>
        <v>○</v>
      </c>
      <c r="D101" s="63" t="s">
        <v>20</v>
      </c>
      <c r="E101" s="65">
        <f>'P(M)'!K57</f>
        <v>0</v>
      </c>
      <c r="F101" s="106">
        <f>E101*$M$6</f>
        <v>0</v>
      </c>
      <c r="G101" s="63" t="s">
        <v>20</v>
      </c>
      <c r="H101" s="65">
        <f>'P(M)'!T57</f>
        <v>1900</v>
      </c>
      <c r="I101" s="106">
        <f>H101*$M$6</f>
        <v>47500</v>
      </c>
      <c r="J101" s="106">
        <f t="shared" si="6"/>
        <v>47500</v>
      </c>
      <c r="K101" s="39">
        <f>'P(M)'!AA57</f>
        <v>40000</v>
      </c>
      <c r="L101" s="106">
        <f t="shared" si="7"/>
        <v>87500</v>
      </c>
      <c r="M101" s="69" t="s">
        <v>8</v>
      </c>
      <c r="N101" s="138" t="str">
        <f t="shared" si="5"/>
        <v/>
      </c>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row>
    <row r="102" spans="1:114" ht="16.5" customHeight="1" x14ac:dyDescent="0.25">
      <c r="A102" s="172" t="s">
        <v>182</v>
      </c>
      <c r="B102" s="165"/>
      <c r="C102" s="175" t="str">
        <f>IF('P(M)'!$D$17=6,"●","○")</f>
        <v>○</v>
      </c>
      <c r="D102" s="63" t="s">
        <v>23</v>
      </c>
      <c r="E102" s="65">
        <f>'P(M)'!K58</f>
        <v>0</v>
      </c>
      <c r="F102" s="106">
        <f>E102*$M$8</f>
        <v>0</v>
      </c>
      <c r="G102" s="63" t="s">
        <v>23</v>
      </c>
      <c r="H102" s="65">
        <f>'P(M)'!T58</f>
        <v>3712</v>
      </c>
      <c r="I102" s="106">
        <f>H102*$M$8</f>
        <v>29324.800000000003</v>
      </c>
      <c r="J102" s="106">
        <f>F102+I102</f>
        <v>29324.800000000003</v>
      </c>
      <c r="K102" s="39">
        <f>'P(M)'!AA58</f>
        <v>40000</v>
      </c>
      <c r="L102" s="106">
        <f>J102+K102</f>
        <v>69324.800000000003</v>
      </c>
      <c r="M102" s="190" t="s">
        <v>11</v>
      </c>
      <c r="N102" s="138" t="str">
        <f t="shared" si="5"/>
        <v/>
      </c>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row>
    <row r="103" spans="1:114" ht="16.5" customHeight="1" x14ac:dyDescent="0.25">
      <c r="A103" s="173"/>
      <c r="B103" s="165"/>
      <c r="C103" s="176"/>
      <c r="D103" s="63" t="s">
        <v>23</v>
      </c>
      <c r="E103" s="65">
        <f>'P(M)'!K59</f>
        <v>0</v>
      </c>
      <c r="F103" s="106">
        <f>E103*$M$8</f>
        <v>0</v>
      </c>
      <c r="G103" s="63" t="s">
        <v>23</v>
      </c>
      <c r="H103" s="65">
        <f>'P(M)'!T59</f>
        <v>0</v>
      </c>
      <c r="I103" s="106">
        <f>H103*$M$8</f>
        <v>0</v>
      </c>
      <c r="J103" s="106">
        <f>F103+I103</f>
        <v>0</v>
      </c>
      <c r="K103" s="39">
        <f>'P(M)'!AA59</f>
        <v>0</v>
      </c>
      <c r="L103" s="106">
        <f>J103+K103</f>
        <v>0</v>
      </c>
      <c r="M103" s="191"/>
      <c r="N103" s="138" t="str">
        <f t="shared" si="5"/>
        <v/>
      </c>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row>
    <row r="104" spans="1:114" ht="16.5" customHeight="1" x14ac:dyDescent="0.25">
      <c r="A104" s="69" t="s">
        <v>146</v>
      </c>
      <c r="B104" s="165"/>
      <c r="C104" s="170" t="str">
        <f>IF('P(M)'!$D$17=7,"●","○")</f>
        <v>○</v>
      </c>
      <c r="D104" s="63" t="s">
        <v>16</v>
      </c>
      <c r="E104" s="65">
        <f>'P(M)'!K60</f>
        <v>0</v>
      </c>
      <c r="F104" s="106">
        <f>E104*$K$5</f>
        <v>0</v>
      </c>
      <c r="G104" s="63" t="s">
        <v>16</v>
      </c>
      <c r="H104" s="65">
        <f>'P(M)'!T60</f>
        <v>0</v>
      </c>
      <c r="I104" s="106">
        <f>H104*$K$5</f>
        <v>0</v>
      </c>
      <c r="J104" s="106">
        <f t="shared" si="6"/>
        <v>0</v>
      </c>
      <c r="K104" s="39">
        <f>'P(M)'!AA60</f>
        <v>0</v>
      </c>
      <c r="L104" s="106">
        <f t="shared" si="7"/>
        <v>0</v>
      </c>
      <c r="M104" s="69" t="s">
        <v>146</v>
      </c>
      <c r="N104" s="138" t="str">
        <f t="shared" si="5"/>
        <v/>
      </c>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row>
    <row r="105" spans="1:114" ht="16.5" customHeight="1" x14ac:dyDescent="0.25">
      <c r="A105" s="172" t="s">
        <v>183</v>
      </c>
      <c r="B105" s="165"/>
      <c r="C105" s="175"/>
      <c r="D105" s="63" t="s">
        <v>16</v>
      </c>
      <c r="E105" s="65">
        <f>'P(M)'!K61</f>
        <v>0</v>
      </c>
      <c r="F105" s="106">
        <f>E105*$K$5</f>
        <v>0</v>
      </c>
      <c r="G105" s="63" t="s">
        <v>16</v>
      </c>
      <c r="H105" s="65">
        <f>'P(M)'!T61</f>
        <v>0</v>
      </c>
      <c r="I105" s="106">
        <f>H105*$K$5</f>
        <v>0</v>
      </c>
      <c r="J105" s="106">
        <f>F105+I105</f>
        <v>0</v>
      </c>
      <c r="K105" s="39">
        <f>'P(M)'!AA61</f>
        <v>0</v>
      </c>
      <c r="L105" s="106">
        <f>J105+K105</f>
        <v>0</v>
      </c>
      <c r="M105" s="190" t="s">
        <v>131</v>
      </c>
      <c r="N105" s="138" t="str">
        <f t="shared" si="5"/>
        <v/>
      </c>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row>
    <row r="106" spans="1:114" ht="16.5" customHeight="1" x14ac:dyDescent="0.25">
      <c r="A106" s="173"/>
      <c r="B106" s="165"/>
      <c r="C106" s="176"/>
      <c r="D106" s="63" t="s">
        <v>16</v>
      </c>
      <c r="E106" s="65">
        <f>'P(M)'!K62</f>
        <v>0</v>
      </c>
      <c r="F106" s="106">
        <f>E106*$K$5</f>
        <v>0</v>
      </c>
      <c r="G106" s="63" t="s">
        <v>16</v>
      </c>
      <c r="H106" s="65">
        <f>'P(M)'!T62</f>
        <v>0</v>
      </c>
      <c r="I106" s="106">
        <f>H106*$K$5</f>
        <v>0</v>
      </c>
      <c r="J106" s="106">
        <f>F106+I106</f>
        <v>0</v>
      </c>
      <c r="K106" s="39">
        <f>'P(M)'!AA62</f>
        <v>0</v>
      </c>
      <c r="L106" s="106">
        <f>J106+K106</f>
        <v>0</v>
      </c>
      <c r="M106" s="191"/>
      <c r="N106" s="138" t="str">
        <f t="shared" si="5"/>
        <v/>
      </c>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row>
    <row r="107" spans="1:114" ht="16.5" customHeight="1" x14ac:dyDescent="0.25">
      <c r="A107" s="172" t="s">
        <v>180</v>
      </c>
      <c r="B107" s="165"/>
      <c r="C107" s="175"/>
      <c r="D107" s="63" t="s">
        <v>21</v>
      </c>
      <c r="E107" s="65">
        <f>'P(M)'!K63</f>
        <v>0</v>
      </c>
      <c r="F107" s="106">
        <f>E107*$M$7</f>
        <v>0</v>
      </c>
      <c r="G107" s="63" t="s">
        <v>16</v>
      </c>
      <c r="H107" s="65">
        <f>'P(M)'!T63</f>
        <v>0</v>
      </c>
      <c r="I107" s="106">
        <f>H107*$K$5</f>
        <v>0</v>
      </c>
      <c r="J107" s="106">
        <f t="shared" si="6"/>
        <v>0</v>
      </c>
      <c r="K107" s="39">
        <f>'P(M)'!AA63</f>
        <v>0</v>
      </c>
      <c r="L107" s="106">
        <f t="shared" si="7"/>
        <v>0</v>
      </c>
      <c r="M107" s="190" t="s">
        <v>9</v>
      </c>
      <c r="N107" s="138" t="str">
        <f t="shared" si="5"/>
        <v/>
      </c>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row>
    <row r="108" spans="1:114" ht="16.5" customHeight="1" x14ac:dyDescent="0.25">
      <c r="A108" s="173"/>
      <c r="B108" s="165"/>
      <c r="C108" s="176"/>
      <c r="D108" s="63" t="s">
        <v>21</v>
      </c>
      <c r="E108" s="65">
        <f>'P(M)'!K64</f>
        <v>0</v>
      </c>
      <c r="F108" s="106">
        <f>E108*$M$7</f>
        <v>0</v>
      </c>
      <c r="G108" s="63" t="s">
        <v>16</v>
      </c>
      <c r="H108" s="65">
        <f>'P(M)'!T64</f>
        <v>0</v>
      </c>
      <c r="I108" s="106">
        <f>H108*$K$5</f>
        <v>0</v>
      </c>
      <c r="J108" s="106">
        <f t="shared" si="6"/>
        <v>0</v>
      </c>
      <c r="K108" s="39">
        <f>'P(M)'!AA64</f>
        <v>0</v>
      </c>
      <c r="L108" s="106">
        <f t="shared" si="7"/>
        <v>0</v>
      </c>
      <c r="M108" s="191"/>
      <c r="N108" s="138" t="str">
        <f t="shared" si="5"/>
        <v/>
      </c>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row>
    <row r="109" spans="1:114" ht="16.5" customHeight="1" x14ac:dyDescent="0.25">
      <c r="A109" s="172" t="s">
        <v>181</v>
      </c>
      <c r="B109" s="165"/>
      <c r="C109" s="175"/>
      <c r="D109" s="63" t="s">
        <v>22</v>
      </c>
      <c r="E109" s="65">
        <f>'P(M)'!K65</f>
        <v>0</v>
      </c>
      <c r="F109" s="106">
        <f>E109*$K$9</f>
        <v>0</v>
      </c>
      <c r="G109" s="63" t="s">
        <v>22</v>
      </c>
      <c r="H109" s="65">
        <f>'P(M)'!T65</f>
        <v>0</v>
      </c>
      <c r="I109" s="106">
        <f>H109*$K$9</f>
        <v>0</v>
      </c>
      <c r="J109" s="106">
        <f t="shared" si="6"/>
        <v>0</v>
      </c>
      <c r="K109" s="39">
        <f>'P(M)'!AA65</f>
        <v>0</v>
      </c>
      <c r="L109" s="106">
        <f t="shared" si="7"/>
        <v>0</v>
      </c>
      <c r="M109" s="190" t="s">
        <v>10</v>
      </c>
      <c r="N109" s="138" t="str">
        <f t="shared" si="5"/>
        <v/>
      </c>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row>
    <row r="110" spans="1:114" ht="16.5" customHeight="1" x14ac:dyDescent="0.25">
      <c r="A110" s="173"/>
      <c r="B110" s="165"/>
      <c r="C110" s="176"/>
      <c r="D110" s="63" t="s">
        <v>22</v>
      </c>
      <c r="E110" s="65">
        <f>'P(M)'!K66</f>
        <v>0</v>
      </c>
      <c r="F110" s="106">
        <f>E110*$K$9</f>
        <v>0</v>
      </c>
      <c r="G110" s="63" t="s">
        <v>22</v>
      </c>
      <c r="H110" s="65">
        <f>'P(M)'!T66</f>
        <v>0</v>
      </c>
      <c r="I110" s="106">
        <f>H110*$K$9</f>
        <v>0</v>
      </c>
      <c r="J110" s="106">
        <f t="shared" si="6"/>
        <v>0</v>
      </c>
      <c r="K110" s="39">
        <f>'P(M)'!AA66</f>
        <v>0</v>
      </c>
      <c r="L110" s="106">
        <f t="shared" si="7"/>
        <v>0</v>
      </c>
      <c r="M110" s="191"/>
      <c r="N110" s="138" t="str">
        <f t="shared" si="5"/>
        <v/>
      </c>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row>
    <row r="111" spans="1:114" ht="18.75" x14ac:dyDescent="0.25">
      <c r="A111" s="56"/>
      <c r="B111" s="56"/>
      <c r="C111" s="57"/>
      <c r="D111" s="56"/>
      <c r="E111" s="57" t="s">
        <v>184</v>
      </c>
      <c r="F111" s="58">
        <f>SUM(F90:F110)</f>
        <v>86604</v>
      </c>
      <c r="G111" s="56"/>
      <c r="H111" s="57" t="s">
        <v>184</v>
      </c>
      <c r="I111" s="59">
        <f>SUM(I90:I110)</f>
        <v>355376.8</v>
      </c>
      <c r="J111" s="60">
        <f>SUM(J90:J110)</f>
        <v>441980.8</v>
      </c>
      <c r="K111" s="61">
        <f>SUM(K90:K110)</f>
        <v>330000</v>
      </c>
      <c r="L111" s="64">
        <f>SUM(L90:L110)</f>
        <v>771980.80000000005</v>
      </c>
      <c r="M111" s="63"/>
      <c r="N111" s="138"/>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row>
    <row r="112" spans="1:114" s="156" customFormat="1" ht="16.5" x14ac:dyDescent="0.25">
      <c r="A112" s="112" t="s">
        <v>294</v>
      </c>
      <c r="B112" s="110"/>
      <c r="C112" s="110"/>
      <c r="D112" s="110"/>
      <c r="E112" s="110"/>
      <c r="F112" s="110"/>
      <c r="G112" s="110"/>
      <c r="H112" s="110"/>
      <c r="I112" s="110"/>
      <c r="J112" s="110"/>
      <c r="K112" s="110"/>
      <c r="L112" s="110"/>
      <c r="M112" s="110"/>
      <c r="N112" s="138"/>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c r="CJ112" s="155"/>
      <c r="CK112" s="155"/>
      <c r="CL112" s="155"/>
      <c r="CM112" s="155"/>
      <c r="CN112" s="155"/>
      <c r="CO112" s="155"/>
      <c r="CP112" s="155"/>
      <c r="CQ112" s="155"/>
      <c r="CR112" s="155"/>
      <c r="CS112" s="155"/>
      <c r="CT112" s="155"/>
      <c r="CU112" s="155"/>
      <c r="CV112" s="155"/>
      <c r="CW112" s="155"/>
      <c r="CX112" s="155"/>
      <c r="CY112" s="155"/>
      <c r="CZ112" s="155"/>
      <c r="DA112" s="155"/>
      <c r="DB112" s="155"/>
      <c r="DC112" s="155"/>
      <c r="DD112" s="155"/>
      <c r="DE112" s="155"/>
      <c r="DF112" s="155"/>
      <c r="DG112" s="155"/>
      <c r="DH112" s="155"/>
      <c r="DI112" s="155"/>
      <c r="DJ112" s="155"/>
    </row>
    <row r="113" spans="1:114" s="156" customFormat="1" ht="16.5" x14ac:dyDescent="0.25">
      <c r="A113" s="112" t="s">
        <v>340</v>
      </c>
      <c r="B113" s="110"/>
      <c r="C113" s="110"/>
      <c r="D113" s="110"/>
      <c r="E113" s="110"/>
      <c r="F113" s="110"/>
      <c r="G113" s="110"/>
      <c r="H113" s="110"/>
      <c r="I113" s="110"/>
      <c r="J113" s="110"/>
      <c r="K113" s="110"/>
      <c r="L113" s="110"/>
      <c r="M113" s="110"/>
      <c r="N113" s="138"/>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155"/>
      <c r="BZ113" s="155"/>
      <c r="CA113" s="155"/>
      <c r="CB113" s="155"/>
      <c r="CC113" s="155"/>
      <c r="CD113" s="155"/>
      <c r="CE113" s="155"/>
      <c r="CF113" s="155"/>
      <c r="CG113" s="155"/>
      <c r="CH113" s="155"/>
      <c r="CI113" s="155"/>
      <c r="CJ113" s="155"/>
      <c r="CK113" s="155"/>
      <c r="CL113" s="155"/>
      <c r="CM113" s="155"/>
      <c r="CN113" s="155"/>
      <c r="CO113" s="155"/>
      <c r="CP113" s="155"/>
      <c r="CQ113" s="155"/>
      <c r="CR113" s="155"/>
      <c r="CS113" s="155"/>
      <c r="CT113" s="155"/>
      <c r="CU113" s="155"/>
      <c r="CV113" s="155"/>
      <c r="CW113" s="155"/>
      <c r="CX113" s="155"/>
      <c r="CY113" s="155"/>
      <c r="CZ113" s="155"/>
      <c r="DA113" s="155"/>
      <c r="DB113" s="155"/>
      <c r="DC113" s="155"/>
      <c r="DD113" s="155"/>
      <c r="DE113" s="155"/>
      <c r="DF113" s="155"/>
      <c r="DG113" s="155"/>
      <c r="DH113" s="155"/>
      <c r="DI113" s="155"/>
      <c r="DJ113" s="155"/>
    </row>
    <row r="114" spans="1:114" s="156" customFormat="1" ht="16.5" x14ac:dyDescent="0.25">
      <c r="A114" s="112" t="s">
        <v>347</v>
      </c>
      <c r="B114" s="110"/>
      <c r="C114" s="110"/>
      <c r="D114" s="110"/>
      <c r="E114" s="110"/>
      <c r="F114" s="110"/>
      <c r="G114" s="110"/>
      <c r="H114" s="110"/>
      <c r="I114" s="110"/>
      <c r="J114" s="110"/>
      <c r="K114" s="110"/>
      <c r="L114" s="110"/>
      <c r="M114" s="110"/>
      <c r="N114" s="138"/>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5"/>
      <c r="DB114" s="155"/>
      <c r="DC114" s="155"/>
      <c r="DD114" s="155"/>
      <c r="DE114" s="155"/>
      <c r="DF114" s="155"/>
      <c r="DG114" s="155"/>
      <c r="DH114" s="155"/>
      <c r="DI114" s="155"/>
      <c r="DJ114" s="155"/>
    </row>
    <row r="115" spans="1:114" s="156" customFormat="1" ht="16.5" x14ac:dyDescent="0.25">
      <c r="A115" s="112" t="s">
        <v>341</v>
      </c>
      <c r="B115" s="110"/>
      <c r="C115" s="110"/>
      <c r="D115" s="110"/>
      <c r="E115" s="110"/>
      <c r="F115" s="110"/>
      <c r="G115" s="110"/>
      <c r="H115" s="110"/>
      <c r="I115" s="110"/>
      <c r="J115" s="110"/>
      <c r="K115" s="110"/>
      <c r="L115" s="110"/>
      <c r="M115" s="110"/>
      <c r="N115" s="138"/>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55"/>
      <c r="CA115" s="155"/>
      <c r="CB115" s="155"/>
      <c r="CC115" s="155"/>
      <c r="CD115" s="155"/>
      <c r="CE115" s="155"/>
      <c r="CF115" s="155"/>
      <c r="CG115" s="155"/>
      <c r="CH115" s="155"/>
      <c r="CI115" s="155"/>
      <c r="CJ115" s="155"/>
      <c r="CK115" s="155"/>
      <c r="CL115" s="155"/>
      <c r="CM115" s="155"/>
      <c r="CN115" s="155"/>
      <c r="CO115" s="155"/>
      <c r="CP115" s="155"/>
      <c r="CQ115" s="155"/>
      <c r="CR115" s="155"/>
      <c r="CS115" s="155"/>
      <c r="CT115" s="155"/>
      <c r="CU115" s="155"/>
      <c r="CV115" s="155"/>
      <c r="CW115" s="155"/>
      <c r="CX115" s="155"/>
      <c r="CY115" s="155"/>
      <c r="CZ115" s="155"/>
      <c r="DA115" s="155"/>
      <c r="DB115" s="155"/>
      <c r="DC115" s="155"/>
      <c r="DD115" s="155"/>
      <c r="DE115" s="155"/>
      <c r="DF115" s="155"/>
      <c r="DG115" s="155"/>
      <c r="DH115" s="155"/>
      <c r="DI115" s="155"/>
      <c r="DJ115" s="155"/>
    </row>
    <row r="116" spans="1:114" s="156" customFormat="1" ht="16.5" x14ac:dyDescent="0.25">
      <c r="A116" s="112" t="s">
        <v>342</v>
      </c>
      <c r="B116" s="110"/>
      <c r="C116" s="110"/>
      <c r="D116" s="110"/>
      <c r="E116" s="110"/>
      <c r="F116" s="110"/>
      <c r="G116" s="110"/>
      <c r="H116" s="110"/>
      <c r="I116" s="110"/>
      <c r="J116" s="110"/>
      <c r="K116" s="110"/>
      <c r="L116" s="110"/>
      <c r="M116" s="110"/>
      <c r="N116" s="138"/>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155"/>
      <c r="BW116" s="155"/>
      <c r="BX116" s="155"/>
      <c r="BY116" s="155"/>
      <c r="BZ116" s="155"/>
      <c r="CA116" s="155"/>
      <c r="CB116" s="155"/>
      <c r="CC116" s="155"/>
      <c r="CD116" s="155"/>
      <c r="CE116" s="155"/>
      <c r="CF116" s="155"/>
      <c r="CG116" s="155"/>
      <c r="CH116" s="155"/>
      <c r="CI116" s="155"/>
      <c r="CJ116" s="155"/>
      <c r="CK116" s="155"/>
      <c r="CL116" s="155"/>
      <c r="CM116" s="155"/>
      <c r="CN116" s="155"/>
      <c r="CO116" s="155"/>
      <c r="CP116" s="155"/>
      <c r="CQ116" s="155"/>
      <c r="CR116" s="155"/>
      <c r="CS116" s="155"/>
      <c r="CT116" s="155"/>
      <c r="CU116" s="155"/>
      <c r="CV116" s="155"/>
      <c r="CW116" s="155"/>
      <c r="CX116" s="155"/>
      <c r="CY116" s="155"/>
      <c r="CZ116" s="155"/>
      <c r="DA116" s="155"/>
      <c r="DB116" s="155"/>
      <c r="DC116" s="155"/>
      <c r="DD116" s="155"/>
      <c r="DE116" s="155"/>
      <c r="DF116" s="155"/>
      <c r="DG116" s="155"/>
      <c r="DH116" s="155"/>
      <c r="DI116" s="155"/>
      <c r="DJ116" s="155"/>
    </row>
    <row r="117" spans="1:114" s="121" customFormat="1" ht="16.5" x14ac:dyDescent="0.25">
      <c r="A117" s="111"/>
      <c r="B117" s="46"/>
      <c r="C117" s="46"/>
      <c r="D117" s="46"/>
      <c r="E117" s="46"/>
      <c r="F117" s="46"/>
      <c r="G117" s="46"/>
      <c r="H117" s="46"/>
      <c r="I117" s="46"/>
      <c r="J117" s="46"/>
      <c r="K117" s="46"/>
      <c r="L117" s="46"/>
      <c r="M117" s="46"/>
      <c r="N117" s="138"/>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0"/>
      <c r="CT117" s="120"/>
      <c r="CU117" s="120"/>
      <c r="CV117" s="120"/>
      <c r="CW117" s="120"/>
      <c r="CX117" s="120"/>
      <c r="CY117" s="120"/>
      <c r="CZ117" s="120"/>
      <c r="DA117" s="120"/>
      <c r="DB117" s="120"/>
      <c r="DC117" s="120"/>
      <c r="DD117" s="120"/>
      <c r="DE117" s="120"/>
      <c r="DF117" s="120"/>
      <c r="DG117" s="120"/>
      <c r="DH117" s="120"/>
      <c r="DI117" s="120"/>
      <c r="DJ117" s="120"/>
    </row>
    <row r="118" spans="1:114" s="119" customFormat="1" ht="16.5" x14ac:dyDescent="0.25">
      <c r="A118" s="113" t="s">
        <v>299</v>
      </c>
      <c r="B118" s="114"/>
      <c r="C118" s="114"/>
      <c r="D118" s="114"/>
      <c r="E118" s="114"/>
      <c r="F118" s="114"/>
      <c r="G118" s="114"/>
      <c r="H118" s="114"/>
      <c r="I118" s="114"/>
      <c r="J118" s="114"/>
      <c r="K118" s="114"/>
      <c r="L118" s="114"/>
      <c r="M118" s="114"/>
      <c r="N118" s="13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8"/>
      <c r="CI118" s="118"/>
      <c r="CJ118" s="118"/>
      <c r="CK118" s="118"/>
      <c r="CL118" s="118"/>
      <c r="CM118" s="118"/>
      <c r="CN118" s="118"/>
      <c r="CO118" s="118"/>
      <c r="CP118" s="118"/>
      <c r="CQ118" s="118"/>
      <c r="CR118" s="118"/>
      <c r="CS118" s="118"/>
      <c r="CT118" s="118"/>
      <c r="CU118" s="118"/>
      <c r="CV118" s="118"/>
      <c r="CW118" s="118"/>
      <c r="CX118" s="118"/>
      <c r="CY118" s="118"/>
      <c r="CZ118" s="118"/>
      <c r="DA118" s="118"/>
      <c r="DB118" s="118"/>
      <c r="DC118" s="118"/>
      <c r="DD118" s="118"/>
      <c r="DE118" s="118"/>
      <c r="DF118" s="118"/>
      <c r="DG118" s="118"/>
      <c r="DH118" s="118"/>
      <c r="DI118" s="118"/>
      <c r="DJ118" s="118"/>
    </row>
    <row r="119" spans="1:114" s="117" customFormat="1" ht="33" customHeight="1" x14ac:dyDescent="0.25">
      <c r="A119" s="174" t="s">
        <v>166</v>
      </c>
      <c r="B119" s="177" t="s">
        <v>168</v>
      </c>
      <c r="C119" s="178" t="s">
        <v>313</v>
      </c>
      <c r="D119" s="177" t="s">
        <v>230</v>
      </c>
      <c r="E119" s="174"/>
      <c r="F119" s="174"/>
      <c r="G119" s="177" t="s">
        <v>231</v>
      </c>
      <c r="H119" s="174"/>
      <c r="I119" s="174"/>
      <c r="J119" s="115" t="s">
        <v>232</v>
      </c>
      <c r="K119" s="177" t="s">
        <v>233</v>
      </c>
      <c r="L119" s="192" t="s">
        <v>234</v>
      </c>
      <c r="M119" s="201" t="s">
        <v>166</v>
      </c>
      <c r="N119" s="138"/>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row>
    <row r="120" spans="1:114" s="117" customFormat="1" ht="16.5" customHeight="1" x14ac:dyDescent="0.25">
      <c r="A120" s="174"/>
      <c r="B120" s="174"/>
      <c r="C120" s="179"/>
      <c r="D120" s="116" t="s">
        <v>171</v>
      </c>
      <c r="E120" s="116" t="s">
        <v>172</v>
      </c>
      <c r="F120" s="116" t="s">
        <v>173</v>
      </c>
      <c r="G120" s="116" t="s">
        <v>171</v>
      </c>
      <c r="H120" s="116" t="s">
        <v>172</v>
      </c>
      <c r="I120" s="116" t="s">
        <v>173</v>
      </c>
      <c r="J120" s="116" t="s">
        <v>173</v>
      </c>
      <c r="K120" s="174"/>
      <c r="L120" s="193"/>
      <c r="M120" s="174"/>
      <c r="N120" s="138"/>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row>
    <row r="121" spans="1:114" ht="16.5" customHeight="1" x14ac:dyDescent="0.25">
      <c r="A121" s="172" t="s">
        <v>174</v>
      </c>
      <c r="B121" s="165"/>
      <c r="C121" s="175" t="str">
        <f>IF('P(M)'!$D$17=1,"●","○")</f>
        <v>●</v>
      </c>
      <c r="D121" s="63" t="s">
        <v>14</v>
      </c>
      <c r="E121" s="65">
        <f>'P(M)'!AO46</f>
        <v>214800</v>
      </c>
      <c r="F121" s="106">
        <f>E121</f>
        <v>214800</v>
      </c>
      <c r="G121" s="63" t="s">
        <v>14</v>
      </c>
      <c r="H121" s="65">
        <f>'P(M)'!AU46</f>
        <v>0</v>
      </c>
      <c r="I121" s="106">
        <f>H121</f>
        <v>0</v>
      </c>
      <c r="J121" s="106">
        <f>F121+I121</f>
        <v>214800</v>
      </c>
      <c r="K121" s="39">
        <f>'P(M)'!AY46</f>
        <v>57000</v>
      </c>
      <c r="L121" s="106">
        <f>J121+K121</f>
        <v>271800</v>
      </c>
      <c r="M121" s="190" t="str">
        <f>A121</f>
        <v>台灣</v>
      </c>
      <c r="N121" s="138" t="str">
        <f t="shared" ref="N121:N141" si="8">N16</f>
        <v/>
      </c>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row>
    <row r="122" spans="1:114" ht="16.5" customHeight="1" x14ac:dyDescent="0.25">
      <c r="A122" s="173"/>
      <c r="B122" s="165"/>
      <c r="C122" s="176"/>
      <c r="D122" s="63" t="s">
        <v>14</v>
      </c>
      <c r="E122" s="65">
        <f>'P(M)'!AO47</f>
        <v>0</v>
      </c>
      <c r="F122" s="106">
        <f>E122</f>
        <v>0</v>
      </c>
      <c r="G122" s="63" t="s">
        <v>14</v>
      </c>
      <c r="H122" s="65">
        <f>'P(M)'!AU47</f>
        <v>0</v>
      </c>
      <c r="I122" s="106">
        <f>H122</f>
        <v>0</v>
      </c>
      <c r="J122" s="106">
        <f t="shared" ref="J122:J141" si="9">F122+I122</f>
        <v>0</v>
      </c>
      <c r="K122" s="39">
        <f>'P(M)'!AY47</f>
        <v>0</v>
      </c>
      <c r="L122" s="106">
        <f t="shared" ref="L122:L141" si="10">J122+K122</f>
        <v>0</v>
      </c>
      <c r="M122" s="191"/>
      <c r="N122" s="138" t="str">
        <f t="shared" si="8"/>
        <v/>
      </c>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row>
    <row r="123" spans="1:114" ht="16.5" customHeight="1" x14ac:dyDescent="0.25">
      <c r="A123" s="172" t="s">
        <v>175</v>
      </c>
      <c r="B123" s="165"/>
      <c r="C123" s="175" t="str">
        <f>IF('P(M)'!$D$17=2,"●","○")</f>
        <v>○</v>
      </c>
      <c r="D123" s="63" t="s">
        <v>15</v>
      </c>
      <c r="E123" s="65">
        <f>'P(M)'!AO48</f>
        <v>81400</v>
      </c>
      <c r="F123" s="106">
        <f>E123*$M$5</f>
        <v>374440</v>
      </c>
      <c r="G123" s="63" t="s">
        <v>15</v>
      </c>
      <c r="H123" s="65">
        <f>'P(M)'!AU48</f>
        <v>3800</v>
      </c>
      <c r="I123" s="106">
        <f>H123*$M$5</f>
        <v>17480</v>
      </c>
      <c r="J123" s="106">
        <f t="shared" si="9"/>
        <v>391920</v>
      </c>
      <c r="K123" s="39">
        <f>'P(M)'!AY48</f>
        <v>57000</v>
      </c>
      <c r="L123" s="106">
        <f t="shared" si="10"/>
        <v>448920</v>
      </c>
      <c r="M123" s="190" t="s">
        <v>3</v>
      </c>
      <c r="N123" s="138" t="str">
        <f t="shared" si="8"/>
        <v/>
      </c>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row>
    <row r="124" spans="1:114" ht="16.5" customHeight="1" x14ac:dyDescent="0.25">
      <c r="A124" s="173"/>
      <c r="B124" s="165"/>
      <c r="C124" s="176"/>
      <c r="D124" s="63" t="s">
        <v>15</v>
      </c>
      <c r="E124" s="65">
        <f>'P(M)'!AO49</f>
        <v>0</v>
      </c>
      <c r="F124" s="106">
        <f>E124*$M$5</f>
        <v>0</v>
      </c>
      <c r="G124" s="63" t="s">
        <v>15</v>
      </c>
      <c r="H124" s="65">
        <f>'P(M)'!AU49</f>
        <v>0</v>
      </c>
      <c r="I124" s="106">
        <f>H124*$M$5</f>
        <v>0</v>
      </c>
      <c r="J124" s="106">
        <f t="shared" si="9"/>
        <v>0</v>
      </c>
      <c r="K124" s="39">
        <f>'P(M)'!AY49</f>
        <v>0</v>
      </c>
      <c r="L124" s="106">
        <f t="shared" si="10"/>
        <v>0</v>
      </c>
      <c r="M124" s="191"/>
      <c r="N124" s="138" t="str">
        <f t="shared" si="8"/>
        <v/>
      </c>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row>
    <row r="125" spans="1:114" ht="16.5" customHeight="1" x14ac:dyDescent="0.25">
      <c r="A125" s="63" t="s">
        <v>176</v>
      </c>
      <c r="B125" s="165"/>
      <c r="C125" s="170" t="str">
        <f>IF('P(M)'!$D$17=3,"●","○")</f>
        <v>○</v>
      </c>
      <c r="D125" s="63" t="s">
        <v>16</v>
      </c>
      <c r="E125" s="65">
        <f>'P(M)'!AO50</f>
        <v>5788</v>
      </c>
      <c r="F125" s="106">
        <f>E125*$K$5</f>
        <v>192161.6</v>
      </c>
      <c r="G125" s="63" t="s">
        <v>16</v>
      </c>
      <c r="H125" s="65">
        <f>'P(M)'!AU50</f>
        <v>378</v>
      </c>
      <c r="I125" s="106">
        <f>H125*$K$5</f>
        <v>12549.6</v>
      </c>
      <c r="J125" s="106">
        <f t="shared" si="9"/>
        <v>204711.2</v>
      </c>
      <c r="K125" s="39">
        <f>'P(M)'!AY50</f>
        <v>15000</v>
      </c>
      <c r="L125" s="106">
        <f t="shared" si="10"/>
        <v>219711.2</v>
      </c>
      <c r="M125" s="69" t="s">
        <v>4</v>
      </c>
      <c r="N125" s="138" t="str">
        <f t="shared" si="8"/>
        <v/>
      </c>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row>
    <row r="126" spans="1:114" ht="16.5" customHeight="1" x14ac:dyDescent="0.25">
      <c r="A126" s="63" t="s">
        <v>193</v>
      </c>
      <c r="B126" s="165"/>
      <c r="C126" s="170"/>
      <c r="D126" s="63" t="s">
        <v>16</v>
      </c>
      <c r="E126" s="65">
        <f>'P(M)'!AO51</f>
        <v>31541.410000000003</v>
      </c>
      <c r="F126" s="106">
        <f>E126*$K$5</f>
        <v>1047174.8120000002</v>
      </c>
      <c r="G126" s="63" t="s">
        <v>16</v>
      </c>
      <c r="H126" s="65">
        <f>'P(M)'!AU51</f>
        <v>6680.28</v>
      </c>
      <c r="I126" s="106">
        <f>H126*$K$5</f>
        <v>221785.296</v>
      </c>
      <c r="J126" s="106">
        <f t="shared" si="9"/>
        <v>1268960.1080000002</v>
      </c>
      <c r="K126" s="39">
        <f>'P(M)'!AY51</f>
        <v>255000</v>
      </c>
      <c r="L126" s="106">
        <f t="shared" si="10"/>
        <v>1523960.1080000002</v>
      </c>
      <c r="M126" s="69" t="s">
        <v>5</v>
      </c>
      <c r="N126" s="138" t="str">
        <f t="shared" si="8"/>
        <v/>
      </c>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row>
    <row r="127" spans="1:114" ht="16.5" customHeight="1" x14ac:dyDescent="0.25">
      <c r="A127" s="172" t="s">
        <v>177</v>
      </c>
      <c r="B127" s="165"/>
      <c r="C127" s="175"/>
      <c r="D127" s="63" t="s">
        <v>18</v>
      </c>
      <c r="E127" s="65">
        <f>'P(M)'!AO52</f>
        <v>1345700</v>
      </c>
      <c r="F127" s="106">
        <f>E127*$K$7</f>
        <v>296054</v>
      </c>
      <c r="G127" s="63" t="s">
        <v>18</v>
      </c>
      <c r="H127" s="65">
        <f>'P(M)'!AU52</f>
        <v>195000</v>
      </c>
      <c r="I127" s="106">
        <f>H127*$K$7</f>
        <v>42900</v>
      </c>
      <c r="J127" s="106">
        <f t="shared" si="9"/>
        <v>338954</v>
      </c>
      <c r="K127" s="39">
        <f>'P(M)'!AY52</f>
        <v>85000</v>
      </c>
      <c r="L127" s="106">
        <f t="shared" si="10"/>
        <v>423954</v>
      </c>
      <c r="M127" s="190" t="s">
        <v>6</v>
      </c>
      <c r="N127" s="138" t="str">
        <f t="shared" si="8"/>
        <v/>
      </c>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row>
    <row r="128" spans="1:114" ht="16.5" customHeight="1" x14ac:dyDescent="0.25">
      <c r="A128" s="173"/>
      <c r="B128" s="165"/>
      <c r="C128" s="176"/>
      <c r="D128" s="63" t="s">
        <v>18</v>
      </c>
      <c r="E128" s="65">
        <f>'P(M)'!AO53</f>
        <v>0</v>
      </c>
      <c r="F128" s="106">
        <f>E128*$K$7</f>
        <v>0</v>
      </c>
      <c r="G128" s="63" t="s">
        <v>18</v>
      </c>
      <c r="H128" s="65">
        <f>'P(M)'!AU53</f>
        <v>0</v>
      </c>
      <c r="I128" s="106">
        <f>H128*$K$7</f>
        <v>0</v>
      </c>
      <c r="J128" s="106">
        <f t="shared" si="9"/>
        <v>0</v>
      </c>
      <c r="K128" s="39">
        <f>'P(M)'!AY53</f>
        <v>0</v>
      </c>
      <c r="L128" s="106">
        <f t="shared" si="10"/>
        <v>0</v>
      </c>
      <c r="M128" s="191"/>
      <c r="N128" s="138" t="str">
        <f t="shared" si="8"/>
        <v/>
      </c>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row>
    <row r="129" spans="1:114" ht="16.5" customHeight="1" x14ac:dyDescent="0.25">
      <c r="A129" s="172" t="s">
        <v>178</v>
      </c>
      <c r="B129" s="165"/>
      <c r="C129" s="175"/>
      <c r="D129" s="63" t="s">
        <v>19</v>
      </c>
      <c r="E129" s="65">
        <f>'P(M)'!AO54</f>
        <v>10628000</v>
      </c>
      <c r="F129" s="106">
        <f>E129*$K$8</f>
        <v>276328</v>
      </c>
      <c r="G129" s="63" t="s">
        <v>16</v>
      </c>
      <c r="H129" s="65">
        <f>'P(M)'!AU54</f>
        <v>3040</v>
      </c>
      <c r="I129" s="106">
        <f>H129*$K$5</f>
        <v>100928.00000000001</v>
      </c>
      <c r="J129" s="106">
        <f t="shared" si="9"/>
        <v>377256</v>
      </c>
      <c r="K129" s="39">
        <f>'P(M)'!AY54</f>
        <v>85000</v>
      </c>
      <c r="L129" s="106">
        <f t="shared" si="10"/>
        <v>462256</v>
      </c>
      <c r="M129" s="190" t="s">
        <v>7</v>
      </c>
      <c r="N129" s="138" t="str">
        <f t="shared" si="8"/>
        <v/>
      </c>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row>
    <row r="130" spans="1:114" ht="16.5" customHeight="1" x14ac:dyDescent="0.25">
      <c r="A130" s="173"/>
      <c r="B130" s="165"/>
      <c r="C130" s="176"/>
      <c r="D130" s="63" t="s">
        <v>19</v>
      </c>
      <c r="E130" s="65">
        <f>'P(M)'!AO55</f>
        <v>0</v>
      </c>
      <c r="F130" s="106">
        <f>E130*$K$8</f>
        <v>0</v>
      </c>
      <c r="G130" s="63" t="s">
        <v>16</v>
      </c>
      <c r="H130" s="65">
        <f>'P(M)'!AU55</f>
        <v>0</v>
      </c>
      <c r="I130" s="106">
        <f>H130*$K$5</f>
        <v>0</v>
      </c>
      <c r="J130" s="106">
        <f t="shared" si="9"/>
        <v>0</v>
      </c>
      <c r="K130" s="39">
        <f>'P(M)'!AY55</f>
        <v>0</v>
      </c>
      <c r="L130" s="106">
        <f t="shared" si="10"/>
        <v>0</v>
      </c>
      <c r="M130" s="191"/>
      <c r="N130" s="138" t="str">
        <f t="shared" si="8"/>
        <v/>
      </c>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row>
    <row r="131" spans="1:114" ht="16.5" customHeight="1" x14ac:dyDescent="0.25">
      <c r="A131" s="63" t="s">
        <v>194</v>
      </c>
      <c r="B131" s="165"/>
      <c r="C131" s="170" t="str">
        <f>IF('P(M)'!$D$17=4,"●","○")</f>
        <v>○</v>
      </c>
      <c r="D131" s="63" t="s">
        <v>43</v>
      </c>
      <c r="E131" s="65">
        <f>'P(M)'!AO56</f>
        <v>2671.1900000000005</v>
      </c>
      <c r="F131" s="106">
        <f>E131*$M$9</f>
        <v>62772.965000000011</v>
      </c>
      <c r="G131" s="63" t="s">
        <v>43</v>
      </c>
      <c r="H131" s="65">
        <f>'P(M)'!AU56</f>
        <v>4680</v>
      </c>
      <c r="I131" s="106">
        <f>H131*$M$9</f>
        <v>109980</v>
      </c>
      <c r="J131" s="106">
        <f>F131+I131</f>
        <v>172752.96500000003</v>
      </c>
      <c r="K131" s="39">
        <f>'P(M)'!AY56</f>
        <v>90000</v>
      </c>
      <c r="L131" s="106">
        <f>J131+K131</f>
        <v>262752.96500000003</v>
      </c>
      <c r="M131" s="69" t="s">
        <v>42</v>
      </c>
      <c r="N131" s="138" t="str">
        <f t="shared" si="8"/>
        <v/>
      </c>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row>
    <row r="132" spans="1:114" ht="16.5" customHeight="1" x14ac:dyDescent="0.25">
      <c r="A132" s="63" t="s">
        <v>179</v>
      </c>
      <c r="B132" s="165"/>
      <c r="C132" s="170" t="str">
        <f>IF('P(M)'!$D$17=5,"●","○")</f>
        <v>○</v>
      </c>
      <c r="D132" s="63" t="s">
        <v>20</v>
      </c>
      <c r="E132" s="65">
        <f>'P(M)'!AO57</f>
        <v>9865</v>
      </c>
      <c r="F132" s="106">
        <f>E132*$M$6</f>
        <v>246625</v>
      </c>
      <c r="G132" s="63" t="s">
        <v>20</v>
      </c>
      <c r="H132" s="65">
        <f>'P(M)'!AU57</f>
        <v>5400</v>
      </c>
      <c r="I132" s="106">
        <f>H132*$M$6</f>
        <v>135000</v>
      </c>
      <c r="J132" s="106">
        <f t="shared" si="9"/>
        <v>381625</v>
      </c>
      <c r="K132" s="39">
        <f>'P(M)'!AY57</f>
        <v>80000</v>
      </c>
      <c r="L132" s="106">
        <f t="shared" si="10"/>
        <v>461625</v>
      </c>
      <c r="M132" s="69" t="s">
        <v>8</v>
      </c>
      <c r="N132" s="138" t="str">
        <f t="shared" si="8"/>
        <v/>
      </c>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row>
    <row r="133" spans="1:114" ht="16.5" customHeight="1" x14ac:dyDescent="0.25">
      <c r="A133" s="172" t="s">
        <v>182</v>
      </c>
      <c r="B133" s="165"/>
      <c r="C133" s="175" t="str">
        <f>IF('P(M)'!$D$17=6,"●","○")</f>
        <v>○</v>
      </c>
      <c r="D133" s="63" t="s">
        <v>23</v>
      </c>
      <c r="E133" s="65">
        <f>'P(M)'!AO58</f>
        <v>24150</v>
      </c>
      <c r="F133" s="106">
        <f>E133*$M$8</f>
        <v>190785</v>
      </c>
      <c r="G133" s="63" t="s">
        <v>23</v>
      </c>
      <c r="H133" s="65">
        <f>'P(M)'!AU58</f>
        <v>5435</v>
      </c>
      <c r="I133" s="106">
        <f>H133*$M$8</f>
        <v>42936.5</v>
      </c>
      <c r="J133" s="106">
        <f>F133+I133</f>
        <v>233721.5</v>
      </c>
      <c r="K133" s="39">
        <f>'P(M)'!AY58</f>
        <v>95000</v>
      </c>
      <c r="L133" s="106">
        <f>J133+K133</f>
        <v>328721.5</v>
      </c>
      <c r="M133" s="190" t="s">
        <v>11</v>
      </c>
      <c r="N133" s="138" t="str">
        <f t="shared" si="8"/>
        <v/>
      </c>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row>
    <row r="134" spans="1:114" ht="16.5" customHeight="1" x14ac:dyDescent="0.25">
      <c r="A134" s="173"/>
      <c r="B134" s="165"/>
      <c r="C134" s="176"/>
      <c r="D134" s="63" t="s">
        <v>23</v>
      </c>
      <c r="E134" s="65">
        <f>'P(M)'!AO59</f>
        <v>0</v>
      </c>
      <c r="F134" s="106">
        <f>E134*$M$8</f>
        <v>0</v>
      </c>
      <c r="G134" s="63" t="s">
        <v>23</v>
      </c>
      <c r="H134" s="65">
        <f>'P(M)'!AU59</f>
        <v>0</v>
      </c>
      <c r="I134" s="106">
        <f>H134*$M$8</f>
        <v>0</v>
      </c>
      <c r="J134" s="106">
        <f>F134+I134</f>
        <v>0</v>
      </c>
      <c r="K134" s="39">
        <f>'P(M)'!AY59</f>
        <v>0</v>
      </c>
      <c r="L134" s="106">
        <f>J134+K134</f>
        <v>0</v>
      </c>
      <c r="M134" s="191"/>
      <c r="N134" s="138" t="str">
        <f t="shared" si="8"/>
        <v/>
      </c>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row>
    <row r="135" spans="1:114" ht="16.5" customHeight="1" x14ac:dyDescent="0.25">
      <c r="A135" s="69" t="s">
        <v>146</v>
      </c>
      <c r="B135" s="165"/>
      <c r="C135" s="170" t="str">
        <f>IF('P(M)'!$D$17=7,"●","○")</f>
        <v>○</v>
      </c>
      <c r="D135" s="63" t="s">
        <v>16</v>
      </c>
      <c r="E135" s="65">
        <f>'P(M)'!AO60</f>
        <v>0</v>
      </c>
      <c r="F135" s="106">
        <f>E135*$K$5</f>
        <v>0</v>
      </c>
      <c r="G135" s="63" t="s">
        <v>16</v>
      </c>
      <c r="H135" s="65">
        <f>'P(M)'!AU60</f>
        <v>0</v>
      </c>
      <c r="I135" s="106">
        <f>H135*$K$5</f>
        <v>0</v>
      </c>
      <c r="J135" s="106">
        <f t="shared" si="9"/>
        <v>0</v>
      </c>
      <c r="K135" s="39">
        <f>'P(M)'!AY60</f>
        <v>0</v>
      </c>
      <c r="L135" s="106">
        <f t="shared" si="10"/>
        <v>0</v>
      </c>
      <c r="M135" s="69" t="s">
        <v>146</v>
      </c>
      <c r="N135" s="138" t="str">
        <f t="shared" si="8"/>
        <v/>
      </c>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row>
    <row r="136" spans="1:114" ht="16.5" customHeight="1" x14ac:dyDescent="0.25">
      <c r="A136" s="172" t="s">
        <v>183</v>
      </c>
      <c r="B136" s="165"/>
      <c r="C136" s="175"/>
      <c r="D136" s="63" t="s">
        <v>16</v>
      </c>
      <c r="E136" s="65">
        <f>'P(M)'!AO61</f>
        <v>0</v>
      </c>
      <c r="F136" s="106">
        <f>E136*$K$5</f>
        <v>0</v>
      </c>
      <c r="G136" s="63" t="s">
        <v>16</v>
      </c>
      <c r="H136" s="65">
        <f>'P(M)'!AU61</f>
        <v>0</v>
      </c>
      <c r="I136" s="106">
        <f>H136*$K$5</f>
        <v>0</v>
      </c>
      <c r="J136" s="106">
        <f>F136+I136</f>
        <v>0</v>
      </c>
      <c r="K136" s="39">
        <f>'P(M)'!AY61</f>
        <v>0</v>
      </c>
      <c r="L136" s="106">
        <f>J136+K136</f>
        <v>0</v>
      </c>
      <c r="M136" s="190" t="s">
        <v>131</v>
      </c>
      <c r="N136" s="138" t="str">
        <f t="shared" si="8"/>
        <v/>
      </c>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row>
    <row r="137" spans="1:114" ht="16.5" customHeight="1" x14ac:dyDescent="0.25">
      <c r="A137" s="173"/>
      <c r="B137" s="165"/>
      <c r="C137" s="176"/>
      <c r="D137" s="63" t="s">
        <v>16</v>
      </c>
      <c r="E137" s="65">
        <f>'P(M)'!AO62</f>
        <v>0</v>
      </c>
      <c r="F137" s="106">
        <f>E137*$K$5</f>
        <v>0</v>
      </c>
      <c r="G137" s="63" t="s">
        <v>16</v>
      </c>
      <c r="H137" s="65">
        <f>'P(M)'!AU62</f>
        <v>0</v>
      </c>
      <c r="I137" s="106">
        <f>H137*$K$5</f>
        <v>0</v>
      </c>
      <c r="J137" s="106">
        <f>F137+I137</f>
        <v>0</v>
      </c>
      <c r="K137" s="39">
        <f>'P(M)'!AY62</f>
        <v>0</v>
      </c>
      <c r="L137" s="106">
        <f>J137+K137</f>
        <v>0</v>
      </c>
      <c r="M137" s="191"/>
      <c r="N137" s="138" t="str">
        <f t="shared" si="8"/>
        <v/>
      </c>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row>
    <row r="138" spans="1:114" ht="16.5" customHeight="1" x14ac:dyDescent="0.25">
      <c r="A138" s="172" t="s">
        <v>180</v>
      </c>
      <c r="B138" s="165"/>
      <c r="C138" s="175"/>
      <c r="D138" s="63" t="s">
        <v>21</v>
      </c>
      <c r="E138" s="65">
        <f>'P(M)'!AO63</f>
        <v>0</v>
      </c>
      <c r="F138" s="106">
        <f>E138*$M$7</f>
        <v>0</v>
      </c>
      <c r="G138" s="63" t="s">
        <v>16</v>
      </c>
      <c r="H138" s="65">
        <f>'P(M)'!AU63</f>
        <v>0</v>
      </c>
      <c r="I138" s="106">
        <f>H138*$K$5</f>
        <v>0</v>
      </c>
      <c r="J138" s="106">
        <f t="shared" si="9"/>
        <v>0</v>
      </c>
      <c r="K138" s="39">
        <f>'P(M)'!AY63</f>
        <v>0</v>
      </c>
      <c r="L138" s="106">
        <f t="shared" si="10"/>
        <v>0</v>
      </c>
      <c r="M138" s="190" t="s">
        <v>9</v>
      </c>
      <c r="N138" s="138" t="str">
        <f t="shared" si="8"/>
        <v/>
      </c>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row>
    <row r="139" spans="1:114" ht="16.5" customHeight="1" x14ac:dyDescent="0.25">
      <c r="A139" s="173"/>
      <c r="B139" s="165"/>
      <c r="C139" s="176"/>
      <c r="D139" s="63" t="s">
        <v>21</v>
      </c>
      <c r="E139" s="65">
        <f>'P(M)'!AO64</f>
        <v>0</v>
      </c>
      <c r="F139" s="106">
        <f>E139*$M$7</f>
        <v>0</v>
      </c>
      <c r="G139" s="63" t="s">
        <v>16</v>
      </c>
      <c r="H139" s="65">
        <f>'P(M)'!AU64</f>
        <v>0</v>
      </c>
      <c r="I139" s="106">
        <f>H139*$K$5</f>
        <v>0</v>
      </c>
      <c r="J139" s="106">
        <f t="shared" si="9"/>
        <v>0</v>
      </c>
      <c r="K139" s="39">
        <f>'P(M)'!AY64</f>
        <v>0</v>
      </c>
      <c r="L139" s="106">
        <f t="shared" si="10"/>
        <v>0</v>
      </c>
      <c r="M139" s="191"/>
      <c r="N139" s="138" t="str">
        <f t="shared" si="8"/>
        <v/>
      </c>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row>
    <row r="140" spans="1:114" ht="16.5" customHeight="1" x14ac:dyDescent="0.25">
      <c r="A140" s="172" t="s">
        <v>181</v>
      </c>
      <c r="B140" s="165"/>
      <c r="C140" s="175"/>
      <c r="D140" s="63" t="s">
        <v>22</v>
      </c>
      <c r="E140" s="65">
        <f>'P(M)'!AO65</f>
        <v>0</v>
      </c>
      <c r="F140" s="106">
        <f>E140*$K$9</f>
        <v>0</v>
      </c>
      <c r="G140" s="63" t="s">
        <v>22</v>
      </c>
      <c r="H140" s="65">
        <f>'P(M)'!AU65</f>
        <v>0</v>
      </c>
      <c r="I140" s="106">
        <f>H140*$K$9</f>
        <v>0</v>
      </c>
      <c r="J140" s="106">
        <f t="shared" si="9"/>
        <v>0</v>
      </c>
      <c r="K140" s="39">
        <f>'P(M)'!AY65</f>
        <v>0</v>
      </c>
      <c r="L140" s="106">
        <f t="shared" si="10"/>
        <v>0</v>
      </c>
      <c r="M140" s="190" t="s">
        <v>10</v>
      </c>
      <c r="N140" s="138" t="str">
        <f t="shared" si="8"/>
        <v/>
      </c>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row>
    <row r="141" spans="1:114" ht="16.5" customHeight="1" x14ac:dyDescent="0.25">
      <c r="A141" s="173"/>
      <c r="B141" s="165"/>
      <c r="C141" s="176"/>
      <c r="D141" s="63" t="s">
        <v>22</v>
      </c>
      <c r="E141" s="65">
        <f>'P(M)'!AO66</f>
        <v>0</v>
      </c>
      <c r="F141" s="106">
        <f>E141*$K$9</f>
        <v>0</v>
      </c>
      <c r="G141" s="63" t="s">
        <v>22</v>
      </c>
      <c r="H141" s="65">
        <f>'P(M)'!AU66</f>
        <v>0</v>
      </c>
      <c r="I141" s="106">
        <f>H141*$K$9</f>
        <v>0</v>
      </c>
      <c r="J141" s="106">
        <f t="shared" si="9"/>
        <v>0</v>
      </c>
      <c r="K141" s="39">
        <f>'P(M)'!AY66</f>
        <v>0</v>
      </c>
      <c r="L141" s="106">
        <f t="shared" si="10"/>
        <v>0</v>
      </c>
      <c r="M141" s="191"/>
      <c r="N141" s="138" t="str">
        <f t="shared" si="8"/>
        <v/>
      </c>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row>
    <row r="142" spans="1:114" ht="18.75" x14ac:dyDescent="0.25">
      <c r="A142" s="56"/>
      <c r="B142" s="56"/>
      <c r="C142" s="57"/>
      <c r="D142" s="56"/>
      <c r="E142" s="57" t="s">
        <v>184</v>
      </c>
      <c r="F142" s="58">
        <f>SUM(F121:F141)</f>
        <v>2901141.3769999999</v>
      </c>
      <c r="G142" s="56"/>
      <c r="H142" s="57" t="s">
        <v>184</v>
      </c>
      <c r="I142" s="59">
        <f>SUM(I121:I141)</f>
        <v>683559.39599999995</v>
      </c>
      <c r="J142" s="60">
        <f>SUM(J121:J141)</f>
        <v>3584700.773</v>
      </c>
      <c r="K142" s="61">
        <f>SUM(K121:K141)</f>
        <v>819000</v>
      </c>
      <c r="L142" s="64">
        <f>SUM(L121:L141)</f>
        <v>4403700.773</v>
      </c>
      <c r="M142" s="63"/>
      <c r="N142" s="138"/>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row>
    <row r="143" spans="1:114" ht="20.100000000000001" customHeight="1" x14ac:dyDescent="0.25">
      <c r="A143" s="180" t="s">
        <v>301</v>
      </c>
      <c r="B143" s="181"/>
      <c r="C143" s="184"/>
      <c r="D143" s="185"/>
      <c r="E143" s="185"/>
      <c r="F143" s="185"/>
      <c r="G143" s="185"/>
      <c r="H143" s="185"/>
      <c r="I143" s="185"/>
      <c r="J143" s="185"/>
      <c r="K143" s="185"/>
      <c r="L143" s="185"/>
      <c r="M143" s="186"/>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row>
    <row r="144" spans="1:114" ht="20.100000000000001" customHeight="1" x14ac:dyDescent="0.25">
      <c r="A144" s="182"/>
      <c r="B144" s="183"/>
      <c r="C144" s="187"/>
      <c r="D144" s="188"/>
      <c r="E144" s="188"/>
      <c r="F144" s="188"/>
      <c r="G144" s="188"/>
      <c r="H144" s="188"/>
      <c r="I144" s="188"/>
      <c r="J144" s="188"/>
      <c r="K144" s="188"/>
      <c r="L144" s="188"/>
      <c r="M144" s="189"/>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row>
    <row r="145" spans="1:114" s="156" customFormat="1" ht="16.5" x14ac:dyDescent="0.25">
      <c r="A145" s="110" t="s">
        <v>294</v>
      </c>
      <c r="B145" s="110"/>
      <c r="C145" s="110"/>
      <c r="D145" s="110"/>
      <c r="E145" s="110"/>
      <c r="F145" s="110"/>
      <c r="G145" s="110"/>
      <c r="H145" s="110"/>
      <c r="I145" s="110"/>
      <c r="J145" s="110"/>
      <c r="K145" s="110"/>
      <c r="L145" s="110"/>
      <c r="M145" s="110"/>
      <c r="N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c r="CA145" s="155"/>
      <c r="CB145" s="155"/>
      <c r="CC145" s="155"/>
      <c r="CD145" s="155"/>
      <c r="CE145" s="155"/>
      <c r="CF145" s="155"/>
      <c r="CG145" s="155"/>
      <c r="CH145" s="155"/>
      <c r="CI145" s="155"/>
      <c r="CJ145" s="155"/>
      <c r="CK145" s="155"/>
      <c r="CL145" s="155"/>
      <c r="CM145" s="155"/>
      <c r="CN145" s="155"/>
      <c r="CO145" s="155"/>
      <c r="CP145" s="155"/>
      <c r="CQ145" s="155"/>
      <c r="CR145" s="155"/>
      <c r="CS145" s="155"/>
      <c r="CT145" s="155"/>
      <c r="CU145" s="155"/>
      <c r="CV145" s="155"/>
      <c r="CW145" s="155"/>
      <c r="CX145" s="155"/>
      <c r="CY145" s="155"/>
      <c r="CZ145" s="155"/>
      <c r="DA145" s="155"/>
      <c r="DB145" s="155"/>
      <c r="DC145" s="155"/>
      <c r="DD145" s="155"/>
      <c r="DE145" s="155"/>
      <c r="DF145" s="155"/>
      <c r="DG145" s="155"/>
      <c r="DH145" s="155"/>
      <c r="DI145" s="155"/>
      <c r="DJ145" s="155"/>
    </row>
    <row r="146" spans="1:114" s="156" customFormat="1" ht="16.5" x14ac:dyDescent="0.25">
      <c r="A146" s="110" t="s">
        <v>344</v>
      </c>
      <c r="B146" s="110"/>
      <c r="C146" s="110"/>
      <c r="D146" s="110"/>
      <c r="E146" s="110"/>
      <c r="F146" s="110"/>
      <c r="G146" s="110"/>
      <c r="H146" s="110"/>
      <c r="I146" s="110"/>
      <c r="J146" s="110"/>
      <c r="K146" s="110"/>
      <c r="L146" s="110"/>
      <c r="M146" s="110"/>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5"/>
      <c r="BU146" s="155"/>
      <c r="BV146" s="155"/>
      <c r="BW146" s="155"/>
      <c r="BX146" s="155"/>
      <c r="BY146" s="155"/>
      <c r="BZ146" s="155"/>
      <c r="CA146" s="155"/>
      <c r="CB146" s="155"/>
      <c r="CC146" s="155"/>
      <c r="CD146" s="155"/>
      <c r="CE146" s="155"/>
      <c r="CF146" s="155"/>
      <c r="CG146" s="155"/>
      <c r="CH146" s="155"/>
      <c r="CI146" s="155"/>
      <c r="CJ146" s="155"/>
      <c r="CK146" s="155"/>
      <c r="CL146" s="155"/>
      <c r="CM146" s="155"/>
      <c r="CN146" s="155"/>
      <c r="CO146" s="155"/>
      <c r="CP146" s="155"/>
      <c r="CQ146" s="155"/>
      <c r="CR146" s="155"/>
      <c r="CS146" s="155"/>
      <c r="CT146" s="155"/>
      <c r="CU146" s="155"/>
      <c r="CV146" s="155"/>
      <c r="CW146" s="155"/>
      <c r="CX146" s="155"/>
      <c r="CY146" s="155"/>
      <c r="CZ146" s="155"/>
      <c r="DA146" s="155"/>
      <c r="DB146" s="155"/>
      <c r="DC146" s="155"/>
      <c r="DD146" s="155"/>
      <c r="DE146" s="155"/>
      <c r="DF146" s="155"/>
      <c r="DG146" s="155"/>
      <c r="DH146" s="155"/>
      <c r="DI146" s="155"/>
      <c r="DJ146" s="155"/>
    </row>
    <row r="147" spans="1:114" s="156" customFormat="1" ht="16.5" x14ac:dyDescent="0.25">
      <c r="A147" s="112" t="s">
        <v>345</v>
      </c>
      <c r="B147" s="110"/>
      <c r="C147" s="110"/>
      <c r="D147" s="110"/>
      <c r="E147" s="110"/>
      <c r="F147" s="110"/>
      <c r="G147" s="110"/>
      <c r="H147" s="110"/>
      <c r="I147" s="110"/>
      <c r="J147" s="110"/>
      <c r="K147" s="110"/>
      <c r="L147" s="110"/>
      <c r="M147" s="110"/>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c r="BV147" s="155"/>
      <c r="BW147" s="155"/>
      <c r="BX147" s="155"/>
      <c r="BY147" s="155"/>
      <c r="BZ147" s="155"/>
      <c r="CA147" s="155"/>
      <c r="CB147" s="155"/>
      <c r="CC147" s="155"/>
      <c r="CD147" s="155"/>
      <c r="CE147" s="155"/>
      <c r="CF147" s="155"/>
      <c r="CG147" s="155"/>
      <c r="CH147" s="155"/>
      <c r="CI147" s="155"/>
      <c r="CJ147" s="155"/>
      <c r="CK147" s="155"/>
      <c r="CL147" s="155"/>
      <c r="CM147" s="155"/>
      <c r="CN147" s="155"/>
      <c r="CO147" s="155"/>
      <c r="CP147" s="155"/>
      <c r="CQ147" s="155"/>
      <c r="CR147" s="155"/>
      <c r="CS147" s="155"/>
      <c r="CT147" s="155"/>
      <c r="CU147" s="155"/>
      <c r="CV147" s="155"/>
      <c r="CW147" s="155"/>
      <c r="CX147" s="155"/>
      <c r="CY147" s="155"/>
      <c r="CZ147" s="155"/>
      <c r="DA147" s="155"/>
      <c r="DB147" s="155"/>
      <c r="DC147" s="155"/>
      <c r="DD147" s="155"/>
      <c r="DE147" s="155"/>
      <c r="DF147" s="155"/>
      <c r="DG147" s="155"/>
      <c r="DH147" s="155"/>
      <c r="DI147" s="155"/>
      <c r="DJ147" s="155"/>
    </row>
    <row r="148" spans="1:114" s="121" customFormat="1" ht="16.5" x14ac:dyDescent="0.25">
      <c r="A148" s="70" t="str">
        <f>IF('P(M)'!C22=TRUE,"3.歐洲專利的後續年費總額，需視辦理專利生效程序的國別數量而定，上表僅包含「德國」、「法國」、「英國」三國的預估費用。","")</f>
        <v>3.歐洲專利的後續年費總額，需視辦理專利生效程序的國別數量而定，上表僅包含「德國」、「法國」、「英國」三國的預估費用。</v>
      </c>
      <c r="B148" s="46"/>
      <c r="C148" s="46"/>
      <c r="D148" s="46"/>
      <c r="E148" s="46"/>
      <c r="F148" s="46"/>
      <c r="G148" s="46"/>
      <c r="H148" s="46"/>
      <c r="I148" s="46"/>
      <c r="J148" s="46"/>
      <c r="K148" s="46"/>
      <c r="L148" s="46"/>
      <c r="M148" s="46"/>
      <c r="N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0"/>
      <c r="CI148" s="120"/>
      <c r="CJ148" s="120"/>
      <c r="CK148" s="120"/>
      <c r="CL148" s="120"/>
      <c r="CM148" s="120"/>
      <c r="CN148" s="120"/>
      <c r="CO148" s="120"/>
      <c r="CP148" s="120"/>
      <c r="CQ148" s="120"/>
      <c r="CR148" s="120"/>
      <c r="CS148" s="120"/>
      <c r="CT148" s="120"/>
      <c r="CU148" s="120"/>
      <c r="CV148" s="120"/>
      <c r="CW148" s="120"/>
      <c r="CX148" s="120"/>
      <c r="CY148" s="120"/>
      <c r="CZ148" s="120"/>
      <c r="DA148" s="120"/>
      <c r="DB148" s="120"/>
      <c r="DC148" s="120"/>
      <c r="DD148" s="120"/>
      <c r="DE148" s="120"/>
      <c r="DF148" s="120"/>
      <c r="DG148" s="120"/>
      <c r="DH148" s="120"/>
      <c r="DI148" s="120"/>
      <c r="DJ148" s="120"/>
    </row>
    <row r="149" spans="1:114" s="45" customFormat="1" ht="16.5" x14ac:dyDescent="0.25">
      <c r="A149" s="111"/>
      <c r="B149" s="46"/>
      <c r="C149" s="46"/>
      <c r="D149" s="46"/>
      <c r="E149" s="46"/>
      <c r="F149" s="46"/>
      <c r="G149" s="46"/>
      <c r="H149" s="46"/>
      <c r="I149" s="46"/>
      <c r="J149" s="46"/>
      <c r="K149" s="46"/>
      <c r="L149" s="46"/>
      <c r="M149" s="46"/>
      <c r="N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row>
    <row r="150" spans="1:114" s="119" customFormat="1" ht="16.5" x14ac:dyDescent="0.25">
      <c r="A150" s="113" t="s">
        <v>332</v>
      </c>
      <c r="B150" s="114"/>
      <c r="C150" s="114"/>
      <c r="D150" s="114"/>
      <c r="E150" s="114"/>
      <c r="F150" s="114"/>
      <c r="G150" s="114"/>
      <c r="H150" s="114"/>
      <c r="I150" s="114"/>
      <c r="J150" s="114"/>
      <c r="K150" s="114"/>
      <c r="L150" s="114"/>
      <c r="M150" s="114"/>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8"/>
      <c r="BQ150" s="118"/>
      <c r="BR150" s="118"/>
      <c r="BS150" s="118"/>
      <c r="BT150" s="118"/>
      <c r="BU150" s="118"/>
      <c r="BV150" s="118"/>
      <c r="BW150" s="118"/>
      <c r="BX150" s="118"/>
      <c r="BY150" s="118"/>
      <c r="BZ150" s="118"/>
      <c r="CA150" s="118"/>
      <c r="CB150" s="118"/>
      <c r="CC150" s="118"/>
      <c r="CD150" s="118"/>
      <c r="CE150" s="118"/>
      <c r="CF150" s="118"/>
      <c r="CG150" s="118"/>
      <c r="CH150" s="118"/>
      <c r="CI150" s="118"/>
      <c r="CJ150" s="118"/>
      <c r="CK150" s="118"/>
      <c r="CL150" s="118"/>
      <c r="CM150" s="118"/>
      <c r="CN150" s="118"/>
      <c r="CO150" s="118"/>
      <c r="CP150" s="118"/>
      <c r="CQ150" s="118"/>
      <c r="CR150" s="118"/>
      <c r="CS150" s="118"/>
      <c r="CT150" s="118"/>
      <c r="CU150" s="118"/>
      <c r="CV150" s="118"/>
      <c r="CW150" s="118"/>
      <c r="CX150" s="118"/>
      <c r="CY150" s="118"/>
      <c r="CZ150" s="118"/>
      <c r="DA150" s="118"/>
      <c r="DB150" s="118"/>
      <c r="DC150" s="118"/>
      <c r="DD150" s="118"/>
      <c r="DE150" s="118"/>
      <c r="DF150" s="118"/>
      <c r="DG150" s="118"/>
      <c r="DH150" s="118"/>
      <c r="DI150" s="118"/>
      <c r="DJ150" s="118"/>
    </row>
    <row r="151" spans="1:114" ht="15.4" customHeight="1" x14ac:dyDescent="0.25">
      <c r="A151" s="34"/>
      <c r="B151" s="34"/>
      <c r="C151" s="34"/>
      <c r="D151" s="34"/>
      <c r="E151" s="34"/>
      <c r="F151" s="34"/>
      <c r="G151" s="34"/>
      <c r="H151" s="34"/>
      <c r="I151" s="34"/>
      <c r="J151" s="34"/>
      <c r="K151" s="34"/>
      <c r="L151" s="34"/>
      <c r="M151" s="34"/>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c r="DH151" s="35"/>
      <c r="DI151" s="35"/>
      <c r="DJ151" s="35"/>
    </row>
    <row r="152" spans="1:114" x14ac:dyDescent="0.25">
      <c r="A152" s="34"/>
      <c r="B152" s="34"/>
      <c r="C152" s="34"/>
      <c r="D152" s="34"/>
      <c r="E152" s="34"/>
      <c r="F152" s="34"/>
      <c r="G152" s="34"/>
      <c r="H152" s="34"/>
      <c r="I152" s="34"/>
      <c r="J152" s="34"/>
      <c r="K152" s="37"/>
      <c r="L152" s="37"/>
      <c r="M152" s="37"/>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c r="CE152" s="35"/>
      <c r="CF152" s="35"/>
      <c r="CG152" s="35"/>
      <c r="CH152" s="35"/>
      <c r="CI152" s="35"/>
      <c r="CJ152" s="35"/>
      <c r="CK152" s="35"/>
      <c r="CL152" s="35"/>
      <c r="CM152" s="35"/>
      <c r="CN152" s="35"/>
      <c r="CO152" s="35"/>
      <c r="CP152" s="35"/>
      <c r="CQ152" s="35"/>
      <c r="CR152" s="35"/>
      <c r="CS152" s="35"/>
      <c r="CT152" s="35"/>
      <c r="CU152" s="35"/>
      <c r="CV152" s="35"/>
      <c r="CW152" s="35"/>
      <c r="CX152" s="35"/>
      <c r="CY152" s="35"/>
      <c r="CZ152" s="35"/>
      <c r="DA152" s="35"/>
      <c r="DB152" s="35"/>
      <c r="DC152" s="35"/>
      <c r="DD152" s="35"/>
      <c r="DE152" s="35"/>
      <c r="DF152" s="35"/>
      <c r="DG152" s="35"/>
      <c r="DH152" s="35"/>
      <c r="DI152" s="35"/>
      <c r="DJ152" s="35"/>
    </row>
    <row r="153" spans="1:114" x14ac:dyDescent="0.25">
      <c r="A153" s="34"/>
      <c r="B153" s="34"/>
      <c r="C153" s="34"/>
      <c r="D153" s="34"/>
      <c r="E153" s="34"/>
      <c r="F153" s="34"/>
      <c r="G153" s="34"/>
      <c r="H153" s="34"/>
      <c r="I153" s="34"/>
      <c r="J153" s="34"/>
      <c r="K153" s="37"/>
      <c r="L153" s="37"/>
      <c r="M153" s="37"/>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row>
    <row r="154" spans="1:114" x14ac:dyDescent="0.25">
      <c r="A154" s="34"/>
      <c r="B154" s="34"/>
      <c r="C154" s="34"/>
      <c r="D154" s="34"/>
      <c r="E154" s="34"/>
      <c r="F154" s="34"/>
      <c r="G154" s="34"/>
      <c r="H154" s="34"/>
      <c r="I154" s="34"/>
      <c r="J154" s="34"/>
      <c r="K154" s="37"/>
      <c r="L154" s="37"/>
      <c r="M154" s="37"/>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row>
    <row r="155" spans="1:114" x14ac:dyDescent="0.25">
      <c r="A155" s="34"/>
      <c r="B155" s="34"/>
      <c r="C155" s="34"/>
      <c r="D155" s="34"/>
      <c r="E155" s="34"/>
      <c r="F155" s="34"/>
      <c r="G155" s="34"/>
      <c r="H155" s="34"/>
      <c r="I155" s="34"/>
      <c r="J155" s="34"/>
      <c r="K155" s="37"/>
      <c r="L155" s="37"/>
      <c r="M155" s="37"/>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row>
    <row r="156" spans="1:114" x14ac:dyDescent="0.25">
      <c r="A156" s="34"/>
      <c r="B156" s="34"/>
      <c r="C156" s="34"/>
      <c r="D156" s="34"/>
      <c r="E156" s="34"/>
      <c r="F156" s="34"/>
      <c r="G156" s="34"/>
      <c r="H156" s="34"/>
      <c r="I156" s="34"/>
      <c r="J156" s="34"/>
      <c r="K156" s="37"/>
      <c r="L156" s="37"/>
      <c r="M156" s="37"/>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c r="CE156" s="35"/>
      <c r="CF156" s="35"/>
      <c r="CG156" s="35"/>
      <c r="CH156" s="35"/>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row>
    <row r="157" spans="1:114" x14ac:dyDescent="0.25">
      <c r="A157" s="34"/>
      <c r="B157" s="34"/>
      <c r="C157" s="34"/>
      <c r="D157" s="34"/>
      <c r="E157" s="34"/>
      <c r="F157" s="34"/>
      <c r="G157" s="34"/>
      <c r="H157" s="34"/>
      <c r="I157" s="34"/>
      <c r="J157" s="34"/>
      <c r="K157" s="37"/>
      <c r="L157" s="37"/>
      <c r="M157" s="37"/>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row>
    <row r="158" spans="1:114" x14ac:dyDescent="0.25">
      <c r="A158" s="34"/>
      <c r="B158" s="34"/>
      <c r="C158" s="34"/>
      <c r="D158" s="34"/>
      <c r="E158" s="34"/>
      <c r="F158" s="34"/>
      <c r="G158" s="34"/>
      <c r="H158" s="34"/>
      <c r="I158" s="34"/>
      <c r="J158" s="34"/>
      <c r="K158" s="37"/>
      <c r="L158" s="37"/>
      <c r="M158" s="37"/>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c r="CH158" s="35"/>
      <c r="CI158" s="35"/>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row>
    <row r="159" spans="1:114" x14ac:dyDescent="0.25">
      <c r="A159" s="34"/>
      <c r="B159" s="34"/>
      <c r="C159" s="34"/>
      <c r="D159" s="34"/>
      <c r="E159" s="34"/>
      <c r="F159" s="34"/>
      <c r="G159" s="34"/>
      <c r="H159" s="34"/>
      <c r="I159" s="34"/>
      <c r="J159" s="34"/>
      <c r="K159" s="37"/>
      <c r="L159" s="37"/>
      <c r="M159" s="37"/>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row>
    <row r="160" spans="1:114" x14ac:dyDescent="0.25">
      <c r="A160" s="34"/>
      <c r="B160" s="34"/>
      <c r="C160" s="34"/>
      <c r="D160" s="34"/>
      <c r="E160" s="34"/>
      <c r="F160" s="34"/>
      <c r="G160" s="34"/>
      <c r="H160" s="34"/>
      <c r="I160" s="34"/>
      <c r="J160" s="34"/>
      <c r="K160" s="37"/>
      <c r="L160" s="37"/>
      <c r="M160" s="37"/>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row>
    <row r="161" spans="1:114" x14ac:dyDescent="0.25">
      <c r="A161" s="34"/>
      <c r="B161" s="34"/>
      <c r="C161" s="34"/>
      <c r="D161" s="34"/>
      <c r="E161" s="34"/>
      <c r="F161" s="34"/>
      <c r="G161" s="34"/>
      <c r="H161" s="34"/>
      <c r="I161" s="34"/>
      <c r="J161" s="34"/>
      <c r="K161" s="37"/>
      <c r="L161" s="37"/>
      <c r="M161" s="37"/>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row>
    <row r="162" spans="1:114" x14ac:dyDescent="0.25">
      <c r="A162" s="34"/>
      <c r="B162" s="34"/>
      <c r="C162" s="34"/>
      <c r="D162" s="34"/>
      <c r="E162" s="34"/>
      <c r="F162" s="34"/>
      <c r="G162" s="34"/>
      <c r="H162" s="34"/>
      <c r="I162" s="34"/>
      <c r="J162" s="34"/>
      <c r="K162" s="37"/>
      <c r="L162" s="37"/>
      <c r="M162" s="37"/>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row>
    <row r="163" spans="1:114" x14ac:dyDescent="0.25">
      <c r="A163" s="34"/>
      <c r="B163" s="34"/>
      <c r="C163" s="34"/>
      <c r="D163" s="34"/>
      <c r="E163" s="34"/>
      <c r="F163" s="34"/>
      <c r="G163" s="34"/>
      <c r="H163" s="34"/>
      <c r="I163" s="34"/>
      <c r="J163" s="34"/>
      <c r="K163" s="37"/>
      <c r="L163" s="37"/>
      <c r="M163" s="37"/>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row>
    <row r="164" spans="1:114" x14ac:dyDescent="0.25">
      <c r="A164" s="34"/>
      <c r="B164" s="34"/>
      <c r="C164" s="34"/>
      <c r="D164" s="34"/>
      <c r="E164" s="34"/>
      <c r="F164" s="34"/>
      <c r="G164" s="34"/>
      <c r="H164" s="34"/>
      <c r="I164" s="34"/>
      <c r="J164" s="34"/>
      <c r="K164" s="37"/>
      <c r="L164" s="37"/>
      <c r="M164" s="37"/>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row>
    <row r="165" spans="1:114" x14ac:dyDescent="0.25">
      <c r="A165" s="34"/>
      <c r="B165" s="34"/>
      <c r="C165" s="34"/>
      <c r="D165" s="34"/>
      <c r="E165" s="34"/>
      <c r="F165" s="34"/>
      <c r="G165" s="34"/>
      <c r="H165" s="34"/>
      <c r="I165" s="34"/>
      <c r="J165" s="34"/>
      <c r="K165" s="37"/>
      <c r="L165" s="37"/>
      <c r="M165" s="37"/>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row>
    <row r="166" spans="1:114" x14ac:dyDescent="0.25">
      <c r="A166" s="34"/>
      <c r="B166" s="34"/>
      <c r="C166" s="34"/>
      <c r="D166" s="34"/>
      <c r="E166" s="34"/>
      <c r="F166" s="34"/>
      <c r="G166" s="34"/>
      <c r="H166" s="34"/>
      <c r="I166" s="34"/>
      <c r="J166" s="34"/>
      <c r="K166" s="37"/>
      <c r="L166" s="37"/>
      <c r="M166" s="37"/>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row>
    <row r="167" spans="1:114" x14ac:dyDescent="0.25">
      <c r="A167" s="34"/>
      <c r="B167" s="34"/>
      <c r="C167" s="34"/>
      <c r="D167" s="34"/>
      <c r="E167" s="34"/>
      <c r="F167" s="34"/>
      <c r="G167" s="34"/>
      <c r="H167" s="34"/>
      <c r="I167" s="34"/>
      <c r="J167" s="34"/>
      <c r="K167" s="37"/>
      <c r="L167" s="37"/>
      <c r="M167" s="37"/>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row>
    <row r="168" spans="1:114" x14ac:dyDescent="0.25">
      <c r="A168" s="34"/>
      <c r="B168" s="34"/>
      <c r="C168" s="34"/>
      <c r="D168" s="34"/>
      <c r="E168" s="34"/>
      <c r="F168" s="34"/>
      <c r="G168" s="34"/>
      <c r="H168" s="34"/>
      <c r="I168" s="34"/>
      <c r="J168" s="34"/>
      <c r="K168" s="37"/>
      <c r="L168" s="37"/>
      <c r="M168" s="37"/>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c r="DH168" s="35"/>
      <c r="DI168" s="35"/>
      <c r="DJ168" s="35"/>
    </row>
    <row r="169" spans="1:114" x14ac:dyDescent="0.25">
      <c r="A169" s="34"/>
      <c r="B169" s="34"/>
      <c r="C169" s="34"/>
      <c r="D169" s="34"/>
      <c r="E169" s="34"/>
      <c r="F169" s="34"/>
      <c r="G169" s="34"/>
      <c r="H169" s="34"/>
      <c r="I169" s="34"/>
      <c r="J169" s="34"/>
      <c r="K169" s="37"/>
      <c r="L169" s="37"/>
      <c r="M169" s="37"/>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c r="DH169" s="35"/>
      <c r="DI169" s="35"/>
      <c r="DJ169" s="35"/>
    </row>
    <row r="170" spans="1:114" x14ac:dyDescent="0.25">
      <c r="A170" s="34"/>
      <c r="B170" s="34"/>
      <c r="C170" s="34"/>
      <c r="D170" s="34"/>
      <c r="E170" s="34"/>
      <c r="F170" s="34"/>
      <c r="G170" s="34"/>
      <c r="H170" s="34"/>
      <c r="I170" s="34"/>
      <c r="J170" s="34"/>
      <c r="K170" s="37"/>
      <c r="L170" s="37"/>
      <c r="M170" s="37"/>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row>
    <row r="171" spans="1:114" x14ac:dyDescent="0.25">
      <c r="A171" s="34"/>
      <c r="B171" s="34"/>
      <c r="C171" s="34"/>
      <c r="D171" s="34"/>
      <c r="E171" s="34"/>
      <c r="F171" s="34"/>
      <c r="G171" s="34"/>
      <c r="H171" s="34"/>
      <c r="I171" s="34"/>
      <c r="J171" s="34"/>
      <c r="K171" s="37"/>
      <c r="L171" s="37"/>
      <c r="M171" s="37"/>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c r="DJ171" s="35"/>
    </row>
    <row r="172" spans="1:114" x14ac:dyDescent="0.25">
      <c r="A172" s="34"/>
      <c r="B172" s="34"/>
      <c r="C172" s="34"/>
      <c r="D172" s="34"/>
      <c r="E172" s="34"/>
      <c r="F172" s="34"/>
      <c r="G172" s="34"/>
      <c r="H172" s="34"/>
      <c r="I172" s="34"/>
      <c r="J172" s="34"/>
      <c r="K172" s="37"/>
      <c r="L172" s="37"/>
      <c r="M172" s="37"/>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c r="DH172" s="35"/>
      <c r="DI172" s="35"/>
      <c r="DJ172" s="35"/>
    </row>
    <row r="173" spans="1:114" x14ac:dyDescent="0.25">
      <c r="A173" s="34"/>
      <c r="B173" s="34"/>
      <c r="C173" s="34"/>
      <c r="D173" s="34"/>
      <c r="E173" s="34"/>
      <c r="F173" s="34"/>
      <c r="G173" s="34"/>
      <c r="H173" s="34"/>
      <c r="I173" s="34"/>
      <c r="J173" s="34"/>
      <c r="K173" s="34"/>
      <c r="L173" s="34"/>
      <c r="M173" s="34"/>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c r="DH173" s="35"/>
      <c r="DI173" s="35"/>
      <c r="DJ173" s="35"/>
    </row>
    <row r="174" spans="1:114" x14ac:dyDescent="0.25">
      <c r="A174" s="34"/>
      <c r="B174" s="34"/>
      <c r="C174" s="34"/>
      <c r="D174" s="34"/>
      <c r="E174" s="34"/>
      <c r="F174" s="34"/>
      <c r="G174" s="34"/>
      <c r="H174" s="34"/>
      <c r="I174" s="34"/>
      <c r="J174" s="34"/>
      <c r="K174" s="34"/>
      <c r="L174" s="34"/>
      <c r="M174" s="34"/>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row>
    <row r="175" spans="1:114" x14ac:dyDescent="0.25">
      <c r="A175" s="34"/>
      <c r="B175" s="34"/>
      <c r="C175" s="34"/>
      <c r="D175" s="34"/>
      <c r="E175" s="34"/>
      <c r="F175" s="34"/>
      <c r="G175" s="34"/>
      <c r="H175" s="34"/>
      <c r="I175" s="34"/>
      <c r="J175" s="34"/>
      <c r="K175" s="34"/>
      <c r="L175" s="34"/>
      <c r="M175" s="34"/>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c r="DH175" s="35"/>
      <c r="DI175" s="35"/>
      <c r="DJ175" s="35"/>
    </row>
    <row r="176" spans="1:114" x14ac:dyDescent="0.25">
      <c r="A176" s="34"/>
      <c r="B176" s="34"/>
      <c r="C176" s="34"/>
      <c r="D176" s="34"/>
      <c r="E176" s="34"/>
      <c r="F176" s="34"/>
      <c r="G176" s="34"/>
      <c r="H176" s="34"/>
      <c r="I176" s="34"/>
      <c r="J176" s="34"/>
      <c r="K176" s="34"/>
      <c r="L176" s="34"/>
      <c r="M176" s="34"/>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5"/>
      <c r="DI176" s="35"/>
      <c r="DJ176" s="35"/>
    </row>
    <row r="177" spans="1:114" x14ac:dyDescent="0.25">
      <c r="A177" s="34"/>
      <c r="B177" s="34"/>
      <c r="C177" s="34"/>
      <c r="D177" s="34"/>
      <c r="E177" s="34"/>
      <c r="F177" s="34"/>
      <c r="G177" s="34"/>
      <c r="H177" s="34"/>
      <c r="I177" s="34"/>
      <c r="J177" s="34"/>
      <c r="K177" s="34"/>
      <c r="L177" s="34"/>
      <c r="M177" s="34"/>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35"/>
      <c r="CS177" s="35"/>
      <c r="CT177" s="35"/>
      <c r="CU177" s="35"/>
      <c r="CV177" s="35"/>
      <c r="CW177" s="35"/>
      <c r="CX177" s="35"/>
      <c r="CY177" s="35"/>
      <c r="CZ177" s="35"/>
      <c r="DA177" s="35"/>
      <c r="DB177" s="35"/>
      <c r="DC177" s="35"/>
      <c r="DD177" s="35"/>
      <c r="DE177" s="35"/>
      <c r="DF177" s="35"/>
      <c r="DG177" s="35"/>
      <c r="DH177" s="35"/>
      <c r="DI177" s="35"/>
      <c r="DJ177" s="35"/>
    </row>
    <row r="178" spans="1:114" x14ac:dyDescent="0.25">
      <c r="A178" s="34"/>
      <c r="B178" s="34"/>
      <c r="C178" s="34"/>
      <c r="D178" s="34"/>
      <c r="E178" s="34"/>
      <c r="F178" s="34"/>
      <c r="G178" s="34"/>
      <c r="H178" s="34"/>
      <c r="I178" s="34"/>
      <c r="J178" s="34"/>
      <c r="K178" s="34"/>
      <c r="L178" s="34"/>
      <c r="M178" s="34"/>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c r="DB178" s="35"/>
      <c r="DC178" s="35"/>
      <c r="DD178" s="35"/>
      <c r="DE178" s="35"/>
      <c r="DF178" s="35"/>
      <c r="DG178" s="35"/>
      <c r="DH178" s="35"/>
      <c r="DI178" s="35"/>
      <c r="DJ178" s="35"/>
    </row>
    <row r="179" spans="1:114" x14ac:dyDescent="0.25">
      <c r="A179" s="34"/>
      <c r="B179" s="34"/>
      <c r="C179" s="34"/>
      <c r="D179" s="34"/>
      <c r="E179" s="34"/>
      <c r="F179" s="34"/>
      <c r="G179" s="34"/>
      <c r="H179" s="34"/>
      <c r="I179" s="34"/>
      <c r="J179" s="34"/>
      <c r="K179" s="34"/>
      <c r="L179" s="34"/>
      <c r="M179" s="34"/>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c r="CM179" s="35"/>
      <c r="CN179" s="35"/>
      <c r="CO179" s="35"/>
      <c r="CP179" s="35"/>
      <c r="CQ179" s="35"/>
      <c r="CR179" s="35"/>
      <c r="CS179" s="35"/>
      <c r="CT179" s="35"/>
      <c r="CU179" s="35"/>
      <c r="CV179" s="35"/>
      <c r="CW179" s="35"/>
      <c r="CX179" s="35"/>
      <c r="CY179" s="35"/>
      <c r="CZ179" s="35"/>
      <c r="DA179" s="35"/>
      <c r="DB179" s="35"/>
      <c r="DC179" s="35"/>
      <c r="DD179" s="35"/>
      <c r="DE179" s="35"/>
      <c r="DF179" s="35"/>
      <c r="DG179" s="35"/>
      <c r="DH179" s="35"/>
      <c r="DI179" s="35"/>
      <c r="DJ179" s="35"/>
    </row>
    <row r="180" spans="1:114" x14ac:dyDescent="0.25">
      <c r="A180" s="34"/>
      <c r="B180" s="34"/>
      <c r="C180" s="34"/>
      <c r="D180" s="34"/>
      <c r="E180" s="34"/>
      <c r="F180" s="34"/>
      <c r="G180" s="34"/>
      <c r="H180" s="34"/>
      <c r="I180" s="34"/>
      <c r="J180" s="34"/>
      <c r="K180" s="34"/>
      <c r="L180" s="34"/>
      <c r="M180" s="34"/>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c r="DH180" s="35"/>
      <c r="DI180" s="35"/>
      <c r="DJ180" s="35"/>
    </row>
    <row r="181" spans="1:114" x14ac:dyDescent="0.25">
      <c r="A181" s="34"/>
      <c r="B181" s="34"/>
      <c r="C181" s="34"/>
      <c r="D181" s="34"/>
      <c r="E181" s="34"/>
      <c r="F181" s="34"/>
      <c r="G181" s="34"/>
      <c r="H181" s="34"/>
      <c r="I181" s="34"/>
      <c r="J181" s="34"/>
      <c r="K181" s="34"/>
      <c r="L181" s="34"/>
      <c r="M181" s="34"/>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c r="DH181" s="35"/>
      <c r="DI181" s="35"/>
      <c r="DJ181" s="35"/>
    </row>
    <row r="182" spans="1:114" x14ac:dyDescent="0.25">
      <c r="A182" s="34"/>
      <c r="B182" s="34"/>
      <c r="C182" s="34"/>
      <c r="D182" s="34"/>
      <c r="E182" s="34"/>
      <c r="F182" s="34"/>
      <c r="G182" s="34"/>
      <c r="H182" s="34"/>
      <c r="I182" s="34"/>
      <c r="J182" s="34"/>
      <c r="K182" s="34"/>
      <c r="L182" s="34"/>
      <c r="M182" s="34"/>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row>
    <row r="183" spans="1:114" x14ac:dyDescent="0.25">
      <c r="A183" s="34"/>
      <c r="B183" s="34"/>
      <c r="C183" s="34"/>
      <c r="D183" s="34"/>
      <c r="E183" s="34"/>
      <c r="F183" s="34"/>
      <c r="G183" s="34"/>
      <c r="H183" s="34"/>
      <c r="I183" s="34"/>
      <c r="J183" s="34"/>
      <c r="K183" s="34"/>
      <c r="L183" s="34"/>
      <c r="M183" s="34"/>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c r="DH183" s="35"/>
      <c r="DI183" s="35"/>
      <c r="DJ183" s="35"/>
    </row>
    <row r="184" spans="1:114" x14ac:dyDescent="0.25">
      <c r="A184" s="34"/>
      <c r="B184" s="34"/>
      <c r="C184" s="34"/>
      <c r="D184" s="34"/>
      <c r="E184" s="34"/>
      <c r="F184" s="34"/>
      <c r="G184" s="34"/>
      <c r="H184" s="34"/>
      <c r="I184" s="34"/>
      <c r="J184" s="34"/>
      <c r="K184" s="34"/>
      <c r="L184" s="34"/>
      <c r="M184" s="34"/>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c r="CH184" s="35"/>
      <c r="CI184" s="35"/>
      <c r="CJ184" s="35"/>
      <c r="CK184" s="35"/>
      <c r="CL184" s="35"/>
      <c r="CM184" s="35"/>
      <c r="CN184" s="35"/>
      <c r="CO184" s="35"/>
      <c r="CP184" s="35"/>
      <c r="CQ184" s="35"/>
      <c r="CR184" s="35"/>
      <c r="CS184" s="35"/>
      <c r="CT184" s="35"/>
      <c r="CU184" s="35"/>
      <c r="CV184" s="35"/>
      <c r="CW184" s="35"/>
      <c r="CX184" s="35"/>
      <c r="CY184" s="35"/>
      <c r="CZ184" s="35"/>
      <c r="DA184" s="35"/>
      <c r="DB184" s="35"/>
      <c r="DC184" s="35"/>
      <c r="DD184" s="35"/>
      <c r="DE184" s="35"/>
      <c r="DF184" s="35"/>
      <c r="DG184" s="35"/>
      <c r="DH184" s="35"/>
      <c r="DI184" s="35"/>
      <c r="DJ184" s="35"/>
    </row>
    <row r="185" spans="1:114" x14ac:dyDescent="0.25">
      <c r="A185" s="34"/>
      <c r="B185" s="34"/>
      <c r="C185" s="34"/>
      <c r="D185" s="34"/>
      <c r="E185" s="34"/>
      <c r="F185" s="34"/>
      <c r="G185" s="34"/>
      <c r="H185" s="34"/>
      <c r="I185" s="34"/>
      <c r="J185" s="34"/>
      <c r="K185" s="34"/>
      <c r="L185" s="34"/>
      <c r="M185" s="34"/>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c r="DH185" s="35"/>
      <c r="DI185" s="35"/>
      <c r="DJ185" s="35"/>
    </row>
    <row r="186" spans="1:114" x14ac:dyDescent="0.25">
      <c r="A186" s="34"/>
      <c r="B186" s="34"/>
      <c r="C186" s="34"/>
      <c r="D186" s="34"/>
      <c r="E186" s="34"/>
      <c r="F186" s="34"/>
      <c r="G186" s="34"/>
      <c r="H186" s="34"/>
      <c r="I186" s="34"/>
      <c r="J186" s="34"/>
      <c r="K186" s="34"/>
      <c r="L186" s="34"/>
      <c r="M186" s="34"/>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c r="DH186" s="35"/>
      <c r="DI186" s="35"/>
      <c r="DJ186" s="35"/>
    </row>
    <row r="187" spans="1:114" x14ac:dyDescent="0.25">
      <c r="A187" s="34"/>
      <c r="B187" s="34"/>
      <c r="C187" s="34"/>
      <c r="D187" s="34"/>
      <c r="E187" s="34"/>
      <c r="F187" s="34"/>
      <c r="G187" s="34"/>
      <c r="H187" s="34"/>
      <c r="I187" s="34"/>
      <c r="J187" s="34"/>
      <c r="K187" s="34"/>
      <c r="L187" s="34"/>
      <c r="M187" s="34"/>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35"/>
    </row>
    <row r="188" spans="1:114" x14ac:dyDescent="0.25">
      <c r="A188" s="34"/>
      <c r="B188" s="34"/>
      <c r="C188" s="34"/>
      <c r="D188" s="34"/>
      <c r="E188" s="34"/>
      <c r="F188" s="34"/>
      <c r="G188" s="34"/>
      <c r="H188" s="34"/>
      <c r="I188" s="34"/>
      <c r="J188" s="34"/>
      <c r="K188" s="34"/>
      <c r="L188" s="34"/>
      <c r="M188" s="34"/>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c r="DH188" s="35"/>
      <c r="DI188" s="35"/>
      <c r="DJ188" s="35"/>
    </row>
    <row r="189" spans="1:114" x14ac:dyDescent="0.25">
      <c r="A189" s="34"/>
      <c r="B189" s="34"/>
      <c r="C189" s="34"/>
      <c r="D189" s="34"/>
      <c r="E189" s="34"/>
      <c r="F189" s="34"/>
      <c r="G189" s="34"/>
      <c r="H189" s="34"/>
      <c r="I189" s="34"/>
      <c r="J189" s="34"/>
      <c r="K189" s="34"/>
      <c r="L189" s="34"/>
      <c r="M189" s="34"/>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5"/>
    </row>
    <row r="190" spans="1:114" x14ac:dyDescent="0.25">
      <c r="A190" s="34"/>
      <c r="B190" s="34"/>
      <c r="C190" s="34"/>
      <c r="D190" s="34"/>
      <c r="E190" s="34"/>
      <c r="F190" s="34"/>
      <c r="G190" s="34"/>
      <c r="H190" s="34"/>
      <c r="I190" s="34"/>
      <c r="J190" s="34"/>
      <c r="K190" s="34"/>
      <c r="L190" s="34"/>
      <c r="M190" s="34"/>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c r="DH190" s="35"/>
      <c r="DI190" s="35"/>
      <c r="DJ190" s="35"/>
    </row>
    <row r="191" spans="1:114" x14ac:dyDescent="0.25">
      <c r="A191" s="34"/>
      <c r="B191" s="34"/>
      <c r="C191" s="34"/>
      <c r="D191" s="34"/>
      <c r="E191" s="34"/>
      <c r="F191" s="34"/>
      <c r="G191" s="34"/>
      <c r="H191" s="34"/>
      <c r="I191" s="34"/>
      <c r="J191" s="34"/>
      <c r="K191" s="34"/>
      <c r="L191" s="34"/>
      <c r="M191" s="34"/>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CG191" s="35"/>
      <c r="CH191" s="35"/>
      <c r="CI191" s="35"/>
      <c r="CJ191" s="35"/>
      <c r="CK191" s="35"/>
      <c r="CL191" s="35"/>
      <c r="CM191" s="35"/>
      <c r="CN191" s="35"/>
      <c r="CO191" s="35"/>
      <c r="CP191" s="35"/>
      <c r="CQ191" s="35"/>
      <c r="CR191" s="35"/>
      <c r="CS191" s="35"/>
      <c r="CT191" s="35"/>
      <c r="CU191" s="35"/>
      <c r="CV191" s="35"/>
      <c r="CW191" s="35"/>
      <c r="CX191" s="35"/>
      <c r="CY191" s="35"/>
      <c r="CZ191" s="35"/>
      <c r="DA191" s="35"/>
      <c r="DB191" s="35"/>
      <c r="DC191" s="35"/>
      <c r="DD191" s="35"/>
      <c r="DE191" s="35"/>
      <c r="DF191" s="35"/>
      <c r="DG191" s="35"/>
      <c r="DH191" s="35"/>
      <c r="DI191" s="35"/>
      <c r="DJ191" s="35"/>
    </row>
    <row r="192" spans="1:114" x14ac:dyDescent="0.25">
      <c r="A192" s="34"/>
      <c r="B192" s="34"/>
      <c r="C192" s="34"/>
      <c r="D192" s="34"/>
      <c r="E192" s="34"/>
      <c r="F192" s="34"/>
      <c r="G192" s="34"/>
      <c r="H192" s="34"/>
      <c r="I192" s="34"/>
      <c r="J192" s="34"/>
      <c r="K192" s="34"/>
      <c r="L192" s="34"/>
      <c r="M192" s="34"/>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c r="CH192" s="35"/>
      <c r="CI192" s="35"/>
      <c r="CJ192" s="35"/>
      <c r="CK192" s="35"/>
      <c r="CL192" s="35"/>
      <c r="CM192" s="35"/>
      <c r="CN192" s="35"/>
      <c r="CO192" s="35"/>
      <c r="CP192" s="35"/>
      <c r="CQ192" s="35"/>
      <c r="CR192" s="35"/>
      <c r="CS192" s="35"/>
      <c r="CT192" s="35"/>
      <c r="CU192" s="35"/>
      <c r="CV192" s="35"/>
      <c r="CW192" s="35"/>
      <c r="CX192" s="35"/>
      <c r="CY192" s="35"/>
      <c r="CZ192" s="35"/>
      <c r="DA192" s="35"/>
      <c r="DB192" s="35"/>
      <c r="DC192" s="35"/>
      <c r="DD192" s="35"/>
      <c r="DE192" s="35"/>
      <c r="DF192" s="35"/>
      <c r="DG192" s="35"/>
      <c r="DH192" s="35"/>
      <c r="DI192" s="35"/>
      <c r="DJ192" s="35"/>
    </row>
    <row r="193" spans="1:114" x14ac:dyDescent="0.25">
      <c r="A193" s="34"/>
      <c r="B193" s="34"/>
      <c r="C193" s="34"/>
      <c r="D193" s="34"/>
      <c r="E193" s="34"/>
      <c r="F193" s="34"/>
      <c r="G193" s="34"/>
      <c r="H193" s="34"/>
      <c r="I193" s="34"/>
      <c r="J193" s="34"/>
      <c r="K193" s="34"/>
      <c r="L193" s="34"/>
      <c r="M193" s="34"/>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c r="CH193" s="35"/>
      <c r="CI193" s="35"/>
      <c r="CJ193" s="35"/>
      <c r="CK193" s="35"/>
      <c r="CL193" s="35"/>
      <c r="CM193" s="35"/>
      <c r="CN193" s="35"/>
      <c r="CO193" s="35"/>
      <c r="CP193" s="35"/>
      <c r="CQ193" s="35"/>
      <c r="CR193" s="35"/>
      <c r="CS193" s="35"/>
      <c r="CT193" s="35"/>
      <c r="CU193" s="35"/>
      <c r="CV193" s="35"/>
      <c r="CW193" s="35"/>
      <c r="CX193" s="35"/>
      <c r="CY193" s="35"/>
      <c r="CZ193" s="35"/>
      <c r="DA193" s="35"/>
      <c r="DB193" s="35"/>
      <c r="DC193" s="35"/>
      <c r="DD193" s="35"/>
      <c r="DE193" s="35"/>
      <c r="DF193" s="35"/>
      <c r="DG193" s="35"/>
      <c r="DH193" s="35"/>
      <c r="DI193" s="35"/>
      <c r="DJ193" s="35"/>
    </row>
    <row r="194" spans="1:114" x14ac:dyDescent="0.25">
      <c r="A194" s="34"/>
      <c r="B194" s="34"/>
      <c r="C194" s="34"/>
      <c r="D194" s="34"/>
      <c r="E194" s="34"/>
      <c r="F194" s="34"/>
      <c r="G194" s="34"/>
      <c r="H194" s="34"/>
      <c r="I194" s="34"/>
      <c r="J194" s="34"/>
      <c r="K194" s="34"/>
      <c r="L194" s="34"/>
      <c r="M194" s="34"/>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c r="CH194" s="35"/>
      <c r="CI194" s="35"/>
      <c r="CJ194" s="35"/>
      <c r="CK194" s="35"/>
      <c r="CL194" s="35"/>
      <c r="CM194" s="35"/>
      <c r="CN194" s="35"/>
      <c r="CO194" s="35"/>
      <c r="CP194" s="35"/>
      <c r="CQ194" s="35"/>
      <c r="CR194" s="35"/>
      <c r="CS194" s="35"/>
      <c r="CT194" s="35"/>
      <c r="CU194" s="35"/>
      <c r="CV194" s="35"/>
      <c r="CW194" s="35"/>
      <c r="CX194" s="35"/>
      <c r="CY194" s="35"/>
      <c r="CZ194" s="35"/>
      <c r="DA194" s="35"/>
      <c r="DB194" s="35"/>
      <c r="DC194" s="35"/>
      <c r="DD194" s="35"/>
      <c r="DE194" s="35"/>
      <c r="DF194" s="35"/>
      <c r="DG194" s="35"/>
      <c r="DH194" s="35"/>
      <c r="DI194" s="35"/>
      <c r="DJ194" s="35"/>
    </row>
    <row r="195" spans="1:114" x14ac:dyDescent="0.25">
      <c r="A195" s="34"/>
      <c r="B195" s="34"/>
      <c r="C195" s="34"/>
      <c r="D195" s="34"/>
      <c r="E195" s="34"/>
      <c r="F195" s="34"/>
      <c r="G195" s="34"/>
      <c r="H195" s="34"/>
      <c r="I195" s="34"/>
      <c r="J195" s="34"/>
      <c r="K195" s="34"/>
      <c r="L195" s="34"/>
      <c r="M195" s="34"/>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c r="CG195" s="35"/>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c r="DH195" s="35"/>
      <c r="DI195" s="35"/>
      <c r="DJ195" s="35"/>
    </row>
    <row r="196" spans="1:114" x14ac:dyDescent="0.25">
      <c r="A196" s="34"/>
      <c r="B196" s="34"/>
      <c r="C196" s="34"/>
      <c r="D196" s="34"/>
      <c r="E196" s="34"/>
      <c r="F196" s="34"/>
      <c r="G196" s="34"/>
      <c r="H196" s="34"/>
      <c r="I196" s="34"/>
      <c r="J196" s="34"/>
      <c r="K196" s="34"/>
      <c r="L196" s="34"/>
      <c r="M196" s="34"/>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row>
    <row r="197" spans="1:114" x14ac:dyDescent="0.25">
      <c r="A197" s="34"/>
      <c r="B197" s="34"/>
      <c r="C197" s="34"/>
      <c r="D197" s="34"/>
      <c r="E197" s="34"/>
      <c r="F197" s="34"/>
      <c r="G197" s="34"/>
      <c r="H197" s="34"/>
      <c r="I197" s="34"/>
      <c r="J197" s="34"/>
      <c r="K197" s="34"/>
      <c r="L197" s="34"/>
      <c r="M197" s="34"/>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c r="DH197" s="35"/>
      <c r="DI197" s="35"/>
      <c r="DJ197" s="35"/>
    </row>
    <row r="198" spans="1:114" x14ac:dyDescent="0.25">
      <c r="A198" s="34"/>
      <c r="B198" s="34"/>
      <c r="C198" s="34"/>
      <c r="D198" s="34"/>
      <c r="E198" s="34"/>
      <c r="F198" s="34"/>
      <c r="G198" s="34"/>
      <c r="H198" s="34"/>
      <c r="I198" s="34"/>
      <c r="J198" s="34"/>
      <c r="K198" s="34"/>
      <c r="L198" s="34"/>
      <c r="M198" s="34"/>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c r="DH198" s="35"/>
      <c r="DI198" s="35"/>
      <c r="DJ198" s="35"/>
    </row>
    <row r="199" spans="1:114" x14ac:dyDescent="0.25">
      <c r="A199" s="34"/>
      <c r="B199" s="34"/>
      <c r="C199" s="34"/>
      <c r="D199" s="34"/>
      <c r="E199" s="34"/>
      <c r="F199" s="34"/>
      <c r="G199" s="34"/>
      <c r="H199" s="34"/>
      <c r="I199" s="34"/>
      <c r="J199" s="34"/>
      <c r="K199" s="34"/>
      <c r="L199" s="34"/>
      <c r="M199" s="34"/>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c r="CZ199" s="35"/>
      <c r="DA199" s="35"/>
      <c r="DB199" s="35"/>
      <c r="DC199" s="35"/>
      <c r="DD199" s="35"/>
      <c r="DE199" s="35"/>
      <c r="DF199" s="35"/>
      <c r="DG199" s="35"/>
      <c r="DH199" s="35"/>
      <c r="DI199" s="35"/>
      <c r="DJ199" s="35"/>
    </row>
    <row r="200" spans="1:114" x14ac:dyDescent="0.25">
      <c r="A200" s="34"/>
      <c r="B200" s="34"/>
      <c r="C200" s="34"/>
      <c r="D200" s="34"/>
      <c r="E200" s="34"/>
      <c r="F200" s="34"/>
      <c r="G200" s="34"/>
      <c r="H200" s="34"/>
      <c r="I200" s="34"/>
      <c r="J200" s="34"/>
      <c r="K200" s="34"/>
      <c r="L200" s="34"/>
      <c r="M200" s="34"/>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c r="DH200" s="35"/>
      <c r="DI200" s="35"/>
      <c r="DJ200" s="35"/>
    </row>
    <row r="201" spans="1:114" x14ac:dyDescent="0.25">
      <c r="A201" s="34"/>
      <c r="B201" s="34"/>
      <c r="C201" s="34"/>
      <c r="D201" s="34"/>
      <c r="E201" s="34"/>
      <c r="F201" s="34"/>
      <c r="G201" s="34"/>
      <c r="H201" s="34"/>
      <c r="I201" s="34"/>
      <c r="J201" s="34"/>
      <c r="K201" s="34"/>
      <c r="L201" s="34"/>
      <c r="M201" s="34"/>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row>
    <row r="202" spans="1:114" x14ac:dyDescent="0.25">
      <c r="A202" s="34"/>
      <c r="B202" s="34"/>
      <c r="C202" s="34"/>
      <c r="D202" s="34"/>
      <c r="E202" s="34"/>
      <c r="F202" s="34"/>
      <c r="G202" s="34"/>
      <c r="H202" s="34"/>
      <c r="I202" s="34"/>
      <c r="J202" s="34"/>
      <c r="K202" s="34"/>
      <c r="L202" s="34"/>
      <c r="M202" s="34"/>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row>
    <row r="203" spans="1:114" x14ac:dyDescent="0.25">
      <c r="A203" s="34"/>
      <c r="B203" s="34"/>
      <c r="C203" s="34"/>
      <c r="D203" s="34"/>
      <c r="E203" s="34"/>
      <c r="F203" s="34"/>
      <c r="G203" s="34"/>
      <c r="H203" s="34"/>
      <c r="I203" s="34"/>
      <c r="J203" s="34"/>
      <c r="K203" s="34"/>
      <c r="L203" s="34"/>
      <c r="M203" s="34"/>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row>
    <row r="204" spans="1:114" x14ac:dyDescent="0.25">
      <c r="A204" s="34"/>
      <c r="B204" s="34"/>
      <c r="C204" s="34"/>
      <c r="D204" s="34"/>
      <c r="E204" s="34"/>
      <c r="F204" s="34"/>
      <c r="G204" s="34"/>
      <c r="H204" s="34"/>
      <c r="I204" s="34"/>
      <c r="J204" s="34"/>
      <c r="K204" s="34"/>
      <c r="L204" s="34"/>
      <c r="M204" s="34"/>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c r="DH204" s="35"/>
      <c r="DI204" s="35"/>
      <c r="DJ204" s="35"/>
    </row>
    <row r="205" spans="1:114" x14ac:dyDescent="0.25">
      <c r="A205" s="34"/>
      <c r="B205" s="34"/>
      <c r="C205" s="34"/>
      <c r="D205" s="34"/>
      <c r="E205" s="34"/>
      <c r="F205" s="34"/>
      <c r="G205" s="34"/>
      <c r="H205" s="34"/>
      <c r="I205" s="34"/>
      <c r="J205" s="34"/>
      <c r="K205" s="34"/>
      <c r="L205" s="34"/>
      <c r="M205" s="34"/>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c r="DH205" s="35"/>
      <c r="DI205" s="35"/>
      <c r="DJ205" s="35"/>
    </row>
    <row r="206" spans="1:114" x14ac:dyDescent="0.25">
      <c r="A206" s="34"/>
      <c r="B206" s="34"/>
      <c r="C206" s="34"/>
      <c r="D206" s="34"/>
      <c r="E206" s="34"/>
      <c r="F206" s="34"/>
      <c r="G206" s="34"/>
      <c r="H206" s="34"/>
      <c r="I206" s="34"/>
      <c r="J206" s="34"/>
      <c r="K206" s="34"/>
      <c r="L206" s="34"/>
      <c r="M206" s="34"/>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c r="CH206" s="35"/>
      <c r="CI206" s="35"/>
      <c r="CJ206" s="35"/>
      <c r="CK206" s="35"/>
      <c r="CL206" s="35"/>
      <c r="CM206" s="35"/>
      <c r="CN206" s="35"/>
      <c r="CO206" s="35"/>
      <c r="CP206" s="35"/>
      <c r="CQ206" s="35"/>
      <c r="CR206" s="35"/>
      <c r="CS206" s="35"/>
      <c r="CT206" s="35"/>
      <c r="CU206" s="35"/>
      <c r="CV206" s="35"/>
      <c r="CW206" s="35"/>
      <c r="CX206" s="35"/>
      <c r="CY206" s="35"/>
      <c r="CZ206" s="35"/>
      <c r="DA206" s="35"/>
      <c r="DB206" s="35"/>
      <c r="DC206" s="35"/>
      <c r="DD206" s="35"/>
      <c r="DE206" s="35"/>
      <c r="DF206" s="35"/>
      <c r="DG206" s="35"/>
      <c r="DH206" s="35"/>
      <c r="DI206" s="35"/>
      <c r="DJ206" s="35"/>
    </row>
    <row r="207" spans="1:114" x14ac:dyDescent="0.25">
      <c r="A207" s="34"/>
      <c r="B207" s="34"/>
      <c r="C207" s="34"/>
      <c r="D207" s="34"/>
      <c r="E207" s="34"/>
      <c r="F207" s="34"/>
      <c r="G207" s="34"/>
      <c r="H207" s="34"/>
      <c r="I207" s="34"/>
      <c r="J207" s="34"/>
      <c r="K207" s="34"/>
      <c r="L207" s="34"/>
      <c r="M207" s="34"/>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c r="CG207" s="35"/>
      <c r="CH207" s="35"/>
      <c r="CI207" s="35"/>
      <c r="CJ207" s="35"/>
      <c r="CK207" s="35"/>
      <c r="CL207" s="35"/>
      <c r="CM207" s="35"/>
      <c r="CN207" s="35"/>
      <c r="CO207" s="35"/>
      <c r="CP207" s="35"/>
      <c r="CQ207" s="35"/>
      <c r="CR207" s="35"/>
      <c r="CS207" s="35"/>
      <c r="CT207" s="35"/>
      <c r="CU207" s="35"/>
      <c r="CV207" s="35"/>
      <c r="CW207" s="35"/>
      <c r="CX207" s="35"/>
      <c r="CY207" s="35"/>
      <c r="CZ207" s="35"/>
      <c r="DA207" s="35"/>
      <c r="DB207" s="35"/>
      <c r="DC207" s="35"/>
      <c r="DD207" s="35"/>
      <c r="DE207" s="35"/>
      <c r="DF207" s="35"/>
      <c r="DG207" s="35"/>
      <c r="DH207" s="35"/>
      <c r="DI207" s="35"/>
      <c r="DJ207" s="35"/>
    </row>
    <row r="208" spans="1:114" x14ac:dyDescent="0.25">
      <c r="A208" s="34"/>
      <c r="B208" s="34"/>
      <c r="C208" s="34"/>
      <c r="D208" s="34"/>
      <c r="E208" s="34"/>
      <c r="F208" s="34"/>
      <c r="G208" s="34"/>
      <c r="H208" s="34"/>
      <c r="I208" s="34"/>
      <c r="J208" s="34"/>
      <c r="K208" s="34"/>
      <c r="L208" s="34"/>
      <c r="M208" s="34"/>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row>
    <row r="209" spans="1:114" x14ac:dyDescent="0.25">
      <c r="A209" s="34"/>
      <c r="B209" s="34"/>
      <c r="C209" s="34"/>
      <c r="D209" s="34"/>
      <c r="E209" s="34"/>
      <c r="F209" s="34"/>
      <c r="G209" s="34"/>
      <c r="H209" s="34"/>
      <c r="I209" s="34"/>
      <c r="J209" s="34"/>
      <c r="K209" s="34"/>
      <c r="L209" s="34"/>
      <c r="M209" s="34"/>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row>
    <row r="210" spans="1:114" x14ac:dyDescent="0.25">
      <c r="A210" s="34"/>
      <c r="B210" s="34"/>
      <c r="C210" s="34"/>
      <c r="D210" s="34"/>
      <c r="E210" s="34"/>
      <c r="F210" s="34"/>
      <c r="G210" s="34"/>
      <c r="H210" s="34"/>
      <c r="I210" s="34"/>
      <c r="J210" s="34"/>
      <c r="K210" s="34"/>
      <c r="L210" s="34"/>
      <c r="M210" s="34"/>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c r="CH210" s="35"/>
      <c r="CI210" s="35"/>
      <c r="CJ210" s="35"/>
      <c r="CK210" s="35"/>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row>
    <row r="211" spans="1:114" x14ac:dyDescent="0.25">
      <c r="A211" s="34"/>
      <c r="B211" s="34"/>
      <c r="C211" s="34"/>
      <c r="D211" s="34"/>
      <c r="E211" s="34"/>
      <c r="F211" s="34"/>
      <c r="G211" s="34"/>
      <c r="H211" s="34"/>
      <c r="I211" s="34"/>
      <c r="J211" s="34"/>
      <c r="K211" s="34"/>
      <c r="L211" s="34"/>
      <c r="M211" s="34"/>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row>
    <row r="212" spans="1:114" x14ac:dyDescent="0.25">
      <c r="A212" s="34"/>
      <c r="B212" s="34"/>
      <c r="C212" s="34"/>
      <c r="D212" s="34"/>
      <c r="E212" s="34"/>
      <c r="F212" s="34"/>
      <c r="G212" s="34"/>
      <c r="H212" s="34"/>
      <c r="I212" s="34"/>
      <c r="J212" s="34"/>
      <c r="K212" s="34"/>
      <c r="L212" s="34"/>
      <c r="M212" s="34"/>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row>
    <row r="213" spans="1:114" x14ac:dyDescent="0.25">
      <c r="A213" s="34"/>
      <c r="B213" s="34"/>
      <c r="C213" s="34"/>
      <c r="D213" s="34"/>
      <c r="E213" s="34"/>
      <c r="F213" s="34"/>
      <c r="G213" s="34"/>
      <c r="H213" s="34"/>
      <c r="I213" s="34"/>
      <c r="J213" s="34"/>
      <c r="K213" s="34"/>
      <c r="L213" s="34"/>
      <c r="M213" s="34"/>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row>
    <row r="214" spans="1:114" x14ac:dyDescent="0.25">
      <c r="A214" s="34"/>
      <c r="B214" s="34"/>
      <c r="C214" s="34"/>
      <c r="D214" s="34"/>
      <c r="E214" s="34"/>
      <c r="F214" s="34"/>
      <c r="G214" s="34"/>
      <c r="H214" s="34"/>
      <c r="I214" s="34"/>
      <c r="J214" s="34"/>
      <c r="K214" s="34"/>
      <c r="L214" s="34"/>
      <c r="M214" s="34"/>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row>
    <row r="215" spans="1:114" x14ac:dyDescent="0.25">
      <c r="A215" s="34"/>
      <c r="B215" s="34"/>
      <c r="C215" s="34"/>
      <c r="D215" s="34"/>
      <c r="E215" s="34"/>
      <c r="F215" s="34"/>
      <c r="G215" s="34"/>
      <c r="H215" s="34"/>
      <c r="I215" s="34"/>
      <c r="J215" s="34"/>
      <c r="K215" s="34"/>
      <c r="L215" s="34"/>
      <c r="M215" s="34"/>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row>
    <row r="216" spans="1:114" x14ac:dyDescent="0.25">
      <c r="A216" s="34"/>
      <c r="B216" s="34"/>
      <c r="C216" s="34"/>
      <c r="D216" s="34"/>
      <c r="E216" s="34"/>
      <c r="F216" s="34"/>
      <c r="G216" s="34"/>
      <c r="H216" s="34"/>
      <c r="I216" s="34"/>
      <c r="J216" s="34"/>
      <c r="K216" s="34"/>
      <c r="L216" s="34"/>
      <c r="M216" s="34"/>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row>
    <row r="217" spans="1:114" x14ac:dyDescent="0.25">
      <c r="A217" s="34"/>
      <c r="B217" s="34"/>
      <c r="C217" s="34"/>
      <c r="D217" s="34"/>
      <c r="E217" s="34"/>
      <c r="F217" s="34"/>
      <c r="G217" s="34"/>
      <c r="H217" s="34"/>
      <c r="I217" s="34"/>
      <c r="J217" s="34"/>
      <c r="K217" s="34"/>
      <c r="L217" s="34"/>
      <c r="M217" s="34"/>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row>
    <row r="218" spans="1:114" x14ac:dyDescent="0.25">
      <c r="A218" s="34"/>
      <c r="B218" s="34"/>
      <c r="C218" s="34"/>
      <c r="D218" s="34"/>
      <c r="E218" s="34"/>
      <c r="F218" s="34"/>
      <c r="G218" s="34"/>
      <c r="H218" s="34"/>
      <c r="I218" s="34"/>
      <c r="J218" s="34"/>
      <c r="K218" s="34"/>
      <c r="L218" s="34"/>
      <c r="M218" s="34"/>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row>
    <row r="219" spans="1:114" x14ac:dyDescent="0.25">
      <c r="A219" s="34"/>
      <c r="B219" s="34"/>
      <c r="C219" s="34"/>
      <c r="D219" s="34"/>
      <c r="E219" s="34"/>
      <c r="F219" s="34"/>
      <c r="G219" s="34"/>
      <c r="H219" s="34"/>
      <c r="I219" s="34"/>
      <c r="J219" s="34"/>
      <c r="K219" s="34"/>
      <c r="L219" s="34"/>
      <c r="M219" s="34"/>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row>
    <row r="220" spans="1:114" x14ac:dyDescent="0.25">
      <c r="A220" s="34"/>
      <c r="B220" s="34"/>
      <c r="C220" s="34"/>
      <c r="D220" s="34"/>
      <c r="E220" s="34"/>
      <c r="F220" s="34"/>
      <c r="G220" s="34"/>
      <c r="H220" s="34"/>
      <c r="I220" s="34"/>
      <c r="J220" s="34"/>
      <c r="K220" s="34"/>
      <c r="L220" s="34"/>
      <c r="M220" s="34"/>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row>
    <row r="221" spans="1:114" x14ac:dyDescent="0.25">
      <c r="A221" s="34"/>
      <c r="B221" s="34"/>
      <c r="C221" s="34"/>
      <c r="D221" s="34"/>
      <c r="E221" s="34"/>
      <c r="F221" s="34"/>
      <c r="G221" s="34"/>
      <c r="H221" s="34"/>
      <c r="I221" s="34"/>
      <c r="J221" s="34"/>
      <c r="K221" s="34"/>
      <c r="L221" s="34"/>
      <c r="M221" s="34"/>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row>
    <row r="222" spans="1:114" x14ac:dyDescent="0.25">
      <c r="A222" s="34"/>
      <c r="B222" s="34"/>
      <c r="C222" s="34"/>
      <c r="D222" s="34"/>
      <c r="E222" s="34"/>
      <c r="F222" s="34"/>
      <c r="G222" s="34"/>
      <c r="H222" s="34"/>
      <c r="I222" s="34"/>
      <c r="J222" s="34"/>
      <c r="K222" s="34"/>
      <c r="L222" s="34"/>
      <c r="M222" s="34"/>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row>
    <row r="223" spans="1:114" x14ac:dyDescent="0.25">
      <c r="A223" s="34"/>
      <c r="B223" s="34"/>
      <c r="C223" s="34"/>
      <c r="D223" s="34"/>
      <c r="E223" s="34"/>
      <c r="F223" s="34"/>
      <c r="G223" s="34"/>
      <c r="H223" s="34"/>
      <c r="I223" s="34"/>
      <c r="J223" s="34"/>
      <c r="K223" s="34"/>
      <c r="L223" s="34"/>
      <c r="M223" s="34"/>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row>
    <row r="224" spans="1:114" x14ac:dyDescent="0.25">
      <c r="A224" s="34"/>
      <c r="B224" s="34"/>
      <c r="C224" s="34"/>
      <c r="D224" s="34"/>
      <c r="E224" s="34"/>
      <c r="F224" s="34"/>
      <c r="G224" s="34"/>
      <c r="H224" s="34"/>
      <c r="I224" s="34"/>
      <c r="J224" s="34"/>
      <c r="K224" s="34"/>
      <c r="L224" s="34"/>
      <c r="M224" s="34"/>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35"/>
      <c r="DC224" s="35"/>
      <c r="DD224" s="35"/>
      <c r="DE224" s="35"/>
      <c r="DF224" s="35"/>
      <c r="DG224" s="35"/>
      <c r="DH224" s="35"/>
      <c r="DI224" s="35"/>
      <c r="DJ224" s="35"/>
    </row>
    <row r="225" spans="1:114" x14ac:dyDescent="0.25">
      <c r="A225" s="34"/>
      <c r="B225" s="34"/>
      <c r="C225" s="34"/>
      <c r="D225" s="34"/>
      <c r="E225" s="34"/>
      <c r="F225" s="34"/>
      <c r="G225" s="34"/>
      <c r="H225" s="34"/>
      <c r="I225" s="34"/>
      <c r="J225" s="34"/>
      <c r="K225" s="34"/>
      <c r="L225" s="34"/>
      <c r="M225" s="34"/>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5"/>
    </row>
    <row r="226" spans="1:114" x14ac:dyDescent="0.25">
      <c r="A226" s="34"/>
      <c r="B226" s="34"/>
      <c r="C226" s="34"/>
      <c r="D226" s="34"/>
      <c r="E226" s="34"/>
      <c r="F226" s="34"/>
      <c r="G226" s="34"/>
      <c r="H226" s="34"/>
      <c r="I226" s="34"/>
      <c r="J226" s="34"/>
      <c r="K226" s="34"/>
      <c r="L226" s="34"/>
      <c r="M226" s="34"/>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c r="CG226" s="35"/>
      <c r="CH226" s="35"/>
      <c r="CI226" s="35"/>
      <c r="CJ226" s="35"/>
      <c r="CK226" s="35"/>
      <c r="CL226" s="35"/>
      <c r="CM226" s="35"/>
      <c r="CN226" s="35"/>
      <c r="CO226" s="35"/>
      <c r="CP226" s="35"/>
      <c r="CQ226" s="35"/>
      <c r="CR226" s="35"/>
      <c r="CS226" s="35"/>
      <c r="CT226" s="35"/>
      <c r="CU226" s="35"/>
      <c r="CV226" s="35"/>
      <c r="CW226" s="35"/>
      <c r="CX226" s="35"/>
      <c r="CY226" s="35"/>
      <c r="CZ226" s="35"/>
      <c r="DA226" s="35"/>
      <c r="DB226" s="35"/>
      <c r="DC226" s="35"/>
      <c r="DD226" s="35"/>
      <c r="DE226" s="35"/>
      <c r="DF226" s="35"/>
      <c r="DG226" s="35"/>
      <c r="DH226" s="35"/>
      <c r="DI226" s="35"/>
      <c r="DJ226" s="35"/>
    </row>
    <row r="227" spans="1:114" x14ac:dyDescent="0.25">
      <c r="A227" s="34"/>
      <c r="B227" s="34"/>
      <c r="C227" s="34"/>
      <c r="D227" s="34"/>
      <c r="E227" s="34"/>
      <c r="F227" s="34"/>
      <c r="G227" s="34"/>
      <c r="H227" s="34"/>
      <c r="I227" s="34"/>
      <c r="J227" s="34"/>
      <c r="K227" s="34"/>
      <c r="L227" s="34"/>
      <c r="M227" s="34"/>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c r="DH227" s="35"/>
      <c r="DI227" s="35"/>
      <c r="DJ227" s="35"/>
    </row>
    <row r="228" spans="1:114" x14ac:dyDescent="0.25">
      <c r="A228" s="34"/>
      <c r="B228" s="34"/>
      <c r="C228" s="34"/>
      <c r="D228" s="34"/>
      <c r="E228" s="34"/>
      <c r="F228" s="34"/>
      <c r="G228" s="34"/>
      <c r="H228" s="34"/>
      <c r="I228" s="34"/>
      <c r="J228" s="34"/>
      <c r="K228" s="34"/>
      <c r="L228" s="34"/>
      <c r="M228" s="34"/>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row>
    <row r="229" spans="1:114" x14ac:dyDescent="0.25">
      <c r="A229" s="34"/>
      <c r="B229" s="34"/>
      <c r="C229" s="34"/>
      <c r="D229" s="34"/>
      <c r="E229" s="34"/>
      <c r="F229" s="34"/>
      <c r="G229" s="34"/>
      <c r="H229" s="34"/>
      <c r="I229" s="34"/>
      <c r="J229" s="34"/>
      <c r="K229" s="34"/>
      <c r="L229" s="34"/>
      <c r="M229" s="34"/>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row>
    <row r="230" spans="1:114" x14ac:dyDescent="0.25">
      <c r="A230" s="34"/>
      <c r="B230" s="34"/>
      <c r="C230" s="34"/>
      <c r="D230" s="34"/>
      <c r="E230" s="34"/>
      <c r="F230" s="34"/>
      <c r="G230" s="34"/>
      <c r="H230" s="34"/>
      <c r="I230" s="34"/>
      <c r="J230" s="34"/>
      <c r="K230" s="34"/>
      <c r="L230" s="34"/>
      <c r="M230" s="34"/>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row>
    <row r="231" spans="1:114" x14ac:dyDescent="0.25">
      <c r="A231" s="34"/>
      <c r="B231" s="34"/>
      <c r="C231" s="34"/>
      <c r="D231" s="34"/>
      <c r="E231" s="34"/>
      <c r="F231" s="34"/>
      <c r="G231" s="34"/>
      <c r="H231" s="34"/>
      <c r="I231" s="34"/>
      <c r="J231" s="34"/>
      <c r="K231" s="34"/>
      <c r="L231" s="34"/>
      <c r="M231" s="34"/>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c r="DH231" s="35"/>
      <c r="DI231" s="35"/>
      <c r="DJ231" s="35"/>
    </row>
    <row r="232" spans="1:114" x14ac:dyDescent="0.25">
      <c r="A232" s="34"/>
      <c r="B232" s="34"/>
      <c r="C232" s="34"/>
      <c r="D232" s="34"/>
      <c r="E232" s="34"/>
      <c r="F232" s="34"/>
      <c r="G232" s="34"/>
      <c r="H232" s="34"/>
      <c r="I232" s="34"/>
      <c r="J232" s="34"/>
      <c r="K232" s="34"/>
      <c r="L232" s="34"/>
      <c r="M232" s="34"/>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row>
    <row r="233" spans="1:114" x14ac:dyDescent="0.25">
      <c r="A233" s="34"/>
      <c r="B233" s="34"/>
      <c r="C233" s="34"/>
      <c r="D233" s="34"/>
      <c r="E233" s="34"/>
      <c r="F233" s="34"/>
      <c r="G233" s="34"/>
      <c r="H233" s="34"/>
      <c r="I233" s="34"/>
      <c r="J233" s="34"/>
      <c r="K233" s="34"/>
      <c r="L233" s="34"/>
      <c r="M233" s="34"/>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c r="DH233" s="35"/>
      <c r="DI233" s="35"/>
      <c r="DJ233" s="35"/>
    </row>
    <row r="234" spans="1:114" x14ac:dyDescent="0.25">
      <c r="A234" s="34"/>
      <c r="B234" s="34"/>
      <c r="C234" s="34"/>
      <c r="D234" s="34"/>
      <c r="E234" s="34"/>
      <c r="F234" s="34"/>
      <c r="G234" s="34"/>
      <c r="H234" s="34"/>
      <c r="I234" s="34"/>
      <c r="J234" s="34"/>
      <c r="K234" s="34"/>
      <c r="L234" s="34"/>
      <c r="M234" s="34"/>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c r="DH234" s="35"/>
      <c r="DI234" s="35"/>
      <c r="DJ234" s="35"/>
    </row>
    <row r="235" spans="1:114" x14ac:dyDescent="0.25">
      <c r="A235" s="34"/>
      <c r="B235" s="34"/>
      <c r="C235" s="34"/>
      <c r="D235" s="34"/>
      <c r="E235" s="34"/>
      <c r="F235" s="34"/>
      <c r="G235" s="34"/>
      <c r="H235" s="34"/>
      <c r="I235" s="34"/>
      <c r="J235" s="34"/>
      <c r="K235" s="34"/>
      <c r="L235" s="34"/>
      <c r="M235" s="34"/>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c r="DJ235" s="35"/>
    </row>
    <row r="236" spans="1:114" x14ac:dyDescent="0.25">
      <c r="A236" s="34"/>
      <c r="B236" s="34"/>
      <c r="C236" s="34"/>
      <c r="D236" s="34"/>
      <c r="E236" s="34"/>
      <c r="F236" s="34"/>
      <c r="G236" s="34"/>
      <c r="H236" s="34"/>
      <c r="I236" s="34"/>
      <c r="J236" s="34"/>
      <c r="K236" s="34"/>
      <c r="L236" s="34"/>
      <c r="M236" s="34"/>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c r="DJ236" s="35"/>
    </row>
    <row r="237" spans="1:114" x14ac:dyDescent="0.25">
      <c r="A237" s="34"/>
      <c r="B237" s="34"/>
      <c r="C237" s="34"/>
      <c r="D237" s="34"/>
      <c r="E237" s="34"/>
      <c r="F237" s="34"/>
      <c r="G237" s="34"/>
      <c r="H237" s="34"/>
      <c r="I237" s="34"/>
      <c r="J237" s="34"/>
      <c r="K237" s="34"/>
      <c r="L237" s="34"/>
      <c r="M237" s="34"/>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c r="DH237" s="35"/>
      <c r="DI237" s="35"/>
      <c r="DJ237" s="35"/>
    </row>
    <row r="238" spans="1:114" x14ac:dyDescent="0.25">
      <c r="A238" s="34"/>
      <c r="B238" s="34"/>
      <c r="C238" s="34"/>
      <c r="D238" s="34"/>
      <c r="E238" s="34"/>
      <c r="F238" s="34"/>
      <c r="G238" s="34"/>
      <c r="H238" s="34"/>
      <c r="I238" s="34"/>
      <c r="J238" s="34"/>
      <c r="K238" s="34"/>
      <c r="L238" s="34"/>
      <c r="M238" s="34"/>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c r="DH238" s="35"/>
      <c r="DI238" s="35"/>
      <c r="DJ238" s="35"/>
    </row>
    <row r="239" spans="1:114" x14ac:dyDescent="0.25">
      <c r="A239" s="34"/>
      <c r="B239" s="34"/>
      <c r="C239" s="34"/>
      <c r="D239" s="34"/>
      <c r="E239" s="34"/>
      <c r="F239" s="34"/>
      <c r="G239" s="34"/>
      <c r="H239" s="34"/>
      <c r="I239" s="34"/>
      <c r="J239" s="34"/>
      <c r="K239" s="34"/>
      <c r="L239" s="34"/>
      <c r="M239" s="34"/>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c r="CU239" s="35"/>
      <c r="CV239" s="35"/>
      <c r="CW239" s="35"/>
      <c r="CX239" s="35"/>
      <c r="CY239" s="35"/>
      <c r="CZ239" s="35"/>
      <c r="DA239" s="35"/>
      <c r="DB239" s="35"/>
      <c r="DC239" s="35"/>
      <c r="DD239" s="35"/>
      <c r="DE239" s="35"/>
      <c r="DF239" s="35"/>
      <c r="DG239" s="35"/>
      <c r="DH239" s="35"/>
      <c r="DI239" s="35"/>
      <c r="DJ239" s="35"/>
    </row>
    <row r="240" spans="1:114" x14ac:dyDescent="0.25">
      <c r="A240" s="34"/>
      <c r="B240" s="34"/>
      <c r="C240" s="34"/>
      <c r="D240" s="34"/>
      <c r="E240" s="34"/>
      <c r="F240" s="34"/>
      <c r="G240" s="34"/>
      <c r="H240" s="34"/>
      <c r="I240" s="34"/>
      <c r="J240" s="34"/>
      <c r="K240" s="34"/>
      <c r="L240" s="34"/>
      <c r="M240" s="34"/>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c r="DH240" s="35"/>
      <c r="DI240" s="35"/>
      <c r="DJ240" s="35"/>
    </row>
    <row r="241" spans="1:114" x14ac:dyDescent="0.25">
      <c r="A241" s="34"/>
      <c r="B241" s="34"/>
      <c r="C241" s="34"/>
      <c r="D241" s="34"/>
      <c r="E241" s="34"/>
      <c r="F241" s="34"/>
      <c r="G241" s="34"/>
      <c r="H241" s="34"/>
      <c r="I241" s="34"/>
      <c r="J241" s="34"/>
      <c r="K241" s="34"/>
      <c r="L241" s="34"/>
      <c r="M241" s="34"/>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row>
    <row r="242" spans="1:114" x14ac:dyDescent="0.25">
      <c r="A242" s="34"/>
      <c r="B242" s="34"/>
      <c r="C242" s="34"/>
      <c r="D242" s="34"/>
      <c r="E242" s="34"/>
      <c r="F242" s="34"/>
      <c r="G242" s="34"/>
      <c r="H242" s="34"/>
      <c r="I242" s="34"/>
      <c r="J242" s="34"/>
      <c r="K242" s="34"/>
      <c r="L242" s="34"/>
      <c r="M242" s="34"/>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c r="DH242" s="35"/>
      <c r="DI242" s="35"/>
      <c r="DJ242" s="35"/>
    </row>
    <row r="243" spans="1:114" x14ac:dyDescent="0.25">
      <c r="A243" s="34"/>
      <c r="B243" s="34"/>
      <c r="C243" s="34"/>
      <c r="D243" s="34"/>
      <c r="E243" s="34"/>
      <c r="F243" s="34"/>
      <c r="G243" s="34"/>
      <c r="H243" s="34"/>
      <c r="I243" s="34"/>
      <c r="J243" s="34"/>
      <c r="K243" s="34"/>
      <c r="L243" s="34"/>
      <c r="M243" s="34"/>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c r="DH243" s="35"/>
      <c r="DI243" s="35"/>
      <c r="DJ243" s="35"/>
    </row>
    <row r="244" spans="1:114" x14ac:dyDescent="0.25">
      <c r="A244" s="34"/>
      <c r="B244" s="34"/>
      <c r="C244" s="34"/>
      <c r="D244" s="34"/>
      <c r="E244" s="34"/>
      <c r="F244" s="34"/>
      <c r="G244" s="34"/>
      <c r="H244" s="34"/>
      <c r="I244" s="34"/>
      <c r="J244" s="34"/>
      <c r="K244" s="34"/>
      <c r="L244" s="34"/>
      <c r="M244" s="34"/>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c r="DH244" s="35"/>
      <c r="DI244" s="35"/>
      <c r="DJ244" s="35"/>
    </row>
    <row r="245" spans="1:114" x14ac:dyDescent="0.25">
      <c r="A245" s="34"/>
      <c r="B245" s="34"/>
      <c r="C245" s="34"/>
      <c r="D245" s="34"/>
      <c r="E245" s="34"/>
      <c r="F245" s="34"/>
      <c r="G245" s="34"/>
      <c r="H245" s="34"/>
      <c r="I245" s="34"/>
      <c r="J245" s="34"/>
      <c r="K245" s="34"/>
      <c r="L245" s="34"/>
      <c r="M245" s="34"/>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c r="DH245" s="35"/>
      <c r="DI245" s="35"/>
      <c r="DJ245" s="35"/>
    </row>
    <row r="246" spans="1:114" s="150" customFormat="1" ht="18.75" x14ac:dyDescent="0.3">
      <c r="A246" s="166">
        <f>'P(M)'!CC38</f>
        <v>1</v>
      </c>
      <c r="B246" s="167"/>
      <c r="C246" s="167"/>
      <c r="D246" s="167"/>
      <c r="E246" s="167"/>
      <c r="F246" s="167"/>
      <c r="G246" s="167"/>
      <c r="H246" s="167"/>
      <c r="I246" s="167"/>
      <c r="J246" s="167"/>
      <c r="K246" s="167"/>
      <c r="L246" s="167"/>
      <c r="M246" s="167"/>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c r="BI246" s="149"/>
      <c r="BJ246" s="149"/>
      <c r="BK246" s="149"/>
      <c r="BL246" s="149"/>
      <c r="BM246" s="149"/>
      <c r="BN246" s="149"/>
      <c r="BO246" s="149"/>
      <c r="BP246" s="149"/>
      <c r="BQ246" s="149"/>
      <c r="BR246" s="149"/>
      <c r="BS246" s="149"/>
      <c r="BT246" s="149"/>
      <c r="BU246" s="149"/>
      <c r="BV246" s="149"/>
      <c r="BW246" s="149"/>
      <c r="BX246" s="149"/>
      <c r="BY246" s="149"/>
      <c r="BZ246" s="149"/>
      <c r="CA246" s="149"/>
      <c r="CB246" s="149"/>
      <c r="CC246" s="149"/>
      <c r="CD246" s="149"/>
      <c r="CE246" s="149"/>
      <c r="CF246" s="149"/>
      <c r="CG246" s="149"/>
      <c r="CH246" s="149"/>
      <c r="CI246" s="149"/>
      <c r="CJ246" s="149"/>
      <c r="CK246" s="149"/>
      <c r="CL246" s="149"/>
      <c r="CM246" s="149"/>
      <c r="CN246" s="149"/>
      <c r="CO246" s="149"/>
      <c r="CP246" s="149"/>
      <c r="CQ246" s="149"/>
      <c r="CR246" s="149"/>
      <c r="CS246" s="149"/>
      <c r="CT246" s="149"/>
      <c r="CU246" s="149"/>
      <c r="CV246" s="149"/>
      <c r="CW246" s="149"/>
      <c r="CX246" s="149"/>
      <c r="CY246" s="149"/>
      <c r="CZ246" s="149"/>
      <c r="DA246" s="149"/>
      <c r="DB246" s="149"/>
      <c r="DC246" s="149"/>
      <c r="DD246" s="149"/>
      <c r="DE246" s="149"/>
      <c r="DF246" s="149"/>
      <c r="DG246" s="149"/>
      <c r="DH246" s="149"/>
      <c r="DI246" s="149"/>
      <c r="DJ246" s="149"/>
    </row>
    <row r="247" spans="1:114" ht="18.75" x14ac:dyDescent="0.3">
      <c r="A247" s="168"/>
      <c r="B247" s="34"/>
      <c r="C247" s="34"/>
      <c r="D247" s="34"/>
      <c r="E247" s="34"/>
      <c r="F247" s="34"/>
      <c r="G247" s="34"/>
      <c r="H247" s="34"/>
      <c r="I247" s="34"/>
      <c r="J247" s="34"/>
      <c r="K247" s="34"/>
      <c r="L247" s="34"/>
      <c r="M247" s="34"/>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c r="DH247" s="35"/>
      <c r="DI247" s="35"/>
      <c r="DJ247" s="35"/>
    </row>
    <row r="248" spans="1:114" ht="18.75" x14ac:dyDescent="0.3">
      <c r="A248" s="168"/>
      <c r="B248" s="34"/>
      <c r="C248" s="34"/>
      <c r="D248" s="34"/>
      <c r="E248" s="34"/>
      <c r="F248" s="34"/>
      <c r="G248" s="34"/>
      <c r="H248" s="34"/>
      <c r="I248" s="34"/>
      <c r="J248" s="34"/>
      <c r="K248" s="34"/>
      <c r="L248" s="34"/>
      <c r="M248" s="34"/>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c r="DH248" s="35"/>
      <c r="DI248" s="35"/>
      <c r="DJ248" s="35"/>
    </row>
    <row r="249" spans="1:114" ht="18.75" x14ac:dyDescent="0.3">
      <c r="A249" s="168"/>
      <c r="B249" s="34"/>
      <c r="C249" s="34"/>
      <c r="D249" s="34"/>
      <c r="E249" s="34"/>
      <c r="F249" s="34"/>
      <c r="G249" s="34"/>
      <c r="H249" s="34"/>
      <c r="I249" s="34"/>
      <c r="J249" s="34"/>
      <c r="K249" s="34"/>
      <c r="L249" s="34"/>
      <c r="M249" s="34"/>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c r="CG249" s="35"/>
      <c r="CH249" s="35"/>
      <c r="CI249" s="35"/>
      <c r="CJ249" s="35"/>
      <c r="CK249" s="35"/>
      <c r="CL249" s="35"/>
      <c r="CM249" s="35"/>
      <c r="CN249" s="35"/>
      <c r="CO249" s="35"/>
      <c r="CP249" s="35"/>
      <c r="CQ249" s="35"/>
      <c r="CR249" s="35"/>
      <c r="CS249" s="35"/>
      <c r="CT249" s="35"/>
      <c r="CU249" s="35"/>
      <c r="CV249" s="35"/>
      <c r="CW249" s="35"/>
      <c r="CX249" s="35"/>
      <c r="CY249" s="35"/>
      <c r="CZ249" s="35"/>
      <c r="DA249" s="35"/>
      <c r="DB249" s="35"/>
      <c r="DC249" s="35"/>
      <c r="DD249" s="35"/>
      <c r="DE249" s="35"/>
      <c r="DF249" s="35"/>
      <c r="DG249" s="35"/>
      <c r="DH249" s="35"/>
      <c r="DI249" s="35"/>
      <c r="DJ249" s="35"/>
    </row>
    <row r="250" spans="1:114" ht="18.75" x14ac:dyDescent="0.3">
      <c r="A250" s="168"/>
      <c r="B250" s="34"/>
      <c r="C250" s="34"/>
      <c r="D250" s="34"/>
      <c r="E250" s="34"/>
      <c r="F250" s="34"/>
      <c r="G250" s="34"/>
      <c r="H250" s="34"/>
      <c r="I250" s="34"/>
      <c r="J250" s="34"/>
      <c r="K250" s="34"/>
      <c r="L250" s="34"/>
      <c r="M250" s="34"/>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c r="CG250" s="35"/>
      <c r="CH250" s="35"/>
      <c r="CI250" s="35"/>
      <c r="CJ250" s="35"/>
      <c r="CK250" s="35"/>
      <c r="CL250" s="35"/>
      <c r="CM250" s="35"/>
      <c r="CN250" s="35"/>
      <c r="CO250" s="35"/>
      <c r="CP250" s="35"/>
      <c r="CQ250" s="35"/>
      <c r="CR250" s="35"/>
      <c r="CS250" s="35"/>
      <c r="CT250" s="35"/>
      <c r="CU250" s="35"/>
      <c r="CV250" s="35"/>
      <c r="CW250" s="35"/>
      <c r="CX250" s="35"/>
      <c r="CY250" s="35"/>
      <c r="CZ250" s="35"/>
      <c r="DA250" s="35"/>
      <c r="DB250" s="35"/>
      <c r="DC250" s="35"/>
      <c r="DD250" s="35"/>
      <c r="DE250" s="35"/>
      <c r="DF250" s="35"/>
      <c r="DG250" s="35"/>
      <c r="DH250" s="35"/>
      <c r="DI250" s="35"/>
      <c r="DJ250" s="35"/>
    </row>
    <row r="251" spans="1:114" ht="17.45" customHeight="1" x14ac:dyDescent="0.3">
      <c r="A251" s="168"/>
      <c r="B251" s="34"/>
      <c r="C251" s="34"/>
      <c r="D251" s="34"/>
      <c r="E251" s="34"/>
      <c r="F251" s="34"/>
      <c r="G251" s="34"/>
      <c r="H251" s="34"/>
      <c r="I251" s="34"/>
      <c r="J251" s="34"/>
      <c r="K251" s="34"/>
      <c r="L251" s="34"/>
      <c r="M251" s="34"/>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c r="CG251" s="35"/>
      <c r="CH251" s="35"/>
      <c r="CI251" s="35"/>
      <c r="CJ251" s="35"/>
      <c r="CK251" s="35"/>
      <c r="CL251" s="35"/>
      <c r="CM251" s="35"/>
      <c r="CN251" s="35"/>
      <c r="CO251" s="35"/>
      <c r="CP251" s="35"/>
      <c r="CQ251" s="35"/>
      <c r="CR251" s="35"/>
      <c r="CS251" s="35"/>
      <c r="CT251" s="35"/>
      <c r="CU251" s="35"/>
      <c r="CV251" s="35"/>
      <c r="CW251" s="35"/>
      <c r="CX251" s="35"/>
      <c r="CY251" s="35"/>
      <c r="CZ251" s="35"/>
      <c r="DA251" s="35"/>
      <c r="DB251" s="35"/>
      <c r="DC251" s="35"/>
      <c r="DD251" s="35"/>
      <c r="DE251" s="35"/>
      <c r="DF251" s="35"/>
      <c r="DG251" s="35"/>
      <c r="DH251" s="35"/>
      <c r="DI251" s="35"/>
      <c r="DJ251" s="35"/>
    </row>
    <row r="252" spans="1:114" s="152" customFormat="1" ht="18.75" x14ac:dyDescent="0.3">
      <c r="A252" s="166">
        <f>'P(M)'!CB38</f>
        <v>1.3455682396041675E-2</v>
      </c>
      <c r="B252" s="169"/>
      <c r="C252" s="168"/>
      <c r="D252" s="168"/>
      <c r="E252" s="168"/>
      <c r="F252" s="168"/>
      <c r="G252" s="168"/>
      <c r="H252" s="168"/>
      <c r="I252" s="168"/>
      <c r="J252" s="168"/>
      <c r="K252" s="168"/>
      <c r="L252" s="168"/>
      <c r="M252" s="168"/>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c r="BI252" s="151"/>
      <c r="BJ252" s="151"/>
      <c r="BK252" s="151"/>
      <c r="BL252" s="151"/>
      <c r="BM252" s="151"/>
      <c r="BN252" s="151"/>
      <c r="BO252" s="151"/>
      <c r="BP252" s="151"/>
      <c r="BQ252" s="151"/>
      <c r="BR252" s="151"/>
      <c r="BS252" s="151"/>
      <c r="BT252" s="151"/>
      <c r="BU252" s="151"/>
      <c r="BV252" s="151"/>
      <c r="BW252" s="151"/>
      <c r="BX252" s="151"/>
      <c r="BY252" s="151"/>
      <c r="BZ252" s="151"/>
      <c r="CA252" s="151"/>
      <c r="CB252" s="151"/>
      <c r="CC252" s="151"/>
      <c r="CD252" s="151"/>
      <c r="CE252" s="151"/>
      <c r="CF252" s="151"/>
      <c r="CG252" s="151"/>
      <c r="CH252" s="151"/>
      <c r="CI252" s="151"/>
      <c r="CJ252" s="151"/>
      <c r="CK252" s="151"/>
      <c r="CL252" s="151"/>
      <c r="CM252" s="151"/>
      <c r="CN252" s="151"/>
      <c r="CO252" s="151"/>
      <c r="CP252" s="151"/>
      <c r="CQ252" s="151"/>
      <c r="CR252" s="151"/>
      <c r="CS252" s="151"/>
      <c r="CT252" s="151"/>
      <c r="CU252" s="151"/>
      <c r="CV252" s="151"/>
      <c r="CW252" s="151"/>
      <c r="CX252" s="151"/>
      <c r="CY252" s="151"/>
      <c r="CZ252" s="151"/>
      <c r="DA252" s="151"/>
      <c r="DB252" s="151"/>
      <c r="DC252" s="151"/>
      <c r="DD252" s="151"/>
      <c r="DE252" s="151"/>
      <c r="DF252" s="151"/>
      <c r="DG252" s="151"/>
      <c r="DH252" s="151"/>
      <c r="DI252" s="151"/>
      <c r="DJ252" s="151"/>
    </row>
    <row r="253" spans="1:114" x14ac:dyDescent="0.25">
      <c r="A253" s="34"/>
      <c r="B253" s="34"/>
      <c r="C253" s="34"/>
      <c r="D253" s="34"/>
      <c r="E253" s="34"/>
      <c r="F253" s="34"/>
      <c r="G253" s="34"/>
      <c r="H253" s="34"/>
      <c r="I253" s="34"/>
      <c r="J253" s="34"/>
      <c r="K253" s="34"/>
      <c r="L253" s="34"/>
      <c r="M253" s="34"/>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c r="CG253" s="35"/>
      <c r="CH253" s="35"/>
      <c r="CI253" s="35"/>
      <c r="CJ253" s="35"/>
      <c r="CK253" s="35"/>
      <c r="CL253" s="35"/>
      <c r="CM253" s="35"/>
      <c r="CN253" s="35"/>
      <c r="CO253" s="35"/>
      <c r="CP253" s="35"/>
      <c r="CQ253" s="35"/>
      <c r="CR253" s="35"/>
      <c r="CS253" s="35"/>
      <c r="CT253" s="35"/>
      <c r="CU253" s="35"/>
      <c r="CV253" s="35"/>
      <c r="CW253" s="35"/>
      <c r="CX253" s="35"/>
      <c r="CY253" s="35"/>
      <c r="CZ253" s="35"/>
      <c r="DA253" s="35"/>
      <c r="DB253" s="35"/>
      <c r="DC253" s="35"/>
      <c r="DD253" s="35"/>
      <c r="DE253" s="35"/>
      <c r="DF253" s="35"/>
      <c r="DG253" s="35"/>
      <c r="DH253" s="35"/>
      <c r="DI253" s="35"/>
      <c r="DJ253" s="35"/>
    </row>
    <row r="254" spans="1:114" x14ac:dyDescent="0.25">
      <c r="A254" s="34"/>
      <c r="B254" s="34"/>
      <c r="C254" s="34"/>
      <c r="D254" s="34"/>
      <c r="E254" s="34"/>
      <c r="F254" s="34"/>
      <c r="G254" s="34"/>
      <c r="H254" s="34"/>
      <c r="I254" s="34"/>
      <c r="J254" s="34"/>
      <c r="K254" s="34"/>
      <c r="L254" s="34"/>
      <c r="M254" s="34"/>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35"/>
      <c r="CP254" s="35"/>
      <c r="CQ254" s="35"/>
      <c r="CR254" s="35"/>
      <c r="CS254" s="35"/>
      <c r="CT254" s="35"/>
      <c r="CU254" s="35"/>
      <c r="CV254" s="35"/>
      <c r="CW254" s="35"/>
      <c r="CX254" s="35"/>
      <c r="CY254" s="35"/>
      <c r="CZ254" s="35"/>
      <c r="DA254" s="35"/>
      <c r="DB254" s="35"/>
      <c r="DC254" s="35"/>
      <c r="DD254" s="35"/>
      <c r="DE254" s="35"/>
      <c r="DF254" s="35"/>
      <c r="DG254" s="35"/>
      <c r="DH254" s="35"/>
      <c r="DI254" s="35"/>
      <c r="DJ254" s="35"/>
    </row>
    <row r="255" spans="1:114" x14ac:dyDescent="0.25">
      <c r="A255" s="34"/>
      <c r="B255" s="34"/>
      <c r="C255" s="34"/>
      <c r="D255" s="34"/>
      <c r="E255" s="34"/>
      <c r="F255" s="34"/>
      <c r="G255" s="34"/>
      <c r="H255" s="34"/>
      <c r="I255" s="34"/>
      <c r="J255" s="34"/>
      <c r="K255" s="34"/>
      <c r="L255" s="34"/>
      <c r="M255" s="34"/>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c r="CH255" s="35"/>
      <c r="CI255" s="35"/>
      <c r="CJ255" s="35"/>
      <c r="CK255" s="35"/>
      <c r="CL255" s="35"/>
      <c r="CM255" s="35"/>
      <c r="CN255" s="35"/>
      <c r="CO255" s="35"/>
      <c r="CP255" s="35"/>
      <c r="CQ255" s="35"/>
      <c r="CR255" s="35"/>
      <c r="CS255" s="35"/>
      <c r="CT255" s="35"/>
      <c r="CU255" s="35"/>
      <c r="CV255" s="35"/>
      <c r="CW255" s="35"/>
      <c r="CX255" s="35"/>
      <c r="CY255" s="35"/>
      <c r="CZ255" s="35"/>
      <c r="DA255" s="35"/>
      <c r="DB255" s="35"/>
      <c r="DC255" s="35"/>
      <c r="DD255" s="35"/>
      <c r="DE255" s="35"/>
      <c r="DF255" s="35"/>
      <c r="DG255" s="35"/>
      <c r="DH255" s="35"/>
      <c r="DI255" s="35"/>
      <c r="DJ255" s="35"/>
    </row>
    <row r="256" spans="1:114" x14ac:dyDescent="0.25">
      <c r="A256" s="34"/>
      <c r="B256" s="34"/>
      <c r="C256" s="34"/>
      <c r="D256" s="34"/>
      <c r="E256" s="34"/>
      <c r="F256" s="34"/>
      <c r="G256" s="34"/>
      <c r="H256" s="34"/>
      <c r="I256" s="34"/>
      <c r="J256" s="34"/>
      <c r="K256" s="34"/>
      <c r="L256" s="34"/>
      <c r="M256" s="34"/>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c r="CG256" s="35"/>
      <c r="CH256" s="35"/>
      <c r="CI256" s="35"/>
      <c r="CJ256" s="35"/>
      <c r="CK256" s="35"/>
      <c r="CL256" s="35"/>
      <c r="CM256" s="35"/>
      <c r="CN256" s="35"/>
      <c r="CO256" s="35"/>
      <c r="CP256" s="35"/>
      <c r="CQ256" s="35"/>
      <c r="CR256" s="35"/>
      <c r="CS256" s="35"/>
      <c r="CT256" s="35"/>
      <c r="CU256" s="35"/>
      <c r="CV256" s="35"/>
      <c r="CW256" s="35"/>
      <c r="CX256" s="35"/>
      <c r="CY256" s="35"/>
      <c r="CZ256" s="35"/>
      <c r="DA256" s="35"/>
      <c r="DB256" s="35"/>
      <c r="DC256" s="35"/>
      <c r="DD256" s="35"/>
      <c r="DE256" s="35"/>
      <c r="DF256" s="35"/>
      <c r="DG256" s="35"/>
      <c r="DH256" s="35"/>
      <c r="DI256" s="35"/>
      <c r="DJ256" s="35"/>
    </row>
    <row r="257" spans="1:114" x14ac:dyDescent="0.25">
      <c r="A257" s="34"/>
      <c r="B257" s="34"/>
      <c r="C257" s="34"/>
      <c r="D257" s="34"/>
      <c r="E257" s="34"/>
      <c r="F257" s="34"/>
      <c r="G257" s="34"/>
      <c r="H257" s="34"/>
      <c r="I257" s="34"/>
      <c r="J257" s="34"/>
      <c r="K257" s="34"/>
      <c r="L257" s="34"/>
      <c r="M257" s="34"/>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c r="CL257" s="35"/>
      <c r="CM257" s="35"/>
      <c r="CN257" s="35"/>
      <c r="CO257" s="35"/>
      <c r="CP257" s="35"/>
      <c r="CQ257" s="35"/>
      <c r="CR257" s="35"/>
      <c r="CS257" s="35"/>
      <c r="CT257" s="35"/>
      <c r="CU257" s="35"/>
      <c r="CV257" s="35"/>
      <c r="CW257" s="35"/>
      <c r="CX257" s="35"/>
      <c r="CY257" s="35"/>
      <c r="CZ257" s="35"/>
      <c r="DA257" s="35"/>
      <c r="DB257" s="35"/>
      <c r="DC257" s="35"/>
      <c r="DD257" s="35"/>
      <c r="DE257" s="35"/>
      <c r="DF257" s="35"/>
      <c r="DG257" s="35"/>
      <c r="DH257" s="35"/>
      <c r="DI257" s="35"/>
      <c r="DJ257" s="35"/>
    </row>
    <row r="258" spans="1:114" x14ac:dyDescent="0.25">
      <c r="A258" s="34"/>
      <c r="B258" s="34"/>
      <c r="C258" s="34"/>
      <c r="D258" s="34"/>
      <c r="E258" s="34"/>
      <c r="F258" s="34"/>
      <c r="G258" s="34"/>
      <c r="H258" s="34"/>
      <c r="I258" s="34"/>
      <c r="J258" s="34"/>
      <c r="K258" s="34"/>
      <c r="L258" s="34"/>
      <c r="M258" s="34"/>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c r="CM258" s="35"/>
      <c r="CN258" s="35"/>
      <c r="CO258" s="35"/>
      <c r="CP258" s="35"/>
      <c r="CQ258" s="35"/>
      <c r="CR258" s="35"/>
      <c r="CS258" s="35"/>
      <c r="CT258" s="35"/>
      <c r="CU258" s="35"/>
      <c r="CV258" s="35"/>
      <c r="CW258" s="35"/>
      <c r="CX258" s="35"/>
      <c r="CY258" s="35"/>
      <c r="CZ258" s="35"/>
      <c r="DA258" s="35"/>
      <c r="DB258" s="35"/>
      <c r="DC258" s="35"/>
      <c r="DD258" s="35"/>
      <c r="DE258" s="35"/>
      <c r="DF258" s="35"/>
      <c r="DG258" s="35"/>
      <c r="DH258" s="35"/>
      <c r="DI258" s="35"/>
      <c r="DJ258" s="35"/>
    </row>
    <row r="259" spans="1:114" s="161" customFormat="1" ht="19.5" x14ac:dyDescent="0.25">
      <c r="A259" s="71" t="str">
        <f>IF(OR('P(M)'!C17=TRUE,'P(M)'!C18=TRUE,'P(M)'!C19=TRUE,'P(M)'!C20=TRUE,'P(M)'!C21=TRUE,'P(M)'!C22=TRUE,'P(M)'!C23=TRUE,'P(M)'!C24=TRUE,'P(M)'!C25=TRUE,'P(M)'!C26=TRUE,'P(M)'!C28=TRUE,'P(M)'!C31=TRUE,'P(M)'!C34=TRUE,'P(M)'!C35=TRUE,'P(M)'!C36=TRUE,'P(M)'!C37=TRUE,'P(M)'!C29=TRUE,'P(M)'!C30=TRUE,'P(M)'!C32=TRUE,'P(M)'!C33=TRUE,'P(M)'!C27=TRUE),"總結：","")</f>
        <v>總結：</v>
      </c>
      <c r="B259" s="159"/>
      <c r="C259" s="159"/>
      <c r="D259" s="159"/>
      <c r="E259" s="159"/>
      <c r="F259" s="159"/>
      <c r="G259" s="159"/>
      <c r="H259" s="159"/>
      <c r="I259" s="159"/>
      <c r="J259" s="159"/>
      <c r="K259" s="159"/>
      <c r="L259" s="159"/>
      <c r="M259" s="159"/>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0"/>
      <c r="AY259" s="160"/>
      <c r="AZ259" s="160"/>
      <c r="BA259" s="160"/>
      <c r="BB259" s="160"/>
      <c r="BC259" s="160"/>
      <c r="BD259" s="160"/>
      <c r="BE259" s="160"/>
      <c r="BF259" s="160"/>
      <c r="BG259" s="160"/>
      <c r="BH259" s="160"/>
      <c r="BI259" s="160"/>
      <c r="BJ259" s="160"/>
      <c r="BK259" s="160"/>
      <c r="BL259" s="160"/>
      <c r="BM259" s="160"/>
      <c r="BN259" s="160"/>
      <c r="BO259" s="160"/>
      <c r="BP259" s="160"/>
      <c r="BQ259" s="160"/>
      <c r="BR259" s="160"/>
      <c r="BS259" s="160"/>
      <c r="BT259" s="160"/>
      <c r="BU259" s="160"/>
      <c r="BV259" s="160"/>
      <c r="BW259" s="160"/>
      <c r="BX259" s="160"/>
      <c r="BY259" s="160"/>
      <c r="BZ259" s="160"/>
      <c r="CA259" s="160"/>
      <c r="CB259" s="160"/>
      <c r="CC259" s="160"/>
      <c r="CD259" s="160"/>
      <c r="CE259" s="160"/>
      <c r="CF259" s="160"/>
      <c r="CG259" s="160"/>
      <c r="CH259" s="160"/>
      <c r="CI259" s="160"/>
      <c r="CJ259" s="160"/>
      <c r="CK259" s="160"/>
      <c r="CL259" s="160"/>
      <c r="CM259" s="160"/>
      <c r="CN259" s="160"/>
      <c r="CO259" s="160"/>
      <c r="CP259" s="160"/>
      <c r="CQ259" s="160"/>
      <c r="CR259" s="160"/>
      <c r="CS259" s="160"/>
      <c r="CT259" s="160"/>
      <c r="CU259" s="160"/>
      <c r="CV259" s="160"/>
      <c r="CW259" s="160"/>
      <c r="CX259" s="160"/>
      <c r="CY259" s="160"/>
      <c r="CZ259" s="160"/>
      <c r="DA259" s="160"/>
      <c r="DB259" s="160"/>
      <c r="DC259" s="160"/>
      <c r="DD259" s="160"/>
      <c r="DE259" s="160"/>
      <c r="DF259" s="160"/>
      <c r="DG259" s="160"/>
      <c r="DH259" s="160"/>
      <c r="DI259" s="160"/>
      <c r="DJ259" s="160"/>
    </row>
    <row r="260" spans="1:114" s="161" customFormat="1" ht="19.5" x14ac:dyDescent="0.25">
      <c r="A260" s="71" t="str">
        <f>IF(OR('P(M)'!C17=TRUE,'P(M)'!C18=TRUE,'P(M)'!C19=TRUE,'P(M)'!C20=TRUE,'P(M)'!C21=TRUE,'P(M)'!C22=TRUE,'P(M)'!C23=TRUE,'P(M)'!C24=TRUE,'P(M)'!C25=TRUE,'P(M)'!C26=TRUE,'P(M)'!C28=TRUE,'P(M)'!C31=TRUE,'P(M)'!C34=TRUE,'P(M)'!C35=TRUE,'P(M)'!C36=TRUE,'P(M)'!C37=TRUE,'P(M)'!C29=TRUE,'P(M)'!C30=TRUE,'P(M)'!C32=TRUE,'P(M)'!C33=TRUE,'P(M)'!C27=TRUE),"1.專利佈局的時間越長，後續的專利維護費用(M)會明顯比前期的專利申請費用(A)更高。","")</f>
        <v>1.專利佈局的時間越長，後續的專利維護費用(M)會明顯比前期的專利申請費用(A)更高。</v>
      </c>
      <c r="B260" s="159"/>
      <c r="C260" s="159"/>
      <c r="D260" s="159"/>
      <c r="E260" s="159"/>
      <c r="F260" s="159"/>
      <c r="G260" s="159"/>
      <c r="H260" s="159"/>
      <c r="I260" s="159"/>
      <c r="J260" s="159"/>
      <c r="K260" s="159"/>
      <c r="L260" s="159"/>
      <c r="M260" s="159"/>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c r="AU260" s="160"/>
      <c r="AV260" s="160"/>
      <c r="AW260" s="160"/>
      <c r="AX260" s="160"/>
      <c r="AY260" s="160"/>
      <c r="AZ260" s="160"/>
      <c r="BA260" s="160"/>
      <c r="BB260" s="160"/>
      <c r="BC260" s="160"/>
      <c r="BD260" s="160"/>
      <c r="BE260" s="160"/>
      <c r="BF260" s="160"/>
      <c r="BG260" s="160"/>
      <c r="BH260" s="160"/>
      <c r="BI260" s="160"/>
      <c r="BJ260" s="160"/>
      <c r="BK260" s="160"/>
      <c r="BL260" s="160"/>
      <c r="BM260" s="160"/>
      <c r="BN260" s="160"/>
      <c r="BO260" s="160"/>
      <c r="BP260" s="160"/>
      <c r="BQ260" s="160"/>
      <c r="BR260" s="160"/>
      <c r="BS260" s="160"/>
      <c r="BT260" s="160"/>
      <c r="BU260" s="160"/>
      <c r="BV260" s="160"/>
      <c r="BW260" s="160"/>
      <c r="BX260" s="160"/>
      <c r="BY260" s="160"/>
      <c r="BZ260" s="160"/>
      <c r="CA260" s="160"/>
      <c r="CB260" s="160"/>
      <c r="CC260" s="160"/>
      <c r="CD260" s="160"/>
      <c r="CE260" s="160"/>
      <c r="CF260" s="160"/>
      <c r="CG260" s="160"/>
      <c r="CH260" s="160"/>
      <c r="CI260" s="160"/>
      <c r="CJ260" s="160"/>
      <c r="CK260" s="160"/>
      <c r="CL260" s="160"/>
      <c r="CM260" s="160"/>
      <c r="CN260" s="160"/>
      <c r="CO260" s="160"/>
      <c r="CP260" s="160"/>
      <c r="CQ260" s="160"/>
      <c r="CR260" s="160"/>
      <c r="CS260" s="160"/>
      <c r="CT260" s="160"/>
      <c r="CU260" s="160"/>
      <c r="CV260" s="160"/>
      <c r="CW260" s="160"/>
      <c r="CX260" s="160"/>
      <c r="CY260" s="160"/>
      <c r="CZ260" s="160"/>
      <c r="DA260" s="160"/>
      <c r="DB260" s="160"/>
      <c r="DC260" s="160"/>
      <c r="DD260" s="160"/>
      <c r="DE260" s="160"/>
      <c r="DF260" s="160"/>
      <c r="DG260" s="160"/>
      <c r="DH260" s="160"/>
      <c r="DI260" s="160"/>
      <c r="DJ260" s="160"/>
    </row>
    <row r="261" spans="1:114" s="161" customFormat="1" ht="19.5" x14ac:dyDescent="0.25">
      <c r="A261" s="71" t="str">
        <f>IF(OR('P(M)'!C17=TRUE,'P(M)'!C18=TRUE,'P(M)'!C19=TRUE,'P(M)'!C20=TRUE,'P(M)'!C21=TRUE,'P(M)'!C22=TRUE,'P(M)'!C23=TRUE,'P(M)'!C24=TRUE,'P(M)'!C25=TRUE,'P(M)'!C26=TRUE,'P(M)'!C28=TRUE,'P(M)'!C31=TRUE,'P(M)'!C34=TRUE,'P(M)'!C35=TRUE,'P(M)'!C36=TRUE,'P(M)'!C37=TRUE,'P(M)'!C29=TRUE,'P(M)'!C30=TRUE,'P(M)'!C32=TRUE,'P(M)'!C33=TRUE,'P(M)'!C27=TRUE),"2.專利佈局整體的效益高低，不僅與發明技術本身的市場價值有關，更取決於「初稿案」的撰寫品質。","")</f>
        <v>2.專利佈局整體的效益高低，不僅與發明技術本身的市場價值有關，更取決於「初稿案」的撰寫品質。</v>
      </c>
      <c r="B261" s="159"/>
      <c r="C261" s="159"/>
      <c r="D261" s="159"/>
      <c r="E261" s="159"/>
      <c r="F261" s="159"/>
      <c r="G261" s="159"/>
      <c r="H261" s="159"/>
      <c r="I261" s="159"/>
      <c r="J261" s="159"/>
      <c r="K261" s="159"/>
      <c r="L261" s="159"/>
      <c r="M261" s="159"/>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0"/>
      <c r="AY261" s="160"/>
      <c r="AZ261" s="160"/>
      <c r="BA261" s="160"/>
      <c r="BB261" s="160"/>
      <c r="BC261" s="160"/>
      <c r="BD261" s="160"/>
      <c r="BE261" s="160"/>
      <c r="BF261" s="160"/>
      <c r="BG261" s="160"/>
      <c r="BH261" s="160"/>
      <c r="BI261" s="160"/>
      <c r="BJ261" s="160"/>
      <c r="BK261" s="160"/>
      <c r="BL261" s="160"/>
      <c r="BM261" s="160"/>
      <c r="BN261" s="160"/>
      <c r="BO261" s="160"/>
      <c r="BP261" s="160"/>
      <c r="BQ261" s="160"/>
      <c r="BR261" s="160"/>
      <c r="BS261" s="160"/>
      <c r="BT261" s="160"/>
      <c r="BU261" s="160"/>
      <c r="BV261" s="160"/>
      <c r="BW261" s="160"/>
      <c r="BX261" s="160"/>
      <c r="BY261" s="160"/>
      <c r="BZ261" s="160"/>
      <c r="CA261" s="160"/>
      <c r="CB261" s="160"/>
      <c r="CC261" s="160"/>
      <c r="CD261" s="160"/>
      <c r="CE261" s="160"/>
      <c r="CF261" s="160"/>
      <c r="CG261" s="160"/>
      <c r="CH261" s="160"/>
      <c r="CI261" s="160"/>
      <c r="CJ261" s="160"/>
      <c r="CK261" s="160"/>
      <c r="CL261" s="160"/>
      <c r="CM261" s="160"/>
      <c r="CN261" s="160"/>
      <c r="CO261" s="160"/>
      <c r="CP261" s="160"/>
      <c r="CQ261" s="160"/>
      <c r="CR261" s="160"/>
      <c r="CS261" s="160"/>
      <c r="CT261" s="160"/>
      <c r="CU261" s="160"/>
      <c r="CV261" s="160"/>
      <c r="CW261" s="160"/>
      <c r="CX261" s="160"/>
      <c r="CY261" s="160"/>
      <c r="CZ261" s="160"/>
      <c r="DA261" s="160"/>
      <c r="DB261" s="160"/>
      <c r="DC261" s="160"/>
      <c r="DD261" s="160"/>
      <c r="DE261" s="160"/>
      <c r="DF261" s="160"/>
      <c r="DG261" s="160"/>
      <c r="DH261" s="160"/>
      <c r="DI261" s="160"/>
      <c r="DJ261" s="160"/>
    </row>
    <row r="262" spans="1:114" s="161" customFormat="1" ht="19.5" x14ac:dyDescent="0.25">
      <c r="A262" s="71" t="str">
        <f>IF(OR('P(M)'!C17=TRUE,'P(M)'!C18=TRUE,'P(M)'!C19=TRUE,'P(M)'!C20=TRUE,'P(M)'!C21=TRUE,'P(M)'!C22=TRUE,'P(M)'!C23=TRUE,'P(M)'!C24=TRUE,'P(M)'!C25=TRUE,'P(M)'!C26=TRUE,'P(M)'!C28=TRUE,'P(M)'!C31=TRUE,'P(M)'!C34=TRUE,'P(M)'!C35=TRUE,'P(M)'!C36=TRUE,'P(M)'!C37=TRUE,'P(M)'!C29=TRUE,'P(M)'!C30=TRUE,'P(M)'!C32=TRUE,'P(M)'!C33=TRUE,'P(M)'!C27=TRUE),"3.選定地區之專利佈局總成本(T=A+C+R+M)，共計NTD"&amp;TEXT(L37+L81+L142+L111,"#,##0")&amp;"，慧盈之「初稿案」申請服務費僅佔其中的「"&amp;TEXT('P(M)'!CB38,"0.00%")&amp;"」。","")</f>
        <v>3.選定地區之專利佈局總成本(T=A+C+R+M)，共計NTD6,317,034，慧盈之「初稿案」申請服務費僅佔其中的「1.35%」。</v>
      </c>
      <c r="B262" s="159"/>
      <c r="C262" s="159"/>
      <c r="D262" s="159"/>
      <c r="E262" s="159"/>
      <c r="F262" s="159"/>
      <c r="G262" s="159"/>
      <c r="H262" s="159"/>
      <c r="I262" s="159"/>
      <c r="J262" s="159"/>
      <c r="K262" s="159"/>
      <c r="L262" s="159"/>
      <c r="M262" s="159"/>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c r="AU262" s="160"/>
      <c r="AV262" s="160"/>
      <c r="AW262" s="160"/>
      <c r="AX262" s="160"/>
      <c r="AY262" s="160"/>
      <c r="AZ262" s="160"/>
      <c r="BA262" s="160"/>
      <c r="BB262" s="160"/>
      <c r="BC262" s="160"/>
      <c r="BD262" s="160"/>
      <c r="BE262" s="160"/>
      <c r="BF262" s="160"/>
      <c r="BG262" s="160"/>
      <c r="BH262" s="160"/>
      <c r="BI262" s="160"/>
      <c r="BJ262" s="160"/>
      <c r="BK262" s="160"/>
      <c r="BL262" s="160"/>
      <c r="BM262" s="160"/>
      <c r="BN262" s="160"/>
      <c r="BO262" s="160"/>
      <c r="BP262" s="160"/>
      <c r="BQ262" s="160"/>
      <c r="BR262" s="160"/>
      <c r="BS262" s="160"/>
      <c r="BT262" s="160"/>
      <c r="BU262" s="160"/>
      <c r="BV262" s="160"/>
      <c r="BW262" s="160"/>
      <c r="BX262" s="160"/>
      <c r="BY262" s="160"/>
      <c r="BZ262" s="160"/>
      <c r="CA262" s="160"/>
      <c r="CB262" s="160"/>
      <c r="CC262" s="160"/>
      <c r="CD262" s="160"/>
      <c r="CE262" s="160"/>
      <c r="CF262" s="160"/>
      <c r="CG262" s="160"/>
      <c r="CH262" s="160"/>
      <c r="CI262" s="160"/>
      <c r="CJ262" s="160"/>
      <c r="CK262" s="160"/>
      <c r="CL262" s="160"/>
      <c r="CM262" s="160"/>
      <c r="CN262" s="160"/>
      <c r="CO262" s="160"/>
      <c r="CP262" s="160"/>
      <c r="CQ262" s="160"/>
      <c r="CR262" s="160"/>
      <c r="CS262" s="160"/>
      <c r="CT262" s="160"/>
      <c r="CU262" s="160"/>
      <c r="CV262" s="160"/>
      <c r="CW262" s="160"/>
      <c r="CX262" s="160"/>
      <c r="CY262" s="160"/>
      <c r="CZ262" s="160"/>
      <c r="DA262" s="160"/>
      <c r="DB262" s="160"/>
      <c r="DC262" s="160"/>
      <c r="DD262" s="160"/>
      <c r="DE262" s="160"/>
      <c r="DF262" s="160"/>
      <c r="DG262" s="160"/>
      <c r="DH262" s="160"/>
      <c r="DI262" s="160"/>
      <c r="DJ262" s="160"/>
    </row>
    <row r="263" spans="1:114" ht="16.5" x14ac:dyDescent="0.25">
      <c r="A263" s="162"/>
      <c r="B263" s="37"/>
      <c r="C263" s="37"/>
      <c r="D263" s="37"/>
      <c r="E263" s="37"/>
      <c r="F263" s="37"/>
      <c r="G263" s="37"/>
      <c r="H263" s="37"/>
      <c r="I263" s="37"/>
      <c r="J263" s="37"/>
      <c r="K263" s="37"/>
      <c r="L263" s="37"/>
      <c r="M263" s="37"/>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c r="CH263" s="35"/>
      <c r="CI263" s="35"/>
      <c r="CJ263" s="35"/>
      <c r="CK263" s="35"/>
      <c r="CL263" s="35"/>
      <c r="CM263" s="35"/>
      <c r="CN263" s="35"/>
      <c r="CO263" s="35"/>
      <c r="CP263" s="35"/>
      <c r="CQ263" s="35"/>
      <c r="CR263" s="35"/>
      <c r="CS263" s="35"/>
      <c r="CT263" s="35"/>
      <c r="CU263" s="35"/>
      <c r="CV263" s="35"/>
      <c r="CW263" s="35"/>
      <c r="CX263" s="35"/>
      <c r="CY263" s="35"/>
      <c r="CZ263" s="35"/>
      <c r="DA263" s="35"/>
      <c r="DB263" s="35"/>
      <c r="DC263" s="35"/>
      <c r="DD263" s="35"/>
      <c r="DE263" s="35"/>
      <c r="DF263" s="35"/>
      <c r="DG263" s="35"/>
      <c r="DH263" s="35"/>
      <c r="DI263" s="35"/>
      <c r="DJ263" s="35"/>
    </row>
    <row r="264" spans="1:114" x14ac:dyDescent="0.25">
      <c r="A264" s="34"/>
      <c r="B264" s="34"/>
      <c r="C264" s="34"/>
      <c r="D264" s="34"/>
      <c r="E264" s="34"/>
      <c r="F264" s="34"/>
      <c r="G264" s="34"/>
      <c r="H264" s="34"/>
      <c r="I264" s="34"/>
      <c r="J264" s="34"/>
      <c r="K264" s="34"/>
      <c r="L264" s="34"/>
      <c r="M264" s="34"/>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c r="CG264" s="35"/>
      <c r="CH264" s="35"/>
      <c r="CI264" s="35"/>
      <c r="CJ264" s="35"/>
      <c r="CK264" s="35"/>
      <c r="CL264" s="35"/>
      <c r="CM264" s="35"/>
      <c r="CN264" s="35"/>
      <c r="CO264" s="35"/>
      <c r="CP264" s="35"/>
      <c r="CQ264" s="35"/>
      <c r="CR264" s="35"/>
      <c r="CS264" s="35"/>
      <c r="CT264" s="35"/>
      <c r="CU264" s="35"/>
      <c r="CV264" s="35"/>
      <c r="CW264" s="35"/>
      <c r="CX264" s="35"/>
      <c r="CY264" s="35"/>
      <c r="CZ264" s="35"/>
      <c r="DA264" s="35"/>
      <c r="DB264" s="35"/>
      <c r="DC264" s="35"/>
      <c r="DD264" s="35"/>
      <c r="DE264" s="35"/>
      <c r="DF264" s="35"/>
      <c r="DG264" s="35"/>
      <c r="DH264" s="35"/>
      <c r="DI264" s="35"/>
      <c r="DJ264" s="35"/>
    </row>
    <row r="265" spans="1:114" ht="16.5" x14ac:dyDescent="0.25">
      <c r="A265" s="132" t="s">
        <v>305</v>
      </c>
      <c r="B265" s="133"/>
      <c r="C265" s="163" t="s">
        <v>338</v>
      </c>
      <c r="D265" s="164"/>
      <c r="E265" s="164"/>
      <c r="F265" s="164"/>
      <c r="G265" s="164"/>
      <c r="H265" s="164"/>
      <c r="I265" s="164"/>
      <c r="J265" s="164"/>
      <c r="K265" s="34"/>
      <c r="L265" s="34"/>
      <c r="M265" s="34"/>
      <c r="N265" s="136" t="s">
        <v>305</v>
      </c>
      <c r="O265" s="35"/>
      <c r="P265" s="35"/>
      <c r="Q265" s="35"/>
      <c r="R265" s="35"/>
      <c r="S265" s="35"/>
      <c r="T265" s="137">
        <f>IF(T266=TRUE,1,0)</f>
        <v>0</v>
      </c>
      <c r="U265" s="137">
        <f>IF(SUM($T$265:T265)&lt;&gt;0,0,IF(U266=TRUE,1,0))</f>
        <v>0</v>
      </c>
      <c r="V265" s="137">
        <f>IF(SUM($T$265:U265)&lt;&gt;0,0,IF(V266=TRUE,1,0))</f>
        <v>0</v>
      </c>
      <c r="W265" s="137">
        <f>IF(SUM($T$265:V265)&lt;&gt;0,0,IF(W266=TRUE,1,0))</f>
        <v>0</v>
      </c>
      <c r="X265" s="137">
        <f>IF(SUM($T$265:W265)&lt;&gt;0,0,IF(X266=TRUE,1,0))</f>
        <v>0</v>
      </c>
      <c r="Y265" s="137">
        <f>IF(SUM($T$265:X265)&lt;&gt;0,0,IF(Y266=TRUE,1,0))</f>
        <v>0</v>
      </c>
      <c r="Z265" s="137">
        <f>IF(SUM($T$265:Y265)&lt;&gt;0,0,IF(Z266=TRUE,1,0))</f>
        <v>1</v>
      </c>
      <c r="AA265" s="137">
        <f>IF(SUM($T$265:Z265)&lt;&gt;0,0,IF(AA266=TRUE,1,0))</f>
        <v>0</v>
      </c>
      <c r="AB265" s="137">
        <f>IF(SUM($T$265:AA265)&lt;&gt;0,0,IF(AB266=TRUE,1,0))</f>
        <v>0</v>
      </c>
      <c r="AC265" s="137">
        <f>IF(SUM($T$265:AB265)&lt;&gt;0,0,IF(AC266=TRUE,1,0))</f>
        <v>0</v>
      </c>
      <c r="AD265" s="137">
        <f>IF(SUM($T$265:AC265)&lt;&gt;0,0,IF(AD266=TRUE,1,0))</f>
        <v>0</v>
      </c>
      <c r="AE265" s="137">
        <f>IF(SUM($T$265:AD265)&lt;&gt;0,0,IF(AE266=TRUE,1,0))</f>
        <v>0</v>
      </c>
      <c r="AF265" s="137">
        <f>IF(SUM($T$265:AE265)&lt;&gt;0,0,IF(AF266=TRUE,1,0))</f>
        <v>0</v>
      </c>
      <c r="AG265" s="137">
        <f>IF(SUM($T$265:AF265)&lt;&gt;0,0,IF(AG266=TRUE,1,0))</f>
        <v>0</v>
      </c>
      <c r="AH265" s="137">
        <f>IF(SUM($T$265:AG265)&lt;&gt;0,0,IF(AH266=TRUE,1,0))</f>
        <v>0</v>
      </c>
      <c r="AI265" s="137">
        <f>IF(SUM($T$265:AH265)&lt;&gt;0,0,IF(AI266=TRUE,1,0))</f>
        <v>0</v>
      </c>
      <c r="AJ265" s="137">
        <f>IF(SUM($T$265:AI265)&lt;&gt;0,0,IF(AJ266=TRUE,1,0))</f>
        <v>0</v>
      </c>
      <c r="AK265" s="137">
        <f>IF(SUM($T$265:AJ265)&lt;&gt;0,0,IF(AK266=TRUE,1,0))</f>
        <v>0</v>
      </c>
      <c r="AL265" s="137">
        <f>IF(SUM($T$265:AK265)&lt;&gt;0,0,IF(AL266=TRUE,1,0))</f>
        <v>0</v>
      </c>
      <c r="AM265" s="137">
        <f>IF(SUM($T$265:AL265)&lt;&gt;0,0,IF(AM266=TRUE,1,0))</f>
        <v>0</v>
      </c>
      <c r="AN265" s="137">
        <f>IF(SUM($T$265:AM265)&lt;&gt;0,0,IF(AN266=TRUE,1,0))</f>
        <v>0</v>
      </c>
      <c r="AO265" s="137">
        <f>IF(SUM($T$265:AN265)&lt;&gt;0,0,IF(AO266=TRUE,1,0))</f>
        <v>0</v>
      </c>
      <c r="AP265" s="137">
        <f>IF(SUM($T$265:AO265)&lt;&gt;0,0,IF(AP266=TRUE,1,0))</f>
        <v>0</v>
      </c>
      <c r="AQ265" s="137">
        <f>IF(SUM($T$265:AP265)&lt;&gt;0,0,IF(AQ266=TRUE,1,0))</f>
        <v>0</v>
      </c>
      <c r="AR265" s="21">
        <f>SUM(S265:AQ265)</f>
        <v>1</v>
      </c>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35"/>
      <c r="DC265" s="35"/>
      <c r="DD265" s="35"/>
      <c r="DE265" s="35"/>
      <c r="DF265" s="35"/>
      <c r="DG265" s="35"/>
      <c r="DH265" s="35"/>
      <c r="DI265" s="35"/>
      <c r="DJ265" s="35"/>
    </row>
    <row r="266" spans="1:114" x14ac:dyDescent="0.25">
      <c r="A266" s="34"/>
      <c r="B266" s="34"/>
      <c r="C266" s="34"/>
      <c r="D266" s="34"/>
      <c r="E266" s="34"/>
      <c r="F266" s="34"/>
      <c r="G266" s="34"/>
      <c r="H266" s="34"/>
      <c r="I266" s="34"/>
      <c r="J266" s="34"/>
      <c r="K266" s="34"/>
      <c r="L266" s="34"/>
      <c r="M266" s="34"/>
      <c r="N266" s="35"/>
      <c r="O266" s="35"/>
      <c r="P266" s="35"/>
      <c r="Q266" s="35"/>
      <c r="R266" s="35"/>
      <c r="S266" s="35"/>
      <c r="T266" s="35" t="b">
        <v>0</v>
      </c>
      <c r="U266" s="35" t="b">
        <v>0</v>
      </c>
      <c r="V266" s="35" t="b">
        <v>0</v>
      </c>
      <c r="W266" s="35" t="b">
        <v>0</v>
      </c>
      <c r="X266" s="35" t="b">
        <v>0</v>
      </c>
      <c r="Y266" s="35" t="b">
        <v>0</v>
      </c>
      <c r="Z266" s="35" t="b">
        <v>1</v>
      </c>
      <c r="AA266" s="35" t="b">
        <v>1</v>
      </c>
      <c r="AB266" s="35" t="b">
        <v>1</v>
      </c>
      <c r="AC266" s="35" t="b">
        <v>0</v>
      </c>
      <c r="AD266" s="35" t="b">
        <v>0</v>
      </c>
      <c r="AE266" s="35" t="b">
        <v>0</v>
      </c>
      <c r="AF266" s="35" t="b">
        <v>0</v>
      </c>
      <c r="AG266" s="35" t="b">
        <v>0</v>
      </c>
      <c r="AH266" s="35" t="b">
        <v>0</v>
      </c>
      <c r="AI266" s="35" t="b">
        <v>0</v>
      </c>
      <c r="AJ266" s="35" t="b">
        <v>0</v>
      </c>
      <c r="AK266" s="35" t="b">
        <v>0</v>
      </c>
      <c r="AL266" s="35" t="b">
        <v>0</v>
      </c>
      <c r="AM266" s="35" t="b">
        <v>0</v>
      </c>
      <c r="AN266" s="35" t="b">
        <v>0</v>
      </c>
      <c r="AO266" s="35" t="b">
        <v>0</v>
      </c>
      <c r="AP266" s="35" t="b">
        <v>0</v>
      </c>
      <c r="AQ266" s="35" t="b">
        <v>0</v>
      </c>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5"/>
      <c r="CB266" s="35"/>
      <c r="CC266" s="35"/>
      <c r="CD266" s="35"/>
      <c r="CE266" s="35"/>
      <c r="CF266" s="35"/>
      <c r="CG266" s="35"/>
      <c r="CH266" s="35"/>
      <c r="CI266" s="35"/>
      <c r="CJ266" s="35"/>
      <c r="CK266" s="35"/>
      <c r="CL266" s="35"/>
      <c r="CM266" s="35"/>
      <c r="CN266" s="35"/>
      <c r="CO266" s="35"/>
      <c r="CP266" s="35"/>
      <c r="CQ266" s="35"/>
      <c r="CR266" s="35"/>
      <c r="CS266" s="35"/>
      <c r="CT266" s="35"/>
      <c r="CU266" s="35"/>
      <c r="CV266" s="35"/>
      <c r="CW266" s="35"/>
      <c r="CX266" s="35"/>
      <c r="CY266" s="35"/>
      <c r="CZ266" s="35"/>
      <c r="DA266" s="35"/>
      <c r="DB266" s="35"/>
      <c r="DC266" s="35"/>
      <c r="DD266" s="35"/>
      <c r="DE266" s="35"/>
      <c r="DF266" s="35"/>
      <c r="DG266" s="35"/>
      <c r="DH266" s="35"/>
      <c r="DI266" s="35"/>
      <c r="DJ266" s="35"/>
    </row>
    <row r="267" spans="1:114" ht="16.5" x14ac:dyDescent="0.25">
      <c r="A267" s="113" t="s">
        <v>306</v>
      </c>
      <c r="B267" s="114"/>
      <c r="C267" s="114"/>
      <c r="D267" s="114"/>
      <c r="E267" s="114"/>
      <c r="F267" s="114"/>
      <c r="G267" s="114"/>
      <c r="H267" s="114"/>
      <c r="I267" s="114"/>
      <c r="J267" s="114"/>
      <c r="K267" s="114"/>
      <c r="L267" s="114"/>
      <c r="M267" s="114"/>
      <c r="N267" s="66"/>
      <c r="O267" s="66"/>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66"/>
      <c r="AO267" s="66"/>
      <c r="AP267" s="66"/>
      <c r="AQ267" s="66"/>
      <c r="AR267" s="66"/>
      <c r="AS267" s="66"/>
      <c r="AT267" s="66"/>
      <c r="AU267" s="35"/>
      <c r="AV267" s="35"/>
      <c r="AW267" s="35"/>
      <c r="AX267" s="35"/>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35"/>
      <c r="CA267" s="35"/>
      <c r="CB267" s="35"/>
      <c r="CC267" s="35"/>
      <c r="CD267" s="35"/>
      <c r="CE267" s="35"/>
      <c r="CF267" s="35"/>
      <c r="CG267" s="35"/>
      <c r="CH267" s="35"/>
      <c r="CI267" s="35"/>
      <c r="CJ267" s="35"/>
      <c r="CK267" s="35"/>
      <c r="CL267" s="35"/>
      <c r="CM267" s="35"/>
      <c r="CN267" s="35"/>
      <c r="CO267" s="35"/>
      <c r="CP267" s="35"/>
      <c r="CQ267" s="35"/>
      <c r="CR267" s="35"/>
      <c r="CS267" s="35"/>
      <c r="CT267" s="35"/>
      <c r="CU267" s="35"/>
      <c r="CV267" s="35"/>
      <c r="CW267" s="35"/>
      <c r="CX267" s="35"/>
      <c r="CY267" s="35"/>
      <c r="CZ267" s="35"/>
      <c r="DA267" s="35"/>
      <c r="DB267" s="35"/>
      <c r="DC267" s="35"/>
      <c r="DD267" s="35"/>
      <c r="DE267" s="35"/>
      <c r="DF267" s="35"/>
      <c r="DG267" s="35"/>
      <c r="DH267" s="35"/>
      <c r="DI267" s="35"/>
      <c r="DJ267" s="35"/>
    </row>
    <row r="268" spans="1:114" ht="31.15" customHeight="1" x14ac:dyDescent="0.25">
      <c r="A268" s="195" t="s">
        <v>166</v>
      </c>
      <c r="B268" s="206" t="s">
        <v>167</v>
      </c>
      <c r="C268" s="202" t="s">
        <v>320</v>
      </c>
      <c r="D268" s="208" t="s">
        <v>169</v>
      </c>
      <c r="E268" s="209"/>
      <c r="F268" s="210"/>
      <c r="G268" s="211" t="s">
        <v>308</v>
      </c>
      <c r="H268" s="209"/>
      <c r="I268" s="210"/>
      <c r="J268" s="107" t="s">
        <v>227</v>
      </c>
      <c r="K268" s="202" t="s">
        <v>228</v>
      </c>
      <c r="L268" s="202" t="s">
        <v>229</v>
      </c>
      <c r="M268" s="204" t="s">
        <v>166</v>
      </c>
      <c r="N268" s="38"/>
      <c r="O268" s="222" t="s">
        <v>304</v>
      </c>
      <c r="P268" s="212" t="s">
        <v>199</v>
      </c>
      <c r="Q268" s="213"/>
      <c r="R268" s="214"/>
      <c r="S268" s="102" t="s">
        <v>200</v>
      </c>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76"/>
      <c r="AS268" s="76"/>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row>
    <row r="269" spans="1:114" ht="16.149999999999999" customHeight="1" x14ac:dyDescent="0.25">
      <c r="A269" s="195"/>
      <c r="B269" s="207"/>
      <c r="C269" s="203"/>
      <c r="D269" s="108" t="s">
        <v>171</v>
      </c>
      <c r="E269" s="108" t="s">
        <v>172</v>
      </c>
      <c r="F269" s="108" t="s">
        <v>173</v>
      </c>
      <c r="G269" s="108" t="s">
        <v>171</v>
      </c>
      <c r="H269" s="108" t="s">
        <v>172</v>
      </c>
      <c r="I269" s="108" t="s">
        <v>173</v>
      </c>
      <c r="J269" s="108" t="s">
        <v>173</v>
      </c>
      <c r="K269" s="203"/>
      <c r="L269" s="203"/>
      <c r="M269" s="205"/>
      <c r="N269" s="74"/>
      <c r="O269" s="223"/>
      <c r="P269" s="4" t="s">
        <v>114</v>
      </c>
      <c r="Q269" s="4" t="s">
        <v>197</v>
      </c>
      <c r="R269" s="4" t="s">
        <v>13</v>
      </c>
      <c r="S269" s="104">
        <v>1</v>
      </c>
      <c r="T269" s="104">
        <v>2</v>
      </c>
      <c r="U269" s="104">
        <v>3</v>
      </c>
      <c r="V269" s="104">
        <v>4</v>
      </c>
      <c r="W269" s="104">
        <v>5</v>
      </c>
      <c r="X269" s="104">
        <v>6</v>
      </c>
      <c r="Y269" s="104">
        <v>7</v>
      </c>
      <c r="Z269" s="104">
        <v>8</v>
      </c>
      <c r="AA269" s="104">
        <v>9</v>
      </c>
      <c r="AB269" s="104">
        <v>10</v>
      </c>
      <c r="AC269" s="104">
        <v>11</v>
      </c>
      <c r="AD269" s="104">
        <v>12</v>
      </c>
      <c r="AE269" s="104">
        <v>13</v>
      </c>
      <c r="AF269" s="104">
        <v>14</v>
      </c>
      <c r="AG269" s="104">
        <v>15</v>
      </c>
      <c r="AH269" s="104">
        <v>16</v>
      </c>
      <c r="AI269" s="104">
        <v>17</v>
      </c>
      <c r="AJ269" s="104">
        <v>18</v>
      </c>
      <c r="AK269" s="104">
        <v>19</v>
      </c>
      <c r="AL269" s="104">
        <v>20</v>
      </c>
      <c r="AM269" s="104">
        <v>21</v>
      </c>
      <c r="AN269" s="104">
        <v>22</v>
      </c>
      <c r="AO269" s="104">
        <v>23</v>
      </c>
      <c r="AP269" s="104">
        <v>24</v>
      </c>
      <c r="AQ269" s="104">
        <v>25</v>
      </c>
      <c r="AR269" s="4" t="s">
        <v>196</v>
      </c>
      <c r="AS269" s="4"/>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c r="DH269" s="35"/>
      <c r="DI269" s="35"/>
      <c r="DJ269" s="35"/>
    </row>
    <row r="270" spans="1:114" ht="16.5" x14ac:dyDescent="0.25">
      <c r="A270" s="172" t="s">
        <v>174</v>
      </c>
      <c r="B270" s="109" t="s">
        <v>191</v>
      </c>
      <c r="C270" s="42"/>
      <c r="D270" s="63" t="str">
        <f t="shared" ref="D270:D290" si="11">D121</f>
        <v>NTD</v>
      </c>
      <c r="E270" s="65">
        <f>IF(O270=FALSE,0,AR270)</f>
        <v>32000</v>
      </c>
      <c r="F270" s="106">
        <f>E270</f>
        <v>32000</v>
      </c>
      <c r="G270" s="63" t="str">
        <f t="shared" ref="G270:G290" si="12">G121</f>
        <v>NTD</v>
      </c>
      <c r="H270" s="65">
        <f t="shared" ref="H270:H279" si="13">IF(O270=FALSE,0,AR297)</f>
        <v>0</v>
      </c>
      <c r="I270" s="106">
        <f>H270</f>
        <v>0</v>
      </c>
      <c r="J270" s="106">
        <f>F270+I270</f>
        <v>32000</v>
      </c>
      <c r="K270" s="39">
        <f t="shared" ref="K270:K290" si="14">IF(O270=FALSE,0,AR324)</f>
        <v>3000</v>
      </c>
      <c r="L270" s="106">
        <f>J270+K270</f>
        <v>35000</v>
      </c>
      <c r="M270" s="172" t="s">
        <v>174</v>
      </c>
      <c r="N270" s="74"/>
      <c r="O270" s="131" t="b">
        <v>1</v>
      </c>
      <c r="P270" s="215" t="s">
        <v>2</v>
      </c>
      <c r="Q270" s="11" t="str">
        <f>B270</f>
        <v>發明</v>
      </c>
      <c r="R270" s="3" t="str">
        <f>'P(M)年費表'!C3</f>
        <v>NTD</v>
      </c>
      <c r="S270" s="99"/>
      <c r="T270" s="99">
        <f>IF(T$266=FALSE,0,'P(M)年費表'!E3)</f>
        <v>0</v>
      </c>
      <c r="U270" s="99">
        <f>IF(U$266=FALSE,0,'P(M)年費表'!F3)</f>
        <v>0</v>
      </c>
      <c r="V270" s="99">
        <f>IF(V$266=FALSE,0,'P(M)年費表'!G3)</f>
        <v>0</v>
      </c>
      <c r="W270" s="99">
        <f>IF(W$266=FALSE,0,'P(M)年費表'!H3)</f>
        <v>0</v>
      </c>
      <c r="X270" s="99">
        <f>IF(X$266=FALSE,0,'P(M)年費表'!I3)</f>
        <v>0</v>
      </c>
      <c r="Y270" s="99">
        <f>IF(Y$266=FALSE,0,'P(M)年費表'!J3)</f>
        <v>0</v>
      </c>
      <c r="Z270" s="99">
        <f>IF(Z$266=FALSE,0,'P(M)年費表'!K3)</f>
        <v>8000</v>
      </c>
      <c r="AA270" s="99">
        <f>IF(AA$266=FALSE,0,'P(M)年費表'!L3)</f>
        <v>8000</v>
      </c>
      <c r="AB270" s="99">
        <f>IF(AB$266=FALSE,0,'P(M)年費表'!M3)</f>
        <v>16000</v>
      </c>
      <c r="AC270" s="99">
        <f>IF(AC$266=FALSE,0,'P(M)年費表'!N3)</f>
        <v>0</v>
      </c>
      <c r="AD270" s="99">
        <f>IF(AD$266=FALSE,0,'P(M)年費表'!O3)</f>
        <v>0</v>
      </c>
      <c r="AE270" s="99">
        <f>IF(AE$266=FALSE,0,'P(M)年費表'!P3)</f>
        <v>0</v>
      </c>
      <c r="AF270" s="99">
        <f>IF(AF$266=FALSE,0,'P(M)年費表'!Q3)</f>
        <v>0</v>
      </c>
      <c r="AG270" s="99">
        <f>IF(AG$266=FALSE,0,'P(M)年費表'!R3)</f>
        <v>0</v>
      </c>
      <c r="AH270" s="99">
        <f>IF(AH$266=FALSE,0,'P(M)年費表'!S3)</f>
        <v>0</v>
      </c>
      <c r="AI270" s="99">
        <f>IF(AI$266=FALSE,0,'P(M)年費表'!T3)</f>
        <v>0</v>
      </c>
      <c r="AJ270" s="99">
        <f>IF(AJ$266=FALSE,0,'P(M)年費表'!U3)</f>
        <v>0</v>
      </c>
      <c r="AK270" s="99">
        <f>IF(AK$266=FALSE,0,'P(M)年費表'!V3)</f>
        <v>0</v>
      </c>
      <c r="AL270" s="99">
        <f>IF(AL$266=FALSE,0,'P(M)年費表'!W3)</f>
        <v>0</v>
      </c>
      <c r="AM270" s="99">
        <f>IF(AM$266=FALSE,0,'P(M)年費表'!X3)</f>
        <v>0</v>
      </c>
      <c r="AN270" s="99">
        <f>IF(AN$266=FALSE,0,'P(M)年費表'!Y3)</f>
        <v>0</v>
      </c>
      <c r="AO270" s="99">
        <f>IF(AO$266=FALSE,0,'P(M)年費表'!Z3)</f>
        <v>0</v>
      </c>
      <c r="AP270" s="99">
        <f>IF(AP$266=FALSE,0,'P(M)年費表'!AA3)</f>
        <v>0</v>
      </c>
      <c r="AQ270" s="99">
        <f>IF(AQ$266=FALSE,0,'P(M)年費表'!AB3)</f>
        <v>0</v>
      </c>
      <c r="AR270" s="77">
        <f>SUM(S270:AQ270)</f>
        <v>32000</v>
      </c>
      <c r="AS270" s="11"/>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c r="DH270" s="35"/>
      <c r="DI270" s="35"/>
      <c r="DJ270" s="35"/>
    </row>
    <row r="271" spans="1:114" ht="16.5" x14ac:dyDescent="0.25">
      <c r="A271" s="173"/>
      <c r="B271" s="109" t="s">
        <v>192</v>
      </c>
      <c r="C271" s="42"/>
      <c r="D271" s="63" t="str">
        <f t="shared" si="11"/>
        <v>NTD</v>
      </c>
      <c r="E271" s="65">
        <f t="shared" ref="E271:E290" si="15">IF(O271=FALSE,0,AR271)</f>
        <v>0</v>
      </c>
      <c r="F271" s="106">
        <f>E271</f>
        <v>0</v>
      </c>
      <c r="G271" s="63" t="str">
        <f t="shared" si="12"/>
        <v>NTD</v>
      </c>
      <c r="H271" s="65">
        <f t="shared" si="13"/>
        <v>0</v>
      </c>
      <c r="I271" s="106">
        <f>H271</f>
        <v>0</v>
      </c>
      <c r="J271" s="106">
        <f t="shared" ref="J271:J290" si="16">F271+I271</f>
        <v>0</v>
      </c>
      <c r="K271" s="39">
        <f t="shared" si="14"/>
        <v>0</v>
      </c>
      <c r="L271" s="106">
        <f t="shared" ref="L271:L290" si="17">J271+K271</f>
        <v>0</v>
      </c>
      <c r="M271" s="173"/>
      <c r="N271" s="74"/>
      <c r="O271" s="131" t="b">
        <v>0</v>
      </c>
      <c r="P271" s="216"/>
      <c r="Q271" s="11" t="str">
        <f t="shared" ref="Q271:Q290" si="18">B271</f>
        <v>新型</v>
      </c>
      <c r="R271" s="3" t="str">
        <f>'P(M)年費表'!C4</f>
        <v>NTD</v>
      </c>
      <c r="S271" s="99"/>
      <c r="T271" s="99">
        <f>IF(T$266=FALSE,0,'P(M)年費表'!E4)</f>
        <v>0</v>
      </c>
      <c r="U271" s="99">
        <f>IF(U$266=FALSE,0,'P(M)年費表'!F4)</f>
        <v>0</v>
      </c>
      <c r="V271" s="99">
        <f>IF(V$266=FALSE,0,'P(M)年費表'!G4)</f>
        <v>0</v>
      </c>
      <c r="W271" s="99">
        <f>IF(W$266=FALSE,0,'P(M)年費表'!H4)</f>
        <v>0</v>
      </c>
      <c r="X271" s="99">
        <f>IF(X$266=FALSE,0,'P(M)年費表'!I4)</f>
        <v>0</v>
      </c>
      <c r="Y271" s="99">
        <f>IF(Y$266=FALSE,0,'P(M)年費表'!J4)</f>
        <v>0</v>
      </c>
      <c r="Z271" s="99">
        <f>IF(Z$266=FALSE,0,'P(M)年費表'!K4)</f>
        <v>8000</v>
      </c>
      <c r="AA271" s="99">
        <f>IF(AA$266=FALSE,0,'P(M)年費表'!L4)</f>
        <v>8000</v>
      </c>
      <c r="AB271" s="99">
        <f>IF(AB$266=FALSE,0,'P(M)年費表'!M4)</f>
        <v>8000</v>
      </c>
      <c r="AC271" s="99">
        <f>IF(AC$266=FALSE,0,'P(M)年費表'!N4)</f>
        <v>0</v>
      </c>
      <c r="AD271" s="99">
        <f>IF(AD$266=FALSE,0,'P(M)年費表'!O4)</f>
        <v>0</v>
      </c>
      <c r="AE271" s="99">
        <f>IF(AE$266=FALSE,0,'P(M)年費表'!P4)</f>
        <v>0</v>
      </c>
      <c r="AF271" s="99">
        <f>IF(AF$266=FALSE,0,'P(M)年費表'!Q4)</f>
        <v>0</v>
      </c>
      <c r="AG271" s="99">
        <f>IF(AG$266=FALSE,0,'P(M)年費表'!R4)</f>
        <v>0</v>
      </c>
      <c r="AH271" s="99">
        <f>IF(AH$266=FALSE,0,'P(M)年費表'!S4)</f>
        <v>0</v>
      </c>
      <c r="AI271" s="99">
        <f>IF(AI$266=FALSE,0,'P(M)年費表'!T4)</f>
        <v>0</v>
      </c>
      <c r="AJ271" s="99">
        <f>IF(AJ$266=FALSE,0,'P(M)年費表'!U4)</f>
        <v>0</v>
      </c>
      <c r="AK271" s="99">
        <f>IF(AK$266=FALSE,0,'P(M)年費表'!V4)</f>
        <v>0</v>
      </c>
      <c r="AL271" s="99">
        <f>IF(AL$266=FALSE,0,'P(M)年費表'!W4)</f>
        <v>0</v>
      </c>
      <c r="AM271" s="99">
        <f>IF(AM$266=FALSE,0,'P(M)年費表'!X4)</f>
        <v>0</v>
      </c>
      <c r="AN271" s="99">
        <f>IF(AN$266=FALSE,0,'P(M)年費表'!Y4)</f>
        <v>0</v>
      </c>
      <c r="AO271" s="99">
        <f>IF(AO$266=FALSE,0,'P(M)年費表'!Z4)</f>
        <v>0</v>
      </c>
      <c r="AP271" s="99">
        <f>IF(AP$266=FALSE,0,'P(M)年費表'!AA4)</f>
        <v>0</v>
      </c>
      <c r="AQ271" s="99">
        <f>IF(AQ$266=FALSE,0,'P(M)年費表'!AB4)</f>
        <v>0</v>
      </c>
      <c r="AR271" s="77">
        <f t="shared" ref="AR271:AR291" si="19">SUM(S271:AQ271)</f>
        <v>24000</v>
      </c>
      <c r="AS271" s="11"/>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5"/>
      <c r="CB271" s="35"/>
      <c r="CC271" s="35"/>
      <c r="CD271" s="35"/>
      <c r="CE271" s="35"/>
      <c r="CF271" s="35"/>
      <c r="CG271" s="35"/>
      <c r="CH271" s="35"/>
      <c r="CI271" s="35"/>
      <c r="CJ271" s="35"/>
      <c r="CK271" s="35"/>
      <c r="CL271" s="35"/>
      <c r="CM271" s="35"/>
      <c r="CN271" s="35"/>
      <c r="CO271" s="35"/>
      <c r="CP271" s="35"/>
      <c r="CQ271" s="35"/>
      <c r="CR271" s="35"/>
      <c r="CS271" s="35"/>
      <c r="CT271" s="35"/>
      <c r="CU271" s="35"/>
      <c r="CV271" s="35"/>
      <c r="CW271" s="35"/>
      <c r="CX271" s="35"/>
      <c r="CY271" s="35"/>
      <c r="CZ271" s="35"/>
      <c r="DA271" s="35"/>
      <c r="DB271" s="35"/>
      <c r="DC271" s="35"/>
      <c r="DD271" s="35"/>
      <c r="DE271" s="35"/>
      <c r="DF271" s="35"/>
      <c r="DG271" s="35"/>
      <c r="DH271" s="35"/>
      <c r="DI271" s="35"/>
      <c r="DJ271" s="35"/>
    </row>
    <row r="272" spans="1:114" ht="16.5" x14ac:dyDescent="0.25">
      <c r="A272" s="172" t="s">
        <v>175</v>
      </c>
      <c r="B272" s="109" t="s">
        <v>191</v>
      </c>
      <c r="C272" s="42"/>
      <c r="D272" s="63" t="str">
        <f t="shared" si="11"/>
        <v>CNY</v>
      </c>
      <c r="E272" s="65">
        <f t="shared" si="15"/>
        <v>8000</v>
      </c>
      <c r="F272" s="106">
        <f>E272*$M$5</f>
        <v>36800</v>
      </c>
      <c r="G272" s="63" t="str">
        <f t="shared" si="12"/>
        <v>CNY</v>
      </c>
      <c r="H272" s="65">
        <f t="shared" si="13"/>
        <v>200</v>
      </c>
      <c r="I272" s="106">
        <f>H272*$M$5</f>
        <v>919.99999999999989</v>
      </c>
      <c r="J272" s="106">
        <f t="shared" si="16"/>
        <v>37720</v>
      </c>
      <c r="K272" s="39">
        <f t="shared" si="14"/>
        <v>3000</v>
      </c>
      <c r="L272" s="106">
        <f t="shared" si="17"/>
        <v>40720</v>
      </c>
      <c r="M272" s="172" t="s">
        <v>175</v>
      </c>
      <c r="N272" s="74"/>
      <c r="O272" s="131" t="b">
        <v>1</v>
      </c>
      <c r="P272" s="215" t="s">
        <v>3</v>
      </c>
      <c r="Q272" s="11" t="str">
        <f t="shared" si="18"/>
        <v>發明</v>
      </c>
      <c r="R272" s="3" t="str">
        <f>'P(M)年費表'!C5</f>
        <v>CNY</v>
      </c>
      <c r="S272" s="99"/>
      <c r="T272" s="99">
        <f>IF(T$266=FALSE,0,'P(M)年費表'!E5)</f>
        <v>0</v>
      </c>
      <c r="U272" s="99">
        <f>IF(U$266=FALSE,0,'P(M)年費表'!F5)</f>
        <v>0</v>
      </c>
      <c r="V272" s="99">
        <f>IF(V$266=FALSE,0,'P(M)年費表'!G5)</f>
        <v>0</v>
      </c>
      <c r="W272" s="99">
        <f>IF(W$266=FALSE,0,'P(M)年費表'!H5)</f>
        <v>0</v>
      </c>
      <c r="X272" s="99">
        <f>IF(X$266=FALSE,0,'P(M)年費表'!I5)</f>
        <v>0</v>
      </c>
      <c r="Y272" s="99">
        <f>IF(Y$266=FALSE,0,'P(M)年費表'!J5)</f>
        <v>0</v>
      </c>
      <c r="Z272" s="99">
        <f>IF(Z$266=FALSE,0,'P(M)年費表'!K5)</f>
        <v>2000</v>
      </c>
      <c r="AA272" s="99">
        <f>IF(AA$266=FALSE,0,'P(M)年費表'!L5)</f>
        <v>2000</v>
      </c>
      <c r="AB272" s="99">
        <f>IF(AB$266=FALSE,0,'P(M)年費表'!M5)</f>
        <v>4000</v>
      </c>
      <c r="AC272" s="99">
        <f>IF(AC$266=FALSE,0,'P(M)年費表'!N5)</f>
        <v>0</v>
      </c>
      <c r="AD272" s="99">
        <f>IF(AD$266=FALSE,0,'P(M)年費表'!O5)</f>
        <v>0</v>
      </c>
      <c r="AE272" s="99">
        <f>IF(AE$266=FALSE,0,'P(M)年費表'!P5)</f>
        <v>0</v>
      </c>
      <c r="AF272" s="99">
        <f>IF(AF$266=FALSE,0,'P(M)年費表'!Q5)</f>
        <v>0</v>
      </c>
      <c r="AG272" s="99">
        <f>IF(AG$266=FALSE,0,'P(M)年費表'!R5)</f>
        <v>0</v>
      </c>
      <c r="AH272" s="99">
        <f>IF(AH$266=FALSE,0,'P(M)年費表'!S5)</f>
        <v>0</v>
      </c>
      <c r="AI272" s="99">
        <f>IF(AI$266=FALSE,0,'P(M)年費表'!T5)</f>
        <v>0</v>
      </c>
      <c r="AJ272" s="99">
        <f>IF(AJ$266=FALSE,0,'P(M)年費表'!U5)</f>
        <v>0</v>
      </c>
      <c r="AK272" s="99">
        <f>IF(AK$266=FALSE,0,'P(M)年費表'!V5)</f>
        <v>0</v>
      </c>
      <c r="AL272" s="99">
        <f>IF(AL$266=FALSE,0,'P(M)年費表'!W5)</f>
        <v>0</v>
      </c>
      <c r="AM272" s="99">
        <f>IF(AM$266=FALSE,0,'P(M)年費表'!X5)</f>
        <v>0</v>
      </c>
      <c r="AN272" s="99">
        <f>IF(AN$266=FALSE,0,'P(M)年費表'!Y5)</f>
        <v>0</v>
      </c>
      <c r="AO272" s="99">
        <f>IF(AO$266=FALSE,0,'P(M)年費表'!Z5)</f>
        <v>0</v>
      </c>
      <c r="AP272" s="99">
        <f>IF(AP$266=FALSE,0,'P(M)年費表'!AA5)</f>
        <v>0</v>
      </c>
      <c r="AQ272" s="99">
        <f>IF(AQ$266=FALSE,0,'P(M)年費表'!AB5)</f>
        <v>0</v>
      </c>
      <c r="AR272" s="77">
        <f t="shared" si="19"/>
        <v>8000</v>
      </c>
      <c r="AS272" s="11"/>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5"/>
      <c r="CB272" s="35"/>
      <c r="CC272" s="35"/>
      <c r="CD272" s="35"/>
      <c r="CE272" s="35"/>
      <c r="CF272" s="35"/>
      <c r="CG272" s="35"/>
      <c r="CH272" s="35"/>
      <c r="CI272" s="35"/>
      <c r="CJ272" s="35"/>
      <c r="CK272" s="35"/>
      <c r="CL272" s="35"/>
      <c r="CM272" s="35"/>
      <c r="CN272" s="35"/>
      <c r="CO272" s="35"/>
      <c r="CP272" s="35"/>
      <c r="CQ272" s="35"/>
      <c r="CR272" s="35"/>
      <c r="CS272" s="35"/>
      <c r="CT272" s="35"/>
      <c r="CU272" s="35"/>
      <c r="CV272" s="35"/>
      <c r="CW272" s="35"/>
      <c r="CX272" s="35"/>
      <c r="CY272" s="35"/>
      <c r="CZ272" s="35"/>
      <c r="DA272" s="35"/>
      <c r="DB272" s="35"/>
      <c r="DC272" s="35"/>
      <c r="DD272" s="35"/>
      <c r="DE272" s="35"/>
      <c r="DF272" s="35"/>
      <c r="DG272" s="35"/>
      <c r="DH272" s="35"/>
      <c r="DI272" s="35"/>
      <c r="DJ272" s="35"/>
    </row>
    <row r="273" spans="1:114" ht="16.5" x14ac:dyDescent="0.25">
      <c r="A273" s="173"/>
      <c r="B273" s="109" t="s">
        <v>192</v>
      </c>
      <c r="C273" s="42"/>
      <c r="D273" s="63" t="str">
        <f t="shared" si="11"/>
        <v>CNY</v>
      </c>
      <c r="E273" s="65">
        <f t="shared" si="15"/>
        <v>0</v>
      </c>
      <c r="F273" s="106">
        <f>E273*$M$5</f>
        <v>0</v>
      </c>
      <c r="G273" s="63" t="str">
        <f t="shared" si="12"/>
        <v>CNY</v>
      </c>
      <c r="H273" s="65">
        <f t="shared" si="13"/>
        <v>0</v>
      </c>
      <c r="I273" s="106">
        <f>H273*$M$5</f>
        <v>0</v>
      </c>
      <c r="J273" s="106">
        <f t="shared" si="16"/>
        <v>0</v>
      </c>
      <c r="K273" s="39">
        <f t="shared" si="14"/>
        <v>0</v>
      </c>
      <c r="L273" s="106">
        <f t="shared" si="17"/>
        <v>0</v>
      </c>
      <c r="M273" s="173"/>
      <c r="N273" s="74"/>
      <c r="O273" s="131" t="b">
        <v>0</v>
      </c>
      <c r="P273" s="216"/>
      <c r="Q273" s="11" t="str">
        <f t="shared" si="18"/>
        <v>新型</v>
      </c>
      <c r="R273" s="3" t="str">
        <f>'P(M)年費表'!C6</f>
        <v>CNY</v>
      </c>
      <c r="S273" s="99"/>
      <c r="T273" s="99">
        <f>IF(T$266=FALSE,0,'P(M)年費表'!E6)</f>
        <v>0</v>
      </c>
      <c r="U273" s="99">
        <f>IF(U$266=FALSE,0,'P(M)年費表'!F6)</f>
        <v>0</v>
      </c>
      <c r="V273" s="99">
        <f>IF(V$266=FALSE,0,'P(M)年費表'!G6)</f>
        <v>0</v>
      </c>
      <c r="W273" s="99">
        <f>IF(W$266=FALSE,0,'P(M)年費表'!H6)</f>
        <v>0</v>
      </c>
      <c r="X273" s="99">
        <f>IF(X$266=FALSE,0,'P(M)年費表'!I6)</f>
        <v>0</v>
      </c>
      <c r="Y273" s="99">
        <f>IF(Y$266=FALSE,0,'P(M)年費表'!J6)</f>
        <v>0</v>
      </c>
      <c r="Z273" s="99">
        <f>IF(Z$266=FALSE,0,'P(M)年費表'!K6)</f>
        <v>1200</v>
      </c>
      <c r="AA273" s="99">
        <f>IF(AA$266=FALSE,0,'P(M)年費表'!L6)</f>
        <v>2000</v>
      </c>
      <c r="AB273" s="99">
        <f>IF(AB$266=FALSE,0,'P(M)年費表'!M6)</f>
        <v>2000</v>
      </c>
      <c r="AC273" s="99">
        <f>IF(AC$266=FALSE,0,'P(M)年費表'!N6)</f>
        <v>0</v>
      </c>
      <c r="AD273" s="99">
        <f>IF(AD$266=FALSE,0,'P(M)年費表'!O6)</f>
        <v>0</v>
      </c>
      <c r="AE273" s="99">
        <f>IF(AE$266=FALSE,0,'P(M)年費表'!P6)</f>
        <v>0</v>
      </c>
      <c r="AF273" s="99">
        <f>IF(AF$266=FALSE,0,'P(M)年費表'!Q6)</f>
        <v>0</v>
      </c>
      <c r="AG273" s="99">
        <f>IF(AG$266=FALSE,0,'P(M)年費表'!R6)</f>
        <v>0</v>
      </c>
      <c r="AH273" s="99">
        <f>IF(AH$266=FALSE,0,'P(M)年費表'!S6)</f>
        <v>0</v>
      </c>
      <c r="AI273" s="99">
        <f>IF(AI$266=FALSE,0,'P(M)年費表'!T6)</f>
        <v>0</v>
      </c>
      <c r="AJ273" s="99">
        <f>IF(AJ$266=FALSE,0,'P(M)年費表'!U6)</f>
        <v>0</v>
      </c>
      <c r="AK273" s="99">
        <f>IF(AK$266=FALSE,0,'P(M)年費表'!V6)</f>
        <v>0</v>
      </c>
      <c r="AL273" s="99">
        <f>IF(AL$266=FALSE,0,'P(M)年費表'!W6)</f>
        <v>0</v>
      </c>
      <c r="AM273" s="99">
        <f>IF(AM$266=FALSE,0,'P(M)年費表'!X6)</f>
        <v>0</v>
      </c>
      <c r="AN273" s="99">
        <f>IF(AN$266=FALSE,0,'P(M)年費表'!Y6)</f>
        <v>0</v>
      </c>
      <c r="AO273" s="99">
        <f>IF(AO$266=FALSE,0,'P(M)年費表'!Z6)</f>
        <v>0</v>
      </c>
      <c r="AP273" s="99">
        <f>IF(AP$266=FALSE,0,'P(M)年費表'!AA6)</f>
        <v>0</v>
      </c>
      <c r="AQ273" s="99">
        <f>IF(AQ$266=FALSE,0,'P(M)年費表'!AB6)</f>
        <v>0</v>
      </c>
      <c r="AR273" s="77">
        <f t="shared" si="19"/>
        <v>5200</v>
      </c>
      <c r="AS273" s="11"/>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c r="CG273" s="35"/>
      <c r="CH273" s="35"/>
      <c r="CI273" s="35"/>
      <c r="CJ273" s="35"/>
      <c r="CK273" s="35"/>
      <c r="CL273" s="35"/>
      <c r="CM273" s="35"/>
      <c r="CN273" s="35"/>
      <c r="CO273" s="35"/>
      <c r="CP273" s="35"/>
      <c r="CQ273" s="35"/>
      <c r="CR273" s="35"/>
      <c r="CS273" s="35"/>
      <c r="CT273" s="35"/>
      <c r="CU273" s="35"/>
      <c r="CV273" s="35"/>
      <c r="CW273" s="35"/>
      <c r="CX273" s="35"/>
      <c r="CY273" s="35"/>
      <c r="CZ273" s="35"/>
      <c r="DA273" s="35"/>
      <c r="DB273" s="35"/>
      <c r="DC273" s="35"/>
      <c r="DD273" s="35"/>
      <c r="DE273" s="35"/>
      <c r="DF273" s="35"/>
      <c r="DG273" s="35"/>
      <c r="DH273" s="35"/>
      <c r="DI273" s="35"/>
      <c r="DJ273" s="35"/>
    </row>
    <row r="274" spans="1:114" ht="16.5" x14ac:dyDescent="0.25">
      <c r="A274" s="63" t="s">
        <v>176</v>
      </c>
      <c r="B274" s="109" t="s">
        <v>191</v>
      </c>
      <c r="C274" s="42"/>
      <c r="D274" s="63" t="str">
        <f t="shared" si="11"/>
        <v>USD</v>
      </c>
      <c r="E274" s="65">
        <f t="shared" si="15"/>
        <v>1616</v>
      </c>
      <c r="F274" s="106">
        <f>E274*$K$5</f>
        <v>53651.200000000004</v>
      </c>
      <c r="G274" s="63" t="str">
        <f t="shared" si="12"/>
        <v>USD</v>
      </c>
      <c r="H274" s="65">
        <f t="shared" si="13"/>
        <v>126</v>
      </c>
      <c r="I274" s="106">
        <f>H274*$K$5</f>
        <v>4183.2000000000007</v>
      </c>
      <c r="J274" s="106">
        <f t="shared" si="16"/>
        <v>57834.400000000009</v>
      </c>
      <c r="K274" s="39">
        <f t="shared" si="14"/>
        <v>5000</v>
      </c>
      <c r="L274" s="106">
        <f t="shared" si="17"/>
        <v>62834.400000000009</v>
      </c>
      <c r="M274" s="63" t="s">
        <v>176</v>
      </c>
      <c r="N274" s="74"/>
      <c r="O274" s="131" t="b">
        <v>1</v>
      </c>
      <c r="P274" s="3" t="s">
        <v>4</v>
      </c>
      <c r="Q274" s="11" t="str">
        <f t="shared" si="18"/>
        <v>發明</v>
      </c>
      <c r="R274" s="3" t="str">
        <f>'P(M)年費表'!C7</f>
        <v>USD</v>
      </c>
      <c r="S274" s="99"/>
      <c r="T274" s="99">
        <f>IF(T$266=FALSE,0,'P(M)年費表'!E7)</f>
        <v>0</v>
      </c>
      <c r="U274" s="99">
        <f>IF(U$266=FALSE,0,'P(M)年費表'!F7)</f>
        <v>0</v>
      </c>
      <c r="V274" s="99">
        <f>IF(V$266=FALSE,0,'P(M)年費表'!G7)</f>
        <v>0</v>
      </c>
      <c r="W274" s="99">
        <f>IF(W$266=FALSE,0,'P(M)年費表'!H7)</f>
        <v>0</v>
      </c>
      <c r="X274" s="99">
        <f>IF(X$266=FALSE,0,'P(M)年費表'!I7)</f>
        <v>0</v>
      </c>
      <c r="Y274" s="99">
        <f>IF(Y$266=FALSE,0,'P(M)年費表'!J7)</f>
        <v>0</v>
      </c>
      <c r="Z274" s="99">
        <f>IF(Z$266=FALSE,0,'P(M)年費表'!K7)</f>
        <v>1616</v>
      </c>
      <c r="AA274" s="99">
        <f>IF(AA$266=FALSE,0,'P(M)年費表'!L7)</f>
        <v>0</v>
      </c>
      <c r="AB274" s="99">
        <f>IF(AB$266=FALSE,0,'P(M)年費表'!M7)</f>
        <v>0</v>
      </c>
      <c r="AC274" s="99">
        <f>IF(AC$266=FALSE,0,'P(M)年費表'!N7)</f>
        <v>0</v>
      </c>
      <c r="AD274" s="99">
        <f>IF(AD$266=FALSE,0,'P(M)年費表'!O7)</f>
        <v>0</v>
      </c>
      <c r="AE274" s="99">
        <f>IF(AE$266=FALSE,0,'P(M)年費表'!P7)</f>
        <v>0</v>
      </c>
      <c r="AF274" s="99">
        <f>IF(AF$266=FALSE,0,'P(M)年費表'!Q7)</f>
        <v>0</v>
      </c>
      <c r="AG274" s="99">
        <f>IF(AG$266=FALSE,0,'P(M)年費表'!R7)</f>
        <v>0</v>
      </c>
      <c r="AH274" s="99">
        <f>IF(AH$266=FALSE,0,'P(M)年費表'!S7)</f>
        <v>0</v>
      </c>
      <c r="AI274" s="99">
        <f>IF(AI$266=FALSE,0,'P(M)年費表'!T7)</f>
        <v>0</v>
      </c>
      <c r="AJ274" s="99">
        <f>IF(AJ$266=FALSE,0,'P(M)年費表'!U7)</f>
        <v>0</v>
      </c>
      <c r="AK274" s="99">
        <f>IF(AK$266=FALSE,0,'P(M)年費表'!V7)</f>
        <v>0</v>
      </c>
      <c r="AL274" s="99">
        <f>IF(AL$266=FALSE,0,'P(M)年費表'!W7)</f>
        <v>0</v>
      </c>
      <c r="AM274" s="99">
        <f>IF(AM$266=FALSE,0,'P(M)年費表'!X7)</f>
        <v>0</v>
      </c>
      <c r="AN274" s="99">
        <f>IF(AN$266=FALSE,0,'P(M)年費表'!Y7)</f>
        <v>0</v>
      </c>
      <c r="AO274" s="99">
        <f>IF(AO$266=FALSE,0,'P(M)年費表'!Z7)</f>
        <v>0</v>
      </c>
      <c r="AP274" s="99">
        <f>IF(AP$266=FALSE,0,'P(M)年費表'!AA7)</f>
        <v>0</v>
      </c>
      <c r="AQ274" s="99">
        <f>IF(AQ$266=FALSE,0,'P(M)年費表'!AB7)</f>
        <v>0</v>
      </c>
      <c r="AR274" s="77">
        <f t="shared" si="19"/>
        <v>1616</v>
      </c>
      <c r="AS274" s="11"/>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c r="CN274" s="35"/>
      <c r="CO274" s="35"/>
      <c r="CP274" s="35"/>
      <c r="CQ274" s="35"/>
      <c r="CR274" s="35"/>
      <c r="CS274" s="35"/>
      <c r="CT274" s="35"/>
      <c r="CU274" s="35"/>
      <c r="CV274" s="35"/>
      <c r="CW274" s="35"/>
      <c r="CX274" s="35"/>
      <c r="CY274" s="35"/>
      <c r="CZ274" s="35"/>
      <c r="DA274" s="35"/>
      <c r="DB274" s="35"/>
      <c r="DC274" s="35"/>
      <c r="DD274" s="35"/>
      <c r="DE274" s="35"/>
      <c r="DF274" s="35"/>
      <c r="DG274" s="35"/>
      <c r="DH274" s="35"/>
      <c r="DI274" s="35"/>
      <c r="DJ274" s="35"/>
    </row>
    <row r="275" spans="1:114" ht="16.5" x14ac:dyDescent="0.25">
      <c r="A275" s="63" t="s">
        <v>193</v>
      </c>
      <c r="B275" s="109" t="s">
        <v>191</v>
      </c>
      <c r="C275" s="42"/>
      <c r="D275" s="63" t="str">
        <f t="shared" si="11"/>
        <v>USD</v>
      </c>
      <c r="E275" s="65">
        <f t="shared" si="15"/>
        <v>2500.0699999999997</v>
      </c>
      <c r="F275" s="106">
        <f>E275*$K$5</f>
        <v>83002.323999999993</v>
      </c>
      <c r="G275" s="63" t="str">
        <f t="shared" si="12"/>
        <v>USD</v>
      </c>
      <c r="H275" s="65">
        <f t="shared" si="13"/>
        <v>384.46</v>
      </c>
      <c r="I275" s="106">
        <f>H275*$K$5</f>
        <v>12764.072</v>
      </c>
      <c r="J275" s="106">
        <f t="shared" si="16"/>
        <v>95766.395999999993</v>
      </c>
      <c r="K275" s="39">
        <f t="shared" si="14"/>
        <v>15000</v>
      </c>
      <c r="L275" s="106">
        <f t="shared" si="17"/>
        <v>110766.39599999999</v>
      </c>
      <c r="M275" s="63" t="s">
        <v>193</v>
      </c>
      <c r="N275" s="74"/>
      <c r="O275" s="131" t="b">
        <v>1</v>
      </c>
      <c r="P275" s="3" t="s">
        <v>5</v>
      </c>
      <c r="Q275" s="11" t="str">
        <f t="shared" si="18"/>
        <v>發明</v>
      </c>
      <c r="R275" s="3" t="str">
        <f>'P(M)年費表'!C8</f>
        <v>USD</v>
      </c>
      <c r="S275" s="105"/>
      <c r="T275" s="99">
        <f>IF(T$266=FALSE,0,'P(M)年費表'!E8)</f>
        <v>0</v>
      </c>
      <c r="U275" s="99">
        <f>IF(U$266=FALSE,0,'P(M)年費表'!F8)</f>
        <v>0</v>
      </c>
      <c r="V275" s="99">
        <f>IF(V$266=FALSE,0,'P(M)年費表'!G8)</f>
        <v>0</v>
      </c>
      <c r="W275" s="99">
        <f>IF(W$266=FALSE,0,'P(M)年費表'!H8)</f>
        <v>0</v>
      </c>
      <c r="X275" s="99">
        <f>IF(X$266=FALSE,0,'P(M)年費表'!I8)</f>
        <v>0</v>
      </c>
      <c r="Y275" s="99">
        <f>IF(Y$266=FALSE,0,'P(M)年費表'!J8)</f>
        <v>0</v>
      </c>
      <c r="Z275" s="99">
        <f>IF(Z$266=FALSE,0,'P(M)年費表'!K8)</f>
        <v>679.34</v>
      </c>
      <c r="AA275" s="99">
        <f>IF(AA$266=FALSE,0,'P(M)年費表'!L8)</f>
        <v>830.76</v>
      </c>
      <c r="AB275" s="99">
        <f>IF(AB$266=FALSE,0,'P(M)年費表'!M8)</f>
        <v>989.96999999999991</v>
      </c>
      <c r="AC275" s="99">
        <f>IF(AC$266=FALSE,0,'P(M)年費表'!N8)</f>
        <v>0</v>
      </c>
      <c r="AD275" s="99">
        <f>IF(AD$266=FALSE,0,'P(M)年費表'!O8)</f>
        <v>0</v>
      </c>
      <c r="AE275" s="99">
        <f>IF(AE$266=FALSE,0,'P(M)年費表'!P8)</f>
        <v>0</v>
      </c>
      <c r="AF275" s="99">
        <f>IF(AF$266=FALSE,0,'P(M)年費表'!Q8)</f>
        <v>0</v>
      </c>
      <c r="AG275" s="99">
        <f>IF(AG$266=FALSE,0,'P(M)年費表'!R8)</f>
        <v>0</v>
      </c>
      <c r="AH275" s="99">
        <f>IF(AH$266=FALSE,0,'P(M)年費表'!S8)</f>
        <v>0</v>
      </c>
      <c r="AI275" s="99">
        <f>IF(AI$266=FALSE,0,'P(M)年費表'!T8)</f>
        <v>0</v>
      </c>
      <c r="AJ275" s="99">
        <f>IF(AJ$266=FALSE,0,'P(M)年費表'!U8)</f>
        <v>0</v>
      </c>
      <c r="AK275" s="99">
        <f>IF(AK$266=FALSE,0,'P(M)年費表'!V8)</f>
        <v>0</v>
      </c>
      <c r="AL275" s="99">
        <f>IF(AL$266=FALSE,0,'P(M)年費表'!W8)</f>
        <v>0</v>
      </c>
      <c r="AM275" s="99">
        <f>IF(AM$266=FALSE,0,'P(M)年費表'!X8)</f>
        <v>0</v>
      </c>
      <c r="AN275" s="99">
        <f>IF(AN$266=FALSE,0,'P(M)年費表'!Y8)</f>
        <v>0</v>
      </c>
      <c r="AO275" s="99">
        <f>IF(AO$266=FALSE,0,'P(M)年費表'!Z8)</f>
        <v>0</v>
      </c>
      <c r="AP275" s="99">
        <f>IF(AP$266=FALSE,0,'P(M)年費表'!AA8)</f>
        <v>0</v>
      </c>
      <c r="AQ275" s="99">
        <f>IF(AQ$266=FALSE,0,'P(M)年費表'!AB8)</f>
        <v>0</v>
      </c>
      <c r="AR275" s="77">
        <f t="shared" si="19"/>
        <v>2500.0699999999997</v>
      </c>
      <c r="AS275" s="11"/>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c r="CE275" s="35"/>
      <c r="CF275" s="35"/>
      <c r="CG275" s="35"/>
      <c r="CH275" s="35"/>
      <c r="CI275" s="35"/>
      <c r="CJ275" s="35"/>
      <c r="CK275" s="35"/>
      <c r="CL275" s="35"/>
      <c r="CM275" s="35"/>
      <c r="CN275" s="35"/>
      <c r="CO275" s="35"/>
      <c r="CP275" s="35"/>
      <c r="CQ275" s="35"/>
      <c r="CR275" s="35"/>
      <c r="CS275" s="35"/>
      <c r="CT275" s="35"/>
      <c r="CU275" s="35"/>
      <c r="CV275" s="35"/>
      <c r="CW275" s="35"/>
      <c r="CX275" s="35"/>
      <c r="CY275" s="35"/>
      <c r="CZ275" s="35"/>
      <c r="DA275" s="35"/>
      <c r="DB275" s="35"/>
      <c r="DC275" s="35"/>
      <c r="DD275" s="35"/>
      <c r="DE275" s="35"/>
      <c r="DF275" s="35"/>
      <c r="DG275" s="35"/>
      <c r="DH275" s="35"/>
      <c r="DI275" s="35"/>
      <c r="DJ275" s="35"/>
    </row>
    <row r="276" spans="1:114" ht="16.5" x14ac:dyDescent="0.25">
      <c r="A276" s="172" t="s">
        <v>177</v>
      </c>
      <c r="B276" s="109" t="s">
        <v>191</v>
      </c>
      <c r="C276" s="42"/>
      <c r="D276" s="63" t="str">
        <f t="shared" si="11"/>
        <v>JPY</v>
      </c>
      <c r="E276" s="65">
        <f t="shared" si="15"/>
        <v>193000</v>
      </c>
      <c r="F276" s="106">
        <f>E276*$K$7</f>
        <v>42460</v>
      </c>
      <c r="G276" s="63" t="str">
        <f t="shared" si="12"/>
        <v>JPY</v>
      </c>
      <c r="H276" s="65">
        <f t="shared" si="13"/>
        <v>11000</v>
      </c>
      <c r="I276" s="106">
        <f>H276*$K$7</f>
        <v>2420</v>
      </c>
      <c r="J276" s="106">
        <f t="shared" si="16"/>
        <v>44880</v>
      </c>
      <c r="K276" s="39">
        <f t="shared" si="14"/>
        <v>5000</v>
      </c>
      <c r="L276" s="106">
        <f t="shared" si="17"/>
        <v>49880</v>
      </c>
      <c r="M276" s="172" t="s">
        <v>177</v>
      </c>
      <c r="N276" s="74"/>
      <c r="O276" s="131" t="b">
        <v>1</v>
      </c>
      <c r="P276" s="215" t="s">
        <v>6</v>
      </c>
      <c r="Q276" s="11" t="str">
        <f t="shared" si="18"/>
        <v>發明</v>
      </c>
      <c r="R276" s="3" t="str">
        <f>'P(M)年費表'!C9</f>
        <v>JPY</v>
      </c>
      <c r="S276" s="99"/>
      <c r="T276" s="99">
        <f>IF(T$266=FALSE,0,'P(M)年費表'!E9)</f>
        <v>0</v>
      </c>
      <c r="U276" s="99">
        <f>IF(U$266=FALSE,0,'P(M)年費表'!F9)</f>
        <v>0</v>
      </c>
      <c r="V276" s="99">
        <f>IF(V$266=FALSE,0,'P(M)年費表'!G9)</f>
        <v>0</v>
      </c>
      <c r="W276" s="99">
        <f>IF(W$266=FALSE,0,'P(M)年費表'!H9)</f>
        <v>0</v>
      </c>
      <c r="X276" s="99">
        <f>IF(X$266=FALSE,0,'P(M)年費表'!I9)</f>
        <v>0</v>
      </c>
      <c r="Y276" s="99">
        <f>IF(Y$266=FALSE,0,'P(M)年費表'!J9)</f>
        <v>0</v>
      </c>
      <c r="Z276" s="99">
        <f>IF(Z$266=FALSE,0,'P(M)年費表'!K9)</f>
        <v>43800</v>
      </c>
      <c r="AA276" s="99">
        <f>IF(AA$266=FALSE,0,'P(M)年費表'!L9)</f>
        <v>43800</v>
      </c>
      <c r="AB276" s="99">
        <f>IF(AB$266=FALSE,0,'P(M)年費表'!M9)</f>
        <v>105400</v>
      </c>
      <c r="AC276" s="99">
        <f>IF(AC$266=FALSE,0,'P(M)年費表'!N9)</f>
        <v>0</v>
      </c>
      <c r="AD276" s="99">
        <f>IF(AD$266=FALSE,0,'P(M)年費表'!O9)</f>
        <v>0</v>
      </c>
      <c r="AE276" s="99">
        <f>IF(AE$266=FALSE,0,'P(M)年費表'!P9)</f>
        <v>0</v>
      </c>
      <c r="AF276" s="99">
        <f>IF(AF$266=FALSE,0,'P(M)年費表'!Q9)</f>
        <v>0</v>
      </c>
      <c r="AG276" s="99">
        <f>IF(AG$266=FALSE,0,'P(M)年費表'!R9)</f>
        <v>0</v>
      </c>
      <c r="AH276" s="99">
        <f>IF(AH$266=FALSE,0,'P(M)年費表'!S9)</f>
        <v>0</v>
      </c>
      <c r="AI276" s="99">
        <f>IF(AI$266=FALSE,0,'P(M)年費表'!T9)</f>
        <v>0</v>
      </c>
      <c r="AJ276" s="99">
        <f>IF(AJ$266=FALSE,0,'P(M)年費表'!U9)</f>
        <v>0</v>
      </c>
      <c r="AK276" s="99">
        <f>IF(AK$266=FALSE,0,'P(M)年費表'!V9)</f>
        <v>0</v>
      </c>
      <c r="AL276" s="99">
        <f>IF(AL$266=FALSE,0,'P(M)年費表'!W9)</f>
        <v>0</v>
      </c>
      <c r="AM276" s="99">
        <f>IF(AM$266=FALSE,0,'P(M)年費表'!X9)</f>
        <v>0</v>
      </c>
      <c r="AN276" s="99">
        <f>IF(AN$266=FALSE,0,'P(M)年費表'!Y9)</f>
        <v>0</v>
      </c>
      <c r="AO276" s="99">
        <f>IF(AO$266=FALSE,0,'P(M)年費表'!Z9)</f>
        <v>0</v>
      </c>
      <c r="AP276" s="99">
        <f>IF(AP$266=FALSE,0,'P(M)年費表'!AA9)</f>
        <v>0</v>
      </c>
      <c r="AQ276" s="99">
        <f>IF(AQ$266=FALSE,0,'P(M)年費表'!AB9)</f>
        <v>0</v>
      </c>
      <c r="AR276" s="77">
        <f t="shared" si="19"/>
        <v>193000</v>
      </c>
      <c r="AS276" s="11"/>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c r="CG276" s="35"/>
      <c r="CH276" s="35"/>
      <c r="CI276" s="35"/>
      <c r="CJ276" s="35"/>
      <c r="CK276" s="35"/>
      <c r="CL276" s="35"/>
      <c r="CM276" s="35"/>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row>
    <row r="277" spans="1:114" ht="16.5" x14ac:dyDescent="0.25">
      <c r="A277" s="173"/>
      <c r="B277" s="109" t="s">
        <v>192</v>
      </c>
      <c r="C277" s="42"/>
      <c r="D277" s="63" t="str">
        <f t="shared" si="11"/>
        <v>JPY</v>
      </c>
      <c r="E277" s="65">
        <f t="shared" si="15"/>
        <v>0</v>
      </c>
      <c r="F277" s="106">
        <f>E277*$K$7</f>
        <v>0</v>
      </c>
      <c r="G277" s="63" t="str">
        <f t="shared" si="12"/>
        <v>JPY</v>
      </c>
      <c r="H277" s="65">
        <f t="shared" si="13"/>
        <v>0</v>
      </c>
      <c r="I277" s="106">
        <f>H277*$K$7</f>
        <v>0</v>
      </c>
      <c r="J277" s="106">
        <f t="shared" si="16"/>
        <v>0</v>
      </c>
      <c r="K277" s="39">
        <f t="shared" si="14"/>
        <v>0</v>
      </c>
      <c r="L277" s="106">
        <f t="shared" si="17"/>
        <v>0</v>
      </c>
      <c r="M277" s="173"/>
      <c r="N277" s="74"/>
      <c r="O277" s="131" t="b">
        <v>0</v>
      </c>
      <c r="P277" s="216"/>
      <c r="Q277" s="11" t="str">
        <f t="shared" si="18"/>
        <v>新型</v>
      </c>
      <c r="R277" s="3" t="str">
        <f>'P(M)年費表'!C10</f>
        <v>JPY</v>
      </c>
      <c r="S277" s="99"/>
      <c r="T277" s="99">
        <f>IF(T$266=FALSE,0,'P(M)年費表'!E10)</f>
        <v>0</v>
      </c>
      <c r="U277" s="99">
        <f>IF(U$266=FALSE,0,'P(M)年費表'!F10)</f>
        <v>0</v>
      </c>
      <c r="V277" s="99">
        <f>IF(V$266=FALSE,0,'P(M)年費表'!G10)</f>
        <v>0</v>
      </c>
      <c r="W277" s="99">
        <f>IF(W$266=FALSE,0,'P(M)年費表'!H10)</f>
        <v>0</v>
      </c>
      <c r="X277" s="99">
        <f>IF(X$266=FALSE,0,'P(M)年費表'!I10)</f>
        <v>0</v>
      </c>
      <c r="Y277" s="99">
        <f>IF(Y$266=FALSE,0,'P(M)年費表'!J10)</f>
        <v>0</v>
      </c>
      <c r="Z277" s="99">
        <f>IF(Z$266=FALSE,0,'P(M)年費表'!K10)</f>
        <v>27100</v>
      </c>
      <c r="AA277" s="99">
        <f>IF(AA$266=FALSE,0,'P(M)年費表'!L10)</f>
        <v>27100</v>
      </c>
      <c r="AB277" s="99">
        <f>IF(AB$266=FALSE,0,'P(M)年費表'!M10)</f>
        <v>27100</v>
      </c>
      <c r="AC277" s="99">
        <f>IF(AC$266=FALSE,0,'P(M)年費表'!N10)</f>
        <v>0</v>
      </c>
      <c r="AD277" s="99">
        <f>IF(AD$266=FALSE,0,'P(M)年費表'!O10)</f>
        <v>0</v>
      </c>
      <c r="AE277" s="99">
        <f>IF(AE$266=FALSE,0,'P(M)年費表'!P10)</f>
        <v>0</v>
      </c>
      <c r="AF277" s="99">
        <f>IF(AF$266=FALSE,0,'P(M)年費表'!Q10)</f>
        <v>0</v>
      </c>
      <c r="AG277" s="99">
        <f>IF(AG$266=FALSE,0,'P(M)年費表'!R10)</f>
        <v>0</v>
      </c>
      <c r="AH277" s="99">
        <f>IF(AH$266=FALSE,0,'P(M)年費表'!S10)</f>
        <v>0</v>
      </c>
      <c r="AI277" s="99">
        <f>IF(AI$266=FALSE,0,'P(M)年費表'!T10)</f>
        <v>0</v>
      </c>
      <c r="AJ277" s="99">
        <f>IF(AJ$266=FALSE,0,'P(M)年費表'!U10)</f>
        <v>0</v>
      </c>
      <c r="AK277" s="99">
        <f>IF(AK$266=FALSE,0,'P(M)年費表'!V10)</f>
        <v>0</v>
      </c>
      <c r="AL277" s="99">
        <f>IF(AL$266=FALSE,0,'P(M)年費表'!W10)</f>
        <v>0</v>
      </c>
      <c r="AM277" s="99">
        <f>IF(AM$266=FALSE,0,'P(M)年費表'!X10)</f>
        <v>0</v>
      </c>
      <c r="AN277" s="99">
        <f>IF(AN$266=FALSE,0,'P(M)年費表'!Y10)</f>
        <v>0</v>
      </c>
      <c r="AO277" s="99">
        <f>IF(AO$266=FALSE,0,'P(M)年費表'!Z10)</f>
        <v>0</v>
      </c>
      <c r="AP277" s="99">
        <f>IF(AP$266=FALSE,0,'P(M)年費表'!AA10)</f>
        <v>0</v>
      </c>
      <c r="AQ277" s="99">
        <f>IF(AQ$266=FALSE,0,'P(M)年費表'!AB10)</f>
        <v>0</v>
      </c>
      <c r="AR277" s="77">
        <f t="shared" si="19"/>
        <v>81300</v>
      </c>
      <c r="AS277" s="11"/>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row>
    <row r="278" spans="1:114" ht="16.5" x14ac:dyDescent="0.25">
      <c r="A278" s="172" t="s">
        <v>178</v>
      </c>
      <c r="B278" s="109" t="s">
        <v>191</v>
      </c>
      <c r="C278" s="42"/>
      <c r="D278" s="63" t="str">
        <f t="shared" si="11"/>
        <v>KRW</v>
      </c>
      <c r="E278" s="65">
        <f t="shared" si="15"/>
        <v>1566000</v>
      </c>
      <c r="F278" s="106">
        <f>E278*$K$8</f>
        <v>40716</v>
      </c>
      <c r="G278" s="63" t="str">
        <f t="shared" si="12"/>
        <v>USD</v>
      </c>
      <c r="H278" s="65">
        <f t="shared" si="13"/>
        <v>160</v>
      </c>
      <c r="I278" s="106">
        <f>H278*$K$5</f>
        <v>5312</v>
      </c>
      <c r="J278" s="106">
        <f t="shared" si="16"/>
        <v>46028</v>
      </c>
      <c r="K278" s="39">
        <f t="shared" si="14"/>
        <v>5000</v>
      </c>
      <c r="L278" s="106">
        <f t="shared" si="17"/>
        <v>51028</v>
      </c>
      <c r="M278" s="172" t="s">
        <v>178</v>
      </c>
      <c r="N278" s="74"/>
      <c r="O278" s="131" t="b">
        <v>1</v>
      </c>
      <c r="P278" s="215" t="s">
        <v>7</v>
      </c>
      <c r="Q278" s="11" t="str">
        <f t="shared" si="18"/>
        <v>發明</v>
      </c>
      <c r="R278" s="3" t="str">
        <f>'P(M)年費表'!C11</f>
        <v>KRW</v>
      </c>
      <c r="S278" s="99"/>
      <c r="T278" s="99">
        <f>IF(T$266=FALSE,0,'P(M)年費表'!E11)</f>
        <v>0</v>
      </c>
      <c r="U278" s="99">
        <f>IF(U$266=FALSE,0,'P(M)年費表'!F11)</f>
        <v>0</v>
      </c>
      <c r="V278" s="99">
        <f>IF(V$266=FALSE,0,'P(M)年費表'!G11)</f>
        <v>0</v>
      </c>
      <c r="W278" s="99">
        <f>IF(W$266=FALSE,0,'P(M)年費表'!H11)</f>
        <v>0</v>
      </c>
      <c r="X278" s="99">
        <f>IF(X$266=FALSE,0,'P(M)年費表'!I11)</f>
        <v>0</v>
      </c>
      <c r="Y278" s="99">
        <f>IF(Y$266=FALSE,0,'P(M)年費表'!J11)</f>
        <v>0</v>
      </c>
      <c r="Z278" s="99">
        <f>IF(Z$266=FALSE,0,'P(M)年費表'!K11)</f>
        <v>430000</v>
      </c>
      <c r="AA278" s="99">
        <f>IF(AA$266=FALSE,0,'P(M)年費表'!L11)</f>
        <v>430000</v>
      </c>
      <c r="AB278" s="99">
        <f>IF(AB$266=FALSE,0,'P(M)年費表'!M11)</f>
        <v>706000</v>
      </c>
      <c r="AC278" s="99">
        <f>IF(AC$266=FALSE,0,'P(M)年費表'!N11)</f>
        <v>0</v>
      </c>
      <c r="AD278" s="99">
        <f>IF(AD$266=FALSE,0,'P(M)年費表'!O11)</f>
        <v>0</v>
      </c>
      <c r="AE278" s="99">
        <f>IF(AE$266=FALSE,0,'P(M)年費表'!P11)</f>
        <v>0</v>
      </c>
      <c r="AF278" s="99">
        <f>IF(AF$266=FALSE,0,'P(M)年費表'!Q11)</f>
        <v>0</v>
      </c>
      <c r="AG278" s="99">
        <f>IF(AG$266=FALSE,0,'P(M)年費表'!R11)</f>
        <v>0</v>
      </c>
      <c r="AH278" s="99">
        <f>IF(AH$266=FALSE,0,'P(M)年費表'!S11)</f>
        <v>0</v>
      </c>
      <c r="AI278" s="99">
        <f>IF(AI$266=FALSE,0,'P(M)年費表'!T11)</f>
        <v>0</v>
      </c>
      <c r="AJ278" s="99">
        <f>IF(AJ$266=FALSE,0,'P(M)年費表'!U11)</f>
        <v>0</v>
      </c>
      <c r="AK278" s="99">
        <f>IF(AK$266=FALSE,0,'P(M)年費表'!V11)</f>
        <v>0</v>
      </c>
      <c r="AL278" s="99">
        <f>IF(AL$266=FALSE,0,'P(M)年費表'!W11)</f>
        <v>0</v>
      </c>
      <c r="AM278" s="99">
        <f>IF(AM$266=FALSE,0,'P(M)年費表'!X11)</f>
        <v>0</v>
      </c>
      <c r="AN278" s="99">
        <f>IF(AN$266=FALSE,0,'P(M)年費表'!Y11)</f>
        <v>0</v>
      </c>
      <c r="AO278" s="99">
        <f>IF(AO$266=FALSE,0,'P(M)年費表'!Z11)</f>
        <v>0</v>
      </c>
      <c r="AP278" s="99">
        <f>IF(AP$266=FALSE,0,'P(M)年費表'!AA11)</f>
        <v>0</v>
      </c>
      <c r="AQ278" s="99">
        <f>IF(AQ$266=FALSE,0,'P(M)年費表'!AB11)</f>
        <v>0</v>
      </c>
      <c r="AR278" s="77">
        <f t="shared" si="19"/>
        <v>1566000</v>
      </c>
      <c r="AS278" s="11"/>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c r="CG278" s="35"/>
      <c r="CH278" s="35"/>
      <c r="CI278" s="35"/>
      <c r="CJ278" s="35"/>
      <c r="CK278" s="35"/>
      <c r="CL278" s="35"/>
      <c r="CM278" s="35"/>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row>
    <row r="279" spans="1:114" ht="16.5" x14ac:dyDescent="0.25">
      <c r="A279" s="173"/>
      <c r="B279" s="109" t="s">
        <v>192</v>
      </c>
      <c r="C279" s="42"/>
      <c r="D279" s="63" t="str">
        <f t="shared" si="11"/>
        <v>KRW</v>
      </c>
      <c r="E279" s="65">
        <f t="shared" si="15"/>
        <v>760000</v>
      </c>
      <c r="F279" s="106">
        <f>E279*$K$8</f>
        <v>19760</v>
      </c>
      <c r="G279" s="63" t="str">
        <f t="shared" si="12"/>
        <v>USD</v>
      </c>
      <c r="H279" s="65">
        <f t="shared" si="13"/>
        <v>160</v>
      </c>
      <c r="I279" s="106">
        <f>H279*$K$5</f>
        <v>5312</v>
      </c>
      <c r="J279" s="106">
        <f t="shared" si="16"/>
        <v>25072</v>
      </c>
      <c r="K279" s="39">
        <f t="shared" si="14"/>
        <v>5000</v>
      </c>
      <c r="L279" s="106">
        <f t="shared" si="17"/>
        <v>30072</v>
      </c>
      <c r="M279" s="173"/>
      <c r="N279" s="74"/>
      <c r="O279" s="131" t="b">
        <v>1</v>
      </c>
      <c r="P279" s="216"/>
      <c r="Q279" s="11" t="str">
        <f t="shared" si="18"/>
        <v>新型</v>
      </c>
      <c r="R279" s="3" t="str">
        <f>'P(M)年費表'!C12</f>
        <v>KRW</v>
      </c>
      <c r="S279" s="99"/>
      <c r="T279" s="99">
        <f>IF(T$266=FALSE,0,'P(M)年費表'!E12)</f>
        <v>0</v>
      </c>
      <c r="U279" s="99">
        <f>IF(U$266=FALSE,0,'P(M)年費表'!F12)</f>
        <v>0</v>
      </c>
      <c r="V279" s="99">
        <f>IF(V$266=FALSE,0,'P(M)年費表'!G12)</f>
        <v>0</v>
      </c>
      <c r="W279" s="99">
        <f>IF(W$266=FALSE,0,'P(M)年費表'!H12)</f>
        <v>0</v>
      </c>
      <c r="X279" s="99">
        <f>IF(X$266=FALSE,0,'P(M)年費表'!I12)</f>
        <v>0</v>
      </c>
      <c r="Y279" s="99">
        <f>IF(Y$266=FALSE,0,'P(M)年費表'!J12)</f>
        <v>0</v>
      </c>
      <c r="Z279" s="99">
        <f>IF(Z$266=FALSE,0,'P(M)年費表'!K12)</f>
        <v>200000</v>
      </c>
      <c r="AA279" s="99">
        <f>IF(AA$266=FALSE,0,'P(M)年費表'!L12)</f>
        <v>200000</v>
      </c>
      <c r="AB279" s="99">
        <f>IF(AB$266=FALSE,0,'P(M)年費表'!M12)</f>
        <v>360000</v>
      </c>
      <c r="AC279" s="99">
        <f>IF(AC$266=FALSE,0,'P(M)年費表'!N12)</f>
        <v>0</v>
      </c>
      <c r="AD279" s="99">
        <f>IF(AD$266=FALSE,0,'P(M)年費表'!O12)</f>
        <v>0</v>
      </c>
      <c r="AE279" s="99">
        <f>IF(AE$266=FALSE,0,'P(M)年費表'!P12)</f>
        <v>0</v>
      </c>
      <c r="AF279" s="99">
        <f>IF(AF$266=FALSE,0,'P(M)年費表'!Q12)</f>
        <v>0</v>
      </c>
      <c r="AG279" s="99">
        <f>IF(AG$266=FALSE,0,'P(M)年費表'!R12)</f>
        <v>0</v>
      </c>
      <c r="AH279" s="99">
        <f>IF(AH$266=FALSE,0,'P(M)年費表'!S12)</f>
        <v>0</v>
      </c>
      <c r="AI279" s="99">
        <f>IF(AI$266=FALSE,0,'P(M)年費表'!T12)</f>
        <v>0</v>
      </c>
      <c r="AJ279" s="99">
        <f>IF(AJ$266=FALSE,0,'P(M)年費表'!U12)</f>
        <v>0</v>
      </c>
      <c r="AK279" s="99">
        <f>IF(AK$266=FALSE,0,'P(M)年費表'!V12)</f>
        <v>0</v>
      </c>
      <c r="AL279" s="99">
        <f>IF(AL$266=FALSE,0,'P(M)年費表'!W12)</f>
        <v>0</v>
      </c>
      <c r="AM279" s="99">
        <f>IF(AM$266=FALSE,0,'P(M)年費表'!X12)</f>
        <v>0</v>
      </c>
      <c r="AN279" s="99">
        <f>IF(AN$266=FALSE,0,'P(M)年費表'!Y12)</f>
        <v>0</v>
      </c>
      <c r="AO279" s="99">
        <f>IF(AO$266=FALSE,0,'P(M)年費表'!Z12)</f>
        <v>0</v>
      </c>
      <c r="AP279" s="99">
        <f>IF(AP$266=FALSE,0,'P(M)年費表'!AA12)</f>
        <v>0</v>
      </c>
      <c r="AQ279" s="99">
        <f>IF(AQ$266=FALSE,0,'P(M)年費表'!AB12)</f>
        <v>0</v>
      </c>
      <c r="AR279" s="77">
        <f t="shared" si="19"/>
        <v>760000</v>
      </c>
      <c r="AS279" s="11"/>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c r="CG279" s="35"/>
      <c r="CH279" s="35"/>
      <c r="CI279" s="35"/>
      <c r="CJ279" s="35"/>
      <c r="CK279" s="35"/>
      <c r="CL279" s="35"/>
      <c r="CM279" s="35"/>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row>
    <row r="280" spans="1:114" ht="16.5" x14ac:dyDescent="0.25">
      <c r="A280" s="63" t="s">
        <v>194</v>
      </c>
      <c r="B280" s="109" t="s">
        <v>191</v>
      </c>
      <c r="C280" s="42"/>
      <c r="D280" s="63" t="str">
        <f t="shared" si="11"/>
        <v>CAD</v>
      </c>
      <c r="E280" s="65">
        <f>IF(O280=FALSE,0,AR280)</f>
        <v>0</v>
      </c>
      <c r="F280" s="106">
        <f>E280*$M$9</f>
        <v>0</v>
      </c>
      <c r="G280" s="63" t="str">
        <f t="shared" si="12"/>
        <v>CAD</v>
      </c>
      <c r="H280" s="65">
        <f t="shared" ref="H280:H290" si="20">IF(O280=FALSE,0,AR307)</f>
        <v>0</v>
      </c>
      <c r="I280" s="106">
        <f>H280*$M$9</f>
        <v>0</v>
      </c>
      <c r="J280" s="106">
        <f>F280+I280</f>
        <v>0</v>
      </c>
      <c r="K280" s="39">
        <f t="shared" si="14"/>
        <v>0</v>
      </c>
      <c r="L280" s="106">
        <f>J280+K280</f>
        <v>0</v>
      </c>
      <c r="M280" s="63" t="s">
        <v>194</v>
      </c>
      <c r="N280" s="74"/>
      <c r="O280" s="131" t="b">
        <v>0</v>
      </c>
      <c r="P280" s="3" t="s">
        <v>42</v>
      </c>
      <c r="Q280" s="11" t="str">
        <f>B280</f>
        <v>發明</v>
      </c>
      <c r="R280" s="3" t="str">
        <f>'P(M)年費表'!C13</f>
        <v>CAD</v>
      </c>
      <c r="S280" s="99"/>
      <c r="T280" s="99">
        <f>IF(T$266=FALSE,0,'P(M)年費表'!E13)</f>
        <v>0</v>
      </c>
      <c r="U280" s="99">
        <f>IF(U$266=FALSE,0,'P(M)年費表'!F13)</f>
        <v>0</v>
      </c>
      <c r="V280" s="99">
        <f>IF(V$266=FALSE,0,'P(M)年費表'!G13)</f>
        <v>0</v>
      </c>
      <c r="W280" s="99">
        <f>IF(W$266=FALSE,0,'P(M)年費表'!H13)</f>
        <v>0</v>
      </c>
      <c r="X280" s="99">
        <f>IF(X$266=FALSE,0,'P(M)年費表'!I13)</f>
        <v>0</v>
      </c>
      <c r="Y280" s="99">
        <f>IF(Y$266=FALSE,0,'P(M)年費表'!J13)</f>
        <v>0</v>
      </c>
      <c r="Z280" s="99">
        <f>IF(Z$266=FALSE,0,'P(M)年費表'!K13)</f>
        <v>104.4</v>
      </c>
      <c r="AA280" s="99">
        <f>IF(AA$266=FALSE,0,'P(M)年費表'!L13)</f>
        <v>104.4</v>
      </c>
      <c r="AB280" s="99">
        <f>IF(AB$266=FALSE,0,'P(M)年費表'!M13)</f>
        <v>130.5</v>
      </c>
      <c r="AC280" s="99">
        <f>IF(AC$266=FALSE,0,'P(M)年費表'!N13)</f>
        <v>0</v>
      </c>
      <c r="AD280" s="99">
        <f>IF(AD$266=FALSE,0,'P(M)年費表'!O13)</f>
        <v>0</v>
      </c>
      <c r="AE280" s="99">
        <f>IF(AE$266=FALSE,0,'P(M)年費表'!P13)</f>
        <v>0</v>
      </c>
      <c r="AF280" s="99">
        <f>IF(AF$266=FALSE,0,'P(M)年費表'!Q13)</f>
        <v>0</v>
      </c>
      <c r="AG280" s="99">
        <f>IF(AG$266=FALSE,0,'P(M)年費表'!R13)</f>
        <v>0</v>
      </c>
      <c r="AH280" s="99">
        <f>IF(AH$266=FALSE,0,'P(M)年費表'!S13)</f>
        <v>0</v>
      </c>
      <c r="AI280" s="99">
        <f>IF(AI$266=FALSE,0,'P(M)年費表'!T13)</f>
        <v>0</v>
      </c>
      <c r="AJ280" s="99">
        <f>IF(AJ$266=FALSE,0,'P(M)年費表'!U13)</f>
        <v>0</v>
      </c>
      <c r="AK280" s="99">
        <f>IF(AK$266=FALSE,0,'P(M)年費表'!V13)</f>
        <v>0</v>
      </c>
      <c r="AL280" s="99">
        <f>IF(AL$266=FALSE,0,'P(M)年費表'!W13)</f>
        <v>0</v>
      </c>
      <c r="AM280" s="99">
        <f>IF(AM$266=FALSE,0,'P(M)年費表'!X13)</f>
        <v>0</v>
      </c>
      <c r="AN280" s="99">
        <f>IF(AN$266=FALSE,0,'P(M)年費表'!Y13)</f>
        <v>0</v>
      </c>
      <c r="AO280" s="99">
        <f>IF(AO$266=FALSE,0,'P(M)年費表'!Z13)</f>
        <v>0</v>
      </c>
      <c r="AP280" s="99">
        <f>IF(AP$266=FALSE,0,'P(M)年費表'!AA13)</f>
        <v>0</v>
      </c>
      <c r="AQ280" s="99">
        <f>IF(AQ$266=FALSE,0,'P(M)年費表'!AB13)</f>
        <v>0</v>
      </c>
      <c r="AR280" s="77">
        <f>SUM(S280:AQ280)</f>
        <v>339.3</v>
      </c>
      <c r="AS280" s="11"/>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row>
    <row r="281" spans="1:114" ht="16.5" x14ac:dyDescent="0.25">
      <c r="A281" s="63" t="s">
        <v>179</v>
      </c>
      <c r="B281" s="109" t="s">
        <v>191</v>
      </c>
      <c r="C281" s="42"/>
      <c r="D281" s="63" t="str">
        <f t="shared" si="11"/>
        <v>SGD</v>
      </c>
      <c r="E281" s="65">
        <f t="shared" si="15"/>
        <v>1290</v>
      </c>
      <c r="F281" s="106">
        <f>E281*$M$6</f>
        <v>32250</v>
      </c>
      <c r="G281" s="63" t="str">
        <f t="shared" si="12"/>
        <v>SGD</v>
      </c>
      <c r="H281" s="65">
        <f t="shared" si="20"/>
        <v>500</v>
      </c>
      <c r="I281" s="106">
        <f>H281*$M$6</f>
        <v>12500</v>
      </c>
      <c r="J281" s="106">
        <f t="shared" si="16"/>
        <v>44750</v>
      </c>
      <c r="K281" s="39">
        <f t="shared" si="14"/>
        <v>5000</v>
      </c>
      <c r="L281" s="106">
        <f t="shared" si="17"/>
        <v>49750</v>
      </c>
      <c r="M281" s="63" t="s">
        <v>179</v>
      </c>
      <c r="N281" s="74"/>
      <c r="O281" s="131" t="b">
        <v>1</v>
      </c>
      <c r="P281" s="3" t="s">
        <v>8</v>
      </c>
      <c r="Q281" s="11" t="str">
        <f t="shared" si="18"/>
        <v>發明</v>
      </c>
      <c r="R281" s="3" t="str">
        <f>'P(M)年費表'!C14</f>
        <v>SGD</v>
      </c>
      <c r="S281" s="99"/>
      <c r="T281" s="99">
        <f>IF(T$266=FALSE,0,'P(M)年費表'!E14)</f>
        <v>0</v>
      </c>
      <c r="U281" s="99">
        <f>IF(U$266=FALSE,0,'P(M)年費表'!F14)</f>
        <v>0</v>
      </c>
      <c r="V281" s="99">
        <f>IF(V$266=FALSE,0,'P(M)年費表'!G14)</f>
        <v>0</v>
      </c>
      <c r="W281" s="99">
        <f>IF(W$266=FALSE,0,'P(M)年費表'!H14)</f>
        <v>0</v>
      </c>
      <c r="X281" s="99">
        <f>IF(X$266=FALSE,0,'P(M)年費表'!I14)</f>
        <v>0</v>
      </c>
      <c r="Y281" s="99">
        <f>IF(Y$266=FALSE,0,'P(M)年費表'!J14)</f>
        <v>0</v>
      </c>
      <c r="Z281" s="99">
        <f>IF(Z$266=FALSE,0,'P(M)年費表'!K14)</f>
        <v>430</v>
      </c>
      <c r="AA281" s="99">
        <f>IF(AA$266=FALSE,0,'P(M)年費表'!L14)</f>
        <v>430</v>
      </c>
      <c r="AB281" s="99">
        <f>IF(AB$266=FALSE,0,'P(M)年費表'!M14)</f>
        <v>430</v>
      </c>
      <c r="AC281" s="99">
        <f>IF(AC$266=FALSE,0,'P(M)年費表'!N14)</f>
        <v>0</v>
      </c>
      <c r="AD281" s="99">
        <f>IF(AD$266=FALSE,0,'P(M)年費表'!O14)</f>
        <v>0</v>
      </c>
      <c r="AE281" s="99">
        <f>IF(AE$266=FALSE,0,'P(M)年費表'!P14)</f>
        <v>0</v>
      </c>
      <c r="AF281" s="99">
        <f>IF(AF$266=FALSE,0,'P(M)年費表'!Q14)</f>
        <v>0</v>
      </c>
      <c r="AG281" s="99">
        <f>IF(AG$266=FALSE,0,'P(M)年費表'!R14)</f>
        <v>0</v>
      </c>
      <c r="AH281" s="99">
        <f>IF(AH$266=FALSE,0,'P(M)年費表'!S14)</f>
        <v>0</v>
      </c>
      <c r="AI281" s="99">
        <f>IF(AI$266=FALSE,0,'P(M)年費表'!T14)</f>
        <v>0</v>
      </c>
      <c r="AJ281" s="99">
        <f>IF(AJ$266=FALSE,0,'P(M)年費表'!U14)</f>
        <v>0</v>
      </c>
      <c r="AK281" s="99">
        <f>IF(AK$266=FALSE,0,'P(M)年費表'!V14)</f>
        <v>0</v>
      </c>
      <c r="AL281" s="99">
        <f>IF(AL$266=FALSE,0,'P(M)年費表'!W14)</f>
        <v>0</v>
      </c>
      <c r="AM281" s="99">
        <f>IF(AM$266=FALSE,0,'P(M)年費表'!X14)</f>
        <v>0</v>
      </c>
      <c r="AN281" s="99">
        <f>IF(AN$266=FALSE,0,'P(M)年費表'!Y14)</f>
        <v>0</v>
      </c>
      <c r="AO281" s="99">
        <f>IF(AO$266=FALSE,0,'P(M)年費表'!Z14)</f>
        <v>0</v>
      </c>
      <c r="AP281" s="99">
        <f>IF(AP$266=FALSE,0,'P(M)年費表'!AA14)</f>
        <v>0</v>
      </c>
      <c r="AQ281" s="99">
        <f>IF(AQ$266=FALSE,0,'P(M)年費表'!AB14)</f>
        <v>0</v>
      </c>
      <c r="AR281" s="77">
        <f t="shared" si="19"/>
        <v>1290</v>
      </c>
      <c r="AS281" s="11"/>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c r="CH281" s="35"/>
      <c r="CI281" s="35"/>
      <c r="CJ281" s="35"/>
      <c r="CK281" s="35"/>
      <c r="CL281" s="35"/>
      <c r="CM281" s="35"/>
      <c r="CN281" s="35"/>
      <c r="CO281" s="35"/>
      <c r="CP281" s="35"/>
      <c r="CQ281" s="35"/>
      <c r="CR281" s="35"/>
      <c r="CS281" s="35"/>
      <c r="CT281" s="35"/>
      <c r="CU281" s="35"/>
      <c r="CV281" s="35"/>
      <c r="CW281" s="35"/>
      <c r="CX281" s="35"/>
      <c r="CY281" s="35"/>
      <c r="CZ281" s="35"/>
      <c r="DA281" s="35"/>
      <c r="DB281" s="35"/>
      <c r="DC281" s="35"/>
      <c r="DD281" s="35"/>
      <c r="DE281" s="35"/>
      <c r="DF281" s="35"/>
      <c r="DG281" s="35"/>
      <c r="DH281" s="35"/>
      <c r="DI281" s="35"/>
      <c r="DJ281" s="35"/>
    </row>
    <row r="282" spans="1:114" ht="16.5" x14ac:dyDescent="0.25">
      <c r="A282" s="172" t="s">
        <v>182</v>
      </c>
      <c r="B282" s="109" t="s">
        <v>191</v>
      </c>
      <c r="C282" s="42"/>
      <c r="D282" s="63" t="str">
        <f t="shared" si="11"/>
        <v>MYR</v>
      </c>
      <c r="E282" s="65">
        <f>IF(O282=FALSE,0,AR282)</f>
        <v>0</v>
      </c>
      <c r="F282" s="106">
        <f>E282*$M$8</f>
        <v>0</v>
      </c>
      <c r="G282" s="63" t="str">
        <f t="shared" si="12"/>
        <v>MYR</v>
      </c>
      <c r="H282" s="65">
        <f t="shared" si="20"/>
        <v>0</v>
      </c>
      <c r="I282" s="106">
        <f>H282*$M$8</f>
        <v>0</v>
      </c>
      <c r="J282" s="106">
        <f>F282+I282</f>
        <v>0</v>
      </c>
      <c r="K282" s="39">
        <f t="shared" si="14"/>
        <v>0</v>
      </c>
      <c r="L282" s="106">
        <f>J282+K282</f>
        <v>0</v>
      </c>
      <c r="M282" s="172" t="s">
        <v>182</v>
      </c>
      <c r="N282" s="74"/>
      <c r="O282" s="131" t="b">
        <v>0</v>
      </c>
      <c r="P282" s="215" t="s">
        <v>11</v>
      </c>
      <c r="Q282" s="11" t="str">
        <f>B282</f>
        <v>發明</v>
      </c>
      <c r="R282" s="3" t="str">
        <f>'P(M)年費表'!C15</f>
        <v>MYR</v>
      </c>
      <c r="S282" s="99"/>
      <c r="T282" s="99">
        <f>IF(T$266=FALSE,0,'P(M)年費表'!E15)</f>
        <v>0</v>
      </c>
      <c r="U282" s="99">
        <f>IF(U$266=FALSE,0,'P(M)年費表'!F15)</f>
        <v>0</v>
      </c>
      <c r="V282" s="99">
        <f>IF(V$266=FALSE,0,'P(M)年費表'!G15)</f>
        <v>0</v>
      </c>
      <c r="W282" s="99">
        <f>IF(W$266=FALSE,0,'P(M)年費表'!H15)</f>
        <v>0</v>
      </c>
      <c r="X282" s="99">
        <f>IF(X$266=FALSE,0,'P(M)年費表'!I15)</f>
        <v>0</v>
      </c>
      <c r="Y282" s="99">
        <f>IF(Y$266=FALSE,0,'P(M)年費表'!J15)</f>
        <v>0</v>
      </c>
      <c r="Z282" s="99">
        <f>IF(Z$266=FALSE,0,'P(M)年費表'!K15)</f>
        <v>830</v>
      </c>
      <c r="AA282" s="99">
        <f>IF(AA$266=FALSE,0,'P(M)年費表'!L15)</f>
        <v>910</v>
      </c>
      <c r="AB282" s="99">
        <f>IF(AB$266=FALSE,0,'P(M)年費表'!M15)</f>
        <v>990</v>
      </c>
      <c r="AC282" s="99">
        <f>IF(AC$266=FALSE,0,'P(M)年費表'!N15)</f>
        <v>0</v>
      </c>
      <c r="AD282" s="99">
        <f>IF(AD$266=FALSE,0,'P(M)年費表'!O15)</f>
        <v>0</v>
      </c>
      <c r="AE282" s="99">
        <f>IF(AE$266=FALSE,0,'P(M)年費表'!P15)</f>
        <v>0</v>
      </c>
      <c r="AF282" s="99">
        <f>IF(AF$266=FALSE,0,'P(M)年費表'!Q15)</f>
        <v>0</v>
      </c>
      <c r="AG282" s="99">
        <f>IF(AG$266=FALSE,0,'P(M)年費表'!R15)</f>
        <v>0</v>
      </c>
      <c r="AH282" s="99">
        <f>IF(AH$266=FALSE,0,'P(M)年費表'!S15)</f>
        <v>0</v>
      </c>
      <c r="AI282" s="99">
        <f>IF(AI$266=FALSE,0,'P(M)年費表'!T15)</f>
        <v>0</v>
      </c>
      <c r="AJ282" s="99">
        <f>IF(AJ$266=FALSE,0,'P(M)年費表'!U15)</f>
        <v>0</v>
      </c>
      <c r="AK282" s="99">
        <f>IF(AK$266=FALSE,0,'P(M)年費表'!V15)</f>
        <v>0</v>
      </c>
      <c r="AL282" s="99">
        <f>IF(AL$266=FALSE,0,'P(M)年費表'!W15)</f>
        <v>0</v>
      </c>
      <c r="AM282" s="99">
        <f>IF(AM$266=FALSE,0,'P(M)年費表'!X15)</f>
        <v>0</v>
      </c>
      <c r="AN282" s="99">
        <f>IF(AN$266=FALSE,0,'P(M)年費表'!Y15)</f>
        <v>0</v>
      </c>
      <c r="AO282" s="99">
        <f>IF(AO$266=FALSE,0,'P(M)年費表'!Z15)</f>
        <v>0</v>
      </c>
      <c r="AP282" s="99">
        <f>IF(AP$266=FALSE,0,'P(M)年費表'!AA15)</f>
        <v>0</v>
      </c>
      <c r="AQ282" s="99">
        <f>IF(AQ$266=FALSE,0,'P(M)年費表'!AB15)</f>
        <v>0</v>
      </c>
      <c r="AR282" s="77">
        <f>SUM(S282:AQ282)</f>
        <v>2730</v>
      </c>
      <c r="AS282" s="11"/>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5"/>
      <c r="CT282" s="35"/>
      <c r="CU282" s="35"/>
      <c r="CV282" s="35"/>
      <c r="CW282" s="35"/>
      <c r="CX282" s="35"/>
      <c r="CY282" s="35"/>
      <c r="CZ282" s="35"/>
      <c r="DA282" s="35"/>
      <c r="DB282" s="35"/>
      <c r="DC282" s="35"/>
      <c r="DD282" s="35"/>
      <c r="DE282" s="35"/>
      <c r="DF282" s="35"/>
      <c r="DG282" s="35"/>
      <c r="DH282" s="35"/>
      <c r="DI282" s="35"/>
      <c r="DJ282" s="35"/>
    </row>
    <row r="283" spans="1:114" ht="16.5" x14ac:dyDescent="0.25">
      <c r="A283" s="173"/>
      <c r="B283" s="109" t="s">
        <v>192</v>
      </c>
      <c r="C283" s="42"/>
      <c r="D283" s="63" t="str">
        <f t="shared" si="11"/>
        <v>MYR</v>
      </c>
      <c r="E283" s="65">
        <f>IF(O283=FALSE,0,AR283)</f>
        <v>0</v>
      </c>
      <c r="F283" s="106">
        <f>E283*$M$8</f>
        <v>0</v>
      </c>
      <c r="G283" s="63" t="str">
        <f t="shared" si="12"/>
        <v>MYR</v>
      </c>
      <c r="H283" s="65">
        <f t="shared" si="20"/>
        <v>0</v>
      </c>
      <c r="I283" s="106">
        <f>H283*$M$8</f>
        <v>0</v>
      </c>
      <c r="J283" s="106">
        <f>F283+I283</f>
        <v>0</v>
      </c>
      <c r="K283" s="39">
        <f t="shared" si="14"/>
        <v>0</v>
      </c>
      <c r="L283" s="106">
        <f>J283+K283</f>
        <v>0</v>
      </c>
      <c r="M283" s="173"/>
      <c r="N283" s="74"/>
      <c r="O283" s="131" t="b">
        <v>0</v>
      </c>
      <c r="P283" s="216"/>
      <c r="Q283" s="11" t="str">
        <f>B283</f>
        <v>新型</v>
      </c>
      <c r="R283" s="3" t="str">
        <f>'P(M)年費表'!C16</f>
        <v>MYR</v>
      </c>
      <c r="S283" s="99"/>
      <c r="T283" s="99">
        <f>IF(T$266=FALSE,0,'P(M)年費表'!E16)</f>
        <v>0</v>
      </c>
      <c r="U283" s="99">
        <f>IF(U$266=FALSE,0,'P(M)年費表'!F16)</f>
        <v>0</v>
      </c>
      <c r="V283" s="99">
        <f>IF(V$266=FALSE,0,'P(M)年費表'!G16)</f>
        <v>0</v>
      </c>
      <c r="W283" s="99">
        <f>IF(W$266=FALSE,0,'P(M)年費表'!H16)</f>
        <v>0</v>
      </c>
      <c r="X283" s="99">
        <f>IF(X$266=FALSE,0,'P(M)年費表'!I16)</f>
        <v>0</v>
      </c>
      <c r="Y283" s="99">
        <f>IF(Y$266=FALSE,0,'P(M)年費表'!J16)</f>
        <v>0</v>
      </c>
      <c r="Z283" s="99">
        <f>IF(Z$266=FALSE,0,'P(M)年費表'!K16)</f>
        <v>420</v>
      </c>
      <c r="AA283" s="99">
        <f>IF(AA$266=FALSE,0,'P(M)年費表'!L16)</f>
        <v>420</v>
      </c>
      <c r="AB283" s="99">
        <f>IF(AB$266=FALSE,0,'P(M)年費表'!M16)</f>
        <v>480</v>
      </c>
      <c r="AC283" s="99">
        <f>IF(AC$266=FALSE,0,'P(M)年費表'!N16)</f>
        <v>0</v>
      </c>
      <c r="AD283" s="99">
        <f>IF(AD$266=FALSE,0,'P(M)年費表'!O16)</f>
        <v>0</v>
      </c>
      <c r="AE283" s="99">
        <f>IF(AE$266=FALSE,0,'P(M)年費表'!P16)</f>
        <v>0</v>
      </c>
      <c r="AF283" s="99">
        <f>IF(AF$266=FALSE,0,'P(M)年費表'!Q16)</f>
        <v>0</v>
      </c>
      <c r="AG283" s="99">
        <f>IF(AG$266=FALSE,0,'P(M)年費表'!R16)</f>
        <v>0</v>
      </c>
      <c r="AH283" s="99">
        <f>IF(AH$266=FALSE,0,'P(M)年費表'!S16)</f>
        <v>0</v>
      </c>
      <c r="AI283" s="99">
        <f>IF(AI$266=FALSE,0,'P(M)年費表'!T16)</f>
        <v>0</v>
      </c>
      <c r="AJ283" s="99">
        <f>IF(AJ$266=FALSE,0,'P(M)年費表'!U16)</f>
        <v>0</v>
      </c>
      <c r="AK283" s="99">
        <f>IF(AK$266=FALSE,0,'P(M)年費表'!V16)</f>
        <v>0</v>
      </c>
      <c r="AL283" s="99">
        <f>IF(AL$266=FALSE,0,'P(M)年費表'!W16)</f>
        <v>0</v>
      </c>
      <c r="AM283" s="99">
        <f>IF(AM$266=FALSE,0,'P(M)年費表'!X16)</f>
        <v>0</v>
      </c>
      <c r="AN283" s="99">
        <f>IF(AN$266=FALSE,0,'P(M)年費表'!Y16)</f>
        <v>0</v>
      </c>
      <c r="AO283" s="99">
        <f>IF(AO$266=FALSE,0,'P(M)年費表'!Z16)</f>
        <v>0</v>
      </c>
      <c r="AP283" s="99">
        <f>IF(AP$266=FALSE,0,'P(M)年費表'!AA16)</f>
        <v>0</v>
      </c>
      <c r="AQ283" s="99">
        <f>IF(AQ$266=FALSE,0,'P(M)年費表'!AB16)</f>
        <v>0</v>
      </c>
      <c r="AR283" s="77">
        <f>SUM(S283:AQ283)</f>
        <v>1320</v>
      </c>
      <c r="AS283" s="11"/>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row>
    <row r="284" spans="1:114" ht="16.5" x14ac:dyDescent="0.25">
      <c r="A284" s="69" t="s">
        <v>146</v>
      </c>
      <c r="B284" s="109" t="s">
        <v>191</v>
      </c>
      <c r="C284" s="42"/>
      <c r="D284" s="63" t="str">
        <f t="shared" si="11"/>
        <v>USD</v>
      </c>
      <c r="E284" s="65">
        <f t="shared" si="15"/>
        <v>0</v>
      </c>
      <c r="F284" s="106">
        <f>E284*$K$5</f>
        <v>0</v>
      </c>
      <c r="G284" s="63" t="str">
        <f t="shared" si="12"/>
        <v>USD</v>
      </c>
      <c r="H284" s="65">
        <f t="shared" si="20"/>
        <v>0</v>
      </c>
      <c r="I284" s="106">
        <f>H284*$K$5</f>
        <v>0</v>
      </c>
      <c r="J284" s="106">
        <f t="shared" si="16"/>
        <v>0</v>
      </c>
      <c r="K284" s="39">
        <f t="shared" si="14"/>
        <v>0</v>
      </c>
      <c r="L284" s="106">
        <f t="shared" si="17"/>
        <v>0</v>
      </c>
      <c r="M284" s="69" t="s">
        <v>146</v>
      </c>
      <c r="N284" s="74"/>
      <c r="O284" s="131" t="b">
        <v>0</v>
      </c>
      <c r="P284" s="54" t="s">
        <v>146</v>
      </c>
      <c r="Q284" s="11" t="str">
        <f t="shared" si="18"/>
        <v>發明</v>
      </c>
      <c r="R284" s="3" t="str">
        <f>'P(M)年費表'!C17</f>
        <v>USD</v>
      </c>
      <c r="S284" s="99"/>
      <c r="T284" s="99">
        <f>IF(T$266=FALSE,0,'P(M)年費表'!E17)</f>
        <v>0</v>
      </c>
      <c r="U284" s="99">
        <f>IF(U$266=FALSE,0,'P(M)年費表'!F17)</f>
        <v>0</v>
      </c>
      <c r="V284" s="99">
        <f>IF(V$266=FALSE,0,'P(M)年費表'!G17)</f>
        <v>0</v>
      </c>
      <c r="W284" s="99">
        <f>IF(W$266=FALSE,0,'P(M)年費表'!H17)</f>
        <v>0</v>
      </c>
      <c r="X284" s="99">
        <f>IF(X$266=FALSE,0,'P(M)年費表'!I17)</f>
        <v>0</v>
      </c>
      <c r="Y284" s="99">
        <f>IF(Y$266=FALSE,0,'P(M)年費表'!J17)</f>
        <v>0</v>
      </c>
      <c r="Z284" s="99">
        <f>IF(Z$266=FALSE,0,'P(M)年費表'!K17)</f>
        <v>196</v>
      </c>
      <c r="AA284" s="99">
        <f>IF(AA$266=FALSE,0,'P(M)年費表'!L17)</f>
        <v>244</v>
      </c>
      <c r="AB284" s="99">
        <f>IF(AB$266=FALSE,0,'P(M)年費表'!M17)</f>
        <v>293</v>
      </c>
      <c r="AC284" s="99">
        <f>IF(AC$266=FALSE,0,'P(M)年費表'!N17)</f>
        <v>0</v>
      </c>
      <c r="AD284" s="99">
        <f>IF(AD$266=FALSE,0,'P(M)年費表'!O17)</f>
        <v>0</v>
      </c>
      <c r="AE284" s="99">
        <f>IF(AE$266=FALSE,0,'P(M)年費表'!P17)</f>
        <v>0</v>
      </c>
      <c r="AF284" s="99">
        <f>IF(AF$266=FALSE,0,'P(M)年費表'!Q17)</f>
        <v>0</v>
      </c>
      <c r="AG284" s="99">
        <f>IF(AG$266=FALSE,0,'P(M)年費表'!R17)</f>
        <v>0</v>
      </c>
      <c r="AH284" s="99">
        <f>IF(AH$266=FALSE,0,'P(M)年費表'!S17)</f>
        <v>0</v>
      </c>
      <c r="AI284" s="99">
        <f>IF(AI$266=FALSE,0,'P(M)年費表'!T17)</f>
        <v>0</v>
      </c>
      <c r="AJ284" s="99">
        <f>IF(AJ$266=FALSE,0,'P(M)年費表'!U17)</f>
        <v>0</v>
      </c>
      <c r="AK284" s="99">
        <f>IF(AK$266=FALSE,0,'P(M)年費表'!V17)</f>
        <v>0</v>
      </c>
      <c r="AL284" s="99">
        <f>IF(AL$266=FALSE,0,'P(M)年費表'!W17)</f>
        <v>0</v>
      </c>
      <c r="AM284" s="99">
        <f>IF(AM$266=FALSE,0,'P(M)年費表'!X17)</f>
        <v>0</v>
      </c>
      <c r="AN284" s="99">
        <f>IF(AN$266=FALSE,0,'P(M)年費表'!Y17)</f>
        <v>0</v>
      </c>
      <c r="AO284" s="99">
        <f>IF(AO$266=FALSE,0,'P(M)年費表'!Z17)</f>
        <v>0</v>
      </c>
      <c r="AP284" s="99">
        <f>IF(AP$266=FALSE,0,'P(M)年費表'!AA17)</f>
        <v>0</v>
      </c>
      <c r="AQ284" s="99">
        <f>IF(AQ$266=FALSE,0,'P(M)年費表'!AB17)</f>
        <v>0</v>
      </c>
      <c r="AR284" s="77">
        <f t="shared" si="19"/>
        <v>733</v>
      </c>
      <c r="AS284" s="11"/>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35"/>
      <c r="CT284" s="35"/>
      <c r="CU284" s="35"/>
      <c r="CV284" s="35"/>
      <c r="CW284" s="35"/>
      <c r="CX284" s="35"/>
      <c r="CY284" s="35"/>
      <c r="CZ284" s="35"/>
      <c r="DA284" s="35"/>
      <c r="DB284" s="35"/>
      <c r="DC284" s="35"/>
      <c r="DD284" s="35"/>
      <c r="DE284" s="35"/>
      <c r="DF284" s="35"/>
      <c r="DG284" s="35"/>
      <c r="DH284" s="35"/>
      <c r="DI284" s="35"/>
      <c r="DJ284" s="35"/>
    </row>
    <row r="285" spans="1:114" ht="16.5" x14ac:dyDescent="0.25">
      <c r="A285" s="172" t="s">
        <v>183</v>
      </c>
      <c r="B285" s="109" t="s">
        <v>191</v>
      </c>
      <c r="C285" s="42"/>
      <c r="D285" s="63" t="str">
        <f t="shared" si="11"/>
        <v>USD</v>
      </c>
      <c r="E285" s="65">
        <f>IF(O285=FALSE,0,AR285)</f>
        <v>0</v>
      </c>
      <c r="F285" s="106">
        <f>E285*$K$5</f>
        <v>0</v>
      </c>
      <c r="G285" s="63" t="str">
        <f t="shared" si="12"/>
        <v>USD</v>
      </c>
      <c r="H285" s="65">
        <f t="shared" si="20"/>
        <v>0</v>
      </c>
      <c r="I285" s="106">
        <f>H285*$K$5</f>
        <v>0</v>
      </c>
      <c r="J285" s="106">
        <f>F285+I285</f>
        <v>0</v>
      </c>
      <c r="K285" s="39">
        <f t="shared" si="14"/>
        <v>0</v>
      </c>
      <c r="L285" s="106">
        <f>J285+K285</f>
        <v>0</v>
      </c>
      <c r="M285" s="172" t="s">
        <v>183</v>
      </c>
      <c r="N285" s="74"/>
      <c r="O285" s="131" t="b">
        <v>0</v>
      </c>
      <c r="P285" s="215" t="s">
        <v>131</v>
      </c>
      <c r="Q285" s="11" t="str">
        <f>B285</f>
        <v>發明</v>
      </c>
      <c r="R285" s="3" t="str">
        <f>'P(M)年費表'!C18</f>
        <v>USD</v>
      </c>
      <c r="S285" s="99"/>
      <c r="T285" s="99">
        <f>IF(T$266=FALSE,0,'P(M)年費表'!E18)</f>
        <v>0</v>
      </c>
      <c r="U285" s="99">
        <f>IF(U$266=FALSE,0,'P(M)年費表'!F18)</f>
        <v>0</v>
      </c>
      <c r="V285" s="99">
        <f>IF(V$266=FALSE,0,'P(M)年費表'!G18)</f>
        <v>0</v>
      </c>
      <c r="W285" s="99">
        <f>IF(W$266=FALSE,0,'P(M)年費表'!H18)</f>
        <v>0</v>
      </c>
      <c r="X285" s="99">
        <f>IF(X$266=FALSE,0,'P(M)年費表'!I18)</f>
        <v>0</v>
      </c>
      <c r="Y285" s="99">
        <f>IF(Y$266=FALSE,0,'P(M)年費表'!J18)</f>
        <v>0</v>
      </c>
      <c r="Z285" s="99">
        <f>IF(Z$266=FALSE,0,'P(M)年費表'!K18)</f>
        <v>450</v>
      </c>
      <c r="AA285" s="99">
        <f>IF(AA$266=FALSE,0,'P(M)年費表'!L18)</f>
        <v>600</v>
      </c>
      <c r="AB285" s="99">
        <f>IF(AB$266=FALSE,0,'P(M)年費表'!M18)</f>
        <v>700</v>
      </c>
      <c r="AC285" s="99">
        <f>IF(AC$266=FALSE,0,'P(M)年費表'!N18)</f>
        <v>0</v>
      </c>
      <c r="AD285" s="99">
        <f>IF(AD$266=FALSE,0,'P(M)年費表'!O18)</f>
        <v>0</v>
      </c>
      <c r="AE285" s="99">
        <f>IF(AE$266=FALSE,0,'P(M)年費表'!P18)</f>
        <v>0</v>
      </c>
      <c r="AF285" s="99">
        <f>IF(AF$266=FALSE,0,'P(M)年費表'!Q18)</f>
        <v>0</v>
      </c>
      <c r="AG285" s="99">
        <f>IF(AG$266=FALSE,0,'P(M)年費表'!R18)</f>
        <v>0</v>
      </c>
      <c r="AH285" s="99">
        <f>IF(AH$266=FALSE,0,'P(M)年費表'!S18)</f>
        <v>0</v>
      </c>
      <c r="AI285" s="99">
        <f>IF(AI$266=FALSE,0,'P(M)年費表'!T18)</f>
        <v>0</v>
      </c>
      <c r="AJ285" s="99">
        <f>IF(AJ$266=FALSE,0,'P(M)年費表'!U18)</f>
        <v>0</v>
      </c>
      <c r="AK285" s="99">
        <f>IF(AK$266=FALSE,0,'P(M)年費表'!V18)</f>
        <v>0</v>
      </c>
      <c r="AL285" s="99">
        <f>IF(AL$266=FALSE,0,'P(M)年費表'!W18)</f>
        <v>0</v>
      </c>
      <c r="AM285" s="99">
        <f>IF(AM$266=FALSE,0,'P(M)年費表'!X18)</f>
        <v>0</v>
      </c>
      <c r="AN285" s="99">
        <f>IF(AN$266=FALSE,0,'P(M)年費表'!Y18)</f>
        <v>0</v>
      </c>
      <c r="AO285" s="99">
        <f>IF(AO$266=FALSE,0,'P(M)年費表'!Z18)</f>
        <v>0</v>
      </c>
      <c r="AP285" s="99">
        <f>IF(AP$266=FALSE,0,'P(M)年費表'!AA18)</f>
        <v>0</v>
      </c>
      <c r="AQ285" s="99">
        <f>IF(AQ$266=FALSE,0,'P(M)年費表'!AB18)</f>
        <v>0</v>
      </c>
      <c r="AR285" s="77">
        <f>SUM(S285:AQ285)</f>
        <v>1750</v>
      </c>
      <c r="AS285" s="11"/>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35"/>
      <c r="CT285" s="35"/>
      <c r="CU285" s="35"/>
      <c r="CV285" s="35"/>
      <c r="CW285" s="35"/>
      <c r="CX285" s="35"/>
      <c r="CY285" s="35"/>
      <c r="CZ285" s="35"/>
      <c r="DA285" s="35"/>
      <c r="DB285" s="35"/>
      <c r="DC285" s="35"/>
      <c r="DD285" s="35"/>
      <c r="DE285" s="35"/>
      <c r="DF285" s="35"/>
      <c r="DG285" s="35"/>
      <c r="DH285" s="35"/>
      <c r="DI285" s="35"/>
      <c r="DJ285" s="35"/>
    </row>
    <row r="286" spans="1:114" ht="16.5" x14ac:dyDescent="0.25">
      <c r="A286" s="173"/>
      <c r="B286" s="109" t="s">
        <v>192</v>
      </c>
      <c r="C286" s="42"/>
      <c r="D286" s="63" t="str">
        <f t="shared" si="11"/>
        <v>USD</v>
      </c>
      <c r="E286" s="65">
        <f>IF(O286=FALSE,0,AR286)</f>
        <v>0</v>
      </c>
      <c r="F286" s="106">
        <f>E286*$K$5</f>
        <v>0</v>
      </c>
      <c r="G286" s="63" t="str">
        <f t="shared" si="12"/>
        <v>USD</v>
      </c>
      <c r="H286" s="65">
        <f t="shared" si="20"/>
        <v>0</v>
      </c>
      <c r="I286" s="106">
        <f>H286*$K$5</f>
        <v>0</v>
      </c>
      <c r="J286" s="106">
        <f>F286+I286</f>
        <v>0</v>
      </c>
      <c r="K286" s="39">
        <f t="shared" si="14"/>
        <v>0</v>
      </c>
      <c r="L286" s="106">
        <f>J286+K286</f>
        <v>0</v>
      </c>
      <c r="M286" s="173"/>
      <c r="N286" s="74"/>
      <c r="O286" s="131" t="b">
        <v>0</v>
      </c>
      <c r="P286" s="216"/>
      <c r="Q286" s="11" t="str">
        <f>B286</f>
        <v>新型</v>
      </c>
      <c r="R286" s="3" t="str">
        <f>'P(M)年費表'!C19</f>
        <v>USD</v>
      </c>
      <c r="S286" s="99"/>
      <c r="T286" s="99">
        <f>IF(T$266=FALSE,0,'P(M)年費表'!E19)</f>
        <v>0</v>
      </c>
      <c r="U286" s="99">
        <f>IF(U$266=FALSE,0,'P(M)年費表'!F19)</f>
        <v>0</v>
      </c>
      <c r="V286" s="99">
        <f>IF(V$266=FALSE,0,'P(M)年費表'!G19)</f>
        <v>0</v>
      </c>
      <c r="W286" s="99">
        <f>IF(W$266=FALSE,0,'P(M)年費表'!H19)</f>
        <v>0</v>
      </c>
      <c r="X286" s="99">
        <f>IF(X$266=FALSE,0,'P(M)年費表'!I19)</f>
        <v>0</v>
      </c>
      <c r="Y286" s="99">
        <f>IF(Y$266=FALSE,0,'P(M)年費表'!J19)</f>
        <v>0</v>
      </c>
      <c r="Z286" s="99">
        <f>IF(Z$266=FALSE,0,'P(M)年費表'!K19)</f>
        <v>330</v>
      </c>
      <c r="AA286" s="99">
        <f>IF(AA$266=FALSE,0,'P(M)年費表'!L19)</f>
        <v>400</v>
      </c>
      <c r="AB286" s="99">
        <f>IF(AB$266=FALSE,0,'P(M)年費表'!M19)</f>
        <v>450</v>
      </c>
      <c r="AC286" s="99">
        <f>IF(AC$266=FALSE,0,'P(M)年費表'!N19)</f>
        <v>0</v>
      </c>
      <c r="AD286" s="99">
        <f>IF(AD$266=FALSE,0,'P(M)年費表'!O19)</f>
        <v>0</v>
      </c>
      <c r="AE286" s="99">
        <f>IF(AE$266=FALSE,0,'P(M)年費表'!P19)</f>
        <v>0</v>
      </c>
      <c r="AF286" s="99">
        <f>IF(AF$266=FALSE,0,'P(M)年費表'!Q19)</f>
        <v>0</v>
      </c>
      <c r="AG286" s="99">
        <f>IF(AG$266=FALSE,0,'P(M)年費表'!R19)</f>
        <v>0</v>
      </c>
      <c r="AH286" s="99">
        <f>IF(AH$266=FALSE,0,'P(M)年費表'!S19)</f>
        <v>0</v>
      </c>
      <c r="AI286" s="99">
        <f>IF(AI$266=FALSE,0,'P(M)年費表'!T19)</f>
        <v>0</v>
      </c>
      <c r="AJ286" s="99">
        <f>IF(AJ$266=FALSE,0,'P(M)年費表'!U19)</f>
        <v>0</v>
      </c>
      <c r="AK286" s="99">
        <f>IF(AK$266=FALSE,0,'P(M)年費表'!V19)</f>
        <v>0</v>
      </c>
      <c r="AL286" s="99">
        <f>IF(AL$266=FALSE,0,'P(M)年費表'!W19)</f>
        <v>0</v>
      </c>
      <c r="AM286" s="99">
        <f>IF(AM$266=FALSE,0,'P(M)年費表'!X19)</f>
        <v>0</v>
      </c>
      <c r="AN286" s="99">
        <f>IF(AN$266=FALSE,0,'P(M)年費表'!Y19)</f>
        <v>0</v>
      </c>
      <c r="AO286" s="99">
        <f>IF(AO$266=FALSE,0,'P(M)年費表'!Z19)</f>
        <v>0</v>
      </c>
      <c r="AP286" s="99">
        <f>IF(AP$266=FALSE,0,'P(M)年費表'!AA19)</f>
        <v>0</v>
      </c>
      <c r="AQ286" s="99">
        <f>IF(AQ$266=FALSE,0,'P(M)年費表'!AB19)</f>
        <v>0</v>
      </c>
      <c r="AR286" s="77">
        <f>SUM(S286:AQ286)</f>
        <v>1180</v>
      </c>
      <c r="AS286" s="11"/>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c r="CG286" s="35"/>
      <c r="CH286" s="35"/>
      <c r="CI286" s="35"/>
      <c r="CJ286" s="35"/>
      <c r="CK286" s="35"/>
      <c r="CL286" s="35"/>
      <c r="CM286" s="35"/>
      <c r="CN286" s="35"/>
      <c r="CO286" s="35"/>
      <c r="CP286" s="35"/>
      <c r="CQ286" s="35"/>
      <c r="CR286" s="35"/>
      <c r="CS286" s="35"/>
      <c r="CT286" s="35"/>
      <c r="CU286" s="35"/>
      <c r="CV286" s="35"/>
      <c r="CW286" s="35"/>
      <c r="CX286" s="35"/>
      <c r="CY286" s="35"/>
      <c r="CZ286" s="35"/>
      <c r="DA286" s="35"/>
      <c r="DB286" s="35"/>
      <c r="DC286" s="35"/>
      <c r="DD286" s="35"/>
      <c r="DE286" s="35"/>
      <c r="DF286" s="35"/>
      <c r="DG286" s="35"/>
      <c r="DH286" s="35"/>
      <c r="DI286" s="35"/>
      <c r="DJ286" s="35"/>
    </row>
    <row r="287" spans="1:114" ht="16.5" x14ac:dyDescent="0.25">
      <c r="A287" s="172" t="s">
        <v>180</v>
      </c>
      <c r="B287" s="109" t="s">
        <v>191</v>
      </c>
      <c r="C287" s="42"/>
      <c r="D287" s="63" t="str">
        <f t="shared" si="11"/>
        <v>VND</v>
      </c>
      <c r="E287" s="65">
        <f t="shared" si="15"/>
        <v>0</v>
      </c>
      <c r="F287" s="106">
        <f>E287*$M$7</f>
        <v>0</v>
      </c>
      <c r="G287" s="63" t="str">
        <f t="shared" si="12"/>
        <v>USD</v>
      </c>
      <c r="H287" s="65">
        <f t="shared" si="20"/>
        <v>0</v>
      </c>
      <c r="I287" s="106">
        <f>H287*$K$5</f>
        <v>0</v>
      </c>
      <c r="J287" s="106">
        <f t="shared" si="16"/>
        <v>0</v>
      </c>
      <c r="K287" s="39">
        <f t="shared" si="14"/>
        <v>0</v>
      </c>
      <c r="L287" s="106">
        <f t="shared" si="17"/>
        <v>0</v>
      </c>
      <c r="M287" s="172" t="s">
        <v>180</v>
      </c>
      <c r="N287" s="74"/>
      <c r="O287" s="131" t="b">
        <v>0</v>
      </c>
      <c r="P287" s="215" t="s">
        <v>9</v>
      </c>
      <c r="Q287" s="11" t="str">
        <f t="shared" si="18"/>
        <v>發明</v>
      </c>
      <c r="R287" s="3" t="str">
        <f>'P(M)年費表'!C20</f>
        <v>VND</v>
      </c>
      <c r="S287" s="99"/>
      <c r="T287" s="99">
        <f>IF(T$266=FALSE,0,'P(M)年費表'!E20)</f>
        <v>0</v>
      </c>
      <c r="U287" s="99">
        <f>IF(U$266=FALSE,0,'P(M)年費表'!F20)</f>
        <v>0</v>
      </c>
      <c r="V287" s="99">
        <f>IF(V$266=FALSE,0,'P(M)年費表'!G20)</f>
        <v>0</v>
      </c>
      <c r="W287" s="99">
        <f>IF(W$266=FALSE,0,'P(M)年費表'!H20)</f>
        <v>0</v>
      </c>
      <c r="X287" s="99">
        <f>IF(X$266=FALSE,0,'P(M)年費表'!I20)</f>
        <v>0</v>
      </c>
      <c r="Y287" s="99">
        <f>IF(Y$266=FALSE,0,'P(M)年費表'!J20)</f>
        <v>0</v>
      </c>
      <c r="Z287" s="99">
        <f>IF(Z$266=FALSE,0,'P(M)年費表'!K20)</f>
        <v>4300000</v>
      </c>
      <c r="AA287" s="99">
        <f>IF(AA$266=FALSE,0,'P(M)年費表'!L20)</f>
        <v>6100000</v>
      </c>
      <c r="AB287" s="99">
        <f>IF(AB$266=FALSE,0,'P(M)年費表'!M20)</f>
        <v>6100000</v>
      </c>
      <c r="AC287" s="99">
        <f>IF(AC$266=FALSE,0,'P(M)年費表'!N20)</f>
        <v>0</v>
      </c>
      <c r="AD287" s="99">
        <f>IF(AD$266=FALSE,0,'P(M)年費表'!O20)</f>
        <v>0</v>
      </c>
      <c r="AE287" s="99">
        <f>IF(AE$266=FALSE,0,'P(M)年費表'!P20)</f>
        <v>0</v>
      </c>
      <c r="AF287" s="99">
        <f>IF(AF$266=FALSE,0,'P(M)年費表'!Q20)</f>
        <v>0</v>
      </c>
      <c r="AG287" s="99">
        <f>IF(AG$266=FALSE,0,'P(M)年費表'!R20)</f>
        <v>0</v>
      </c>
      <c r="AH287" s="99">
        <f>IF(AH$266=FALSE,0,'P(M)年費表'!S20)</f>
        <v>0</v>
      </c>
      <c r="AI287" s="99">
        <f>IF(AI$266=FALSE,0,'P(M)年費表'!T20)</f>
        <v>0</v>
      </c>
      <c r="AJ287" s="99">
        <f>IF(AJ$266=FALSE,0,'P(M)年費表'!U20)</f>
        <v>0</v>
      </c>
      <c r="AK287" s="99">
        <f>IF(AK$266=FALSE,0,'P(M)年費表'!V20)</f>
        <v>0</v>
      </c>
      <c r="AL287" s="99">
        <f>IF(AL$266=FALSE,0,'P(M)年費表'!W20)</f>
        <v>0</v>
      </c>
      <c r="AM287" s="99">
        <f>IF(AM$266=FALSE,0,'P(M)年費表'!X20)</f>
        <v>0</v>
      </c>
      <c r="AN287" s="99">
        <f>IF(AN$266=FALSE,0,'P(M)年費表'!Y20)</f>
        <v>0</v>
      </c>
      <c r="AO287" s="99">
        <f>IF(AO$266=FALSE,0,'P(M)年費表'!Z20)</f>
        <v>0</v>
      </c>
      <c r="AP287" s="99">
        <f>IF(AP$266=FALSE,0,'P(M)年費表'!AA20)</f>
        <v>0</v>
      </c>
      <c r="AQ287" s="99">
        <f>IF(AQ$266=FALSE,0,'P(M)年費表'!AB20)</f>
        <v>0</v>
      </c>
      <c r="AR287" s="77">
        <f t="shared" si="19"/>
        <v>16500000</v>
      </c>
      <c r="AS287" s="11"/>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row>
    <row r="288" spans="1:114" ht="16.5" x14ac:dyDescent="0.25">
      <c r="A288" s="173"/>
      <c r="B288" s="109" t="s">
        <v>192</v>
      </c>
      <c r="C288" s="42"/>
      <c r="D288" s="63" t="str">
        <f t="shared" si="11"/>
        <v>VND</v>
      </c>
      <c r="E288" s="65">
        <f t="shared" si="15"/>
        <v>0</v>
      </c>
      <c r="F288" s="106">
        <f>E288*$M$7</f>
        <v>0</v>
      </c>
      <c r="G288" s="63" t="str">
        <f t="shared" si="12"/>
        <v>USD</v>
      </c>
      <c r="H288" s="65">
        <f t="shared" si="20"/>
        <v>0</v>
      </c>
      <c r="I288" s="106">
        <f>H288*$K$5</f>
        <v>0</v>
      </c>
      <c r="J288" s="106">
        <f t="shared" si="16"/>
        <v>0</v>
      </c>
      <c r="K288" s="39">
        <f t="shared" si="14"/>
        <v>0</v>
      </c>
      <c r="L288" s="106">
        <f t="shared" si="17"/>
        <v>0</v>
      </c>
      <c r="M288" s="173"/>
      <c r="N288" s="74"/>
      <c r="O288" s="131" t="b">
        <v>0</v>
      </c>
      <c r="P288" s="216"/>
      <c r="Q288" s="11" t="str">
        <f t="shared" si="18"/>
        <v>新型</v>
      </c>
      <c r="R288" s="3" t="str">
        <f>'P(M)年費表'!C21</f>
        <v>VND</v>
      </c>
      <c r="S288" s="99"/>
      <c r="T288" s="99">
        <f>IF(T$266=FALSE,0,'P(M)年費表'!E21)</f>
        <v>0</v>
      </c>
      <c r="U288" s="99">
        <f>IF(U$266=FALSE,0,'P(M)年費表'!F21)</f>
        <v>0</v>
      </c>
      <c r="V288" s="99">
        <f>IF(V$266=FALSE,0,'P(M)年費表'!G21)</f>
        <v>0</v>
      </c>
      <c r="W288" s="99">
        <f>IF(W$266=FALSE,0,'P(M)年費表'!H21)</f>
        <v>0</v>
      </c>
      <c r="X288" s="99">
        <f>IF(X$266=FALSE,0,'P(M)年費表'!I21)</f>
        <v>0</v>
      </c>
      <c r="Y288" s="99">
        <f>IF(Y$266=FALSE,0,'P(M)年費表'!J21)</f>
        <v>0</v>
      </c>
      <c r="Z288" s="99">
        <f>IF(Z$266=FALSE,0,'P(M)年費表'!K21)</f>
        <v>4300000</v>
      </c>
      <c r="AA288" s="99">
        <f>IF(AA$266=FALSE,0,'P(M)年費表'!L21)</f>
        <v>6100000</v>
      </c>
      <c r="AB288" s="99">
        <f>IF(AB$266=FALSE,0,'P(M)年費表'!M21)</f>
        <v>6100000</v>
      </c>
      <c r="AC288" s="99">
        <f>IF(AC$266=FALSE,0,'P(M)年費表'!N21)</f>
        <v>0</v>
      </c>
      <c r="AD288" s="99">
        <f>IF(AD$266=FALSE,0,'P(M)年費表'!O21)</f>
        <v>0</v>
      </c>
      <c r="AE288" s="99">
        <f>IF(AE$266=FALSE,0,'P(M)年費表'!P21)</f>
        <v>0</v>
      </c>
      <c r="AF288" s="99">
        <f>IF(AF$266=FALSE,0,'P(M)年費表'!Q21)</f>
        <v>0</v>
      </c>
      <c r="AG288" s="99">
        <f>IF(AG$266=FALSE,0,'P(M)年費表'!R21)</f>
        <v>0</v>
      </c>
      <c r="AH288" s="99">
        <f>IF(AH$266=FALSE,0,'P(M)年費表'!S21)</f>
        <v>0</v>
      </c>
      <c r="AI288" s="99">
        <f>IF(AI$266=FALSE,0,'P(M)年費表'!T21)</f>
        <v>0</v>
      </c>
      <c r="AJ288" s="99">
        <f>IF(AJ$266=FALSE,0,'P(M)年費表'!U21)</f>
        <v>0</v>
      </c>
      <c r="AK288" s="99">
        <f>IF(AK$266=FALSE,0,'P(M)年費表'!V21)</f>
        <v>0</v>
      </c>
      <c r="AL288" s="99">
        <f>IF(AL$266=FALSE,0,'P(M)年費表'!W21)</f>
        <v>0</v>
      </c>
      <c r="AM288" s="99">
        <f>IF(AM$266=FALSE,0,'P(M)年費表'!X21)</f>
        <v>0</v>
      </c>
      <c r="AN288" s="99">
        <f>IF(AN$266=FALSE,0,'P(M)年費表'!Y21)</f>
        <v>0</v>
      </c>
      <c r="AO288" s="99">
        <f>IF(AO$266=FALSE,0,'P(M)年費表'!Z21)</f>
        <v>0</v>
      </c>
      <c r="AP288" s="99">
        <f>IF(AP$266=FALSE,0,'P(M)年費表'!AA21)</f>
        <v>0</v>
      </c>
      <c r="AQ288" s="99">
        <f>IF(AQ$266=FALSE,0,'P(M)年費表'!AB21)</f>
        <v>0</v>
      </c>
      <c r="AR288" s="77">
        <f t="shared" si="19"/>
        <v>16500000</v>
      </c>
      <c r="AS288" s="11"/>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row>
    <row r="289" spans="1:114" ht="16.5" x14ac:dyDescent="0.25">
      <c r="A289" s="172" t="s">
        <v>181</v>
      </c>
      <c r="B289" s="109" t="s">
        <v>191</v>
      </c>
      <c r="C289" s="42"/>
      <c r="D289" s="63" t="str">
        <f t="shared" si="11"/>
        <v>THB</v>
      </c>
      <c r="E289" s="65">
        <f t="shared" si="15"/>
        <v>0</v>
      </c>
      <c r="F289" s="106">
        <f>E289*$K$9</f>
        <v>0</v>
      </c>
      <c r="G289" s="63" t="str">
        <f t="shared" si="12"/>
        <v>THB</v>
      </c>
      <c r="H289" s="65">
        <f t="shared" si="20"/>
        <v>0</v>
      </c>
      <c r="I289" s="106">
        <f>H289*$K$9</f>
        <v>0</v>
      </c>
      <c r="J289" s="106">
        <f t="shared" si="16"/>
        <v>0</v>
      </c>
      <c r="K289" s="39">
        <f t="shared" si="14"/>
        <v>0</v>
      </c>
      <c r="L289" s="106">
        <f t="shared" si="17"/>
        <v>0</v>
      </c>
      <c r="M289" s="172" t="s">
        <v>181</v>
      </c>
      <c r="N289" s="74"/>
      <c r="O289" s="131" t="b">
        <v>0</v>
      </c>
      <c r="P289" s="215" t="s">
        <v>10</v>
      </c>
      <c r="Q289" s="11" t="str">
        <f t="shared" si="18"/>
        <v>發明</v>
      </c>
      <c r="R289" s="3" t="str">
        <f>'P(M)年費表'!C22</f>
        <v>THB</v>
      </c>
      <c r="S289" s="99"/>
      <c r="T289" s="99">
        <f>IF(T$266=FALSE,0,'P(M)年費表'!E22)</f>
        <v>0</v>
      </c>
      <c r="U289" s="99">
        <f>IF(U$266=FALSE,0,'P(M)年費表'!F22)</f>
        <v>0</v>
      </c>
      <c r="V289" s="99">
        <f>IF(V$266=FALSE,0,'P(M)年費表'!G22)</f>
        <v>0</v>
      </c>
      <c r="W289" s="99">
        <f>IF(W$266=FALSE,0,'P(M)年費表'!H22)</f>
        <v>0</v>
      </c>
      <c r="X289" s="99">
        <f>IF(X$266=FALSE,0,'P(M)年費表'!I22)</f>
        <v>0</v>
      </c>
      <c r="Y289" s="99">
        <f>IF(Y$266=FALSE,0,'P(M)年費表'!J22)</f>
        <v>0</v>
      </c>
      <c r="Z289" s="99">
        <f>IF(Z$266=FALSE,0,'P(M)年費表'!K22)</f>
        <v>2200</v>
      </c>
      <c r="AA289" s="99">
        <f>IF(AA$266=FALSE,0,'P(M)年費表'!L22)</f>
        <v>3000</v>
      </c>
      <c r="AB289" s="99">
        <f>IF(AB$266=FALSE,0,'P(M)年費表'!M22)</f>
        <v>4000</v>
      </c>
      <c r="AC289" s="99">
        <f>IF(AC$266=FALSE,0,'P(M)年費表'!N22)</f>
        <v>0</v>
      </c>
      <c r="AD289" s="99">
        <f>IF(AD$266=FALSE,0,'P(M)年費表'!O22)</f>
        <v>0</v>
      </c>
      <c r="AE289" s="99">
        <f>IF(AE$266=FALSE,0,'P(M)年費表'!P22)</f>
        <v>0</v>
      </c>
      <c r="AF289" s="99">
        <f>IF(AF$266=FALSE,0,'P(M)年費表'!Q22)</f>
        <v>0</v>
      </c>
      <c r="AG289" s="99">
        <f>IF(AG$266=FALSE,0,'P(M)年費表'!R22)</f>
        <v>0</v>
      </c>
      <c r="AH289" s="99">
        <f>IF(AH$266=FALSE,0,'P(M)年費表'!S22)</f>
        <v>0</v>
      </c>
      <c r="AI289" s="99">
        <f>IF(AI$266=FALSE,0,'P(M)年費表'!T22)</f>
        <v>0</v>
      </c>
      <c r="AJ289" s="99">
        <f>IF(AJ$266=FALSE,0,'P(M)年費表'!U22)</f>
        <v>0</v>
      </c>
      <c r="AK289" s="99">
        <f>IF(AK$266=FALSE,0,'P(M)年費表'!V22)</f>
        <v>0</v>
      </c>
      <c r="AL289" s="99">
        <f>IF(AL$266=FALSE,0,'P(M)年費表'!W22)</f>
        <v>0</v>
      </c>
      <c r="AM289" s="99">
        <f>IF(AM$266=FALSE,0,'P(M)年費表'!X22)</f>
        <v>0</v>
      </c>
      <c r="AN289" s="99">
        <f>IF(AN$266=FALSE,0,'P(M)年費表'!Y22)</f>
        <v>0</v>
      </c>
      <c r="AO289" s="99">
        <f>IF(AO$266=FALSE,0,'P(M)年費表'!Z22)</f>
        <v>0</v>
      </c>
      <c r="AP289" s="99">
        <f>IF(AP$266=FALSE,0,'P(M)年費表'!AA22)</f>
        <v>0</v>
      </c>
      <c r="AQ289" s="99">
        <f>IF(AQ$266=FALSE,0,'P(M)年費表'!AB22)</f>
        <v>0</v>
      </c>
      <c r="AR289" s="77">
        <f t="shared" si="19"/>
        <v>9200</v>
      </c>
      <c r="AS289" s="11"/>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c r="CH289" s="35"/>
      <c r="CI289" s="35"/>
      <c r="CJ289" s="35"/>
      <c r="CK289" s="35"/>
      <c r="CL289" s="35"/>
      <c r="CM289" s="35"/>
      <c r="CN289" s="35"/>
      <c r="CO289" s="35"/>
      <c r="CP289" s="35"/>
      <c r="CQ289" s="35"/>
      <c r="CR289" s="35"/>
      <c r="CS289" s="35"/>
      <c r="CT289" s="35"/>
      <c r="CU289" s="35"/>
      <c r="CV289" s="35"/>
      <c r="CW289" s="35"/>
      <c r="CX289" s="35"/>
      <c r="CY289" s="35"/>
      <c r="CZ289" s="35"/>
      <c r="DA289" s="35"/>
      <c r="DB289" s="35"/>
      <c r="DC289" s="35"/>
      <c r="DD289" s="35"/>
      <c r="DE289" s="35"/>
      <c r="DF289" s="35"/>
      <c r="DG289" s="35"/>
      <c r="DH289" s="35"/>
      <c r="DI289" s="35"/>
      <c r="DJ289" s="35"/>
    </row>
    <row r="290" spans="1:114" ht="16.5" x14ac:dyDescent="0.25">
      <c r="A290" s="173"/>
      <c r="B290" s="109" t="s">
        <v>192</v>
      </c>
      <c r="C290" s="42"/>
      <c r="D290" s="63" t="str">
        <f t="shared" si="11"/>
        <v>THB</v>
      </c>
      <c r="E290" s="65">
        <f t="shared" si="15"/>
        <v>0</v>
      </c>
      <c r="F290" s="106">
        <f>E290*$K$9</f>
        <v>0</v>
      </c>
      <c r="G290" s="63" t="str">
        <f t="shared" si="12"/>
        <v>THB</v>
      </c>
      <c r="H290" s="65">
        <f t="shared" si="20"/>
        <v>0</v>
      </c>
      <c r="I290" s="106">
        <f>H290*$K$9</f>
        <v>0</v>
      </c>
      <c r="J290" s="106">
        <f t="shared" si="16"/>
        <v>0</v>
      </c>
      <c r="K290" s="39">
        <f t="shared" si="14"/>
        <v>0</v>
      </c>
      <c r="L290" s="106">
        <f t="shared" si="17"/>
        <v>0</v>
      </c>
      <c r="M290" s="173"/>
      <c r="N290" s="74"/>
      <c r="O290" s="131" t="b">
        <v>0</v>
      </c>
      <c r="P290" s="216"/>
      <c r="Q290" s="11" t="str">
        <f t="shared" si="18"/>
        <v>新型</v>
      </c>
      <c r="R290" s="3" t="str">
        <f>'P(M)年費表'!C23</f>
        <v>THB</v>
      </c>
      <c r="S290" s="99"/>
      <c r="T290" s="99">
        <f>IF(T$266=FALSE,0,'P(M)年費表'!E23)</f>
        <v>0</v>
      </c>
      <c r="U290" s="99">
        <f>IF(U$266=FALSE,0,'P(M)年費表'!F23)</f>
        <v>0</v>
      </c>
      <c r="V290" s="99">
        <f>IF(V$266=FALSE,0,'P(M)年費表'!G23)</f>
        <v>0</v>
      </c>
      <c r="W290" s="99">
        <f>IF(W$266=FALSE,0,'P(M)年費表'!H23)</f>
        <v>0</v>
      </c>
      <c r="X290" s="99">
        <f>IF(X$266=FALSE,0,'P(M)年費表'!I23)</f>
        <v>0</v>
      </c>
      <c r="Y290" s="99">
        <f>IF(Y$266=FALSE,0,'P(M)年費表'!J23)</f>
        <v>0</v>
      </c>
      <c r="Z290" s="99">
        <f>IF(Z$266=FALSE,0,'P(M)年費表'!K23)</f>
        <v>0</v>
      </c>
      <c r="AA290" s="99">
        <f>IF(AA$266=FALSE,0,'P(M)年費表'!L23)</f>
        <v>9000</v>
      </c>
      <c r="AB290" s="99">
        <f>IF(AB$266=FALSE,0,'P(M)年費表'!M23)</f>
        <v>0</v>
      </c>
      <c r="AC290" s="99">
        <f>IF(AC$266=FALSE,0,'P(M)年費表'!N23)</f>
        <v>0</v>
      </c>
      <c r="AD290" s="99">
        <f>IF(AD$266=FALSE,0,'P(M)年費表'!O23)</f>
        <v>0</v>
      </c>
      <c r="AE290" s="99">
        <f>IF(AE$266=FALSE,0,'P(M)年費表'!P23)</f>
        <v>0</v>
      </c>
      <c r="AF290" s="99">
        <f>IF(AF$266=FALSE,0,'P(M)年費表'!Q23)</f>
        <v>0</v>
      </c>
      <c r="AG290" s="99">
        <f>IF(AG$266=FALSE,0,'P(M)年費表'!R23)</f>
        <v>0</v>
      </c>
      <c r="AH290" s="99">
        <f>IF(AH$266=FALSE,0,'P(M)年費表'!S23)</f>
        <v>0</v>
      </c>
      <c r="AI290" s="99">
        <f>IF(AI$266=FALSE,0,'P(M)年費表'!T23)</f>
        <v>0</v>
      </c>
      <c r="AJ290" s="99">
        <f>IF(AJ$266=FALSE,0,'P(M)年費表'!U23)</f>
        <v>0</v>
      </c>
      <c r="AK290" s="99">
        <f>IF(AK$266=FALSE,0,'P(M)年費表'!V23)</f>
        <v>0</v>
      </c>
      <c r="AL290" s="99">
        <f>IF(AL$266=FALSE,0,'P(M)年費表'!W23)</f>
        <v>0</v>
      </c>
      <c r="AM290" s="99">
        <f>IF(AM$266=FALSE,0,'P(M)年費表'!X23)</f>
        <v>0</v>
      </c>
      <c r="AN290" s="99">
        <f>IF(AN$266=FALSE,0,'P(M)年費表'!Y23)</f>
        <v>0</v>
      </c>
      <c r="AO290" s="99">
        <f>IF(AO$266=FALSE,0,'P(M)年費表'!Z23)</f>
        <v>0</v>
      </c>
      <c r="AP290" s="99">
        <f>IF(AP$266=FALSE,0,'P(M)年費表'!AA23)</f>
        <v>0</v>
      </c>
      <c r="AQ290" s="99">
        <f>IF(AQ$266=FALSE,0,'P(M)年費表'!AB23)</f>
        <v>0</v>
      </c>
      <c r="AR290" s="77">
        <f t="shared" si="19"/>
        <v>9000</v>
      </c>
      <c r="AS290" s="11"/>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c r="CG290" s="35"/>
      <c r="CH290" s="35"/>
      <c r="CI290" s="35"/>
      <c r="CJ290" s="35"/>
      <c r="CK290" s="35"/>
      <c r="CL290" s="35"/>
      <c r="CM290" s="35"/>
      <c r="CN290" s="35"/>
      <c r="CO290" s="35"/>
      <c r="CP290" s="35"/>
      <c r="CQ290" s="35"/>
      <c r="CR290" s="35"/>
      <c r="CS290" s="35"/>
      <c r="CT290" s="35"/>
      <c r="CU290" s="35"/>
      <c r="CV290" s="35"/>
      <c r="CW290" s="35"/>
      <c r="CX290" s="35"/>
      <c r="CY290" s="35"/>
      <c r="CZ290" s="35"/>
      <c r="DA290" s="35"/>
      <c r="DB290" s="35"/>
      <c r="DC290" s="35"/>
      <c r="DD290" s="35"/>
      <c r="DE290" s="35"/>
      <c r="DF290" s="35"/>
      <c r="DG290" s="35"/>
      <c r="DH290" s="35"/>
      <c r="DI290" s="35"/>
      <c r="DJ290" s="35"/>
    </row>
    <row r="291" spans="1:114" ht="18.75" x14ac:dyDescent="0.25">
      <c r="A291" s="56"/>
      <c r="B291" s="56"/>
      <c r="C291" s="57"/>
      <c r="D291" s="56"/>
      <c r="E291" s="57" t="s">
        <v>184</v>
      </c>
      <c r="F291" s="58">
        <f>SUM(F270:F290)</f>
        <v>340639.52399999998</v>
      </c>
      <c r="G291" s="56"/>
      <c r="H291" s="57" t="s">
        <v>184</v>
      </c>
      <c r="I291" s="59">
        <f>SUM(I270:I290)</f>
        <v>43411.271999999997</v>
      </c>
      <c r="J291" s="60">
        <f>SUM(J270:J290)</f>
        <v>384050.79599999997</v>
      </c>
      <c r="K291" s="61">
        <f>SUM(K270:K290)</f>
        <v>46000</v>
      </c>
      <c r="L291" s="62">
        <f>SUM(L270:L290)</f>
        <v>430050.79600000003</v>
      </c>
      <c r="M291" s="63"/>
      <c r="N291" s="74"/>
      <c r="O291" s="35"/>
      <c r="P291" s="5"/>
      <c r="Q291" s="5"/>
      <c r="R291" s="5"/>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77">
        <f t="shared" si="19"/>
        <v>0</v>
      </c>
      <c r="AS291" s="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c r="CH291" s="35"/>
      <c r="CI291" s="35"/>
      <c r="CJ291" s="35"/>
      <c r="CK291" s="35"/>
      <c r="CL291" s="35"/>
      <c r="CM291" s="35"/>
      <c r="CN291" s="35"/>
      <c r="CO291" s="35"/>
      <c r="CP291" s="35"/>
      <c r="CQ291" s="35"/>
      <c r="CR291" s="35"/>
      <c r="CS291" s="35"/>
      <c r="CT291" s="35"/>
      <c r="CU291" s="35"/>
      <c r="CV291" s="35"/>
      <c r="CW291" s="35"/>
      <c r="CX291" s="35"/>
      <c r="CY291" s="35"/>
      <c r="CZ291" s="35"/>
      <c r="DA291" s="35"/>
      <c r="DB291" s="35"/>
      <c r="DC291" s="35"/>
      <c r="DD291" s="35"/>
      <c r="DE291" s="35"/>
      <c r="DF291" s="35"/>
      <c r="DG291" s="35"/>
      <c r="DH291" s="35"/>
      <c r="DI291" s="35"/>
      <c r="DJ291" s="35"/>
    </row>
    <row r="292" spans="1:114" ht="20.100000000000001" customHeight="1" x14ac:dyDescent="0.25">
      <c r="A292" s="180" t="s">
        <v>307</v>
      </c>
      <c r="B292" s="181"/>
      <c r="C292" s="184"/>
      <c r="D292" s="217"/>
      <c r="E292" s="217"/>
      <c r="F292" s="217"/>
      <c r="G292" s="217"/>
      <c r="H292" s="217"/>
      <c r="I292" s="217"/>
      <c r="J292" s="217"/>
      <c r="K292" s="217"/>
      <c r="L292" s="217"/>
      <c r="M292" s="218"/>
      <c r="O292" s="35"/>
      <c r="P292" s="135" t="s">
        <v>295</v>
      </c>
      <c r="Q292"/>
      <c r="R292"/>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c r="AP292" s="101"/>
      <c r="AQ292" s="101"/>
      <c r="AR292"/>
      <c r="AS292"/>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c r="CG292" s="35"/>
      <c r="CH292" s="35"/>
      <c r="CI292" s="35"/>
      <c r="CJ292" s="35"/>
      <c r="CK292" s="35"/>
      <c r="CL292" s="35"/>
      <c r="CM292" s="35"/>
      <c r="CN292" s="35"/>
      <c r="CO292" s="35"/>
      <c r="CP292" s="35"/>
      <c r="CQ292" s="35"/>
      <c r="CR292" s="35"/>
      <c r="CS292" s="35"/>
      <c r="CT292" s="35"/>
      <c r="CU292" s="35"/>
      <c r="CV292" s="35"/>
      <c r="CW292" s="35"/>
      <c r="CX292" s="35"/>
      <c r="CY292" s="35"/>
      <c r="CZ292" s="35"/>
      <c r="DA292" s="35"/>
      <c r="DB292" s="35"/>
      <c r="DC292" s="35"/>
      <c r="DD292" s="35"/>
      <c r="DE292" s="35"/>
      <c r="DF292" s="35"/>
      <c r="DG292" s="35"/>
      <c r="DH292" s="35"/>
      <c r="DI292" s="35"/>
      <c r="DJ292" s="35"/>
    </row>
    <row r="293" spans="1:114" ht="20.100000000000001" customHeight="1" x14ac:dyDescent="0.25">
      <c r="A293" s="182"/>
      <c r="B293" s="183"/>
      <c r="C293" s="219"/>
      <c r="D293" s="220"/>
      <c r="E293" s="220"/>
      <c r="F293" s="220"/>
      <c r="G293" s="220"/>
      <c r="H293" s="220"/>
      <c r="I293" s="220"/>
      <c r="J293" s="220"/>
      <c r="K293" s="220"/>
      <c r="L293" s="220"/>
      <c r="M293" s="221"/>
      <c r="N293" s="35"/>
      <c r="O293" s="35"/>
      <c r="P293"/>
      <c r="Q293"/>
      <c r="R293"/>
      <c r="S293" s="101"/>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c r="AS293"/>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c r="CG293" s="35"/>
      <c r="CH293" s="35"/>
      <c r="CI293" s="35"/>
      <c r="CJ293" s="35"/>
      <c r="CK293" s="35"/>
      <c r="CL293" s="35"/>
      <c r="CM293" s="35"/>
      <c r="CN293" s="35"/>
      <c r="CO293" s="35"/>
      <c r="CP293" s="35"/>
      <c r="CQ293" s="35"/>
      <c r="CR293" s="35"/>
      <c r="CS293" s="35"/>
      <c r="CT293" s="35"/>
      <c r="CU293" s="35"/>
      <c r="CV293" s="35"/>
      <c r="CW293" s="35"/>
      <c r="CX293" s="35"/>
      <c r="CY293" s="35"/>
      <c r="CZ293" s="35"/>
      <c r="DA293" s="35"/>
      <c r="DB293" s="35"/>
      <c r="DC293" s="35"/>
      <c r="DD293" s="35"/>
      <c r="DE293" s="35"/>
      <c r="DF293" s="35"/>
      <c r="DG293" s="35"/>
      <c r="DH293" s="35"/>
      <c r="DI293" s="35"/>
      <c r="DJ293" s="35"/>
    </row>
    <row r="294" spans="1:114" ht="16.5" x14ac:dyDescent="0.25">
      <c r="A294" s="34"/>
      <c r="B294" s="34"/>
      <c r="C294" s="34"/>
      <c r="D294" s="34"/>
      <c r="E294" s="34"/>
      <c r="F294" s="34"/>
      <c r="G294" s="34"/>
      <c r="H294" s="34"/>
      <c r="I294" s="34"/>
      <c r="J294" s="34"/>
      <c r="K294" s="34"/>
      <c r="L294" s="34"/>
      <c r="M294" s="34"/>
      <c r="N294" s="35"/>
      <c r="O294" s="35"/>
      <c r="P294"/>
      <c r="Q294"/>
      <c r="R294"/>
      <c r="S294" s="101"/>
      <c r="T294" s="101"/>
      <c r="U294" s="101"/>
      <c r="V294" s="101"/>
      <c r="W294" s="101"/>
      <c r="X294" s="101"/>
      <c r="Y294" s="101"/>
      <c r="Z294" s="101"/>
      <c r="AA294" s="101"/>
      <c r="AB294" s="101"/>
      <c r="AC294" s="101"/>
      <c r="AD294" s="101"/>
      <c r="AE294" s="101"/>
      <c r="AF294" s="101"/>
      <c r="AG294" s="101"/>
      <c r="AH294" s="101"/>
      <c r="AI294" s="101"/>
      <c r="AJ294" s="101"/>
      <c r="AK294" s="101"/>
      <c r="AL294" s="101"/>
      <c r="AM294" s="101"/>
      <c r="AN294" s="101"/>
      <c r="AO294" s="101"/>
      <c r="AP294" s="101"/>
      <c r="AQ294" s="101"/>
      <c r="AR294"/>
      <c r="AS294"/>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c r="CG294" s="35"/>
      <c r="CH294" s="35"/>
      <c r="CI294" s="35"/>
      <c r="CJ294" s="35"/>
      <c r="CK294" s="35"/>
      <c r="CL294" s="35"/>
      <c r="CM294" s="35"/>
      <c r="CN294" s="35"/>
      <c r="CO294" s="35"/>
      <c r="CP294" s="35"/>
      <c r="CQ294" s="35"/>
      <c r="CR294" s="35"/>
      <c r="CS294" s="35"/>
      <c r="CT294" s="35"/>
      <c r="CU294" s="35"/>
      <c r="CV294" s="35"/>
      <c r="CW294" s="35"/>
      <c r="CX294" s="35"/>
      <c r="CY294" s="35"/>
      <c r="CZ294" s="35"/>
      <c r="DA294" s="35"/>
      <c r="DB294" s="35"/>
      <c r="DC294" s="35"/>
      <c r="DD294" s="35"/>
      <c r="DE294" s="35"/>
      <c r="DF294" s="35"/>
      <c r="DG294" s="35"/>
      <c r="DH294" s="35"/>
      <c r="DI294" s="35"/>
      <c r="DJ294" s="35"/>
    </row>
    <row r="295" spans="1:114" ht="16.5" x14ac:dyDescent="0.25">
      <c r="A295" s="138" t="s">
        <v>309</v>
      </c>
      <c r="B295" s="34"/>
      <c r="C295" s="34"/>
      <c r="D295" s="34"/>
      <c r="E295" s="34"/>
      <c r="F295" s="34"/>
      <c r="G295" s="34"/>
      <c r="H295" s="34"/>
      <c r="I295" s="34"/>
      <c r="J295" s="34"/>
      <c r="K295" s="34"/>
      <c r="L295" s="34"/>
      <c r="M295" s="34"/>
      <c r="N295" s="35"/>
      <c r="O295" s="35"/>
      <c r="P295" s="212" t="s">
        <v>202</v>
      </c>
      <c r="Q295" s="213"/>
      <c r="R295" s="214"/>
      <c r="S295" s="102" t="s">
        <v>200</v>
      </c>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76"/>
      <c r="AS295" s="76"/>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c r="CG295" s="35"/>
      <c r="CH295" s="35"/>
      <c r="CI295" s="35"/>
      <c r="CJ295" s="35"/>
      <c r="CK295" s="35"/>
      <c r="CL295" s="35"/>
      <c r="CM295" s="35"/>
      <c r="CN295" s="35"/>
      <c r="CO295" s="35"/>
      <c r="CP295" s="35"/>
      <c r="CQ295" s="35"/>
      <c r="CR295" s="35"/>
      <c r="CS295" s="35"/>
      <c r="CT295" s="35"/>
      <c r="CU295" s="35"/>
      <c r="CV295" s="35"/>
      <c r="CW295" s="35"/>
      <c r="CX295" s="35"/>
      <c r="CY295" s="35"/>
      <c r="CZ295" s="35"/>
      <c r="DA295" s="35"/>
      <c r="DB295" s="35"/>
      <c r="DC295" s="35"/>
      <c r="DD295" s="35"/>
      <c r="DE295" s="35"/>
      <c r="DF295" s="35"/>
      <c r="DG295" s="35"/>
      <c r="DH295" s="35"/>
      <c r="DI295" s="35"/>
      <c r="DJ295" s="35"/>
    </row>
    <row r="296" spans="1:114" ht="16.5" x14ac:dyDescent="0.25">
      <c r="A296" s="34"/>
      <c r="B296" s="34"/>
      <c r="C296" s="34"/>
      <c r="D296" s="34"/>
      <c r="E296" s="34"/>
      <c r="F296" s="34"/>
      <c r="G296" s="34"/>
      <c r="H296" s="34"/>
      <c r="I296" s="34"/>
      <c r="J296" s="34"/>
      <c r="K296" s="34"/>
      <c r="L296" s="34"/>
      <c r="M296" s="34"/>
      <c r="N296" s="35"/>
      <c r="O296" s="35"/>
      <c r="P296" s="4" t="s">
        <v>114</v>
      </c>
      <c r="Q296" s="4" t="s">
        <v>197</v>
      </c>
      <c r="R296" s="4" t="s">
        <v>13</v>
      </c>
      <c r="S296" s="104">
        <v>1</v>
      </c>
      <c r="T296" s="104">
        <v>2</v>
      </c>
      <c r="U296" s="104">
        <v>3</v>
      </c>
      <c r="V296" s="104">
        <v>4</v>
      </c>
      <c r="W296" s="104">
        <v>5</v>
      </c>
      <c r="X296" s="104">
        <v>6</v>
      </c>
      <c r="Y296" s="104">
        <v>7</v>
      </c>
      <c r="Z296" s="104">
        <v>8</v>
      </c>
      <c r="AA296" s="104">
        <v>9</v>
      </c>
      <c r="AB296" s="104">
        <v>10</v>
      </c>
      <c r="AC296" s="104">
        <v>11</v>
      </c>
      <c r="AD296" s="104">
        <v>12</v>
      </c>
      <c r="AE296" s="104">
        <v>13</v>
      </c>
      <c r="AF296" s="104">
        <v>14</v>
      </c>
      <c r="AG296" s="104">
        <v>15</v>
      </c>
      <c r="AH296" s="104">
        <v>16</v>
      </c>
      <c r="AI296" s="104">
        <v>17</v>
      </c>
      <c r="AJ296" s="104">
        <v>18</v>
      </c>
      <c r="AK296" s="104">
        <v>19</v>
      </c>
      <c r="AL296" s="104">
        <v>20</v>
      </c>
      <c r="AM296" s="104">
        <v>21</v>
      </c>
      <c r="AN296" s="104">
        <v>22</v>
      </c>
      <c r="AO296" s="104">
        <v>23</v>
      </c>
      <c r="AP296" s="104">
        <v>24</v>
      </c>
      <c r="AQ296" s="104">
        <v>25</v>
      </c>
      <c r="AR296" s="4" t="s">
        <v>196</v>
      </c>
      <c r="AS296" s="4"/>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c r="CN296" s="35"/>
      <c r="CO296" s="35"/>
      <c r="CP296" s="35"/>
      <c r="CQ296" s="35"/>
      <c r="CR296" s="35"/>
      <c r="CS296" s="35"/>
      <c r="CT296" s="35"/>
      <c r="CU296" s="35"/>
      <c r="CV296" s="35"/>
      <c r="CW296" s="35"/>
      <c r="CX296" s="35"/>
      <c r="CY296" s="35"/>
      <c r="CZ296" s="35"/>
      <c r="DA296" s="35"/>
      <c r="DB296" s="35"/>
      <c r="DC296" s="35"/>
      <c r="DD296" s="35"/>
      <c r="DE296" s="35"/>
      <c r="DF296" s="35"/>
      <c r="DG296" s="35"/>
      <c r="DH296" s="35"/>
      <c r="DI296" s="35"/>
      <c r="DJ296" s="35"/>
    </row>
    <row r="297" spans="1:114" ht="16.5" x14ac:dyDescent="0.25">
      <c r="A297" s="34"/>
      <c r="B297" s="34"/>
      <c r="C297" s="34"/>
      <c r="D297" s="34"/>
      <c r="E297" s="34"/>
      <c r="F297" s="34"/>
      <c r="G297" s="34"/>
      <c r="H297" s="34"/>
      <c r="I297" s="34"/>
      <c r="J297" s="34"/>
      <c r="K297" s="34"/>
      <c r="L297" s="34"/>
      <c r="M297" s="34"/>
      <c r="N297" s="35"/>
      <c r="O297" s="35"/>
      <c r="P297" s="215" t="s">
        <v>2</v>
      </c>
      <c r="Q297" s="11" t="str">
        <f t="shared" ref="Q297:Q306" si="21">B270</f>
        <v>發明</v>
      </c>
      <c r="R297" s="3" t="str">
        <f>'P(M)年費表'!C30</f>
        <v>NTD</v>
      </c>
      <c r="S297" s="99"/>
      <c r="T297" s="99">
        <f>IF(T$265=0,0,'P(M)年費表'!E30)</f>
        <v>0</v>
      </c>
      <c r="U297" s="99">
        <f>IF(U$265=0,0,'P(M)年費表'!F30)</f>
        <v>0</v>
      </c>
      <c r="V297" s="99">
        <f>IF(V$265=0,0,'P(M)年費表'!G30)</f>
        <v>0</v>
      </c>
      <c r="W297" s="99">
        <f>IF(W$265=0,0,'P(M)年費表'!H30)</f>
        <v>0</v>
      </c>
      <c r="X297" s="99">
        <f>IF(X$265=0,0,'P(M)年費表'!I30)</f>
        <v>0</v>
      </c>
      <c r="Y297" s="99">
        <f>IF(Y$265=0,0,'P(M)年費表'!J30)</f>
        <v>0</v>
      </c>
      <c r="Z297" s="99">
        <f>IF(Z$265=0,0,'P(M)年費表'!K30)</f>
        <v>0</v>
      </c>
      <c r="AA297" s="99">
        <f>IF(AA$265=0,0,'P(M)年費表'!L30)</f>
        <v>0</v>
      </c>
      <c r="AB297" s="99">
        <f>IF(AB$265=0,0,'P(M)年費表'!M30)</f>
        <v>0</v>
      </c>
      <c r="AC297" s="99">
        <f>IF(AC$265=0,0,'P(M)年費表'!N30)</f>
        <v>0</v>
      </c>
      <c r="AD297" s="99">
        <f>IF(AD$265=0,0,'P(M)年費表'!O30)</f>
        <v>0</v>
      </c>
      <c r="AE297" s="99">
        <f>IF(AE$265=0,0,'P(M)年費表'!P30)</f>
        <v>0</v>
      </c>
      <c r="AF297" s="99">
        <f>IF(AF$265=0,0,'P(M)年費表'!Q30)</f>
        <v>0</v>
      </c>
      <c r="AG297" s="99">
        <f>IF(AG$265=0,0,'P(M)年費表'!R30)</f>
        <v>0</v>
      </c>
      <c r="AH297" s="99">
        <f>IF(AH$265=0,0,'P(M)年費表'!S30)</f>
        <v>0</v>
      </c>
      <c r="AI297" s="99">
        <f>IF(AI$265=0,0,'P(M)年費表'!T30)</f>
        <v>0</v>
      </c>
      <c r="AJ297" s="99">
        <f>IF(AJ$265=0,0,'P(M)年費表'!U30)</f>
        <v>0</v>
      </c>
      <c r="AK297" s="99">
        <f>IF(AK$265=0,0,'P(M)年費表'!V30)</f>
        <v>0</v>
      </c>
      <c r="AL297" s="99">
        <f>IF(AL$265=0,0,'P(M)年費表'!W30)</f>
        <v>0</v>
      </c>
      <c r="AM297" s="99">
        <f>IF(AM$265=0,0,'P(M)年費表'!X30)</f>
        <v>0</v>
      </c>
      <c r="AN297" s="99">
        <f>IF(AN$265=0,0,'P(M)年費表'!Y30)</f>
        <v>0</v>
      </c>
      <c r="AO297" s="99">
        <f>IF(AO$265=0,0,'P(M)年費表'!Z30)</f>
        <v>0</v>
      </c>
      <c r="AP297" s="99">
        <f>IF(AP$265=0,0,'P(M)年費表'!AA30)</f>
        <v>0</v>
      </c>
      <c r="AQ297" s="99">
        <f>IF(AQ$265=0,0,'P(M)年費表'!AB30)</f>
        <v>0</v>
      </c>
      <c r="AR297" s="77">
        <f>SUM(S297:AQ297)</f>
        <v>0</v>
      </c>
      <c r="AS297" s="11"/>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c r="CM297" s="35"/>
      <c r="CN297" s="35"/>
      <c r="CO297" s="35"/>
      <c r="CP297" s="35"/>
      <c r="CQ297" s="35"/>
      <c r="CR297" s="35"/>
      <c r="CS297" s="35"/>
      <c r="CT297" s="35"/>
      <c r="CU297" s="35"/>
      <c r="CV297" s="35"/>
      <c r="CW297" s="35"/>
      <c r="CX297" s="35"/>
      <c r="CY297" s="35"/>
      <c r="CZ297" s="35"/>
      <c r="DA297" s="35"/>
      <c r="DB297" s="35"/>
      <c r="DC297" s="35"/>
      <c r="DD297" s="35"/>
      <c r="DE297" s="35"/>
      <c r="DF297" s="35"/>
      <c r="DG297" s="35"/>
      <c r="DH297" s="35"/>
      <c r="DI297" s="35"/>
      <c r="DJ297" s="35"/>
    </row>
    <row r="298" spans="1:114" ht="16.5" x14ac:dyDescent="0.25">
      <c r="A298" s="34"/>
      <c r="B298" s="34"/>
      <c r="C298" s="34"/>
      <c r="D298" s="34"/>
      <c r="E298" s="34"/>
      <c r="F298" s="34"/>
      <c r="G298" s="34"/>
      <c r="H298" s="34"/>
      <c r="I298" s="34"/>
      <c r="J298" s="34"/>
      <c r="K298" s="34"/>
      <c r="L298" s="34"/>
      <c r="M298" s="34"/>
      <c r="N298" s="35"/>
      <c r="O298" s="35"/>
      <c r="P298" s="216"/>
      <c r="Q298" s="11" t="str">
        <f t="shared" si="21"/>
        <v>新型</v>
      </c>
      <c r="R298" s="3" t="str">
        <f>'P(M)年費表'!C31</f>
        <v>NTD</v>
      </c>
      <c r="S298" s="99"/>
      <c r="T298" s="99">
        <f>IF(T$265=0,0,'P(M)年費表'!E31)</f>
        <v>0</v>
      </c>
      <c r="U298" s="99">
        <f>IF(U$265=0,0,'P(M)年費表'!F31)</f>
        <v>0</v>
      </c>
      <c r="V298" s="99">
        <f>IF(V$265=0,0,'P(M)年費表'!G31)</f>
        <v>0</v>
      </c>
      <c r="W298" s="99">
        <f>IF(W$265=0,0,'P(M)年費表'!H31)</f>
        <v>0</v>
      </c>
      <c r="X298" s="99">
        <f>IF(X$265=0,0,'P(M)年費表'!I31)</f>
        <v>0</v>
      </c>
      <c r="Y298" s="99">
        <f>IF(Y$265=0,0,'P(M)年費表'!J31)</f>
        <v>0</v>
      </c>
      <c r="Z298" s="99">
        <f>IF(Z$265=0,0,'P(M)年費表'!K31)</f>
        <v>0</v>
      </c>
      <c r="AA298" s="99">
        <f>IF(AA$265=0,0,'P(M)年費表'!L31)</f>
        <v>0</v>
      </c>
      <c r="AB298" s="99">
        <f>IF(AB$265=0,0,'P(M)年費表'!M31)</f>
        <v>0</v>
      </c>
      <c r="AC298" s="99">
        <f>IF(AC$265=0,0,'P(M)年費表'!N31)</f>
        <v>0</v>
      </c>
      <c r="AD298" s="99">
        <f>IF(AD$265=0,0,'P(M)年費表'!O31)</f>
        <v>0</v>
      </c>
      <c r="AE298" s="99">
        <f>IF(AE$265=0,0,'P(M)年費表'!P31)</f>
        <v>0</v>
      </c>
      <c r="AF298" s="99">
        <f>IF(AF$265=0,0,'P(M)年費表'!Q31)</f>
        <v>0</v>
      </c>
      <c r="AG298" s="99">
        <f>IF(AG$265=0,0,'P(M)年費表'!R31)</f>
        <v>0</v>
      </c>
      <c r="AH298" s="99">
        <f>IF(AH$265=0,0,'P(M)年費表'!S31)</f>
        <v>0</v>
      </c>
      <c r="AI298" s="99">
        <f>IF(AI$265=0,0,'P(M)年費表'!T31)</f>
        <v>0</v>
      </c>
      <c r="AJ298" s="99">
        <f>IF(AJ$265=0,0,'P(M)年費表'!U31)</f>
        <v>0</v>
      </c>
      <c r="AK298" s="99">
        <f>IF(AK$265=0,0,'P(M)年費表'!V31)</f>
        <v>0</v>
      </c>
      <c r="AL298" s="99">
        <f>IF(AL$265=0,0,'P(M)年費表'!W31)</f>
        <v>0</v>
      </c>
      <c r="AM298" s="99">
        <f>IF(AM$265=0,0,'P(M)年費表'!X31)</f>
        <v>0</v>
      </c>
      <c r="AN298" s="99">
        <f>IF(AN$265=0,0,'P(M)年費表'!Y31)</f>
        <v>0</v>
      </c>
      <c r="AO298" s="99">
        <f>IF(AO$265=0,0,'P(M)年費表'!Z31)</f>
        <v>0</v>
      </c>
      <c r="AP298" s="99">
        <f>IF(AP$265=0,0,'P(M)年費表'!AA31)</f>
        <v>0</v>
      </c>
      <c r="AQ298" s="99">
        <f>IF(AQ$265=0,0,'P(M)年費表'!AB31)</f>
        <v>0</v>
      </c>
      <c r="AR298" s="77">
        <f t="shared" ref="AR298:AR318" si="22">SUM(S298:AQ298)</f>
        <v>0</v>
      </c>
      <c r="AS298" s="11"/>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c r="CM298" s="35"/>
      <c r="CN298" s="35"/>
      <c r="CO298" s="35"/>
      <c r="CP298" s="35"/>
      <c r="CQ298" s="35"/>
      <c r="CR298" s="35"/>
      <c r="CS298" s="35"/>
      <c r="CT298" s="35"/>
      <c r="CU298" s="35"/>
      <c r="CV298" s="35"/>
      <c r="CW298" s="35"/>
      <c r="CX298" s="35"/>
      <c r="CY298" s="35"/>
      <c r="CZ298" s="35"/>
      <c r="DA298" s="35"/>
      <c r="DB298" s="35"/>
      <c r="DC298" s="35"/>
      <c r="DD298" s="35"/>
      <c r="DE298" s="35"/>
      <c r="DF298" s="35"/>
      <c r="DG298" s="35"/>
      <c r="DH298" s="35"/>
      <c r="DI298" s="35"/>
      <c r="DJ298" s="35"/>
    </row>
    <row r="299" spans="1:114" ht="16.5" x14ac:dyDescent="0.25">
      <c r="A299" s="34"/>
      <c r="B299" s="34"/>
      <c r="C299" s="34"/>
      <c r="D299" s="34"/>
      <c r="E299" s="34"/>
      <c r="F299" s="34"/>
      <c r="G299" s="34"/>
      <c r="H299" s="34"/>
      <c r="I299" s="34"/>
      <c r="J299" s="34"/>
      <c r="K299" s="34"/>
      <c r="L299" s="34"/>
      <c r="M299" s="34"/>
      <c r="N299" s="35"/>
      <c r="O299" s="35"/>
      <c r="P299" s="215" t="s">
        <v>3</v>
      </c>
      <c r="Q299" s="11" t="str">
        <f t="shared" si="21"/>
        <v>發明</v>
      </c>
      <c r="R299" s="3" t="str">
        <f>'P(M)年費表'!C32</f>
        <v>CNY</v>
      </c>
      <c r="S299" s="99"/>
      <c r="T299" s="99">
        <f>IF(T$265=0,0,'P(M)年費表'!E32)</f>
        <v>0</v>
      </c>
      <c r="U299" s="99">
        <f>IF(U$265=0,0,'P(M)年費表'!F32)</f>
        <v>0</v>
      </c>
      <c r="V299" s="99">
        <f>IF(V$265=0,0,'P(M)年費表'!G32)</f>
        <v>0</v>
      </c>
      <c r="W299" s="99">
        <f>IF(W$265=0,0,'P(M)年費表'!H32)</f>
        <v>0</v>
      </c>
      <c r="X299" s="99">
        <f>IF(X$265=0,0,'P(M)年費表'!I32)</f>
        <v>0</v>
      </c>
      <c r="Y299" s="99">
        <f>IF(Y$265=0,0,'P(M)年費表'!J32)</f>
        <v>0</v>
      </c>
      <c r="Z299" s="99">
        <f>IF(Z$265=0,0,'P(M)年費表'!K32)</f>
        <v>200</v>
      </c>
      <c r="AA299" s="99">
        <f>IF(AA$265=0,0,'P(M)年費表'!L32)</f>
        <v>0</v>
      </c>
      <c r="AB299" s="99">
        <f>IF(AB$265=0,0,'P(M)年費表'!M32)</f>
        <v>0</v>
      </c>
      <c r="AC299" s="99">
        <f>IF(AC$265=0,0,'P(M)年費表'!N32)</f>
        <v>0</v>
      </c>
      <c r="AD299" s="99">
        <f>IF(AD$265=0,0,'P(M)年費表'!O32)</f>
        <v>0</v>
      </c>
      <c r="AE299" s="99">
        <f>IF(AE$265=0,0,'P(M)年費表'!P32)</f>
        <v>0</v>
      </c>
      <c r="AF299" s="99">
        <f>IF(AF$265=0,0,'P(M)年費表'!Q32)</f>
        <v>0</v>
      </c>
      <c r="AG299" s="99">
        <f>IF(AG$265=0,0,'P(M)年費表'!R32)</f>
        <v>0</v>
      </c>
      <c r="AH299" s="99">
        <f>IF(AH$265=0,0,'P(M)年費表'!S32)</f>
        <v>0</v>
      </c>
      <c r="AI299" s="99">
        <f>IF(AI$265=0,0,'P(M)年費表'!T32)</f>
        <v>0</v>
      </c>
      <c r="AJ299" s="99">
        <f>IF(AJ$265=0,0,'P(M)年費表'!U32)</f>
        <v>0</v>
      </c>
      <c r="AK299" s="99">
        <f>IF(AK$265=0,0,'P(M)年費表'!V32)</f>
        <v>0</v>
      </c>
      <c r="AL299" s="99">
        <f>IF(AL$265=0,0,'P(M)年費表'!W32)</f>
        <v>0</v>
      </c>
      <c r="AM299" s="99">
        <f>IF(AM$265=0,0,'P(M)年費表'!X32)</f>
        <v>0</v>
      </c>
      <c r="AN299" s="99">
        <f>IF(AN$265=0,0,'P(M)年費表'!Y32)</f>
        <v>0</v>
      </c>
      <c r="AO299" s="99">
        <f>IF(AO$265=0,0,'P(M)年費表'!Z32)</f>
        <v>0</v>
      </c>
      <c r="AP299" s="99">
        <f>IF(AP$265=0,0,'P(M)年費表'!AA32)</f>
        <v>0</v>
      </c>
      <c r="AQ299" s="99">
        <f>IF(AQ$265=0,0,'P(M)年費表'!AB32)</f>
        <v>0</v>
      </c>
      <c r="AR299" s="77">
        <f t="shared" si="22"/>
        <v>200</v>
      </c>
      <c r="AS299" s="11"/>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c r="CG299" s="35"/>
      <c r="CH299" s="35"/>
      <c r="CI299" s="35"/>
      <c r="CJ299" s="35"/>
      <c r="CK299" s="35"/>
      <c r="CL299" s="35"/>
      <c r="CM299" s="35"/>
      <c r="CN299" s="35"/>
      <c r="CO299" s="35"/>
      <c r="CP299" s="35"/>
      <c r="CQ299" s="35"/>
      <c r="CR299" s="35"/>
      <c r="CS299" s="35"/>
      <c r="CT299" s="35"/>
      <c r="CU299" s="35"/>
      <c r="CV299" s="35"/>
      <c r="CW299" s="35"/>
      <c r="CX299" s="35"/>
      <c r="CY299" s="35"/>
      <c r="CZ299" s="35"/>
      <c r="DA299" s="35"/>
      <c r="DB299" s="35"/>
      <c r="DC299" s="35"/>
      <c r="DD299" s="35"/>
      <c r="DE299" s="35"/>
      <c r="DF299" s="35"/>
      <c r="DG299" s="35"/>
      <c r="DH299" s="35"/>
      <c r="DI299" s="35"/>
      <c r="DJ299" s="35"/>
    </row>
    <row r="300" spans="1:114" ht="16.5" x14ac:dyDescent="0.25">
      <c r="A300" s="34"/>
      <c r="B300" s="34"/>
      <c r="C300" s="34"/>
      <c r="D300" s="34"/>
      <c r="E300" s="34"/>
      <c r="F300" s="34"/>
      <c r="G300" s="34"/>
      <c r="H300" s="34"/>
      <c r="I300" s="34"/>
      <c r="J300" s="34"/>
      <c r="K300" s="34"/>
      <c r="L300" s="34"/>
      <c r="M300" s="34"/>
      <c r="N300" s="35"/>
      <c r="O300" s="35"/>
      <c r="P300" s="216"/>
      <c r="Q300" s="11" t="str">
        <f t="shared" si="21"/>
        <v>新型</v>
      </c>
      <c r="R300" s="3" t="str">
        <f>'P(M)年費表'!C33</f>
        <v>CNY</v>
      </c>
      <c r="S300" s="99"/>
      <c r="T300" s="99">
        <f>IF(T$265=0,0,'P(M)年費表'!E33)</f>
        <v>0</v>
      </c>
      <c r="U300" s="99">
        <f>IF(U$265=0,0,'P(M)年費表'!F33)</f>
        <v>0</v>
      </c>
      <c r="V300" s="99">
        <f>IF(V$265=0,0,'P(M)年費表'!G33)</f>
        <v>0</v>
      </c>
      <c r="W300" s="99">
        <f>IF(W$265=0,0,'P(M)年費表'!H33)</f>
        <v>0</v>
      </c>
      <c r="X300" s="99">
        <f>IF(X$265=0,0,'P(M)年費表'!I33)</f>
        <v>0</v>
      </c>
      <c r="Y300" s="99">
        <f>IF(Y$265=0,0,'P(M)年費表'!J33)</f>
        <v>0</v>
      </c>
      <c r="Z300" s="99">
        <f>IF(Z$265=0,0,'P(M)年費表'!K33)</f>
        <v>200</v>
      </c>
      <c r="AA300" s="99">
        <f>IF(AA$265=0,0,'P(M)年費表'!L33)</f>
        <v>0</v>
      </c>
      <c r="AB300" s="99">
        <f>IF(AB$265=0,0,'P(M)年費表'!M33)</f>
        <v>0</v>
      </c>
      <c r="AC300" s="99">
        <f>IF(AC$265=0,0,'P(M)年費表'!N33)</f>
        <v>0</v>
      </c>
      <c r="AD300" s="99">
        <f>IF(AD$265=0,0,'P(M)年費表'!O33)</f>
        <v>0</v>
      </c>
      <c r="AE300" s="99">
        <f>IF(AE$265=0,0,'P(M)年費表'!P33)</f>
        <v>0</v>
      </c>
      <c r="AF300" s="99">
        <f>IF(AF$265=0,0,'P(M)年費表'!Q33)</f>
        <v>0</v>
      </c>
      <c r="AG300" s="99">
        <f>IF(AG$265=0,0,'P(M)年費表'!R33)</f>
        <v>0</v>
      </c>
      <c r="AH300" s="99">
        <f>IF(AH$265=0,0,'P(M)年費表'!S33)</f>
        <v>0</v>
      </c>
      <c r="AI300" s="99">
        <f>IF(AI$265=0,0,'P(M)年費表'!T33)</f>
        <v>0</v>
      </c>
      <c r="AJ300" s="99">
        <f>IF(AJ$265=0,0,'P(M)年費表'!U33)</f>
        <v>0</v>
      </c>
      <c r="AK300" s="99">
        <f>IF(AK$265=0,0,'P(M)年費表'!V33)</f>
        <v>0</v>
      </c>
      <c r="AL300" s="99">
        <f>IF(AL$265=0,0,'P(M)年費表'!W33)</f>
        <v>0</v>
      </c>
      <c r="AM300" s="99">
        <f>IF(AM$265=0,0,'P(M)年費表'!X33)</f>
        <v>0</v>
      </c>
      <c r="AN300" s="99">
        <f>IF(AN$265=0,0,'P(M)年費表'!Y33)</f>
        <v>0</v>
      </c>
      <c r="AO300" s="99">
        <f>IF(AO$265=0,0,'P(M)年費表'!Z33)</f>
        <v>0</v>
      </c>
      <c r="AP300" s="99">
        <f>IF(AP$265=0,0,'P(M)年費表'!AA33)</f>
        <v>0</v>
      </c>
      <c r="AQ300" s="99">
        <f>IF(AQ$265=0,0,'P(M)年費表'!AB33)</f>
        <v>0</v>
      </c>
      <c r="AR300" s="77">
        <f t="shared" si="22"/>
        <v>200</v>
      </c>
      <c r="AS300" s="11"/>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row>
    <row r="301" spans="1:114" ht="16.5" x14ac:dyDescent="0.25">
      <c r="A301" s="34"/>
      <c r="B301" s="34"/>
      <c r="C301" s="34"/>
      <c r="D301" s="34"/>
      <c r="E301" s="34"/>
      <c r="F301" s="34"/>
      <c r="G301" s="34"/>
      <c r="H301" s="34"/>
      <c r="I301" s="34"/>
      <c r="J301" s="34"/>
      <c r="K301" s="34"/>
      <c r="L301" s="34"/>
      <c r="M301" s="34"/>
      <c r="N301" s="35"/>
      <c r="O301" s="35"/>
      <c r="P301" s="3" t="s">
        <v>4</v>
      </c>
      <c r="Q301" s="11" t="str">
        <f t="shared" si="21"/>
        <v>發明</v>
      </c>
      <c r="R301" s="3" t="str">
        <f>'P(M)年費表'!C34</f>
        <v>USD</v>
      </c>
      <c r="S301" s="99"/>
      <c r="T301" s="99">
        <f>IF(T$265=0,0,'P(M)年費表'!E34)</f>
        <v>0</v>
      </c>
      <c r="U301" s="99">
        <f>IF(U$265=0,0,'P(M)年費表'!F34)</f>
        <v>0</v>
      </c>
      <c r="V301" s="99">
        <f>IF(V$265=0,0,'P(M)年費表'!G34)</f>
        <v>0</v>
      </c>
      <c r="W301" s="99">
        <f>IF(W$265=0,0,'P(M)年費表'!H34)</f>
        <v>0</v>
      </c>
      <c r="X301" s="99">
        <f>IF(X$265=0,0,'P(M)年費表'!I34)</f>
        <v>0</v>
      </c>
      <c r="Y301" s="99">
        <f>IF(Y$265=0,0,'P(M)年費表'!J34)</f>
        <v>0</v>
      </c>
      <c r="Z301" s="99">
        <f>IF(Z$265=0,0,'P(M)年費表'!K34)</f>
        <v>126</v>
      </c>
      <c r="AA301" s="99">
        <f>IF(AA$265=0,0,'P(M)年費表'!L34)</f>
        <v>0</v>
      </c>
      <c r="AB301" s="99">
        <f>IF(AB$265=0,0,'P(M)年費表'!M34)</f>
        <v>0</v>
      </c>
      <c r="AC301" s="99">
        <f>IF(AC$265=0,0,'P(M)年費表'!N34)</f>
        <v>0</v>
      </c>
      <c r="AD301" s="99">
        <f>IF(AD$265=0,0,'P(M)年費表'!O34)</f>
        <v>0</v>
      </c>
      <c r="AE301" s="99">
        <f>IF(AE$265=0,0,'P(M)年費表'!P34)</f>
        <v>0</v>
      </c>
      <c r="AF301" s="99">
        <f>IF(AF$265=0,0,'P(M)年費表'!Q34)</f>
        <v>0</v>
      </c>
      <c r="AG301" s="99">
        <f>IF(AG$265=0,0,'P(M)年費表'!R34)</f>
        <v>0</v>
      </c>
      <c r="AH301" s="99">
        <f>IF(AH$265=0,0,'P(M)年費表'!S34)</f>
        <v>0</v>
      </c>
      <c r="AI301" s="99">
        <f>IF(AI$265=0,0,'P(M)年費表'!T34)</f>
        <v>0</v>
      </c>
      <c r="AJ301" s="99">
        <f>IF(AJ$265=0,0,'P(M)年費表'!U34)</f>
        <v>0</v>
      </c>
      <c r="AK301" s="99">
        <f>IF(AK$265=0,0,'P(M)年費表'!V34)</f>
        <v>0</v>
      </c>
      <c r="AL301" s="99">
        <f>IF(AL$265=0,0,'P(M)年費表'!W34)</f>
        <v>0</v>
      </c>
      <c r="AM301" s="99">
        <f>IF(AM$265=0,0,'P(M)年費表'!X34)</f>
        <v>0</v>
      </c>
      <c r="AN301" s="99">
        <f>IF(AN$265=0,0,'P(M)年費表'!Y34)</f>
        <v>0</v>
      </c>
      <c r="AO301" s="99">
        <f>IF(AO$265=0,0,'P(M)年費表'!Z34)</f>
        <v>0</v>
      </c>
      <c r="AP301" s="99">
        <f>IF(AP$265=0,0,'P(M)年費表'!AA34)</f>
        <v>0</v>
      </c>
      <c r="AQ301" s="99">
        <f>IF(AQ$265=0,0,'P(M)年費表'!AB34)</f>
        <v>0</v>
      </c>
      <c r="AR301" s="77">
        <f t="shared" si="22"/>
        <v>126</v>
      </c>
      <c r="AS301" s="11"/>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c r="CG301" s="35"/>
      <c r="CH301" s="35"/>
      <c r="CI301" s="35"/>
      <c r="CJ301" s="35"/>
      <c r="CK301" s="35"/>
      <c r="CL301" s="35"/>
      <c r="CM301" s="35"/>
      <c r="CN301" s="35"/>
      <c r="CO301" s="35"/>
      <c r="CP301" s="35"/>
      <c r="CQ301" s="35"/>
      <c r="CR301" s="35"/>
      <c r="CS301" s="35"/>
      <c r="CT301" s="35"/>
      <c r="CU301" s="35"/>
      <c r="CV301" s="35"/>
      <c r="CW301" s="35"/>
      <c r="CX301" s="35"/>
      <c r="CY301" s="35"/>
      <c r="CZ301" s="35"/>
      <c r="DA301" s="35"/>
      <c r="DB301" s="35"/>
      <c r="DC301" s="35"/>
      <c r="DD301" s="35"/>
      <c r="DE301" s="35"/>
      <c r="DF301" s="35"/>
      <c r="DG301" s="35"/>
      <c r="DH301" s="35"/>
      <c r="DI301" s="35"/>
      <c r="DJ301" s="35"/>
    </row>
    <row r="302" spans="1:114" ht="16.5" x14ac:dyDescent="0.25">
      <c r="A302" s="34"/>
      <c r="B302" s="34"/>
      <c r="C302" s="34"/>
      <c r="D302" s="34"/>
      <c r="E302" s="34"/>
      <c r="F302" s="34"/>
      <c r="G302" s="34"/>
      <c r="H302" s="34"/>
      <c r="I302" s="34"/>
      <c r="J302" s="34"/>
      <c r="K302" s="34"/>
      <c r="L302" s="34"/>
      <c r="M302" s="34"/>
      <c r="N302" s="35"/>
      <c r="O302" s="35"/>
      <c r="P302" s="3" t="s">
        <v>5</v>
      </c>
      <c r="Q302" s="11" t="str">
        <f t="shared" si="21"/>
        <v>發明</v>
      </c>
      <c r="R302" s="3" t="str">
        <f>'P(M)年費表'!C35</f>
        <v>USD</v>
      </c>
      <c r="S302" s="105"/>
      <c r="T302" s="99">
        <f>IF(T$265=0,0,'P(M)年費表'!E35)</f>
        <v>0</v>
      </c>
      <c r="U302" s="99">
        <f>IF(U$265=0,0,'P(M)年費表'!F35)</f>
        <v>0</v>
      </c>
      <c r="V302" s="99">
        <f>IF(V$265=0,0,'P(M)年費表'!G35)</f>
        <v>0</v>
      </c>
      <c r="W302" s="99">
        <f>IF(W$265=0,0,'P(M)年費表'!H35)</f>
        <v>0</v>
      </c>
      <c r="X302" s="99">
        <f>IF(X$265=0,0,'P(M)年費表'!I35)</f>
        <v>0</v>
      </c>
      <c r="Y302" s="99">
        <f>IF(Y$265=0,0,'P(M)年費表'!J35)</f>
        <v>0</v>
      </c>
      <c r="Z302" s="99">
        <f>IF(Z$265=0,0,'P(M)年費表'!K35)</f>
        <v>384.46</v>
      </c>
      <c r="AA302" s="99">
        <f>IF(AA$265=0,0,'P(M)年費表'!L35)</f>
        <v>0</v>
      </c>
      <c r="AB302" s="99">
        <f>IF(AB$265=0,0,'P(M)年費表'!M35)</f>
        <v>0</v>
      </c>
      <c r="AC302" s="99">
        <f>IF(AC$265=0,0,'P(M)年費表'!N35)</f>
        <v>0</v>
      </c>
      <c r="AD302" s="99">
        <f>IF(AD$265=0,0,'P(M)年費表'!O35)</f>
        <v>0</v>
      </c>
      <c r="AE302" s="99">
        <f>IF(AE$265=0,0,'P(M)年費表'!P35)</f>
        <v>0</v>
      </c>
      <c r="AF302" s="99">
        <f>IF(AF$265=0,0,'P(M)年費表'!Q35)</f>
        <v>0</v>
      </c>
      <c r="AG302" s="99">
        <f>IF(AG$265=0,0,'P(M)年費表'!R35)</f>
        <v>0</v>
      </c>
      <c r="AH302" s="99">
        <f>IF(AH$265=0,0,'P(M)年費表'!S35)</f>
        <v>0</v>
      </c>
      <c r="AI302" s="99">
        <f>IF(AI$265=0,0,'P(M)年費表'!T35)</f>
        <v>0</v>
      </c>
      <c r="AJ302" s="99">
        <f>IF(AJ$265=0,0,'P(M)年費表'!U35)</f>
        <v>0</v>
      </c>
      <c r="AK302" s="99">
        <f>IF(AK$265=0,0,'P(M)年費表'!V35)</f>
        <v>0</v>
      </c>
      <c r="AL302" s="99">
        <f>IF(AL$265=0,0,'P(M)年費表'!W35)</f>
        <v>0</v>
      </c>
      <c r="AM302" s="99">
        <f>IF(AM$265=0,0,'P(M)年費表'!X35)</f>
        <v>0</v>
      </c>
      <c r="AN302" s="99">
        <f>IF(AN$265=0,0,'P(M)年費表'!Y35)</f>
        <v>0</v>
      </c>
      <c r="AO302" s="99">
        <f>IF(AO$265=0,0,'P(M)年費表'!Z35)</f>
        <v>0</v>
      </c>
      <c r="AP302" s="99">
        <f>IF(AP$265=0,0,'P(M)年費表'!AA35)</f>
        <v>0</v>
      </c>
      <c r="AQ302" s="99">
        <f>IF(AQ$265=0,0,'P(M)年費表'!AB35)</f>
        <v>0</v>
      </c>
      <c r="AR302" s="77">
        <f t="shared" si="22"/>
        <v>384.46</v>
      </c>
      <c r="AS302" s="11"/>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c r="CG302" s="35"/>
      <c r="CH302" s="35"/>
      <c r="CI302" s="35"/>
      <c r="CJ302" s="35"/>
      <c r="CK302" s="35"/>
      <c r="CL302" s="35"/>
      <c r="CM302" s="35"/>
      <c r="CN302" s="35"/>
      <c r="CO302" s="35"/>
      <c r="CP302" s="35"/>
      <c r="CQ302" s="35"/>
      <c r="CR302" s="35"/>
      <c r="CS302" s="35"/>
      <c r="CT302" s="35"/>
      <c r="CU302" s="35"/>
      <c r="CV302" s="35"/>
      <c r="CW302" s="35"/>
      <c r="CX302" s="35"/>
      <c r="CY302" s="35"/>
      <c r="CZ302" s="35"/>
      <c r="DA302" s="35"/>
      <c r="DB302" s="35"/>
      <c r="DC302" s="35"/>
      <c r="DD302" s="35"/>
      <c r="DE302" s="35"/>
      <c r="DF302" s="35"/>
      <c r="DG302" s="35"/>
      <c r="DH302" s="35"/>
      <c r="DI302" s="35"/>
      <c r="DJ302" s="35"/>
    </row>
    <row r="303" spans="1:114" ht="16.5" x14ac:dyDescent="0.25">
      <c r="A303" s="34"/>
      <c r="B303" s="34"/>
      <c r="C303" s="34"/>
      <c r="D303" s="34"/>
      <c r="E303" s="34"/>
      <c r="F303" s="34"/>
      <c r="G303" s="34"/>
      <c r="H303" s="34"/>
      <c r="I303" s="34"/>
      <c r="J303" s="34"/>
      <c r="K303" s="34"/>
      <c r="L303" s="34"/>
      <c r="M303" s="34"/>
      <c r="N303" s="35"/>
      <c r="O303" s="35"/>
      <c r="P303" s="215" t="s">
        <v>6</v>
      </c>
      <c r="Q303" s="11" t="str">
        <f t="shared" si="21"/>
        <v>發明</v>
      </c>
      <c r="R303" s="3" t="str">
        <f>'P(M)年費表'!C36</f>
        <v>JPY</v>
      </c>
      <c r="S303" s="99"/>
      <c r="T303" s="99">
        <f>IF(T$265=0,0,'P(M)年費表'!E36)</f>
        <v>0</v>
      </c>
      <c r="U303" s="99">
        <f>IF(U$265=0,0,'P(M)年費表'!F36)</f>
        <v>0</v>
      </c>
      <c r="V303" s="99">
        <f>IF(V$265=0,0,'P(M)年費表'!G36)</f>
        <v>0</v>
      </c>
      <c r="W303" s="99">
        <f>IF(W$265=0,0,'P(M)年費表'!H36)</f>
        <v>0</v>
      </c>
      <c r="X303" s="99">
        <f>IF(X$265=0,0,'P(M)年費表'!I36)</f>
        <v>0</v>
      </c>
      <c r="Y303" s="99">
        <f>IF(Y$265=0,0,'P(M)年費表'!J36)</f>
        <v>0</v>
      </c>
      <c r="Z303" s="99">
        <f>IF(Z$265=0,0,'P(M)年費表'!K36)</f>
        <v>11000</v>
      </c>
      <c r="AA303" s="99">
        <f>IF(AA$265=0,0,'P(M)年費表'!L36)</f>
        <v>0</v>
      </c>
      <c r="AB303" s="99">
        <f>IF(AB$265=0,0,'P(M)年費表'!M36)</f>
        <v>0</v>
      </c>
      <c r="AC303" s="99">
        <f>IF(AC$265=0,0,'P(M)年費表'!N36)</f>
        <v>0</v>
      </c>
      <c r="AD303" s="99">
        <f>IF(AD$265=0,0,'P(M)年費表'!O36)</f>
        <v>0</v>
      </c>
      <c r="AE303" s="99">
        <f>IF(AE$265=0,0,'P(M)年費表'!P36)</f>
        <v>0</v>
      </c>
      <c r="AF303" s="99">
        <f>IF(AF$265=0,0,'P(M)年費表'!Q36)</f>
        <v>0</v>
      </c>
      <c r="AG303" s="99">
        <f>IF(AG$265=0,0,'P(M)年費表'!R36)</f>
        <v>0</v>
      </c>
      <c r="AH303" s="99">
        <f>IF(AH$265=0,0,'P(M)年費表'!S36)</f>
        <v>0</v>
      </c>
      <c r="AI303" s="99">
        <f>IF(AI$265=0,0,'P(M)年費表'!T36)</f>
        <v>0</v>
      </c>
      <c r="AJ303" s="99">
        <f>IF(AJ$265=0,0,'P(M)年費表'!U36)</f>
        <v>0</v>
      </c>
      <c r="AK303" s="99">
        <f>IF(AK$265=0,0,'P(M)年費表'!V36)</f>
        <v>0</v>
      </c>
      <c r="AL303" s="99">
        <f>IF(AL$265=0,0,'P(M)年費表'!W36)</f>
        <v>0</v>
      </c>
      <c r="AM303" s="99">
        <f>IF(AM$265=0,0,'P(M)年費表'!X36)</f>
        <v>0</v>
      </c>
      <c r="AN303" s="99">
        <f>IF(AN$265=0,0,'P(M)年費表'!Y36)</f>
        <v>0</v>
      </c>
      <c r="AO303" s="99">
        <f>IF(AO$265=0,0,'P(M)年費表'!Z36)</f>
        <v>0</v>
      </c>
      <c r="AP303" s="99">
        <f>IF(AP$265=0,0,'P(M)年費表'!AA36)</f>
        <v>0</v>
      </c>
      <c r="AQ303" s="99">
        <f>IF(AQ$265=0,0,'P(M)年費表'!AB36)</f>
        <v>0</v>
      </c>
      <c r="AR303" s="77">
        <f t="shared" si="22"/>
        <v>11000</v>
      </c>
      <c r="AS303" s="11"/>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c r="CG303" s="35"/>
      <c r="CH303" s="35"/>
      <c r="CI303" s="35"/>
      <c r="CJ303" s="35"/>
      <c r="CK303" s="35"/>
      <c r="CL303" s="35"/>
      <c r="CM303" s="35"/>
      <c r="CN303" s="35"/>
      <c r="CO303" s="35"/>
      <c r="CP303" s="35"/>
      <c r="CQ303" s="35"/>
      <c r="CR303" s="35"/>
      <c r="CS303" s="35"/>
      <c r="CT303" s="35"/>
      <c r="CU303" s="35"/>
      <c r="CV303" s="35"/>
      <c r="CW303" s="35"/>
      <c r="CX303" s="35"/>
      <c r="CY303" s="35"/>
      <c r="CZ303" s="35"/>
      <c r="DA303" s="35"/>
      <c r="DB303" s="35"/>
      <c r="DC303" s="35"/>
      <c r="DD303" s="35"/>
      <c r="DE303" s="35"/>
      <c r="DF303" s="35"/>
      <c r="DG303" s="35"/>
      <c r="DH303" s="35"/>
      <c r="DI303" s="35"/>
      <c r="DJ303" s="35"/>
    </row>
    <row r="304" spans="1:114" ht="16.5" x14ac:dyDescent="0.25">
      <c r="A304" s="34"/>
      <c r="B304" s="34"/>
      <c r="C304" s="34"/>
      <c r="D304" s="34"/>
      <c r="E304" s="34"/>
      <c r="F304" s="34"/>
      <c r="G304" s="34"/>
      <c r="H304" s="34"/>
      <c r="I304" s="34"/>
      <c r="J304" s="34"/>
      <c r="K304" s="34"/>
      <c r="L304" s="34"/>
      <c r="M304" s="34"/>
      <c r="N304" s="35"/>
      <c r="O304" s="35"/>
      <c r="P304" s="216"/>
      <c r="Q304" s="11" t="str">
        <f t="shared" si="21"/>
        <v>新型</v>
      </c>
      <c r="R304" s="3" t="str">
        <f>'P(M)年費表'!C37</f>
        <v>JPY</v>
      </c>
      <c r="S304" s="99"/>
      <c r="T304" s="99">
        <f>IF(T$265=0,0,'P(M)年費表'!E37)</f>
        <v>0</v>
      </c>
      <c r="U304" s="99">
        <f>IF(U$265=0,0,'P(M)年費表'!F37)</f>
        <v>0</v>
      </c>
      <c r="V304" s="99">
        <f>IF(V$265=0,0,'P(M)年費表'!G37)</f>
        <v>0</v>
      </c>
      <c r="W304" s="99">
        <f>IF(W$265=0,0,'P(M)年費表'!H37)</f>
        <v>0</v>
      </c>
      <c r="X304" s="99">
        <f>IF(X$265=0,0,'P(M)年費表'!I37)</f>
        <v>0</v>
      </c>
      <c r="Y304" s="99">
        <f>IF(Y$265=0,0,'P(M)年費表'!J37)</f>
        <v>0</v>
      </c>
      <c r="Z304" s="99">
        <f>IF(Z$265=0,0,'P(M)年費表'!K37)</f>
        <v>10000</v>
      </c>
      <c r="AA304" s="99">
        <f>IF(AA$265=0,0,'P(M)年費表'!L37)</f>
        <v>0</v>
      </c>
      <c r="AB304" s="99">
        <f>IF(AB$265=0,0,'P(M)年費表'!M37)</f>
        <v>0</v>
      </c>
      <c r="AC304" s="99">
        <f>IF(AC$265=0,0,'P(M)年費表'!N37)</f>
        <v>0</v>
      </c>
      <c r="AD304" s="99">
        <f>IF(AD$265=0,0,'P(M)年費表'!O37)</f>
        <v>0</v>
      </c>
      <c r="AE304" s="99">
        <f>IF(AE$265=0,0,'P(M)年費表'!P37)</f>
        <v>0</v>
      </c>
      <c r="AF304" s="99">
        <f>IF(AF$265=0,0,'P(M)年費表'!Q37)</f>
        <v>0</v>
      </c>
      <c r="AG304" s="99">
        <f>IF(AG$265=0,0,'P(M)年費表'!R37)</f>
        <v>0</v>
      </c>
      <c r="AH304" s="99">
        <f>IF(AH$265=0,0,'P(M)年費表'!S37)</f>
        <v>0</v>
      </c>
      <c r="AI304" s="99">
        <f>IF(AI$265=0,0,'P(M)年費表'!T37)</f>
        <v>0</v>
      </c>
      <c r="AJ304" s="99">
        <f>IF(AJ$265=0,0,'P(M)年費表'!U37)</f>
        <v>0</v>
      </c>
      <c r="AK304" s="99">
        <f>IF(AK$265=0,0,'P(M)年費表'!V37)</f>
        <v>0</v>
      </c>
      <c r="AL304" s="99">
        <f>IF(AL$265=0,0,'P(M)年費表'!W37)</f>
        <v>0</v>
      </c>
      <c r="AM304" s="99">
        <f>IF(AM$265=0,0,'P(M)年費表'!X37)</f>
        <v>0</v>
      </c>
      <c r="AN304" s="99">
        <f>IF(AN$265=0,0,'P(M)年費表'!Y37)</f>
        <v>0</v>
      </c>
      <c r="AO304" s="99">
        <f>IF(AO$265=0,0,'P(M)年費表'!Z37)</f>
        <v>0</v>
      </c>
      <c r="AP304" s="99">
        <f>IF(AP$265=0,0,'P(M)年費表'!AA37)</f>
        <v>0</v>
      </c>
      <c r="AQ304" s="99">
        <f>IF(AQ$265=0,0,'P(M)年費表'!AB37)</f>
        <v>0</v>
      </c>
      <c r="AR304" s="77">
        <f t="shared" si="22"/>
        <v>10000</v>
      </c>
      <c r="AS304" s="11"/>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c r="CG304" s="35"/>
      <c r="CH304" s="35"/>
      <c r="CI304" s="35"/>
      <c r="CJ304" s="35"/>
      <c r="CK304" s="35"/>
      <c r="CL304" s="35"/>
      <c r="CM304" s="35"/>
      <c r="CN304" s="35"/>
      <c r="CO304" s="35"/>
      <c r="CP304" s="35"/>
      <c r="CQ304" s="35"/>
      <c r="CR304" s="35"/>
      <c r="CS304" s="35"/>
      <c r="CT304" s="35"/>
      <c r="CU304" s="35"/>
      <c r="CV304" s="35"/>
      <c r="CW304" s="35"/>
      <c r="CX304" s="35"/>
      <c r="CY304" s="35"/>
      <c r="CZ304" s="35"/>
      <c r="DA304" s="35"/>
      <c r="DB304" s="35"/>
      <c r="DC304" s="35"/>
      <c r="DD304" s="35"/>
      <c r="DE304" s="35"/>
      <c r="DF304" s="35"/>
      <c r="DG304" s="35"/>
      <c r="DH304" s="35"/>
      <c r="DI304" s="35"/>
      <c r="DJ304" s="35"/>
    </row>
    <row r="305" spans="1:114" ht="16.5" x14ac:dyDescent="0.25">
      <c r="A305" s="34"/>
      <c r="B305" s="34"/>
      <c r="C305" s="34"/>
      <c r="D305" s="34"/>
      <c r="E305" s="34"/>
      <c r="F305" s="34"/>
      <c r="G305" s="34"/>
      <c r="H305" s="34"/>
      <c r="I305" s="34"/>
      <c r="J305" s="34"/>
      <c r="K305" s="34"/>
      <c r="L305" s="34"/>
      <c r="M305" s="34"/>
      <c r="N305" s="35"/>
      <c r="O305" s="35"/>
      <c r="P305" s="215" t="s">
        <v>7</v>
      </c>
      <c r="Q305" s="11" t="str">
        <f t="shared" si="21"/>
        <v>發明</v>
      </c>
      <c r="R305" s="3" t="str">
        <f>'P(M)年費表'!C38</f>
        <v>USD</v>
      </c>
      <c r="S305" s="99"/>
      <c r="T305" s="99">
        <f>IF(T$265=0,0,'P(M)年費表'!E38)</f>
        <v>0</v>
      </c>
      <c r="U305" s="99">
        <f>IF(U$265=0,0,'P(M)年費表'!F38)</f>
        <v>0</v>
      </c>
      <c r="V305" s="99">
        <f>IF(V$265=0,0,'P(M)年費表'!G38)</f>
        <v>0</v>
      </c>
      <c r="W305" s="99">
        <f>IF(W$265=0,0,'P(M)年費表'!H38)</f>
        <v>0</v>
      </c>
      <c r="X305" s="99">
        <f>IF(X$265=0,0,'P(M)年費表'!I38)</f>
        <v>0</v>
      </c>
      <c r="Y305" s="99">
        <f>IF(Y$265=0,0,'P(M)年費表'!J38)</f>
        <v>0</v>
      </c>
      <c r="Z305" s="99">
        <f>IF(Z$265=0,0,'P(M)年費表'!K38)</f>
        <v>160</v>
      </c>
      <c r="AA305" s="99">
        <f>IF(AA$265=0,0,'P(M)年費表'!L38)</f>
        <v>0</v>
      </c>
      <c r="AB305" s="99">
        <f>IF(AB$265=0,0,'P(M)年費表'!M38)</f>
        <v>0</v>
      </c>
      <c r="AC305" s="99">
        <f>IF(AC$265=0,0,'P(M)年費表'!N38)</f>
        <v>0</v>
      </c>
      <c r="AD305" s="99">
        <f>IF(AD$265=0,0,'P(M)年費表'!O38)</f>
        <v>0</v>
      </c>
      <c r="AE305" s="99">
        <f>IF(AE$265=0,0,'P(M)年費表'!P38)</f>
        <v>0</v>
      </c>
      <c r="AF305" s="99">
        <f>IF(AF$265=0,0,'P(M)年費表'!Q38)</f>
        <v>0</v>
      </c>
      <c r="AG305" s="99">
        <f>IF(AG$265=0,0,'P(M)年費表'!R38)</f>
        <v>0</v>
      </c>
      <c r="AH305" s="99">
        <f>IF(AH$265=0,0,'P(M)年費表'!S38)</f>
        <v>0</v>
      </c>
      <c r="AI305" s="99">
        <f>IF(AI$265=0,0,'P(M)年費表'!T38)</f>
        <v>0</v>
      </c>
      <c r="AJ305" s="99">
        <f>IF(AJ$265=0,0,'P(M)年費表'!U38)</f>
        <v>0</v>
      </c>
      <c r="AK305" s="99">
        <f>IF(AK$265=0,0,'P(M)年費表'!V38)</f>
        <v>0</v>
      </c>
      <c r="AL305" s="99">
        <f>IF(AL$265=0,0,'P(M)年費表'!W38)</f>
        <v>0</v>
      </c>
      <c r="AM305" s="99">
        <f>IF(AM$265=0,0,'P(M)年費表'!X38)</f>
        <v>0</v>
      </c>
      <c r="AN305" s="99">
        <f>IF(AN$265=0,0,'P(M)年費表'!Y38)</f>
        <v>0</v>
      </c>
      <c r="AO305" s="99">
        <f>IF(AO$265=0,0,'P(M)年費表'!Z38)</f>
        <v>0</v>
      </c>
      <c r="AP305" s="99">
        <f>IF(AP$265=0,0,'P(M)年費表'!AA38)</f>
        <v>0</v>
      </c>
      <c r="AQ305" s="99">
        <f>IF(AQ$265=0,0,'P(M)年費表'!AB38)</f>
        <v>0</v>
      </c>
      <c r="AR305" s="77">
        <f t="shared" si="22"/>
        <v>160</v>
      </c>
      <c r="AS305" s="11"/>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c r="CG305" s="35"/>
      <c r="CH305" s="35"/>
      <c r="CI305" s="35"/>
      <c r="CJ305" s="35"/>
      <c r="CK305" s="35"/>
      <c r="CL305" s="35"/>
      <c r="CM305" s="35"/>
      <c r="CN305" s="35"/>
      <c r="CO305" s="35"/>
      <c r="CP305" s="35"/>
      <c r="CQ305" s="35"/>
      <c r="CR305" s="35"/>
      <c r="CS305" s="35"/>
      <c r="CT305" s="35"/>
      <c r="CU305" s="35"/>
      <c r="CV305" s="35"/>
      <c r="CW305" s="35"/>
      <c r="CX305" s="35"/>
      <c r="CY305" s="35"/>
      <c r="CZ305" s="35"/>
      <c r="DA305" s="35"/>
      <c r="DB305" s="35"/>
      <c r="DC305" s="35"/>
      <c r="DD305" s="35"/>
      <c r="DE305" s="35"/>
      <c r="DF305" s="35"/>
      <c r="DG305" s="35"/>
      <c r="DH305" s="35"/>
      <c r="DI305" s="35"/>
      <c r="DJ305" s="35"/>
    </row>
    <row r="306" spans="1:114" ht="16.5" x14ac:dyDescent="0.25">
      <c r="A306" s="34"/>
      <c r="B306" s="34"/>
      <c r="C306" s="34"/>
      <c r="D306" s="34"/>
      <c r="E306" s="34"/>
      <c r="F306" s="34"/>
      <c r="G306" s="34"/>
      <c r="H306" s="34"/>
      <c r="I306" s="34"/>
      <c r="J306" s="34"/>
      <c r="K306" s="34"/>
      <c r="L306" s="34"/>
      <c r="M306" s="34"/>
      <c r="N306" s="35"/>
      <c r="O306" s="35"/>
      <c r="P306" s="216"/>
      <c r="Q306" s="11" t="str">
        <f t="shared" si="21"/>
        <v>新型</v>
      </c>
      <c r="R306" s="3" t="str">
        <f>'P(M)年費表'!C39</f>
        <v>USD</v>
      </c>
      <c r="S306" s="99"/>
      <c r="T306" s="99">
        <f>IF(T$265=0,0,'P(M)年費表'!E39)</f>
        <v>0</v>
      </c>
      <c r="U306" s="99">
        <f>IF(U$265=0,0,'P(M)年費表'!F39)</f>
        <v>0</v>
      </c>
      <c r="V306" s="99">
        <f>IF(V$265=0,0,'P(M)年費表'!G39)</f>
        <v>0</v>
      </c>
      <c r="W306" s="99">
        <f>IF(W$265=0,0,'P(M)年費表'!H39)</f>
        <v>0</v>
      </c>
      <c r="X306" s="99">
        <f>IF(X$265=0,0,'P(M)年費表'!I39)</f>
        <v>0</v>
      </c>
      <c r="Y306" s="99">
        <f>IF(Y$265=0,0,'P(M)年費表'!J39)</f>
        <v>0</v>
      </c>
      <c r="Z306" s="99">
        <f>IF(Z$265=0,0,'P(M)年費表'!K39)</f>
        <v>160</v>
      </c>
      <c r="AA306" s="99">
        <f>IF(AA$265=0,0,'P(M)年費表'!L39)</f>
        <v>0</v>
      </c>
      <c r="AB306" s="99">
        <f>IF(AB$265=0,0,'P(M)年費表'!M39)</f>
        <v>0</v>
      </c>
      <c r="AC306" s="99">
        <f>IF(AC$265=0,0,'P(M)年費表'!N39)</f>
        <v>0</v>
      </c>
      <c r="AD306" s="99">
        <f>IF(AD$265=0,0,'P(M)年費表'!O39)</f>
        <v>0</v>
      </c>
      <c r="AE306" s="99">
        <f>IF(AE$265=0,0,'P(M)年費表'!P39)</f>
        <v>0</v>
      </c>
      <c r="AF306" s="99">
        <f>IF(AF$265=0,0,'P(M)年費表'!Q39)</f>
        <v>0</v>
      </c>
      <c r="AG306" s="99">
        <f>IF(AG$265=0,0,'P(M)年費表'!R39)</f>
        <v>0</v>
      </c>
      <c r="AH306" s="99">
        <f>IF(AH$265=0,0,'P(M)年費表'!S39)</f>
        <v>0</v>
      </c>
      <c r="AI306" s="99">
        <f>IF(AI$265=0,0,'P(M)年費表'!T39)</f>
        <v>0</v>
      </c>
      <c r="AJ306" s="99">
        <f>IF(AJ$265=0,0,'P(M)年費表'!U39)</f>
        <v>0</v>
      </c>
      <c r="AK306" s="99">
        <f>IF(AK$265=0,0,'P(M)年費表'!V39)</f>
        <v>0</v>
      </c>
      <c r="AL306" s="99">
        <f>IF(AL$265=0,0,'P(M)年費表'!W39)</f>
        <v>0</v>
      </c>
      <c r="AM306" s="99">
        <f>IF(AM$265=0,0,'P(M)年費表'!X39)</f>
        <v>0</v>
      </c>
      <c r="AN306" s="99">
        <f>IF(AN$265=0,0,'P(M)年費表'!Y39)</f>
        <v>0</v>
      </c>
      <c r="AO306" s="99">
        <f>IF(AO$265=0,0,'P(M)年費表'!Z39)</f>
        <v>0</v>
      </c>
      <c r="AP306" s="99">
        <f>IF(AP$265=0,0,'P(M)年費表'!AA39)</f>
        <v>0</v>
      </c>
      <c r="AQ306" s="99">
        <f>IF(AQ$265=0,0,'P(M)年費表'!AB39)</f>
        <v>0</v>
      </c>
      <c r="AR306" s="77">
        <f t="shared" si="22"/>
        <v>160</v>
      </c>
      <c r="AS306" s="11"/>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c r="CG306" s="35"/>
      <c r="CH306" s="35"/>
      <c r="CI306" s="35"/>
      <c r="CJ306" s="35"/>
      <c r="CK306" s="35"/>
      <c r="CL306" s="35"/>
      <c r="CM306" s="35"/>
      <c r="CN306" s="35"/>
      <c r="CO306" s="35"/>
      <c r="CP306" s="35"/>
      <c r="CQ306" s="35"/>
      <c r="CR306" s="35"/>
      <c r="CS306" s="35"/>
      <c r="CT306" s="35"/>
      <c r="CU306" s="35"/>
      <c r="CV306" s="35"/>
      <c r="CW306" s="35"/>
      <c r="CX306" s="35"/>
      <c r="CY306" s="35"/>
      <c r="CZ306" s="35"/>
      <c r="DA306" s="35"/>
      <c r="DB306" s="35"/>
      <c r="DC306" s="35"/>
      <c r="DD306" s="35"/>
      <c r="DE306" s="35"/>
      <c r="DF306" s="35"/>
      <c r="DG306" s="35"/>
      <c r="DH306" s="35"/>
      <c r="DI306" s="35"/>
      <c r="DJ306" s="35"/>
    </row>
    <row r="307" spans="1:114" ht="16.5" x14ac:dyDescent="0.25">
      <c r="A307" s="34"/>
      <c r="B307" s="34"/>
      <c r="C307" s="34"/>
      <c r="D307" s="34"/>
      <c r="E307" s="34"/>
      <c r="F307" s="34"/>
      <c r="G307" s="34"/>
      <c r="H307" s="34"/>
      <c r="I307" s="34"/>
      <c r="J307" s="34"/>
      <c r="K307" s="34"/>
      <c r="L307" s="34"/>
      <c r="M307" s="34"/>
      <c r="N307" s="35"/>
      <c r="O307" s="35"/>
      <c r="P307" s="3" t="s">
        <v>42</v>
      </c>
      <c r="Q307" s="11" t="str">
        <f t="shared" ref="Q307:Q317" si="23">B280</f>
        <v>發明</v>
      </c>
      <c r="R307" s="3" t="str">
        <f>'P(M)年費表'!C40</f>
        <v>CAD</v>
      </c>
      <c r="S307" s="99"/>
      <c r="T307" s="99">
        <f>IF(T$265=0,0,'P(M)年費表'!E40)</f>
        <v>0</v>
      </c>
      <c r="U307" s="99">
        <f>IF(U$265=0,0,'P(M)年費表'!F40)</f>
        <v>0</v>
      </c>
      <c r="V307" s="99">
        <f>IF(V$265=0,0,'P(M)年費表'!G40)</f>
        <v>0</v>
      </c>
      <c r="W307" s="99">
        <f>IF(W$265=0,0,'P(M)年費表'!H40)</f>
        <v>0</v>
      </c>
      <c r="X307" s="99">
        <f>IF(X$265=0,0,'P(M)年費表'!I40)</f>
        <v>0</v>
      </c>
      <c r="Y307" s="99">
        <f>IF(Y$265=0,0,'P(M)年費表'!J40)</f>
        <v>0</v>
      </c>
      <c r="Z307" s="99">
        <f>IF(Z$265=0,0,'P(M)年費表'!K40)</f>
        <v>260</v>
      </c>
      <c r="AA307" s="99">
        <f>IF(AA$265=0,0,'P(M)年費表'!L40)</f>
        <v>0</v>
      </c>
      <c r="AB307" s="99">
        <f>IF(AB$265=0,0,'P(M)年費表'!M40)</f>
        <v>0</v>
      </c>
      <c r="AC307" s="99">
        <f>IF(AC$265=0,0,'P(M)年費表'!N40)</f>
        <v>0</v>
      </c>
      <c r="AD307" s="99">
        <f>IF(AD$265=0,0,'P(M)年費表'!O40)</f>
        <v>0</v>
      </c>
      <c r="AE307" s="99">
        <f>IF(AE$265=0,0,'P(M)年費表'!P40)</f>
        <v>0</v>
      </c>
      <c r="AF307" s="99">
        <f>IF(AF$265=0,0,'P(M)年費表'!Q40)</f>
        <v>0</v>
      </c>
      <c r="AG307" s="99">
        <f>IF(AG$265=0,0,'P(M)年費表'!R40)</f>
        <v>0</v>
      </c>
      <c r="AH307" s="99">
        <f>IF(AH$265=0,0,'P(M)年費表'!S40)</f>
        <v>0</v>
      </c>
      <c r="AI307" s="99">
        <f>IF(AI$265=0,0,'P(M)年費表'!T40)</f>
        <v>0</v>
      </c>
      <c r="AJ307" s="99">
        <f>IF(AJ$265=0,0,'P(M)年費表'!U40)</f>
        <v>0</v>
      </c>
      <c r="AK307" s="99">
        <f>IF(AK$265=0,0,'P(M)年費表'!V40)</f>
        <v>0</v>
      </c>
      <c r="AL307" s="99">
        <f>IF(AL$265=0,0,'P(M)年費表'!W40)</f>
        <v>0</v>
      </c>
      <c r="AM307" s="99">
        <f>IF(AM$265=0,0,'P(M)年費表'!X40)</f>
        <v>0</v>
      </c>
      <c r="AN307" s="99">
        <f>IF(AN$265=0,0,'P(M)年費表'!Y40)</f>
        <v>0</v>
      </c>
      <c r="AO307" s="99">
        <f>IF(AO$265=0,0,'P(M)年費表'!Z40)</f>
        <v>0</v>
      </c>
      <c r="AP307" s="99">
        <f>IF(AP$265=0,0,'P(M)年費表'!AA40)</f>
        <v>0</v>
      </c>
      <c r="AQ307" s="99">
        <f>IF(AQ$265=0,0,'P(M)年費表'!AB40)</f>
        <v>0</v>
      </c>
      <c r="AR307" s="77">
        <f>SUM(S307:AQ307)</f>
        <v>260</v>
      </c>
      <c r="AS307" s="11"/>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c r="CG307" s="35"/>
      <c r="CH307" s="35"/>
      <c r="CI307" s="35"/>
      <c r="CJ307" s="35"/>
      <c r="CK307" s="35"/>
      <c r="CL307" s="35"/>
      <c r="CM307" s="35"/>
      <c r="CN307" s="35"/>
      <c r="CO307" s="35"/>
      <c r="CP307" s="35"/>
      <c r="CQ307" s="35"/>
      <c r="CR307" s="35"/>
      <c r="CS307" s="35"/>
      <c r="CT307" s="35"/>
      <c r="CU307" s="35"/>
      <c r="CV307" s="35"/>
      <c r="CW307" s="35"/>
      <c r="CX307" s="35"/>
      <c r="CY307" s="35"/>
      <c r="CZ307" s="35"/>
      <c r="DA307" s="35"/>
      <c r="DB307" s="35"/>
      <c r="DC307" s="35"/>
      <c r="DD307" s="35"/>
      <c r="DE307" s="35"/>
      <c r="DF307" s="35"/>
      <c r="DG307" s="35"/>
      <c r="DH307" s="35"/>
      <c r="DI307" s="35"/>
      <c r="DJ307" s="35"/>
    </row>
    <row r="308" spans="1:114" ht="16.5" x14ac:dyDescent="0.25">
      <c r="A308" s="34"/>
      <c r="B308" s="34"/>
      <c r="C308" s="34"/>
      <c r="D308" s="34"/>
      <c r="E308" s="34"/>
      <c r="F308" s="34"/>
      <c r="G308" s="34"/>
      <c r="H308" s="34"/>
      <c r="I308" s="34"/>
      <c r="J308" s="34"/>
      <c r="K308" s="34"/>
      <c r="L308" s="34"/>
      <c r="M308" s="34"/>
      <c r="N308" s="35"/>
      <c r="O308" s="35"/>
      <c r="P308" s="3" t="s">
        <v>8</v>
      </c>
      <c r="Q308" s="11" t="str">
        <f t="shared" si="23"/>
        <v>發明</v>
      </c>
      <c r="R308" s="3" t="str">
        <f>'P(M)年費表'!C41</f>
        <v>SGD</v>
      </c>
      <c r="S308" s="99"/>
      <c r="T308" s="99">
        <f>IF(T$265=0,0,'P(M)年費表'!E41)</f>
        <v>0</v>
      </c>
      <c r="U308" s="105">
        <f>IF(U$265=1,'P(M)年費表'!F41,IF(AND(T$266=TRUE,U$266=TRUE),100,0))</f>
        <v>0</v>
      </c>
      <c r="V308" s="105">
        <f>IF(V$265=1,'P(M)年費表'!G41,IF(AND(U$266=TRUE,V$266=TRUE),100,0))</f>
        <v>0</v>
      </c>
      <c r="W308" s="105">
        <f>IF(W$265=1,'P(M)年費表'!H41,IF(AND(V$266=TRUE,W$266=TRUE),100,0))</f>
        <v>0</v>
      </c>
      <c r="X308" s="105">
        <f>IF(X$265=1,'P(M)年費表'!I41,IF(AND(W$266=TRUE,X$266=TRUE),100,0))</f>
        <v>0</v>
      </c>
      <c r="Y308" s="105">
        <f>IF(Y$265=1,'P(M)年費表'!J41,IF(AND(X$266=TRUE,Y$266=TRUE),100,0))</f>
        <v>0</v>
      </c>
      <c r="Z308" s="105">
        <f>IF(Z$265=1,'P(M)年費表'!K41,IF(AND(Y$266=TRUE,Z$266=TRUE),100,0))</f>
        <v>300</v>
      </c>
      <c r="AA308" s="105">
        <f>IF(AA$265=1,'P(M)年費表'!L41,IF(AND(Z$266=TRUE,AA$266=TRUE),100,0))</f>
        <v>100</v>
      </c>
      <c r="AB308" s="105">
        <f>IF(AB$265=1,'P(M)年費表'!M41,IF(AND(AA$266=TRUE,AB$266=TRUE),100,0))</f>
        <v>100</v>
      </c>
      <c r="AC308" s="105">
        <f>IF(AC$265=1,'P(M)年費表'!N41,IF(AND(AB$266=TRUE,AC$266=TRUE),100,0))</f>
        <v>0</v>
      </c>
      <c r="AD308" s="105">
        <f>IF(AD$265=1,'P(M)年費表'!O41,IF(AND(AC$266=TRUE,AD$266=TRUE),100,0))</f>
        <v>0</v>
      </c>
      <c r="AE308" s="105">
        <f>IF(AE$265=1,'P(M)年費表'!P41,IF(AND(AD$266=TRUE,AE$266=TRUE),100,0))</f>
        <v>0</v>
      </c>
      <c r="AF308" s="105">
        <f>IF(AF$265=1,'P(M)年費表'!Q41,IF(AND(AE$266=TRUE,AF$266=TRUE),100,0))</f>
        <v>0</v>
      </c>
      <c r="AG308" s="105">
        <f>IF(AG$265=1,'P(M)年費表'!R41,IF(AND(AF$266=TRUE,AG$266=TRUE),100,0))</f>
        <v>0</v>
      </c>
      <c r="AH308" s="105">
        <f>IF(AH$265=1,'P(M)年費表'!S41,IF(AND(AG$266=TRUE,AH$266=TRUE),100,0))</f>
        <v>0</v>
      </c>
      <c r="AI308" s="105">
        <f>IF(AI$265=1,'P(M)年費表'!T41,IF(AND(AH$266=TRUE,AI$266=TRUE),100,0))</f>
        <v>0</v>
      </c>
      <c r="AJ308" s="105">
        <f>IF(AJ$265=1,'P(M)年費表'!U41,IF(AND(AI$266=TRUE,AJ$266=TRUE),100,0))</f>
        <v>0</v>
      </c>
      <c r="AK308" s="105">
        <f>IF(AK$265=1,'P(M)年費表'!V41,IF(AND(AJ$266=TRUE,AK$266=TRUE),100,0))</f>
        <v>0</v>
      </c>
      <c r="AL308" s="105">
        <f>IF(AL$265=1,'P(M)年費表'!W41,IF(AND(AK$266=TRUE,AL$266=TRUE),100,0))</f>
        <v>0</v>
      </c>
      <c r="AM308" s="105">
        <f>IF(AM$265=1,'P(M)年費表'!X41,IF(AND(AL$266=TRUE,AM$266=TRUE),100,0))</f>
        <v>0</v>
      </c>
      <c r="AN308" s="105">
        <f>IF(AN$265=1,'P(M)年費表'!Y41,IF(AND(AM$266=TRUE,AN$266=TRUE),100,0))</f>
        <v>0</v>
      </c>
      <c r="AO308" s="105">
        <f>IF(AO$265=1,'P(M)年費表'!Z41,IF(AND(AN$266=TRUE,AO$266=TRUE),100,0))</f>
        <v>0</v>
      </c>
      <c r="AP308" s="105">
        <f>IF(AP$265=1,'P(M)年費表'!AA41,IF(AND(AO$266=TRUE,AP$266=TRUE),100,0))</f>
        <v>0</v>
      </c>
      <c r="AQ308" s="105">
        <f>IF(AQ$265=1,'P(M)年費表'!AB41,IF(AND(AP$266=TRUE,AQ$266=TRUE),100,0))</f>
        <v>0</v>
      </c>
      <c r="AR308" s="77">
        <f t="shared" si="22"/>
        <v>500</v>
      </c>
      <c r="AS308" s="11"/>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c r="CE308" s="35"/>
      <c r="CF308" s="35"/>
      <c r="CG308" s="35"/>
      <c r="CH308" s="35"/>
      <c r="CI308" s="35"/>
      <c r="CJ308" s="35"/>
      <c r="CK308" s="35"/>
      <c r="CL308" s="35"/>
      <c r="CM308" s="35"/>
      <c r="CN308" s="35"/>
      <c r="CO308" s="35"/>
      <c r="CP308" s="35"/>
      <c r="CQ308" s="35"/>
      <c r="CR308" s="35"/>
      <c r="CS308" s="35"/>
      <c r="CT308" s="35"/>
      <c r="CU308" s="35"/>
      <c r="CV308" s="35"/>
      <c r="CW308" s="35"/>
      <c r="CX308" s="35"/>
      <c r="CY308" s="35"/>
      <c r="CZ308" s="35"/>
      <c r="DA308" s="35"/>
      <c r="DB308" s="35"/>
      <c r="DC308" s="35"/>
      <c r="DD308" s="35"/>
      <c r="DE308" s="35"/>
      <c r="DF308" s="35"/>
      <c r="DG308" s="35"/>
      <c r="DH308" s="35"/>
      <c r="DI308" s="35"/>
      <c r="DJ308" s="35"/>
    </row>
    <row r="309" spans="1:114" ht="16.5" x14ac:dyDescent="0.25">
      <c r="A309" s="34"/>
      <c r="B309" s="34"/>
      <c r="C309" s="34"/>
      <c r="D309" s="34"/>
      <c r="E309" s="34"/>
      <c r="F309" s="34"/>
      <c r="G309" s="34"/>
      <c r="H309" s="34"/>
      <c r="I309" s="34"/>
      <c r="J309" s="34"/>
      <c r="K309" s="34"/>
      <c r="L309" s="34"/>
      <c r="M309" s="34"/>
      <c r="N309" s="35"/>
      <c r="O309" s="35"/>
      <c r="P309" s="215" t="s">
        <v>11</v>
      </c>
      <c r="Q309" s="11" t="str">
        <f t="shared" si="23"/>
        <v>發明</v>
      </c>
      <c r="R309" s="3" t="str">
        <f>'P(M)年費表'!C42</f>
        <v>MYR</v>
      </c>
      <c r="S309" s="99"/>
      <c r="T309" s="99">
        <f>IF(T$265=0,0,'P(M)年費表'!E42)</f>
        <v>0</v>
      </c>
      <c r="U309" s="99">
        <f>IF(U$265=0,0,'P(M)年費表'!F42)</f>
        <v>0</v>
      </c>
      <c r="V309" s="99">
        <f>IF(V$265=0,0,'P(M)年費表'!G42)</f>
        <v>0</v>
      </c>
      <c r="W309" s="99">
        <f>IF(W$265=0,0,'P(M)年費表'!H42)</f>
        <v>0</v>
      </c>
      <c r="X309" s="99">
        <f>IF(X$265=0,0,'P(M)年費表'!I42)</f>
        <v>0</v>
      </c>
      <c r="Y309" s="99">
        <f>IF(Y$265=0,0,'P(M)年費表'!J42)</f>
        <v>0</v>
      </c>
      <c r="Z309" s="99">
        <f>IF(Z$265=0,0,'P(M)年費表'!K42)</f>
        <v>265</v>
      </c>
      <c r="AA309" s="99">
        <f>IF(AA$265=0,0,'P(M)年費表'!L42)</f>
        <v>0</v>
      </c>
      <c r="AB309" s="99">
        <f>IF(AB$265=0,0,'P(M)年費表'!M42)</f>
        <v>0</v>
      </c>
      <c r="AC309" s="99">
        <f>IF(AC$265=0,0,'P(M)年費表'!N42)</f>
        <v>0</v>
      </c>
      <c r="AD309" s="99">
        <f>IF(AD$265=0,0,'P(M)年費表'!O42)</f>
        <v>0</v>
      </c>
      <c r="AE309" s="99">
        <f>IF(AE$265=0,0,'P(M)年費表'!P42)</f>
        <v>0</v>
      </c>
      <c r="AF309" s="99">
        <f>IF(AF$265=0,0,'P(M)年費表'!Q42)</f>
        <v>0</v>
      </c>
      <c r="AG309" s="99">
        <f>IF(AG$265=0,0,'P(M)年費表'!R42)</f>
        <v>0</v>
      </c>
      <c r="AH309" s="99">
        <f>IF(AH$265=0,0,'P(M)年費表'!S42)</f>
        <v>0</v>
      </c>
      <c r="AI309" s="99">
        <f>IF(AI$265=0,0,'P(M)年費表'!T42)</f>
        <v>0</v>
      </c>
      <c r="AJ309" s="99">
        <f>IF(AJ$265=0,0,'P(M)年費表'!U42)</f>
        <v>0</v>
      </c>
      <c r="AK309" s="99">
        <f>IF(AK$265=0,0,'P(M)年費表'!V42)</f>
        <v>0</v>
      </c>
      <c r="AL309" s="99">
        <f>IF(AL$265=0,0,'P(M)年費表'!W42)</f>
        <v>0</v>
      </c>
      <c r="AM309" s="99">
        <f>IF(AM$265=0,0,'P(M)年費表'!X42)</f>
        <v>0</v>
      </c>
      <c r="AN309" s="99">
        <f>IF(AN$265=0,0,'P(M)年費表'!Y42)</f>
        <v>0</v>
      </c>
      <c r="AO309" s="99">
        <f>IF(AO$265=0,0,'P(M)年費表'!Z42)</f>
        <v>0</v>
      </c>
      <c r="AP309" s="99">
        <f>IF(AP$265=0,0,'P(M)年費表'!AA42)</f>
        <v>0</v>
      </c>
      <c r="AQ309" s="99">
        <f>IF(AQ$265=0,0,'P(M)年費表'!AB42)</f>
        <v>0</v>
      </c>
      <c r="AR309" s="77">
        <f>SUM(S309:AQ309)</f>
        <v>265</v>
      </c>
      <c r="AS309" s="11"/>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c r="CH309" s="35"/>
      <c r="CI309" s="35"/>
      <c r="CJ309" s="35"/>
      <c r="CK309" s="35"/>
      <c r="CL309" s="35"/>
      <c r="CM309" s="35"/>
      <c r="CN309" s="35"/>
      <c r="CO309" s="35"/>
      <c r="CP309" s="35"/>
      <c r="CQ309" s="35"/>
      <c r="CR309" s="35"/>
      <c r="CS309" s="35"/>
      <c r="CT309" s="35"/>
      <c r="CU309" s="35"/>
      <c r="CV309" s="35"/>
      <c r="CW309" s="35"/>
      <c r="CX309" s="35"/>
      <c r="CY309" s="35"/>
      <c r="CZ309" s="35"/>
      <c r="DA309" s="35"/>
      <c r="DB309" s="35"/>
      <c r="DC309" s="35"/>
      <c r="DD309" s="35"/>
      <c r="DE309" s="35"/>
      <c r="DF309" s="35"/>
      <c r="DG309" s="35"/>
      <c r="DH309" s="35"/>
      <c r="DI309" s="35"/>
      <c r="DJ309" s="35"/>
    </row>
    <row r="310" spans="1:114" ht="16.5" x14ac:dyDescent="0.25">
      <c r="A310" s="34"/>
      <c r="B310" s="34"/>
      <c r="C310" s="34"/>
      <c r="D310" s="34"/>
      <c r="E310" s="34"/>
      <c r="F310" s="34"/>
      <c r="G310" s="34"/>
      <c r="H310" s="34"/>
      <c r="I310" s="34"/>
      <c r="J310" s="34"/>
      <c r="K310" s="34"/>
      <c r="L310" s="34"/>
      <c r="M310" s="34"/>
      <c r="N310" s="35"/>
      <c r="O310" s="35"/>
      <c r="P310" s="216"/>
      <c r="Q310" s="11" t="str">
        <f t="shared" si="23"/>
        <v>新型</v>
      </c>
      <c r="R310" s="3" t="str">
        <f>'P(M)年費表'!C43</f>
        <v>MYR</v>
      </c>
      <c r="S310" s="99"/>
      <c r="T310" s="99">
        <f>IF(T$265=0,0,'P(M)年費表'!E43)</f>
        <v>0</v>
      </c>
      <c r="U310" s="99">
        <f>IF(U$265=0,0,'P(M)年費表'!F43)</f>
        <v>0</v>
      </c>
      <c r="V310" s="99">
        <f>IF(V$265=0,0,'P(M)年費表'!G43)</f>
        <v>0</v>
      </c>
      <c r="W310" s="99">
        <f>IF(W$265=0,0,'P(M)年費表'!H43)</f>
        <v>0</v>
      </c>
      <c r="X310" s="99">
        <f>IF(X$265=0,0,'P(M)年費表'!I43)</f>
        <v>0</v>
      </c>
      <c r="Y310" s="99">
        <f>IF(Y$265=0,0,'P(M)年費表'!J43)</f>
        <v>0</v>
      </c>
      <c r="Z310" s="99">
        <f>IF(Z$265=0,0,'P(M)年費表'!K43)</f>
        <v>265</v>
      </c>
      <c r="AA310" s="99">
        <f>IF(AA$265=0,0,'P(M)年費表'!L43)</f>
        <v>0</v>
      </c>
      <c r="AB310" s="99">
        <f>IF(AB$265=0,0,'P(M)年費表'!M43)</f>
        <v>0</v>
      </c>
      <c r="AC310" s="99">
        <f>IF(AC$265=0,0,'P(M)年費表'!N43)</f>
        <v>0</v>
      </c>
      <c r="AD310" s="99">
        <f>IF(AD$265=0,0,'P(M)年費表'!O43)</f>
        <v>0</v>
      </c>
      <c r="AE310" s="99">
        <f>IF(AE$265=0,0,'P(M)年費表'!P43)</f>
        <v>0</v>
      </c>
      <c r="AF310" s="99">
        <f>IF(AF$265=0,0,'P(M)年費表'!Q43)</f>
        <v>0</v>
      </c>
      <c r="AG310" s="99">
        <f>IF(AG$265=0,0,'P(M)年費表'!R43)</f>
        <v>0</v>
      </c>
      <c r="AH310" s="99">
        <f>IF(AH$265=0,0,'P(M)年費表'!S43)</f>
        <v>0</v>
      </c>
      <c r="AI310" s="99">
        <f>IF(AI$265=0,0,'P(M)年費表'!T43)</f>
        <v>0</v>
      </c>
      <c r="AJ310" s="99">
        <f>IF(AJ$265=0,0,'P(M)年費表'!U43)</f>
        <v>0</v>
      </c>
      <c r="AK310" s="99">
        <f>IF(AK$265=0,0,'P(M)年費表'!V43)</f>
        <v>0</v>
      </c>
      <c r="AL310" s="99">
        <f>IF(AL$265=0,0,'P(M)年費表'!W43)</f>
        <v>0</v>
      </c>
      <c r="AM310" s="99">
        <f>IF(AM$265=0,0,'P(M)年費表'!X43)</f>
        <v>0</v>
      </c>
      <c r="AN310" s="99">
        <f>IF(AN$265=0,0,'P(M)年費表'!Y43)</f>
        <v>0</v>
      </c>
      <c r="AO310" s="99">
        <f>IF(AO$265=0,0,'P(M)年費表'!Z43)</f>
        <v>0</v>
      </c>
      <c r="AP310" s="99">
        <f>IF(AP$265=0,0,'P(M)年費表'!AA43)</f>
        <v>0</v>
      </c>
      <c r="AQ310" s="99">
        <f>IF(AQ$265=0,0,'P(M)年費表'!AB43)</f>
        <v>0</v>
      </c>
      <c r="AR310" s="77">
        <f>SUM(S310:AQ310)</f>
        <v>265</v>
      </c>
      <c r="AS310" s="11"/>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c r="CE310" s="35"/>
      <c r="CF310" s="35"/>
      <c r="CG310" s="35"/>
      <c r="CH310" s="35"/>
      <c r="CI310" s="35"/>
      <c r="CJ310" s="35"/>
      <c r="CK310" s="35"/>
      <c r="CL310" s="35"/>
      <c r="CM310" s="35"/>
      <c r="CN310" s="35"/>
      <c r="CO310" s="35"/>
      <c r="CP310" s="35"/>
      <c r="CQ310" s="35"/>
      <c r="CR310" s="35"/>
      <c r="CS310" s="35"/>
      <c r="CT310" s="35"/>
      <c r="CU310" s="35"/>
      <c r="CV310" s="35"/>
      <c r="CW310" s="35"/>
      <c r="CX310" s="35"/>
      <c r="CY310" s="35"/>
      <c r="CZ310" s="35"/>
      <c r="DA310" s="35"/>
      <c r="DB310" s="35"/>
      <c r="DC310" s="35"/>
      <c r="DD310" s="35"/>
      <c r="DE310" s="35"/>
      <c r="DF310" s="35"/>
      <c r="DG310" s="35"/>
      <c r="DH310" s="35"/>
      <c r="DI310" s="35"/>
      <c r="DJ310" s="35"/>
    </row>
    <row r="311" spans="1:114" ht="16.5" x14ac:dyDescent="0.25">
      <c r="A311" s="34"/>
      <c r="B311" s="34"/>
      <c r="C311" s="34"/>
      <c r="D311" s="34"/>
      <c r="E311" s="34"/>
      <c r="F311" s="34"/>
      <c r="G311" s="34"/>
      <c r="H311" s="34"/>
      <c r="I311" s="34"/>
      <c r="J311" s="34"/>
      <c r="K311" s="34"/>
      <c r="L311" s="34"/>
      <c r="M311" s="34"/>
      <c r="N311" s="35"/>
      <c r="O311" s="35"/>
      <c r="P311" s="54" t="s">
        <v>146</v>
      </c>
      <c r="Q311" s="11" t="str">
        <f t="shared" si="23"/>
        <v>發明</v>
      </c>
      <c r="R311" s="3" t="str">
        <f>'P(M)年費表'!C44</f>
        <v>USD</v>
      </c>
      <c r="S311" s="99"/>
      <c r="T311" s="99">
        <f>IF(T$265=0,0,'P(M)年費表'!E44)</f>
        <v>0</v>
      </c>
      <c r="U311" s="99">
        <f>IF(U$265=0,0,'P(M)年費表'!F44)</f>
        <v>0</v>
      </c>
      <c r="V311" s="99">
        <f>IF(V$265=0,0,'P(M)年費表'!G44)</f>
        <v>0</v>
      </c>
      <c r="W311" s="99">
        <f>IF(W$265=0,0,'P(M)年費表'!H44)</f>
        <v>0</v>
      </c>
      <c r="X311" s="99">
        <f>IF(X$265=0,0,'P(M)年費表'!I44)</f>
        <v>0</v>
      </c>
      <c r="Y311" s="99">
        <f>IF(Y$265=0,0,'P(M)年費表'!J44)</f>
        <v>0</v>
      </c>
      <c r="Z311" s="99">
        <f>IF(Z$265=0,0,'P(M)年費表'!K44)</f>
        <v>80</v>
      </c>
      <c r="AA311" s="99">
        <f>IF(AA$265=0,0,'P(M)年費表'!L44)</f>
        <v>0</v>
      </c>
      <c r="AB311" s="99">
        <f>IF(AB$265=0,0,'P(M)年費表'!M44)</f>
        <v>0</v>
      </c>
      <c r="AC311" s="99">
        <f>IF(AC$265=0,0,'P(M)年費表'!N44)</f>
        <v>0</v>
      </c>
      <c r="AD311" s="99">
        <f>IF(AD$265=0,0,'P(M)年費表'!O44)</f>
        <v>0</v>
      </c>
      <c r="AE311" s="99">
        <f>IF(AE$265=0,0,'P(M)年費表'!P44)</f>
        <v>0</v>
      </c>
      <c r="AF311" s="99">
        <f>IF(AF$265=0,0,'P(M)年費表'!Q44)</f>
        <v>0</v>
      </c>
      <c r="AG311" s="99">
        <f>IF(AG$265=0,0,'P(M)年費表'!R44)</f>
        <v>0</v>
      </c>
      <c r="AH311" s="99">
        <f>IF(AH$265=0,0,'P(M)年費表'!S44)</f>
        <v>0</v>
      </c>
      <c r="AI311" s="99">
        <f>IF(AI$265=0,0,'P(M)年費表'!T44)</f>
        <v>0</v>
      </c>
      <c r="AJ311" s="99">
        <f>IF(AJ$265=0,0,'P(M)年費表'!U44)</f>
        <v>0</v>
      </c>
      <c r="AK311" s="99">
        <f>IF(AK$265=0,0,'P(M)年費表'!V44)</f>
        <v>0</v>
      </c>
      <c r="AL311" s="99">
        <f>IF(AL$265=0,0,'P(M)年費表'!W44)</f>
        <v>0</v>
      </c>
      <c r="AM311" s="99">
        <f>IF(AM$265=0,0,'P(M)年費表'!X44)</f>
        <v>0</v>
      </c>
      <c r="AN311" s="99">
        <f>IF(AN$265=0,0,'P(M)年費表'!Y44)</f>
        <v>0</v>
      </c>
      <c r="AO311" s="99">
        <f>IF(AO$265=0,0,'P(M)年費表'!Z44)</f>
        <v>0</v>
      </c>
      <c r="AP311" s="99">
        <f>IF(AP$265=0,0,'P(M)年費表'!AA44)</f>
        <v>0</v>
      </c>
      <c r="AQ311" s="99">
        <f>IF(AQ$265=0,0,'P(M)年費表'!AB44)</f>
        <v>0</v>
      </c>
      <c r="AR311" s="77">
        <f t="shared" si="22"/>
        <v>80</v>
      </c>
      <c r="AS311" s="11"/>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c r="CN311" s="35"/>
      <c r="CO311" s="35"/>
      <c r="CP311" s="35"/>
      <c r="CQ311" s="35"/>
      <c r="CR311" s="35"/>
      <c r="CS311" s="35"/>
      <c r="CT311" s="35"/>
      <c r="CU311" s="35"/>
      <c r="CV311" s="35"/>
      <c r="CW311" s="35"/>
      <c r="CX311" s="35"/>
      <c r="CY311" s="35"/>
      <c r="CZ311" s="35"/>
      <c r="DA311" s="35"/>
      <c r="DB311" s="35"/>
      <c r="DC311" s="35"/>
      <c r="DD311" s="35"/>
      <c r="DE311" s="35"/>
      <c r="DF311" s="35"/>
      <c r="DG311" s="35"/>
      <c r="DH311" s="35"/>
      <c r="DI311" s="35"/>
      <c r="DJ311" s="35"/>
    </row>
    <row r="312" spans="1:114" ht="16.5" x14ac:dyDescent="0.25">
      <c r="A312" s="34"/>
      <c r="B312" s="34"/>
      <c r="C312" s="34"/>
      <c r="D312" s="34"/>
      <c r="E312" s="34"/>
      <c r="F312" s="34"/>
      <c r="G312" s="34"/>
      <c r="H312" s="34"/>
      <c r="I312" s="34"/>
      <c r="J312" s="34"/>
      <c r="K312" s="34"/>
      <c r="L312" s="34"/>
      <c r="M312" s="34"/>
      <c r="N312" s="35"/>
      <c r="O312" s="35"/>
      <c r="P312" s="215" t="s">
        <v>131</v>
      </c>
      <c r="Q312" s="11" t="str">
        <f t="shared" si="23"/>
        <v>發明</v>
      </c>
      <c r="R312" s="3" t="str">
        <f>'P(M)年費表'!C45</f>
        <v>USD</v>
      </c>
      <c r="S312" s="99"/>
      <c r="T312" s="99">
        <f>IF(T$265=0,0,'P(M)年費表'!E45)</f>
        <v>0</v>
      </c>
      <c r="U312" s="99">
        <f>IF(U$265=0,0,'P(M)年費表'!F45)</f>
        <v>0</v>
      </c>
      <c r="V312" s="99">
        <f>IF(V$265=0,0,'P(M)年費表'!G45)</f>
        <v>0</v>
      </c>
      <c r="W312" s="99">
        <f>IF(W$265=0,0,'P(M)年費表'!H45)</f>
        <v>0</v>
      </c>
      <c r="X312" s="99">
        <f>IF(X$265=0,0,'P(M)年費表'!I45)</f>
        <v>0</v>
      </c>
      <c r="Y312" s="99">
        <f>IF(Y$265=0,0,'P(M)年費表'!J45)</f>
        <v>0</v>
      </c>
      <c r="Z312" s="99">
        <f>IF(Z$265=0,0,'P(M)年費表'!K45)</f>
        <v>170</v>
      </c>
      <c r="AA312" s="99">
        <f>IF(AA$265=0,0,'P(M)年費表'!L45)</f>
        <v>0</v>
      </c>
      <c r="AB312" s="99">
        <f>IF(AB$265=0,0,'P(M)年費表'!M45)</f>
        <v>0</v>
      </c>
      <c r="AC312" s="99">
        <f>IF(AC$265=0,0,'P(M)年費表'!N45)</f>
        <v>0</v>
      </c>
      <c r="AD312" s="99">
        <f>IF(AD$265=0,0,'P(M)年費表'!O45)</f>
        <v>0</v>
      </c>
      <c r="AE312" s="99">
        <f>IF(AE$265=0,0,'P(M)年費表'!P45)</f>
        <v>0</v>
      </c>
      <c r="AF312" s="99">
        <f>IF(AF$265=0,0,'P(M)年費表'!Q45)</f>
        <v>0</v>
      </c>
      <c r="AG312" s="99">
        <f>IF(AG$265=0,0,'P(M)年費表'!R45)</f>
        <v>0</v>
      </c>
      <c r="AH312" s="99">
        <f>IF(AH$265=0,0,'P(M)年費表'!S45)</f>
        <v>0</v>
      </c>
      <c r="AI312" s="99">
        <f>IF(AI$265=0,0,'P(M)年費表'!T45)</f>
        <v>0</v>
      </c>
      <c r="AJ312" s="99">
        <f>IF(AJ$265=0,0,'P(M)年費表'!U45)</f>
        <v>0</v>
      </c>
      <c r="AK312" s="99">
        <f>IF(AK$265=0,0,'P(M)年費表'!V45)</f>
        <v>0</v>
      </c>
      <c r="AL312" s="99">
        <f>IF(AL$265=0,0,'P(M)年費表'!W45)</f>
        <v>0</v>
      </c>
      <c r="AM312" s="99">
        <f>IF(AM$265=0,0,'P(M)年費表'!X45)</f>
        <v>0</v>
      </c>
      <c r="AN312" s="99">
        <f>IF(AN$265=0,0,'P(M)年費表'!Y45)</f>
        <v>0</v>
      </c>
      <c r="AO312" s="99">
        <f>IF(AO$265=0,0,'P(M)年費表'!Z45)</f>
        <v>0</v>
      </c>
      <c r="AP312" s="99">
        <f>IF(AP$265=0,0,'P(M)年費表'!AA45)</f>
        <v>0</v>
      </c>
      <c r="AQ312" s="99">
        <f>IF(AQ$265=0,0,'P(M)年費表'!AB45)</f>
        <v>0</v>
      </c>
      <c r="AR312" s="77">
        <f>SUM(S312:AQ312)</f>
        <v>170</v>
      </c>
      <c r="AS312" s="11"/>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c r="CE312" s="35"/>
      <c r="CF312" s="35"/>
      <c r="CG312" s="35"/>
      <c r="CH312" s="35"/>
      <c r="CI312" s="35"/>
      <c r="CJ312" s="35"/>
      <c r="CK312" s="35"/>
      <c r="CL312" s="35"/>
      <c r="CM312" s="35"/>
      <c r="CN312" s="35"/>
      <c r="CO312" s="35"/>
      <c r="CP312" s="35"/>
      <c r="CQ312" s="35"/>
      <c r="CR312" s="35"/>
      <c r="CS312" s="35"/>
      <c r="CT312" s="35"/>
      <c r="CU312" s="35"/>
      <c r="CV312" s="35"/>
      <c r="CW312" s="35"/>
      <c r="CX312" s="35"/>
      <c r="CY312" s="35"/>
      <c r="CZ312" s="35"/>
      <c r="DA312" s="35"/>
      <c r="DB312" s="35"/>
      <c r="DC312" s="35"/>
      <c r="DD312" s="35"/>
      <c r="DE312" s="35"/>
      <c r="DF312" s="35"/>
      <c r="DG312" s="35"/>
      <c r="DH312" s="35"/>
      <c r="DI312" s="35"/>
      <c r="DJ312" s="35"/>
    </row>
    <row r="313" spans="1:114" ht="16.5" x14ac:dyDescent="0.25">
      <c r="A313" s="34"/>
      <c r="B313" s="34"/>
      <c r="C313" s="34"/>
      <c r="D313" s="34"/>
      <c r="E313" s="34"/>
      <c r="F313" s="34"/>
      <c r="G313" s="34"/>
      <c r="H313" s="34"/>
      <c r="I313" s="34"/>
      <c r="J313" s="34"/>
      <c r="K313" s="34"/>
      <c r="L313" s="34"/>
      <c r="M313" s="34"/>
      <c r="N313" s="35"/>
      <c r="O313" s="35"/>
      <c r="P313" s="216"/>
      <c r="Q313" s="11" t="str">
        <f t="shared" si="23"/>
        <v>新型</v>
      </c>
      <c r="R313" s="3" t="str">
        <f>'P(M)年費表'!C46</f>
        <v>USD</v>
      </c>
      <c r="S313" s="99"/>
      <c r="T313" s="99">
        <f>IF(T$265=0,0,'P(M)年費表'!E46)</f>
        <v>0</v>
      </c>
      <c r="U313" s="99">
        <f>IF(U$265=0,0,'P(M)年費表'!F46)</f>
        <v>0</v>
      </c>
      <c r="V313" s="99">
        <f>IF(V$265=0,0,'P(M)年費表'!G46)</f>
        <v>0</v>
      </c>
      <c r="W313" s="99">
        <f>IF(W$265=0,0,'P(M)年費表'!H46)</f>
        <v>0</v>
      </c>
      <c r="X313" s="99">
        <f>IF(X$265=0,0,'P(M)年費表'!I46)</f>
        <v>0</v>
      </c>
      <c r="Y313" s="99">
        <f>IF(Y$265=0,0,'P(M)年費表'!J46)</f>
        <v>0</v>
      </c>
      <c r="Z313" s="99">
        <f>IF(Z$265=0,0,'P(M)年費表'!K46)</f>
        <v>150</v>
      </c>
      <c r="AA313" s="99">
        <f>IF(AA$265=0,0,'P(M)年費表'!L46)</f>
        <v>0</v>
      </c>
      <c r="AB313" s="99">
        <f>IF(AB$265=0,0,'P(M)年費表'!M46)</f>
        <v>0</v>
      </c>
      <c r="AC313" s="99">
        <f>IF(AC$265=0,0,'P(M)年費表'!N46)</f>
        <v>0</v>
      </c>
      <c r="AD313" s="99">
        <f>IF(AD$265=0,0,'P(M)年費表'!O46)</f>
        <v>0</v>
      </c>
      <c r="AE313" s="99">
        <f>IF(AE$265=0,0,'P(M)年費表'!P46)</f>
        <v>0</v>
      </c>
      <c r="AF313" s="99">
        <f>IF(AF$265=0,0,'P(M)年費表'!Q46)</f>
        <v>0</v>
      </c>
      <c r="AG313" s="99">
        <f>IF(AG$265=0,0,'P(M)年費表'!R46)</f>
        <v>0</v>
      </c>
      <c r="AH313" s="99">
        <f>IF(AH$265=0,0,'P(M)年費表'!S46)</f>
        <v>0</v>
      </c>
      <c r="AI313" s="99">
        <f>IF(AI$265=0,0,'P(M)年費表'!T46)</f>
        <v>0</v>
      </c>
      <c r="AJ313" s="99">
        <f>IF(AJ$265=0,0,'P(M)年費表'!U46)</f>
        <v>0</v>
      </c>
      <c r="AK313" s="99">
        <f>IF(AK$265=0,0,'P(M)年費表'!V46)</f>
        <v>0</v>
      </c>
      <c r="AL313" s="99">
        <f>IF(AL$265=0,0,'P(M)年費表'!W46)</f>
        <v>0</v>
      </c>
      <c r="AM313" s="99">
        <f>IF(AM$265=0,0,'P(M)年費表'!X46)</f>
        <v>0</v>
      </c>
      <c r="AN313" s="99">
        <f>IF(AN$265=0,0,'P(M)年費表'!Y46)</f>
        <v>0</v>
      </c>
      <c r="AO313" s="99">
        <f>IF(AO$265=0,0,'P(M)年費表'!Z46)</f>
        <v>0</v>
      </c>
      <c r="AP313" s="99">
        <f>IF(AP$265=0,0,'P(M)年費表'!AA46)</f>
        <v>0</v>
      </c>
      <c r="AQ313" s="99">
        <f>IF(AQ$265=0,0,'P(M)年費表'!AB46)</f>
        <v>0</v>
      </c>
      <c r="AR313" s="77">
        <f>SUM(S313:AQ313)</f>
        <v>150</v>
      </c>
      <c r="AS313" s="11"/>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c r="CG313" s="35"/>
      <c r="CH313" s="35"/>
      <c r="CI313" s="35"/>
      <c r="CJ313" s="35"/>
      <c r="CK313" s="35"/>
      <c r="CL313" s="35"/>
      <c r="CM313" s="35"/>
      <c r="CN313" s="35"/>
      <c r="CO313" s="35"/>
      <c r="CP313" s="35"/>
      <c r="CQ313" s="35"/>
      <c r="CR313" s="35"/>
      <c r="CS313" s="35"/>
      <c r="CT313" s="35"/>
      <c r="CU313" s="35"/>
      <c r="CV313" s="35"/>
      <c r="CW313" s="35"/>
      <c r="CX313" s="35"/>
      <c r="CY313" s="35"/>
      <c r="CZ313" s="35"/>
      <c r="DA313" s="35"/>
      <c r="DB313" s="35"/>
      <c r="DC313" s="35"/>
      <c r="DD313" s="35"/>
      <c r="DE313" s="35"/>
      <c r="DF313" s="35"/>
      <c r="DG313" s="35"/>
      <c r="DH313" s="35"/>
      <c r="DI313" s="35"/>
      <c r="DJ313" s="35"/>
    </row>
    <row r="314" spans="1:114" ht="16.5" x14ac:dyDescent="0.25">
      <c r="A314" s="34"/>
      <c r="B314" s="34"/>
      <c r="C314" s="34"/>
      <c r="D314" s="34"/>
      <c r="E314" s="34"/>
      <c r="F314" s="34"/>
      <c r="G314" s="34"/>
      <c r="H314" s="34"/>
      <c r="I314" s="34"/>
      <c r="J314" s="34"/>
      <c r="K314" s="34"/>
      <c r="L314" s="34"/>
      <c r="M314" s="34"/>
      <c r="N314" s="35"/>
      <c r="O314" s="35"/>
      <c r="P314" s="215" t="s">
        <v>9</v>
      </c>
      <c r="Q314" s="11" t="str">
        <f t="shared" si="23"/>
        <v>發明</v>
      </c>
      <c r="R314" s="3" t="str">
        <f>'P(M)年費表'!C47</f>
        <v>USD</v>
      </c>
      <c r="S314" s="99"/>
      <c r="T314" s="99">
        <f>IF(T$265=0,0,'P(M)年費表'!E47)</f>
        <v>0</v>
      </c>
      <c r="U314" s="99">
        <f>IF(U$265=0,0,'P(M)年費表'!F47)</f>
        <v>0</v>
      </c>
      <c r="V314" s="99">
        <f>IF(V$265=0,0,'P(M)年費表'!G47)</f>
        <v>0</v>
      </c>
      <c r="W314" s="99">
        <f>IF(W$265=0,0,'P(M)年費表'!H47)</f>
        <v>0</v>
      </c>
      <c r="X314" s="99">
        <f>IF(X$265=0,0,'P(M)年費表'!I47)</f>
        <v>0</v>
      </c>
      <c r="Y314" s="99">
        <f>IF(Y$265=0,0,'P(M)年費表'!J47)</f>
        <v>0</v>
      </c>
      <c r="Z314" s="99">
        <f>IF(Z$265=0,0,'P(M)年費表'!K47)</f>
        <v>87</v>
      </c>
      <c r="AA314" s="99">
        <f>IF(AA$265=0,0,'P(M)年費表'!L47)</f>
        <v>0</v>
      </c>
      <c r="AB314" s="99">
        <f>IF(AB$265=0,0,'P(M)年費表'!M47)</f>
        <v>0</v>
      </c>
      <c r="AC314" s="99">
        <f>IF(AC$265=0,0,'P(M)年費表'!N47)</f>
        <v>0</v>
      </c>
      <c r="AD314" s="99">
        <f>IF(AD$265=0,0,'P(M)年費表'!O47)</f>
        <v>0</v>
      </c>
      <c r="AE314" s="99">
        <f>IF(AE$265=0,0,'P(M)年費表'!P47)</f>
        <v>0</v>
      </c>
      <c r="AF314" s="99">
        <f>IF(AF$265=0,0,'P(M)年費表'!Q47)</f>
        <v>0</v>
      </c>
      <c r="AG314" s="99">
        <f>IF(AG$265=0,0,'P(M)年費表'!R47)</f>
        <v>0</v>
      </c>
      <c r="AH314" s="99">
        <f>IF(AH$265=0,0,'P(M)年費表'!S47)</f>
        <v>0</v>
      </c>
      <c r="AI314" s="99">
        <f>IF(AI$265=0,0,'P(M)年費表'!T47)</f>
        <v>0</v>
      </c>
      <c r="AJ314" s="99">
        <f>IF(AJ$265=0,0,'P(M)年費表'!U47)</f>
        <v>0</v>
      </c>
      <c r="AK314" s="99">
        <f>IF(AK$265=0,0,'P(M)年費表'!V47)</f>
        <v>0</v>
      </c>
      <c r="AL314" s="99">
        <f>IF(AL$265=0,0,'P(M)年費表'!W47)</f>
        <v>0</v>
      </c>
      <c r="AM314" s="99">
        <f>IF(AM$265=0,0,'P(M)年費表'!X47)</f>
        <v>0</v>
      </c>
      <c r="AN314" s="99">
        <f>IF(AN$265=0,0,'P(M)年費表'!Y47)</f>
        <v>0</v>
      </c>
      <c r="AO314" s="99">
        <f>IF(AO$265=0,0,'P(M)年費表'!Z47)</f>
        <v>0</v>
      </c>
      <c r="AP314" s="99">
        <f>IF(AP$265=0,0,'P(M)年費表'!AA47)</f>
        <v>0</v>
      </c>
      <c r="AQ314" s="99">
        <f>IF(AQ$265=0,0,'P(M)年費表'!AB47)</f>
        <v>0</v>
      </c>
      <c r="AR314" s="77">
        <f t="shared" si="22"/>
        <v>87</v>
      </c>
      <c r="AS314" s="11"/>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c r="CG314" s="35"/>
      <c r="CH314" s="35"/>
      <c r="CI314" s="35"/>
      <c r="CJ314" s="35"/>
      <c r="CK314" s="35"/>
      <c r="CL314" s="35"/>
      <c r="CM314" s="35"/>
      <c r="CN314" s="35"/>
      <c r="CO314" s="35"/>
      <c r="CP314" s="35"/>
      <c r="CQ314" s="35"/>
      <c r="CR314" s="35"/>
      <c r="CS314" s="35"/>
      <c r="CT314" s="35"/>
      <c r="CU314" s="35"/>
      <c r="CV314" s="35"/>
      <c r="CW314" s="35"/>
      <c r="CX314" s="35"/>
      <c r="CY314" s="35"/>
      <c r="CZ314" s="35"/>
      <c r="DA314" s="35"/>
      <c r="DB314" s="35"/>
      <c r="DC314" s="35"/>
      <c r="DD314" s="35"/>
      <c r="DE314" s="35"/>
      <c r="DF314" s="35"/>
      <c r="DG314" s="35"/>
      <c r="DH314" s="35"/>
      <c r="DI314" s="35"/>
      <c r="DJ314" s="35"/>
    </row>
    <row r="315" spans="1:114" ht="16.5" x14ac:dyDescent="0.25">
      <c r="A315" s="34"/>
      <c r="B315" s="34"/>
      <c r="C315" s="34"/>
      <c r="D315" s="34"/>
      <c r="E315" s="34"/>
      <c r="F315" s="34"/>
      <c r="G315" s="34"/>
      <c r="H315" s="34"/>
      <c r="I315" s="34"/>
      <c r="J315" s="34"/>
      <c r="K315" s="34"/>
      <c r="L315" s="34"/>
      <c r="M315" s="34"/>
      <c r="N315" s="35"/>
      <c r="O315" s="35"/>
      <c r="P315" s="216"/>
      <c r="Q315" s="11" t="str">
        <f t="shared" si="23"/>
        <v>新型</v>
      </c>
      <c r="R315" s="3" t="str">
        <f>'P(M)年費表'!C48</f>
        <v>USD</v>
      </c>
      <c r="S315" s="99"/>
      <c r="T315" s="99">
        <f>IF(T$265=0,0,'P(M)年費表'!E48)</f>
        <v>0</v>
      </c>
      <c r="U315" s="99">
        <f>IF(U$265=0,0,'P(M)年費表'!F48)</f>
        <v>0</v>
      </c>
      <c r="V315" s="99">
        <f>IF(V$265=0,0,'P(M)年費表'!G48)</f>
        <v>0</v>
      </c>
      <c r="W315" s="99">
        <f>IF(W$265=0,0,'P(M)年費表'!H48)</f>
        <v>0</v>
      </c>
      <c r="X315" s="99">
        <f>IF(X$265=0,0,'P(M)年費表'!I48)</f>
        <v>0</v>
      </c>
      <c r="Y315" s="99">
        <f>IF(Y$265=0,0,'P(M)年費表'!J48)</f>
        <v>0</v>
      </c>
      <c r="Z315" s="99">
        <f>IF(Z$265=0,0,'P(M)年費表'!K48)</f>
        <v>87</v>
      </c>
      <c r="AA315" s="99">
        <f>IF(AA$265=0,0,'P(M)年費表'!L48)</f>
        <v>0</v>
      </c>
      <c r="AB315" s="99">
        <f>IF(AB$265=0,0,'P(M)年費表'!M48)</f>
        <v>0</v>
      </c>
      <c r="AC315" s="99">
        <f>IF(AC$265=0,0,'P(M)年費表'!N48)</f>
        <v>0</v>
      </c>
      <c r="AD315" s="99">
        <f>IF(AD$265=0,0,'P(M)年費表'!O48)</f>
        <v>0</v>
      </c>
      <c r="AE315" s="99">
        <f>IF(AE$265=0,0,'P(M)年費表'!P48)</f>
        <v>0</v>
      </c>
      <c r="AF315" s="99">
        <f>IF(AF$265=0,0,'P(M)年費表'!Q48)</f>
        <v>0</v>
      </c>
      <c r="AG315" s="99">
        <f>IF(AG$265=0,0,'P(M)年費表'!R48)</f>
        <v>0</v>
      </c>
      <c r="AH315" s="99">
        <f>IF(AH$265=0,0,'P(M)年費表'!S48)</f>
        <v>0</v>
      </c>
      <c r="AI315" s="99">
        <f>IF(AI$265=0,0,'P(M)年費表'!T48)</f>
        <v>0</v>
      </c>
      <c r="AJ315" s="99">
        <f>IF(AJ$265=0,0,'P(M)年費表'!U48)</f>
        <v>0</v>
      </c>
      <c r="AK315" s="99">
        <f>IF(AK$265=0,0,'P(M)年費表'!V48)</f>
        <v>0</v>
      </c>
      <c r="AL315" s="99">
        <f>IF(AL$265=0,0,'P(M)年費表'!W48)</f>
        <v>0</v>
      </c>
      <c r="AM315" s="99">
        <f>IF(AM$265=0,0,'P(M)年費表'!X48)</f>
        <v>0</v>
      </c>
      <c r="AN315" s="99">
        <f>IF(AN$265=0,0,'P(M)年費表'!Y48)</f>
        <v>0</v>
      </c>
      <c r="AO315" s="99">
        <f>IF(AO$265=0,0,'P(M)年費表'!Z48)</f>
        <v>0</v>
      </c>
      <c r="AP315" s="99">
        <f>IF(AP$265=0,0,'P(M)年費表'!AA48)</f>
        <v>0</v>
      </c>
      <c r="AQ315" s="99">
        <f>IF(AQ$265=0,0,'P(M)年費表'!AB48)</f>
        <v>0</v>
      </c>
      <c r="AR315" s="77">
        <f t="shared" si="22"/>
        <v>87</v>
      </c>
      <c r="AS315" s="11"/>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c r="CE315" s="35"/>
      <c r="CF315" s="35"/>
      <c r="CG315" s="35"/>
      <c r="CH315" s="35"/>
      <c r="CI315" s="35"/>
      <c r="CJ315" s="35"/>
      <c r="CK315" s="35"/>
      <c r="CL315" s="35"/>
      <c r="CM315" s="35"/>
      <c r="CN315" s="35"/>
      <c r="CO315" s="35"/>
      <c r="CP315" s="35"/>
      <c r="CQ315" s="35"/>
      <c r="CR315" s="35"/>
      <c r="CS315" s="35"/>
      <c r="CT315" s="35"/>
      <c r="CU315" s="35"/>
      <c r="CV315" s="35"/>
      <c r="CW315" s="35"/>
      <c r="CX315" s="35"/>
      <c r="CY315" s="35"/>
      <c r="CZ315" s="35"/>
      <c r="DA315" s="35"/>
      <c r="DB315" s="35"/>
      <c r="DC315" s="35"/>
      <c r="DD315" s="35"/>
      <c r="DE315" s="35"/>
      <c r="DF315" s="35"/>
      <c r="DG315" s="35"/>
      <c r="DH315" s="35"/>
      <c r="DI315" s="35"/>
      <c r="DJ315" s="35"/>
    </row>
    <row r="316" spans="1:114" ht="16.5" x14ac:dyDescent="0.25">
      <c r="A316" s="34"/>
      <c r="B316" s="34"/>
      <c r="C316" s="34"/>
      <c r="D316" s="34"/>
      <c r="E316" s="34"/>
      <c r="F316" s="34"/>
      <c r="G316" s="34"/>
      <c r="H316" s="34"/>
      <c r="I316" s="34"/>
      <c r="J316" s="34"/>
      <c r="K316" s="34"/>
      <c r="L316" s="34"/>
      <c r="M316" s="34"/>
      <c r="N316" s="35"/>
      <c r="O316" s="35"/>
      <c r="P316" s="215" t="s">
        <v>10</v>
      </c>
      <c r="Q316" s="11" t="str">
        <f t="shared" si="23"/>
        <v>發明</v>
      </c>
      <c r="R316" s="3" t="str">
        <f>'P(M)年費表'!C49</f>
        <v>THB</v>
      </c>
      <c r="S316" s="99"/>
      <c r="T316" s="99">
        <f>IF(T$265=0,0,'P(M)年費表'!E49)</f>
        <v>0</v>
      </c>
      <c r="U316" s="99">
        <f>IF(U$265=0,0,'P(M)年費表'!F49)</f>
        <v>0</v>
      </c>
      <c r="V316" s="99">
        <f>IF(V$265=0,0,'P(M)年費表'!G49)</f>
        <v>0</v>
      </c>
      <c r="W316" s="99">
        <f>IF(W$265=0,0,'P(M)年費表'!H49)</f>
        <v>0</v>
      </c>
      <c r="X316" s="99">
        <f>IF(X$265=0,0,'P(M)年費表'!I49)</f>
        <v>0</v>
      </c>
      <c r="Y316" s="99">
        <f>IF(Y$265=0,0,'P(M)年費表'!J49)</f>
        <v>0</v>
      </c>
      <c r="Z316" s="99">
        <f>IF(Z$265=0,0,'P(M)年費表'!K49)</f>
        <v>3200</v>
      </c>
      <c r="AA316" s="99">
        <f>IF(AA$265=0,0,'P(M)年費表'!L49)</f>
        <v>0</v>
      </c>
      <c r="AB316" s="99">
        <f>IF(AB$265=0,0,'P(M)年費表'!M49)</f>
        <v>0</v>
      </c>
      <c r="AC316" s="99">
        <f>IF(AC$265=0,0,'P(M)年費表'!N49)</f>
        <v>0</v>
      </c>
      <c r="AD316" s="99">
        <f>IF(AD$265=0,0,'P(M)年費表'!O49)</f>
        <v>0</v>
      </c>
      <c r="AE316" s="99">
        <f>IF(AE$265=0,0,'P(M)年費表'!P49)</f>
        <v>0</v>
      </c>
      <c r="AF316" s="99">
        <f>IF(AF$265=0,0,'P(M)年費表'!Q49)</f>
        <v>0</v>
      </c>
      <c r="AG316" s="99">
        <f>IF(AG$265=0,0,'P(M)年費表'!R49)</f>
        <v>0</v>
      </c>
      <c r="AH316" s="99">
        <f>IF(AH$265=0,0,'P(M)年費表'!S49)</f>
        <v>0</v>
      </c>
      <c r="AI316" s="99">
        <f>IF(AI$265=0,0,'P(M)年費表'!T49)</f>
        <v>0</v>
      </c>
      <c r="AJ316" s="99">
        <f>IF(AJ$265=0,0,'P(M)年費表'!U49)</f>
        <v>0</v>
      </c>
      <c r="AK316" s="99">
        <f>IF(AK$265=0,0,'P(M)年費表'!V49)</f>
        <v>0</v>
      </c>
      <c r="AL316" s="99">
        <f>IF(AL$265=0,0,'P(M)年費表'!W49)</f>
        <v>0</v>
      </c>
      <c r="AM316" s="99">
        <f>IF(AM$265=0,0,'P(M)年費表'!X49)</f>
        <v>0</v>
      </c>
      <c r="AN316" s="99">
        <f>IF(AN$265=0,0,'P(M)年費表'!Y49)</f>
        <v>0</v>
      </c>
      <c r="AO316" s="99">
        <f>IF(AO$265=0,0,'P(M)年費表'!Z49)</f>
        <v>0</v>
      </c>
      <c r="AP316" s="99">
        <f>IF(AP$265=0,0,'P(M)年費表'!AA49)</f>
        <v>0</v>
      </c>
      <c r="AQ316" s="99">
        <f>IF(AQ$265=0,0,'P(M)年費表'!AB49)</f>
        <v>0</v>
      </c>
      <c r="AR316" s="77">
        <f t="shared" si="22"/>
        <v>3200</v>
      </c>
      <c r="AS316" s="11"/>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c r="CE316" s="35"/>
      <c r="CF316" s="35"/>
      <c r="CG316" s="35"/>
      <c r="CH316" s="35"/>
      <c r="CI316" s="35"/>
      <c r="CJ316" s="35"/>
      <c r="CK316" s="35"/>
      <c r="CL316" s="35"/>
      <c r="CM316" s="35"/>
      <c r="CN316" s="35"/>
      <c r="CO316" s="35"/>
      <c r="CP316" s="35"/>
      <c r="CQ316" s="35"/>
      <c r="CR316" s="35"/>
      <c r="CS316" s="35"/>
      <c r="CT316" s="35"/>
      <c r="CU316" s="35"/>
      <c r="CV316" s="35"/>
      <c r="CW316" s="35"/>
      <c r="CX316" s="35"/>
      <c r="CY316" s="35"/>
      <c r="CZ316" s="35"/>
      <c r="DA316" s="35"/>
      <c r="DB316" s="35"/>
      <c r="DC316" s="35"/>
      <c r="DD316" s="35"/>
      <c r="DE316" s="35"/>
      <c r="DF316" s="35"/>
      <c r="DG316" s="35"/>
      <c r="DH316" s="35"/>
      <c r="DI316" s="35"/>
      <c r="DJ316" s="35"/>
    </row>
    <row r="317" spans="1:114" ht="16.5" x14ac:dyDescent="0.25">
      <c r="A317" s="34"/>
      <c r="B317" s="34"/>
      <c r="C317" s="34"/>
      <c r="D317" s="34"/>
      <c r="E317" s="34"/>
      <c r="F317" s="34"/>
      <c r="G317" s="34"/>
      <c r="H317" s="34"/>
      <c r="I317" s="34"/>
      <c r="J317" s="34"/>
      <c r="K317" s="34"/>
      <c r="L317" s="34"/>
      <c r="M317" s="34"/>
      <c r="N317" s="35"/>
      <c r="O317" s="35"/>
      <c r="P317" s="216"/>
      <c r="Q317" s="11" t="str">
        <f t="shared" si="23"/>
        <v>新型</v>
      </c>
      <c r="R317" s="3" t="str">
        <f>'P(M)年費表'!C50</f>
        <v>THB</v>
      </c>
      <c r="S317" s="99"/>
      <c r="T317" s="99">
        <f>IF(T$265=0,0,'P(M)年費表'!E50)</f>
        <v>0</v>
      </c>
      <c r="U317" s="99">
        <f>IF(U$265=0,0,'P(M)年費表'!F50)</f>
        <v>0</v>
      </c>
      <c r="V317" s="99">
        <f>IF(V$265=0,0,'P(M)年費表'!G50)</f>
        <v>0</v>
      </c>
      <c r="W317" s="99">
        <f>IF(W$265=0,0,'P(M)年費表'!H50)</f>
        <v>0</v>
      </c>
      <c r="X317" s="99">
        <f>IF(X$265=0,0,'P(M)年費表'!I50)</f>
        <v>0</v>
      </c>
      <c r="Y317" s="99">
        <f>IF(Y$265=0,0,'P(M)年費表'!J50)</f>
        <v>0</v>
      </c>
      <c r="Z317" s="99">
        <f>IF(Z$265=0,0,'P(M)年費表'!K50)</f>
        <v>0</v>
      </c>
      <c r="AA317" s="99">
        <f>IF(AA$265=0,0,'P(M)年費表'!L50)</f>
        <v>0</v>
      </c>
      <c r="AB317" s="99">
        <f>IF(AB$265=0,0,'P(M)年費表'!M50)</f>
        <v>0</v>
      </c>
      <c r="AC317" s="99">
        <f>IF(AC$265=0,0,'P(M)年費表'!N50)</f>
        <v>0</v>
      </c>
      <c r="AD317" s="99">
        <f>IF(AD$265=0,0,'P(M)年費表'!O50)</f>
        <v>0</v>
      </c>
      <c r="AE317" s="99">
        <f>IF(AE$265=0,0,'P(M)年費表'!P50)</f>
        <v>0</v>
      </c>
      <c r="AF317" s="99">
        <f>IF(AF$265=0,0,'P(M)年費表'!Q50)</f>
        <v>0</v>
      </c>
      <c r="AG317" s="99">
        <f>IF(AG$265=0,0,'P(M)年費表'!R50)</f>
        <v>0</v>
      </c>
      <c r="AH317" s="99">
        <f>IF(AH$265=0,0,'P(M)年費表'!S50)</f>
        <v>0</v>
      </c>
      <c r="AI317" s="99">
        <f>IF(AI$265=0,0,'P(M)年費表'!T50)</f>
        <v>0</v>
      </c>
      <c r="AJ317" s="99">
        <f>IF(AJ$265=0,0,'P(M)年費表'!U50)</f>
        <v>0</v>
      </c>
      <c r="AK317" s="99">
        <f>IF(AK$265=0,0,'P(M)年費表'!V50)</f>
        <v>0</v>
      </c>
      <c r="AL317" s="99">
        <f>IF(AL$265=0,0,'P(M)年費表'!W50)</f>
        <v>0</v>
      </c>
      <c r="AM317" s="99">
        <f>IF(AM$265=0,0,'P(M)年費表'!X50)</f>
        <v>0</v>
      </c>
      <c r="AN317" s="99">
        <f>IF(AN$265=0,0,'P(M)年費表'!Y50)</f>
        <v>0</v>
      </c>
      <c r="AO317" s="99">
        <f>IF(AO$265=0,0,'P(M)年費表'!Z50)</f>
        <v>0</v>
      </c>
      <c r="AP317" s="99">
        <f>IF(AP$265=0,0,'P(M)年費表'!AA50)</f>
        <v>0</v>
      </c>
      <c r="AQ317" s="99">
        <f>IF(AQ$265=0,0,'P(M)年費表'!AB50)</f>
        <v>0</v>
      </c>
      <c r="AR317" s="77">
        <f t="shared" si="22"/>
        <v>0</v>
      </c>
      <c r="AS317" s="11"/>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c r="DH317" s="35"/>
      <c r="DI317" s="35"/>
      <c r="DJ317" s="35"/>
    </row>
    <row r="318" spans="1:114" ht="16.5" x14ac:dyDescent="0.25">
      <c r="A318" s="34"/>
      <c r="B318" s="34"/>
      <c r="C318" s="34"/>
      <c r="D318" s="34"/>
      <c r="E318" s="34"/>
      <c r="F318" s="34"/>
      <c r="G318" s="34"/>
      <c r="H318" s="34"/>
      <c r="I318" s="34"/>
      <c r="J318" s="34"/>
      <c r="K318" s="34"/>
      <c r="L318" s="34"/>
      <c r="M318" s="34"/>
      <c r="N318" s="35"/>
      <c r="O318" s="35"/>
      <c r="P318" s="5"/>
      <c r="Q318" s="5"/>
      <c r="R318" s="5"/>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c r="AN318" s="100"/>
      <c r="AO318" s="100"/>
      <c r="AP318" s="100"/>
      <c r="AQ318" s="100"/>
      <c r="AR318" s="77">
        <f t="shared" si="22"/>
        <v>0</v>
      </c>
      <c r="AS318" s="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c r="CE318" s="35"/>
      <c r="CF318" s="35"/>
      <c r="CG318" s="35"/>
      <c r="CH318" s="35"/>
      <c r="CI318" s="35"/>
      <c r="CJ318" s="35"/>
      <c r="CK318" s="35"/>
      <c r="CL318" s="35"/>
      <c r="CM318" s="35"/>
      <c r="CN318" s="35"/>
      <c r="CO318" s="35"/>
      <c r="CP318" s="35"/>
      <c r="CQ318" s="35"/>
      <c r="CR318" s="35"/>
      <c r="CS318" s="35"/>
      <c r="CT318" s="35"/>
      <c r="CU318" s="35"/>
      <c r="CV318" s="35"/>
      <c r="CW318" s="35"/>
      <c r="CX318" s="35"/>
      <c r="CY318" s="35"/>
      <c r="CZ318" s="35"/>
      <c r="DA318" s="35"/>
      <c r="DB318" s="35"/>
      <c r="DC318" s="35"/>
      <c r="DD318" s="35"/>
      <c r="DE318" s="35"/>
      <c r="DF318" s="35"/>
      <c r="DG318" s="35"/>
      <c r="DH318" s="35"/>
      <c r="DI318" s="35"/>
      <c r="DJ318" s="35"/>
    </row>
    <row r="319" spans="1:114" ht="16.5" x14ac:dyDescent="0.25">
      <c r="A319" s="34"/>
      <c r="B319" s="34"/>
      <c r="C319" s="34"/>
      <c r="D319" s="34"/>
      <c r="E319" s="34"/>
      <c r="F319" s="34"/>
      <c r="G319" s="34"/>
      <c r="H319" s="34"/>
      <c r="I319" s="34"/>
      <c r="J319" s="34"/>
      <c r="K319" s="34"/>
      <c r="L319" s="34"/>
      <c r="M319" s="34"/>
      <c r="N319" s="35"/>
      <c r="O319" s="35"/>
      <c r="P319" s="135" t="s">
        <v>295</v>
      </c>
      <c r="Q319"/>
      <c r="R319"/>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c r="AS319"/>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c r="CE319" s="35"/>
      <c r="CF319" s="35"/>
      <c r="CG319" s="35"/>
      <c r="CH319" s="35"/>
      <c r="CI319" s="35"/>
      <c r="CJ319" s="35"/>
      <c r="CK319" s="35"/>
      <c r="CL319" s="35"/>
      <c r="CM319" s="35"/>
      <c r="CN319" s="35"/>
      <c r="CO319" s="35"/>
      <c r="CP319" s="35"/>
      <c r="CQ319" s="35"/>
      <c r="CR319" s="35"/>
      <c r="CS319" s="35"/>
      <c r="CT319" s="35"/>
      <c r="CU319" s="35"/>
      <c r="CV319" s="35"/>
      <c r="CW319" s="35"/>
      <c r="CX319" s="35"/>
      <c r="CY319" s="35"/>
      <c r="CZ319" s="35"/>
      <c r="DA319" s="35"/>
      <c r="DB319" s="35"/>
      <c r="DC319" s="35"/>
      <c r="DD319" s="35"/>
      <c r="DE319" s="35"/>
      <c r="DF319" s="35"/>
      <c r="DG319" s="35"/>
      <c r="DH319" s="35"/>
      <c r="DI319" s="35"/>
      <c r="DJ319" s="35"/>
    </row>
    <row r="320" spans="1:114" ht="16.5" x14ac:dyDescent="0.25">
      <c r="A320" s="34"/>
      <c r="B320" s="34"/>
      <c r="C320" s="34"/>
      <c r="D320" s="34"/>
      <c r="E320" s="34"/>
      <c r="F320" s="34"/>
      <c r="G320" s="34"/>
      <c r="H320" s="34"/>
      <c r="I320" s="34"/>
      <c r="J320" s="34"/>
      <c r="K320" s="34"/>
      <c r="L320" s="34"/>
      <c r="M320" s="34"/>
      <c r="N320" s="35"/>
      <c r="O320" s="35"/>
      <c r="P320"/>
      <c r="Q320"/>
      <c r="R320"/>
      <c r="S320" s="101"/>
      <c r="T320" s="101"/>
      <c r="U320" s="101"/>
      <c r="V320" s="101"/>
      <c r="W320" s="101"/>
      <c r="X320" s="101"/>
      <c r="Y320" s="101"/>
      <c r="Z320" s="101"/>
      <c r="AA320" s="101"/>
      <c r="AB320" s="101"/>
      <c r="AC320" s="101"/>
      <c r="AD320" s="101"/>
      <c r="AE320" s="101"/>
      <c r="AF320" s="101"/>
      <c r="AG320" s="101"/>
      <c r="AH320" s="101"/>
      <c r="AI320" s="101"/>
      <c r="AJ320" s="101"/>
      <c r="AK320" s="101"/>
      <c r="AL320" s="101"/>
      <c r="AM320" s="101"/>
      <c r="AN320" s="101"/>
      <c r="AO320" s="101"/>
      <c r="AP320" s="101"/>
      <c r="AQ320" s="101"/>
      <c r="AR320"/>
      <c r="AS320"/>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c r="BS320" s="35"/>
      <c r="BT320" s="35"/>
      <c r="BU320" s="35"/>
      <c r="BV320" s="35"/>
      <c r="BW320" s="35"/>
      <c r="BX320" s="35"/>
      <c r="BY320" s="35"/>
      <c r="BZ320" s="35"/>
      <c r="CA320" s="35"/>
      <c r="CB320" s="35"/>
      <c r="CC320" s="35"/>
      <c r="CD320" s="35"/>
      <c r="CE320" s="35"/>
      <c r="CF320" s="35"/>
      <c r="CG320" s="35"/>
      <c r="CH320" s="35"/>
      <c r="CI320" s="35"/>
      <c r="CJ320" s="35"/>
      <c r="CK320" s="35"/>
      <c r="CL320" s="35"/>
      <c r="CM320" s="35"/>
      <c r="CN320" s="35"/>
      <c r="CO320" s="35"/>
      <c r="CP320" s="35"/>
      <c r="CQ320" s="35"/>
      <c r="CR320" s="35"/>
      <c r="CS320" s="35"/>
      <c r="CT320" s="35"/>
      <c r="CU320" s="35"/>
      <c r="CV320" s="35"/>
      <c r="CW320" s="35"/>
      <c r="CX320" s="35"/>
      <c r="CY320" s="35"/>
      <c r="CZ320" s="35"/>
      <c r="DA320" s="35"/>
      <c r="DB320" s="35"/>
      <c r="DC320" s="35"/>
      <c r="DD320" s="35"/>
      <c r="DE320" s="35"/>
      <c r="DF320" s="35"/>
      <c r="DG320" s="35"/>
      <c r="DH320" s="35"/>
      <c r="DI320" s="35"/>
      <c r="DJ320" s="35"/>
    </row>
    <row r="321" spans="1:114" ht="16.5" x14ac:dyDescent="0.25">
      <c r="A321" s="34"/>
      <c r="B321" s="34"/>
      <c r="C321" s="34"/>
      <c r="D321" s="34"/>
      <c r="E321" s="34"/>
      <c r="F321" s="34"/>
      <c r="G321" s="34"/>
      <c r="H321" s="34"/>
      <c r="I321" s="34"/>
      <c r="J321" s="34"/>
      <c r="K321" s="34"/>
      <c r="L321" s="34"/>
      <c r="M321" s="34"/>
      <c r="N321" s="35"/>
      <c r="O321" s="35"/>
      <c r="P321"/>
      <c r="Q321"/>
      <c r="R321"/>
      <c r="S321" s="101"/>
      <c r="T321" s="101"/>
      <c r="U321" s="101"/>
      <c r="V321" s="101"/>
      <c r="W321" s="101"/>
      <c r="X321" s="101"/>
      <c r="Y321" s="101"/>
      <c r="Z321" s="101"/>
      <c r="AA321" s="101"/>
      <c r="AB321" s="101"/>
      <c r="AC321" s="101"/>
      <c r="AD321" s="101"/>
      <c r="AE321" s="101"/>
      <c r="AF321" s="101"/>
      <c r="AG321" s="101"/>
      <c r="AH321" s="101"/>
      <c r="AI321" s="101"/>
      <c r="AJ321" s="101"/>
      <c r="AK321" s="101"/>
      <c r="AL321" s="101"/>
      <c r="AM321" s="101"/>
      <c r="AN321" s="101"/>
      <c r="AO321" s="101"/>
      <c r="AP321" s="101"/>
      <c r="AQ321" s="101"/>
      <c r="AR321"/>
      <c r="AS321"/>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c r="CE321" s="35"/>
      <c r="CF321" s="35"/>
      <c r="CG321" s="35"/>
      <c r="CH321" s="35"/>
      <c r="CI321" s="35"/>
      <c r="CJ321" s="35"/>
      <c r="CK321" s="35"/>
      <c r="CL321" s="35"/>
      <c r="CM321" s="35"/>
      <c r="CN321" s="35"/>
      <c r="CO321" s="35"/>
      <c r="CP321" s="35"/>
      <c r="CQ321" s="35"/>
      <c r="CR321" s="35"/>
      <c r="CS321" s="35"/>
      <c r="CT321" s="35"/>
      <c r="CU321" s="35"/>
      <c r="CV321" s="35"/>
      <c r="CW321" s="35"/>
      <c r="CX321" s="35"/>
      <c r="CY321" s="35"/>
      <c r="CZ321" s="35"/>
      <c r="DA321" s="35"/>
      <c r="DB321" s="35"/>
      <c r="DC321" s="35"/>
      <c r="DD321" s="35"/>
      <c r="DE321" s="35"/>
      <c r="DF321" s="35"/>
      <c r="DG321" s="35"/>
      <c r="DH321" s="35"/>
      <c r="DI321" s="35"/>
      <c r="DJ321" s="35"/>
    </row>
    <row r="322" spans="1:114" ht="16.5" x14ac:dyDescent="0.25">
      <c r="A322" s="34"/>
      <c r="B322" s="34"/>
      <c r="C322" s="34"/>
      <c r="D322" s="34"/>
      <c r="E322" s="34"/>
      <c r="F322" s="34"/>
      <c r="G322" s="34"/>
      <c r="H322" s="34"/>
      <c r="I322" s="34"/>
      <c r="J322" s="34"/>
      <c r="K322" s="34"/>
      <c r="L322" s="34"/>
      <c r="M322" s="34"/>
      <c r="N322" s="35"/>
      <c r="O322" s="35"/>
      <c r="P322" s="212" t="s">
        <v>203</v>
      </c>
      <c r="Q322" s="213"/>
      <c r="R322" s="214"/>
      <c r="S322" s="102" t="s">
        <v>200</v>
      </c>
      <c r="T322" s="103"/>
      <c r="U322" s="103"/>
      <c r="V322" s="103"/>
      <c r="W322" s="103"/>
      <c r="X322" s="103"/>
      <c r="Y322" s="103"/>
      <c r="Z322" s="103"/>
      <c r="AA322" s="103"/>
      <c r="AB322" s="103"/>
      <c r="AC322" s="103"/>
      <c r="AD322" s="103"/>
      <c r="AE322" s="103"/>
      <c r="AF322" s="103"/>
      <c r="AG322" s="103"/>
      <c r="AH322" s="103"/>
      <c r="AI322" s="103"/>
      <c r="AJ322" s="103"/>
      <c r="AK322" s="103"/>
      <c r="AL322" s="103"/>
      <c r="AM322" s="103"/>
      <c r="AN322" s="103"/>
      <c r="AO322" s="103"/>
      <c r="AP322" s="103"/>
      <c r="AQ322" s="103"/>
      <c r="AR322" s="76"/>
      <c r="AS322" s="76"/>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c r="CE322" s="35"/>
      <c r="CF322" s="35"/>
      <c r="CG322" s="35"/>
      <c r="CH322" s="35"/>
      <c r="CI322" s="35"/>
      <c r="CJ322" s="35"/>
      <c r="CK322" s="35"/>
      <c r="CL322" s="35"/>
      <c r="CM322" s="35"/>
      <c r="CN322" s="35"/>
      <c r="CO322" s="35"/>
      <c r="CP322" s="35"/>
      <c r="CQ322" s="35"/>
      <c r="CR322" s="35"/>
      <c r="CS322" s="35"/>
      <c r="CT322" s="35"/>
      <c r="CU322" s="35"/>
      <c r="CV322" s="35"/>
      <c r="CW322" s="35"/>
      <c r="CX322" s="35"/>
      <c r="CY322" s="35"/>
      <c r="CZ322" s="35"/>
      <c r="DA322" s="35"/>
      <c r="DB322" s="35"/>
      <c r="DC322" s="35"/>
      <c r="DD322" s="35"/>
      <c r="DE322" s="35"/>
      <c r="DF322" s="35"/>
      <c r="DG322" s="35"/>
      <c r="DH322" s="35"/>
      <c r="DI322" s="35"/>
      <c r="DJ322" s="35"/>
    </row>
    <row r="323" spans="1:114" ht="16.5" x14ac:dyDescent="0.25">
      <c r="A323" s="34"/>
      <c r="B323" s="34"/>
      <c r="C323" s="34"/>
      <c r="D323" s="34"/>
      <c r="E323" s="34"/>
      <c r="F323" s="34"/>
      <c r="G323" s="34"/>
      <c r="H323" s="34"/>
      <c r="I323" s="34"/>
      <c r="J323" s="34"/>
      <c r="K323" s="34"/>
      <c r="L323" s="34"/>
      <c r="M323" s="34"/>
      <c r="N323" s="35"/>
      <c r="O323" s="35"/>
      <c r="P323" s="4" t="s">
        <v>114</v>
      </c>
      <c r="Q323" s="4" t="s">
        <v>197</v>
      </c>
      <c r="R323" s="4" t="s">
        <v>13</v>
      </c>
      <c r="S323" s="104">
        <v>1</v>
      </c>
      <c r="T323" s="104">
        <v>2</v>
      </c>
      <c r="U323" s="104">
        <v>3</v>
      </c>
      <c r="V323" s="104">
        <v>4</v>
      </c>
      <c r="W323" s="104">
        <v>5</v>
      </c>
      <c r="X323" s="104">
        <v>6</v>
      </c>
      <c r="Y323" s="104">
        <v>7</v>
      </c>
      <c r="Z323" s="104">
        <v>8</v>
      </c>
      <c r="AA323" s="104">
        <v>9</v>
      </c>
      <c r="AB323" s="104">
        <v>10</v>
      </c>
      <c r="AC323" s="104">
        <v>11</v>
      </c>
      <c r="AD323" s="104">
        <v>12</v>
      </c>
      <c r="AE323" s="104">
        <v>13</v>
      </c>
      <c r="AF323" s="104">
        <v>14</v>
      </c>
      <c r="AG323" s="104">
        <v>15</v>
      </c>
      <c r="AH323" s="104">
        <v>16</v>
      </c>
      <c r="AI323" s="104">
        <v>17</v>
      </c>
      <c r="AJ323" s="104">
        <v>18</v>
      </c>
      <c r="AK323" s="104">
        <v>19</v>
      </c>
      <c r="AL323" s="104">
        <v>20</v>
      </c>
      <c r="AM323" s="104">
        <v>21</v>
      </c>
      <c r="AN323" s="104">
        <v>22</v>
      </c>
      <c r="AO323" s="104">
        <v>23</v>
      </c>
      <c r="AP323" s="104">
        <v>24</v>
      </c>
      <c r="AQ323" s="104">
        <v>25</v>
      </c>
      <c r="AR323" s="4" t="s">
        <v>196</v>
      </c>
      <c r="AS323" s="4"/>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c r="CE323" s="35"/>
      <c r="CF323" s="35"/>
      <c r="CG323" s="35"/>
      <c r="CH323" s="35"/>
      <c r="CI323" s="35"/>
      <c r="CJ323" s="35"/>
      <c r="CK323" s="35"/>
      <c r="CL323" s="35"/>
      <c r="CM323" s="35"/>
      <c r="CN323" s="35"/>
      <c r="CO323" s="35"/>
      <c r="CP323" s="35"/>
      <c r="CQ323" s="35"/>
      <c r="CR323" s="35"/>
      <c r="CS323" s="35"/>
      <c r="CT323" s="35"/>
      <c r="CU323" s="35"/>
      <c r="CV323" s="35"/>
      <c r="CW323" s="35"/>
      <c r="CX323" s="35"/>
      <c r="CY323" s="35"/>
      <c r="CZ323" s="35"/>
      <c r="DA323" s="35"/>
      <c r="DB323" s="35"/>
      <c r="DC323" s="35"/>
      <c r="DD323" s="35"/>
      <c r="DE323" s="35"/>
      <c r="DF323" s="35"/>
      <c r="DG323" s="35"/>
      <c r="DH323" s="35"/>
      <c r="DI323" s="35"/>
      <c r="DJ323" s="35"/>
    </row>
    <row r="324" spans="1:114" ht="16.5" x14ac:dyDescent="0.25">
      <c r="A324" s="34"/>
      <c r="B324" s="34"/>
      <c r="C324" s="34"/>
      <c r="D324" s="34"/>
      <c r="E324" s="34"/>
      <c r="F324" s="34"/>
      <c r="G324" s="34"/>
      <c r="H324" s="34"/>
      <c r="I324" s="34"/>
      <c r="J324" s="34"/>
      <c r="K324" s="34"/>
      <c r="L324" s="34"/>
      <c r="M324" s="34"/>
      <c r="N324" s="35"/>
      <c r="O324" s="35"/>
      <c r="P324" s="215" t="s">
        <v>2</v>
      </c>
      <c r="Q324" s="11" t="str">
        <f t="shared" ref="Q324:Q344" si="24">B270</f>
        <v>發明</v>
      </c>
      <c r="R324" s="3" t="str">
        <f>'P(M)年費表'!C57</f>
        <v>NTD</v>
      </c>
      <c r="S324" s="99"/>
      <c r="T324" s="99">
        <f>IF(T$265=0,0,'P(M)年費表'!E57)</f>
        <v>0</v>
      </c>
      <c r="U324" s="99">
        <f>IF(U$265=0,0,'P(M)年費表'!F57)</f>
        <v>0</v>
      </c>
      <c r="V324" s="99">
        <f>IF(V$265=0,0,'P(M)年費表'!G57)</f>
        <v>0</v>
      </c>
      <c r="W324" s="99">
        <f>IF(W$265=0,0,'P(M)年費表'!H57)</f>
        <v>0</v>
      </c>
      <c r="X324" s="99">
        <f>IF(X$265=0,0,'P(M)年費表'!I57)</f>
        <v>0</v>
      </c>
      <c r="Y324" s="99">
        <f>IF(Y$265=0,0,'P(M)年費表'!J57)</f>
        <v>0</v>
      </c>
      <c r="Z324" s="99">
        <f>IF(Z$265=0,0,'P(M)年費表'!K57)</f>
        <v>3000</v>
      </c>
      <c r="AA324" s="99">
        <f>IF(AA$265=0,0,'P(M)年費表'!L57)</f>
        <v>0</v>
      </c>
      <c r="AB324" s="99">
        <f>IF(AB$265=0,0,'P(M)年費表'!M57)</f>
        <v>0</v>
      </c>
      <c r="AC324" s="99">
        <f>IF(AC$265=0,0,'P(M)年費表'!N57)</f>
        <v>0</v>
      </c>
      <c r="AD324" s="99">
        <f>IF(AD$265=0,0,'P(M)年費表'!O57)</f>
        <v>0</v>
      </c>
      <c r="AE324" s="99">
        <f>IF(AE$265=0,0,'P(M)年費表'!P57)</f>
        <v>0</v>
      </c>
      <c r="AF324" s="99">
        <f>IF(AF$265=0,0,'P(M)年費表'!Q57)</f>
        <v>0</v>
      </c>
      <c r="AG324" s="99">
        <f>IF(AG$265=0,0,'P(M)年費表'!R57)</f>
        <v>0</v>
      </c>
      <c r="AH324" s="99">
        <f>IF(AH$265=0,0,'P(M)年費表'!S57)</f>
        <v>0</v>
      </c>
      <c r="AI324" s="99">
        <f>IF(AI$265=0,0,'P(M)年費表'!T57)</f>
        <v>0</v>
      </c>
      <c r="AJ324" s="99">
        <f>IF(AJ$265=0,0,'P(M)年費表'!U57)</f>
        <v>0</v>
      </c>
      <c r="AK324" s="99">
        <f>IF(AK$265=0,0,'P(M)年費表'!V57)</f>
        <v>0</v>
      </c>
      <c r="AL324" s="99">
        <f>IF(AL$265=0,0,'P(M)年費表'!W57)</f>
        <v>0</v>
      </c>
      <c r="AM324" s="99">
        <f>IF(AM$265=0,0,'P(M)年費表'!X57)</f>
        <v>0</v>
      </c>
      <c r="AN324" s="99">
        <f>IF(AN$265=0,0,'P(M)年費表'!Y57)</f>
        <v>0</v>
      </c>
      <c r="AO324" s="99">
        <f>IF(AO$265=0,0,'P(M)年費表'!Z57)</f>
        <v>0</v>
      </c>
      <c r="AP324" s="99">
        <f>IF(AP$265=0,0,'P(M)年費表'!AA57)</f>
        <v>0</v>
      </c>
      <c r="AQ324" s="99">
        <f>IF(AQ$265=0,0,'P(M)年費表'!AB57)</f>
        <v>0</v>
      </c>
      <c r="AR324" s="77">
        <f>SUM(S324:AQ324)</f>
        <v>3000</v>
      </c>
      <c r="AS324" s="11"/>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c r="CE324" s="35"/>
      <c r="CF324" s="35"/>
      <c r="CG324" s="35"/>
      <c r="CH324" s="35"/>
      <c r="CI324" s="35"/>
      <c r="CJ324" s="35"/>
      <c r="CK324" s="35"/>
      <c r="CL324" s="35"/>
      <c r="CM324" s="35"/>
      <c r="CN324" s="35"/>
      <c r="CO324" s="35"/>
      <c r="CP324" s="35"/>
      <c r="CQ324" s="35"/>
      <c r="CR324" s="35"/>
      <c r="CS324" s="35"/>
      <c r="CT324" s="35"/>
      <c r="CU324" s="35"/>
      <c r="CV324" s="35"/>
      <c r="CW324" s="35"/>
      <c r="CX324" s="35"/>
      <c r="CY324" s="35"/>
      <c r="CZ324" s="35"/>
      <c r="DA324" s="35"/>
      <c r="DB324" s="35"/>
      <c r="DC324" s="35"/>
      <c r="DD324" s="35"/>
      <c r="DE324" s="35"/>
      <c r="DF324" s="35"/>
      <c r="DG324" s="35"/>
      <c r="DH324" s="35"/>
      <c r="DI324" s="35"/>
      <c r="DJ324" s="35"/>
    </row>
    <row r="325" spans="1:114" ht="16.5" x14ac:dyDescent="0.25">
      <c r="A325" s="34"/>
      <c r="B325" s="34"/>
      <c r="C325" s="34"/>
      <c r="D325" s="34"/>
      <c r="E325" s="34"/>
      <c r="F325" s="34"/>
      <c r="G325" s="34"/>
      <c r="H325" s="34"/>
      <c r="I325" s="34"/>
      <c r="J325" s="34"/>
      <c r="K325" s="34"/>
      <c r="L325" s="34"/>
      <c r="M325" s="34"/>
      <c r="N325" s="35"/>
      <c r="O325" s="35"/>
      <c r="P325" s="216"/>
      <c r="Q325" s="11" t="str">
        <f t="shared" si="24"/>
        <v>新型</v>
      </c>
      <c r="R325" s="3" t="str">
        <f>'P(M)年費表'!C58</f>
        <v>NTD</v>
      </c>
      <c r="S325" s="99"/>
      <c r="T325" s="99">
        <f>IF(T$265=0,0,'P(M)年費表'!E58)</f>
        <v>0</v>
      </c>
      <c r="U325" s="99">
        <f>IF(U$265=0,0,'P(M)年費表'!F58)</f>
        <v>0</v>
      </c>
      <c r="V325" s="99">
        <f>IF(V$265=0,0,'P(M)年費表'!G58)</f>
        <v>0</v>
      </c>
      <c r="W325" s="99">
        <f>IF(W$265=0,0,'P(M)年費表'!H58)</f>
        <v>0</v>
      </c>
      <c r="X325" s="99">
        <f>IF(X$265=0,0,'P(M)年費表'!I58)</f>
        <v>0</v>
      </c>
      <c r="Y325" s="99">
        <f>IF(Y$265=0,0,'P(M)年費表'!J58)</f>
        <v>0</v>
      </c>
      <c r="Z325" s="99">
        <f>IF(Z$265=0,0,'P(M)年費表'!K58)</f>
        <v>3000</v>
      </c>
      <c r="AA325" s="99">
        <f>IF(AA$265=0,0,'P(M)年費表'!L58)</f>
        <v>0</v>
      </c>
      <c r="AB325" s="99">
        <f>IF(AB$265=0,0,'P(M)年費表'!M58)</f>
        <v>0</v>
      </c>
      <c r="AC325" s="99">
        <f>IF(AC$265=0,0,'P(M)年費表'!N58)</f>
        <v>0</v>
      </c>
      <c r="AD325" s="99">
        <f>IF(AD$265=0,0,'P(M)年費表'!O58)</f>
        <v>0</v>
      </c>
      <c r="AE325" s="99">
        <f>IF(AE$265=0,0,'P(M)年費表'!P58)</f>
        <v>0</v>
      </c>
      <c r="AF325" s="99">
        <f>IF(AF$265=0,0,'P(M)年費表'!Q58)</f>
        <v>0</v>
      </c>
      <c r="AG325" s="99">
        <f>IF(AG$265=0,0,'P(M)年費表'!R58)</f>
        <v>0</v>
      </c>
      <c r="AH325" s="99">
        <f>IF(AH$265=0,0,'P(M)年費表'!S58)</f>
        <v>0</v>
      </c>
      <c r="AI325" s="99">
        <f>IF(AI$265=0,0,'P(M)年費表'!T58)</f>
        <v>0</v>
      </c>
      <c r="AJ325" s="99">
        <f>IF(AJ$265=0,0,'P(M)年費表'!U58)</f>
        <v>0</v>
      </c>
      <c r="AK325" s="99">
        <f>IF(AK$265=0,0,'P(M)年費表'!V58)</f>
        <v>0</v>
      </c>
      <c r="AL325" s="99">
        <f>IF(AL$265=0,0,'P(M)年費表'!W58)</f>
        <v>0</v>
      </c>
      <c r="AM325" s="99">
        <f>IF(AM$265=0,0,'P(M)年費表'!X58)</f>
        <v>0</v>
      </c>
      <c r="AN325" s="99">
        <f>IF(AN$265=0,0,'P(M)年費表'!Y58)</f>
        <v>0</v>
      </c>
      <c r="AO325" s="99">
        <f>IF(AO$265=0,0,'P(M)年費表'!Z58)</f>
        <v>0</v>
      </c>
      <c r="AP325" s="99">
        <f>IF(AP$265=0,0,'P(M)年費表'!AA58)</f>
        <v>0</v>
      </c>
      <c r="AQ325" s="99">
        <f>IF(AQ$265=0,0,'P(M)年費表'!AB58)</f>
        <v>0</v>
      </c>
      <c r="AR325" s="77">
        <f t="shared" ref="AR325:AR345" si="25">SUM(S325:AQ325)</f>
        <v>3000</v>
      </c>
      <c r="AS325" s="11"/>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c r="CE325" s="35"/>
      <c r="CF325" s="35"/>
      <c r="CG325" s="35"/>
      <c r="CH325" s="35"/>
      <c r="CI325" s="35"/>
      <c r="CJ325" s="35"/>
      <c r="CK325" s="35"/>
      <c r="CL325" s="35"/>
      <c r="CM325" s="35"/>
      <c r="CN325" s="35"/>
      <c r="CO325" s="35"/>
      <c r="CP325" s="35"/>
      <c r="CQ325" s="35"/>
      <c r="CR325" s="35"/>
      <c r="CS325" s="35"/>
      <c r="CT325" s="35"/>
      <c r="CU325" s="35"/>
      <c r="CV325" s="35"/>
      <c r="CW325" s="35"/>
      <c r="CX325" s="35"/>
      <c r="CY325" s="35"/>
      <c r="CZ325" s="35"/>
      <c r="DA325" s="35"/>
      <c r="DB325" s="35"/>
      <c r="DC325" s="35"/>
      <c r="DD325" s="35"/>
      <c r="DE325" s="35"/>
      <c r="DF325" s="35"/>
      <c r="DG325" s="35"/>
      <c r="DH325" s="35"/>
      <c r="DI325" s="35"/>
      <c r="DJ325" s="35"/>
    </row>
    <row r="326" spans="1:114" ht="16.5" x14ac:dyDescent="0.25">
      <c r="A326" s="34"/>
      <c r="B326" s="34"/>
      <c r="C326" s="34"/>
      <c r="D326" s="34"/>
      <c r="E326" s="34"/>
      <c r="F326" s="34"/>
      <c r="G326" s="34"/>
      <c r="H326" s="34"/>
      <c r="I326" s="34"/>
      <c r="J326" s="34"/>
      <c r="K326" s="34"/>
      <c r="L326" s="34"/>
      <c r="M326" s="34"/>
      <c r="N326" s="35"/>
      <c r="O326" s="35"/>
      <c r="P326" s="215" t="s">
        <v>3</v>
      </c>
      <c r="Q326" s="11" t="str">
        <f t="shared" si="24"/>
        <v>發明</v>
      </c>
      <c r="R326" s="3" t="str">
        <f>'P(M)年費表'!C59</f>
        <v>NTD</v>
      </c>
      <c r="S326" s="99"/>
      <c r="T326" s="99">
        <f>IF(T$265=0,0,'P(M)年費表'!E59)</f>
        <v>0</v>
      </c>
      <c r="U326" s="99">
        <f>IF(U$265=0,0,'P(M)年費表'!F59)</f>
        <v>0</v>
      </c>
      <c r="V326" s="99">
        <f>IF(V$265=0,0,'P(M)年費表'!G59)</f>
        <v>0</v>
      </c>
      <c r="W326" s="99">
        <f>IF(W$265=0,0,'P(M)年費表'!H59)</f>
        <v>0</v>
      </c>
      <c r="X326" s="99">
        <f>IF(X$265=0,0,'P(M)年費表'!I59)</f>
        <v>0</v>
      </c>
      <c r="Y326" s="99">
        <f>IF(Y$265=0,0,'P(M)年費表'!J59)</f>
        <v>0</v>
      </c>
      <c r="Z326" s="99">
        <f>IF(Z$265=0,0,'P(M)年費表'!K59)</f>
        <v>3000</v>
      </c>
      <c r="AA326" s="99">
        <f>IF(AA$265=0,0,'P(M)年費表'!L59)</f>
        <v>0</v>
      </c>
      <c r="AB326" s="99">
        <f>IF(AB$265=0,0,'P(M)年費表'!M59)</f>
        <v>0</v>
      </c>
      <c r="AC326" s="99">
        <f>IF(AC$265=0,0,'P(M)年費表'!N59)</f>
        <v>0</v>
      </c>
      <c r="AD326" s="99">
        <f>IF(AD$265=0,0,'P(M)年費表'!O59)</f>
        <v>0</v>
      </c>
      <c r="AE326" s="99">
        <f>IF(AE$265=0,0,'P(M)年費表'!P59)</f>
        <v>0</v>
      </c>
      <c r="AF326" s="99">
        <f>IF(AF$265=0,0,'P(M)年費表'!Q59)</f>
        <v>0</v>
      </c>
      <c r="AG326" s="99">
        <f>IF(AG$265=0,0,'P(M)年費表'!R59)</f>
        <v>0</v>
      </c>
      <c r="AH326" s="99">
        <f>IF(AH$265=0,0,'P(M)年費表'!S59)</f>
        <v>0</v>
      </c>
      <c r="AI326" s="99">
        <f>IF(AI$265=0,0,'P(M)年費表'!T59)</f>
        <v>0</v>
      </c>
      <c r="AJ326" s="99">
        <f>IF(AJ$265=0,0,'P(M)年費表'!U59)</f>
        <v>0</v>
      </c>
      <c r="AK326" s="99">
        <f>IF(AK$265=0,0,'P(M)年費表'!V59)</f>
        <v>0</v>
      </c>
      <c r="AL326" s="99">
        <f>IF(AL$265=0,0,'P(M)年費表'!W59)</f>
        <v>0</v>
      </c>
      <c r="AM326" s="99">
        <f>IF(AM$265=0,0,'P(M)年費表'!X59)</f>
        <v>0</v>
      </c>
      <c r="AN326" s="99">
        <f>IF(AN$265=0,0,'P(M)年費表'!Y59)</f>
        <v>0</v>
      </c>
      <c r="AO326" s="99">
        <f>IF(AO$265=0,0,'P(M)年費表'!Z59)</f>
        <v>0</v>
      </c>
      <c r="AP326" s="99">
        <f>IF(AP$265=0,0,'P(M)年費表'!AA59)</f>
        <v>0</v>
      </c>
      <c r="AQ326" s="99">
        <f>IF(AQ$265=0,0,'P(M)年費表'!AB59)</f>
        <v>0</v>
      </c>
      <c r="AR326" s="77">
        <f t="shared" si="25"/>
        <v>3000</v>
      </c>
      <c r="AS326" s="11"/>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c r="CE326" s="35"/>
      <c r="CF326" s="35"/>
      <c r="CG326" s="35"/>
      <c r="CH326" s="35"/>
      <c r="CI326" s="35"/>
      <c r="CJ326" s="35"/>
      <c r="CK326" s="35"/>
      <c r="CL326" s="35"/>
      <c r="CM326" s="35"/>
      <c r="CN326" s="35"/>
      <c r="CO326" s="35"/>
      <c r="CP326" s="35"/>
      <c r="CQ326" s="35"/>
      <c r="CR326" s="35"/>
      <c r="CS326" s="35"/>
      <c r="CT326" s="35"/>
      <c r="CU326" s="35"/>
      <c r="CV326" s="35"/>
      <c r="CW326" s="35"/>
      <c r="CX326" s="35"/>
      <c r="CY326" s="35"/>
      <c r="CZ326" s="35"/>
      <c r="DA326" s="35"/>
      <c r="DB326" s="35"/>
      <c r="DC326" s="35"/>
      <c r="DD326" s="35"/>
      <c r="DE326" s="35"/>
      <c r="DF326" s="35"/>
      <c r="DG326" s="35"/>
      <c r="DH326" s="35"/>
      <c r="DI326" s="35"/>
      <c r="DJ326" s="35"/>
    </row>
    <row r="327" spans="1:114" ht="16.5" x14ac:dyDescent="0.25">
      <c r="A327" s="34"/>
      <c r="B327" s="34"/>
      <c r="C327" s="34"/>
      <c r="D327" s="34"/>
      <c r="E327" s="34"/>
      <c r="F327" s="34"/>
      <c r="G327" s="34"/>
      <c r="H327" s="34"/>
      <c r="I327" s="34"/>
      <c r="J327" s="34"/>
      <c r="K327" s="34"/>
      <c r="L327" s="34"/>
      <c r="M327" s="34"/>
      <c r="N327" s="35"/>
      <c r="O327" s="35"/>
      <c r="P327" s="216"/>
      <c r="Q327" s="11" t="str">
        <f t="shared" si="24"/>
        <v>新型</v>
      </c>
      <c r="R327" s="3" t="str">
        <f>'P(M)年費表'!C60</f>
        <v>NTD</v>
      </c>
      <c r="S327" s="99"/>
      <c r="T327" s="99">
        <f>IF(T$265=0,0,'P(M)年費表'!E60)</f>
        <v>0</v>
      </c>
      <c r="U327" s="99">
        <f>IF(U$265=0,0,'P(M)年費表'!F60)</f>
        <v>0</v>
      </c>
      <c r="V327" s="99">
        <f>IF(V$265=0,0,'P(M)年費表'!G60)</f>
        <v>0</v>
      </c>
      <c r="W327" s="99">
        <f>IF(W$265=0,0,'P(M)年費表'!H60)</f>
        <v>0</v>
      </c>
      <c r="X327" s="99">
        <f>IF(X$265=0,0,'P(M)年費表'!I60)</f>
        <v>0</v>
      </c>
      <c r="Y327" s="99">
        <f>IF(Y$265=0,0,'P(M)年費表'!J60)</f>
        <v>0</v>
      </c>
      <c r="Z327" s="99">
        <f>IF(Z$265=0,0,'P(M)年費表'!K60)</f>
        <v>3000</v>
      </c>
      <c r="AA327" s="99">
        <f>IF(AA$265=0,0,'P(M)年費表'!L60)</f>
        <v>0</v>
      </c>
      <c r="AB327" s="99">
        <f>IF(AB$265=0,0,'P(M)年費表'!M60)</f>
        <v>0</v>
      </c>
      <c r="AC327" s="99">
        <f>IF(AC$265=0,0,'P(M)年費表'!N60)</f>
        <v>0</v>
      </c>
      <c r="AD327" s="99">
        <f>IF(AD$265=0,0,'P(M)年費表'!O60)</f>
        <v>0</v>
      </c>
      <c r="AE327" s="99">
        <f>IF(AE$265=0,0,'P(M)年費表'!P60)</f>
        <v>0</v>
      </c>
      <c r="AF327" s="99">
        <f>IF(AF$265=0,0,'P(M)年費表'!Q60)</f>
        <v>0</v>
      </c>
      <c r="AG327" s="99">
        <f>IF(AG$265=0,0,'P(M)年費表'!R60)</f>
        <v>0</v>
      </c>
      <c r="AH327" s="99">
        <f>IF(AH$265=0,0,'P(M)年費表'!S60)</f>
        <v>0</v>
      </c>
      <c r="AI327" s="99">
        <f>IF(AI$265=0,0,'P(M)年費表'!T60)</f>
        <v>0</v>
      </c>
      <c r="AJ327" s="99">
        <f>IF(AJ$265=0,0,'P(M)年費表'!U60)</f>
        <v>0</v>
      </c>
      <c r="AK327" s="99">
        <f>IF(AK$265=0,0,'P(M)年費表'!V60)</f>
        <v>0</v>
      </c>
      <c r="AL327" s="99">
        <f>IF(AL$265=0,0,'P(M)年費表'!W60)</f>
        <v>0</v>
      </c>
      <c r="AM327" s="99">
        <f>IF(AM$265=0,0,'P(M)年費表'!X60)</f>
        <v>0</v>
      </c>
      <c r="AN327" s="99">
        <f>IF(AN$265=0,0,'P(M)年費表'!Y60)</f>
        <v>0</v>
      </c>
      <c r="AO327" s="99">
        <f>IF(AO$265=0,0,'P(M)年費表'!Z60)</f>
        <v>0</v>
      </c>
      <c r="AP327" s="99">
        <f>IF(AP$265=0,0,'P(M)年費表'!AA60)</f>
        <v>0</v>
      </c>
      <c r="AQ327" s="99">
        <f>IF(AQ$265=0,0,'P(M)年費表'!AB60)</f>
        <v>0</v>
      </c>
      <c r="AR327" s="77">
        <f t="shared" si="25"/>
        <v>3000</v>
      </c>
      <c r="AS327" s="11"/>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c r="CE327" s="35"/>
      <c r="CF327" s="35"/>
      <c r="CG327" s="35"/>
      <c r="CH327" s="35"/>
      <c r="CI327" s="35"/>
      <c r="CJ327" s="35"/>
      <c r="CK327" s="35"/>
      <c r="CL327" s="35"/>
      <c r="CM327" s="35"/>
      <c r="CN327" s="35"/>
      <c r="CO327" s="35"/>
      <c r="CP327" s="35"/>
      <c r="CQ327" s="35"/>
      <c r="CR327" s="35"/>
      <c r="CS327" s="35"/>
      <c r="CT327" s="35"/>
      <c r="CU327" s="35"/>
      <c r="CV327" s="35"/>
      <c r="CW327" s="35"/>
      <c r="CX327" s="35"/>
      <c r="CY327" s="35"/>
      <c r="CZ327" s="35"/>
      <c r="DA327" s="35"/>
      <c r="DB327" s="35"/>
      <c r="DC327" s="35"/>
      <c r="DD327" s="35"/>
      <c r="DE327" s="35"/>
      <c r="DF327" s="35"/>
      <c r="DG327" s="35"/>
      <c r="DH327" s="35"/>
      <c r="DI327" s="35"/>
      <c r="DJ327" s="35"/>
    </row>
    <row r="328" spans="1:114" ht="16.5" x14ac:dyDescent="0.25">
      <c r="A328" s="34"/>
      <c r="B328" s="34"/>
      <c r="C328" s="34"/>
      <c r="D328" s="34"/>
      <c r="E328" s="34"/>
      <c r="F328" s="34"/>
      <c r="G328" s="34"/>
      <c r="H328" s="34"/>
      <c r="I328" s="34"/>
      <c r="J328" s="34"/>
      <c r="K328" s="34"/>
      <c r="L328" s="34"/>
      <c r="M328" s="34"/>
      <c r="N328" s="35"/>
      <c r="O328" s="35"/>
      <c r="P328" s="3" t="s">
        <v>4</v>
      </c>
      <c r="Q328" s="11" t="str">
        <f t="shared" si="24"/>
        <v>發明</v>
      </c>
      <c r="R328" s="3" t="str">
        <f>'P(M)年費表'!C61</f>
        <v>NTD</v>
      </c>
      <c r="S328" s="99"/>
      <c r="T328" s="99">
        <f>IF(T$265=0,0,'P(M)年費表'!E61)</f>
        <v>0</v>
      </c>
      <c r="U328" s="99">
        <f>IF(U$265=0,0,'P(M)年費表'!F61)</f>
        <v>0</v>
      </c>
      <c r="V328" s="99">
        <f>IF(V$265=0,0,'P(M)年費表'!G61)</f>
        <v>0</v>
      </c>
      <c r="W328" s="99">
        <f>IF(W$265=0,0,'P(M)年費表'!H61)</f>
        <v>0</v>
      </c>
      <c r="X328" s="99">
        <f>IF(X$265=0,0,'P(M)年費表'!I61)</f>
        <v>0</v>
      </c>
      <c r="Y328" s="99">
        <f>IF(Y$265=0,0,'P(M)年費表'!J61)</f>
        <v>0</v>
      </c>
      <c r="Z328" s="99">
        <f>IF(Z$265=0,0,'P(M)年費表'!K61)</f>
        <v>5000</v>
      </c>
      <c r="AA328" s="99">
        <f>IF(AA$265=0,0,'P(M)年費表'!L61)</f>
        <v>0</v>
      </c>
      <c r="AB328" s="99">
        <f>IF(AB$265=0,0,'P(M)年費表'!M61)</f>
        <v>0</v>
      </c>
      <c r="AC328" s="99">
        <f>IF(AC$265=0,0,'P(M)年費表'!N61)</f>
        <v>0</v>
      </c>
      <c r="AD328" s="99">
        <f>IF(AD$265=0,0,'P(M)年費表'!O61)</f>
        <v>0</v>
      </c>
      <c r="AE328" s="99">
        <f>IF(AE$265=0,0,'P(M)年費表'!P61)</f>
        <v>0</v>
      </c>
      <c r="AF328" s="99">
        <f>IF(AF$265=0,0,'P(M)年費表'!Q61)</f>
        <v>0</v>
      </c>
      <c r="AG328" s="99">
        <f>IF(AG$265=0,0,'P(M)年費表'!R61)</f>
        <v>0</v>
      </c>
      <c r="AH328" s="99">
        <f>IF(AH$265=0,0,'P(M)年費表'!S61)</f>
        <v>0</v>
      </c>
      <c r="AI328" s="99">
        <f>IF(AI$265=0,0,'P(M)年費表'!T61)</f>
        <v>0</v>
      </c>
      <c r="AJ328" s="99">
        <f>IF(AJ$265=0,0,'P(M)年費表'!U61)</f>
        <v>0</v>
      </c>
      <c r="AK328" s="99">
        <f>IF(AK$265=0,0,'P(M)年費表'!V61)</f>
        <v>0</v>
      </c>
      <c r="AL328" s="99">
        <f>IF(AL$265=0,0,'P(M)年費表'!W61)</f>
        <v>0</v>
      </c>
      <c r="AM328" s="99">
        <f>IF(AM$265=0,0,'P(M)年費表'!X61)</f>
        <v>0</v>
      </c>
      <c r="AN328" s="99">
        <f>IF(AN$265=0,0,'P(M)年費表'!Y61)</f>
        <v>0</v>
      </c>
      <c r="AO328" s="99">
        <f>IF(AO$265=0,0,'P(M)年費表'!Z61)</f>
        <v>0</v>
      </c>
      <c r="AP328" s="99">
        <f>IF(AP$265=0,0,'P(M)年費表'!AA61)</f>
        <v>0</v>
      </c>
      <c r="AQ328" s="99">
        <f>IF(AQ$265=0,0,'P(M)年費表'!AB61)</f>
        <v>0</v>
      </c>
      <c r="AR328" s="77">
        <f t="shared" si="25"/>
        <v>5000</v>
      </c>
      <c r="AS328" s="11"/>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5"/>
      <c r="CA328" s="35"/>
      <c r="CB328" s="35"/>
      <c r="CC328" s="35"/>
      <c r="CD328" s="35"/>
      <c r="CE328" s="35"/>
      <c r="CF328" s="35"/>
      <c r="CG328" s="35"/>
      <c r="CH328" s="35"/>
      <c r="CI328" s="35"/>
      <c r="CJ328" s="35"/>
      <c r="CK328" s="35"/>
      <c r="CL328" s="35"/>
      <c r="CM328" s="35"/>
      <c r="CN328" s="35"/>
      <c r="CO328" s="35"/>
      <c r="CP328" s="35"/>
      <c r="CQ328" s="35"/>
      <c r="CR328" s="35"/>
      <c r="CS328" s="35"/>
      <c r="CT328" s="35"/>
      <c r="CU328" s="35"/>
      <c r="CV328" s="35"/>
      <c r="CW328" s="35"/>
      <c r="CX328" s="35"/>
      <c r="CY328" s="35"/>
      <c r="CZ328" s="35"/>
      <c r="DA328" s="35"/>
      <c r="DB328" s="35"/>
      <c r="DC328" s="35"/>
      <c r="DD328" s="35"/>
      <c r="DE328" s="35"/>
      <c r="DF328" s="35"/>
      <c r="DG328" s="35"/>
      <c r="DH328" s="35"/>
      <c r="DI328" s="35"/>
      <c r="DJ328" s="35"/>
    </row>
    <row r="329" spans="1:114" ht="16.5" x14ac:dyDescent="0.25">
      <c r="A329" s="34"/>
      <c r="B329" s="34"/>
      <c r="C329" s="34"/>
      <c r="D329" s="34"/>
      <c r="E329" s="34"/>
      <c r="F329" s="34"/>
      <c r="G329" s="34"/>
      <c r="H329" s="34"/>
      <c r="I329" s="34"/>
      <c r="J329" s="34"/>
      <c r="K329" s="34"/>
      <c r="L329" s="34"/>
      <c r="M329" s="34"/>
      <c r="N329" s="35"/>
      <c r="O329" s="35"/>
      <c r="P329" s="3" t="s">
        <v>5</v>
      </c>
      <c r="Q329" s="11" t="str">
        <f t="shared" si="24"/>
        <v>發明</v>
      </c>
      <c r="R329" s="3" t="str">
        <f>'P(M)年費表'!C62</f>
        <v>NTD</v>
      </c>
      <c r="S329" s="99"/>
      <c r="T329" s="99">
        <f>IF(T$265=0,0,'P(M)年費表'!E62)</f>
        <v>0</v>
      </c>
      <c r="U329" s="99">
        <f>IF(U$265=0,0,'P(M)年費表'!F62)</f>
        <v>0</v>
      </c>
      <c r="V329" s="99">
        <f>IF(V$265=0,0,'P(M)年費表'!G62)</f>
        <v>0</v>
      </c>
      <c r="W329" s="99">
        <f>IF(W$265=0,0,'P(M)年費表'!H62)</f>
        <v>0</v>
      </c>
      <c r="X329" s="99">
        <f>IF(X$265=0,0,'P(M)年費表'!I62)</f>
        <v>0</v>
      </c>
      <c r="Y329" s="99">
        <f>IF(Y$265=0,0,'P(M)年費表'!J62)</f>
        <v>0</v>
      </c>
      <c r="Z329" s="99">
        <f>IF(Z$265=0,0,'P(M)年費表'!K62)</f>
        <v>15000</v>
      </c>
      <c r="AA329" s="99">
        <f>IF(AA$265=0,0,'P(M)年費表'!L62)</f>
        <v>0</v>
      </c>
      <c r="AB329" s="99">
        <f>IF(AB$265=0,0,'P(M)年費表'!M62)</f>
        <v>0</v>
      </c>
      <c r="AC329" s="99">
        <f>IF(AC$265=0,0,'P(M)年費表'!N62)</f>
        <v>0</v>
      </c>
      <c r="AD329" s="99">
        <f>IF(AD$265=0,0,'P(M)年費表'!O62)</f>
        <v>0</v>
      </c>
      <c r="AE329" s="99">
        <f>IF(AE$265=0,0,'P(M)年費表'!P62)</f>
        <v>0</v>
      </c>
      <c r="AF329" s="99">
        <f>IF(AF$265=0,0,'P(M)年費表'!Q62)</f>
        <v>0</v>
      </c>
      <c r="AG329" s="99">
        <f>IF(AG$265=0,0,'P(M)年費表'!R62)</f>
        <v>0</v>
      </c>
      <c r="AH329" s="99">
        <f>IF(AH$265=0,0,'P(M)年費表'!S62)</f>
        <v>0</v>
      </c>
      <c r="AI329" s="99">
        <f>IF(AI$265=0,0,'P(M)年費表'!T62)</f>
        <v>0</v>
      </c>
      <c r="AJ329" s="99">
        <f>IF(AJ$265=0,0,'P(M)年費表'!U62)</f>
        <v>0</v>
      </c>
      <c r="AK329" s="99">
        <f>IF(AK$265=0,0,'P(M)年費表'!V62)</f>
        <v>0</v>
      </c>
      <c r="AL329" s="99">
        <f>IF(AL$265=0,0,'P(M)年費表'!W62)</f>
        <v>0</v>
      </c>
      <c r="AM329" s="99">
        <f>IF(AM$265=0,0,'P(M)年費表'!X62)</f>
        <v>0</v>
      </c>
      <c r="AN329" s="99">
        <f>IF(AN$265=0,0,'P(M)年費表'!Y62)</f>
        <v>0</v>
      </c>
      <c r="AO329" s="99">
        <f>IF(AO$265=0,0,'P(M)年費表'!Z62)</f>
        <v>0</v>
      </c>
      <c r="AP329" s="99">
        <f>IF(AP$265=0,0,'P(M)年費表'!AA62)</f>
        <v>0</v>
      </c>
      <c r="AQ329" s="99">
        <f>IF(AQ$265=0,0,'P(M)年費表'!AB62)</f>
        <v>0</v>
      </c>
      <c r="AR329" s="77">
        <f t="shared" si="25"/>
        <v>15000</v>
      </c>
      <c r="AS329" s="11"/>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5"/>
      <c r="BS329" s="35"/>
      <c r="BT329" s="35"/>
      <c r="BU329" s="35"/>
      <c r="BV329" s="35"/>
      <c r="BW329" s="35"/>
      <c r="BX329" s="35"/>
      <c r="BY329" s="35"/>
      <c r="BZ329" s="35"/>
      <c r="CA329" s="35"/>
      <c r="CB329" s="35"/>
      <c r="CC329" s="35"/>
      <c r="CD329" s="35"/>
      <c r="CE329" s="35"/>
      <c r="CF329" s="35"/>
      <c r="CG329" s="35"/>
      <c r="CH329" s="35"/>
      <c r="CI329" s="35"/>
      <c r="CJ329" s="35"/>
      <c r="CK329" s="35"/>
      <c r="CL329" s="35"/>
      <c r="CM329" s="35"/>
      <c r="CN329" s="35"/>
      <c r="CO329" s="35"/>
      <c r="CP329" s="35"/>
      <c r="CQ329" s="35"/>
      <c r="CR329" s="35"/>
      <c r="CS329" s="35"/>
      <c r="CT329" s="35"/>
      <c r="CU329" s="35"/>
      <c r="CV329" s="35"/>
      <c r="CW329" s="35"/>
      <c r="CX329" s="35"/>
      <c r="CY329" s="35"/>
      <c r="CZ329" s="35"/>
      <c r="DA329" s="35"/>
      <c r="DB329" s="35"/>
      <c r="DC329" s="35"/>
      <c r="DD329" s="35"/>
      <c r="DE329" s="35"/>
      <c r="DF329" s="35"/>
      <c r="DG329" s="35"/>
      <c r="DH329" s="35"/>
      <c r="DI329" s="35"/>
      <c r="DJ329" s="35"/>
    </row>
    <row r="330" spans="1:114" ht="16.5" x14ac:dyDescent="0.25">
      <c r="A330" s="34"/>
      <c r="B330" s="34"/>
      <c r="C330" s="34"/>
      <c r="D330" s="34"/>
      <c r="E330" s="34"/>
      <c r="F330" s="34"/>
      <c r="G330" s="34"/>
      <c r="H330" s="34"/>
      <c r="I330" s="34"/>
      <c r="J330" s="34"/>
      <c r="K330" s="34"/>
      <c r="L330" s="34"/>
      <c r="M330" s="34"/>
      <c r="N330" s="35"/>
      <c r="O330" s="35"/>
      <c r="P330" s="215" t="s">
        <v>6</v>
      </c>
      <c r="Q330" s="11" t="str">
        <f t="shared" si="24"/>
        <v>發明</v>
      </c>
      <c r="R330" s="3" t="str">
        <f>'P(M)年費表'!C63</f>
        <v>NTD</v>
      </c>
      <c r="S330" s="99"/>
      <c r="T330" s="99">
        <f>IF(T$265=0,0,'P(M)年費表'!E63)</f>
        <v>0</v>
      </c>
      <c r="U330" s="99">
        <f>IF(U$265=0,0,'P(M)年費表'!F63)</f>
        <v>0</v>
      </c>
      <c r="V330" s="99">
        <f>IF(V$265=0,0,'P(M)年費表'!G63)</f>
        <v>0</v>
      </c>
      <c r="W330" s="99">
        <f>IF(W$265=0,0,'P(M)年費表'!H63)</f>
        <v>0</v>
      </c>
      <c r="X330" s="99">
        <f>IF(X$265=0,0,'P(M)年費表'!I63)</f>
        <v>0</v>
      </c>
      <c r="Y330" s="99">
        <f>IF(Y$265=0,0,'P(M)年費表'!J63)</f>
        <v>0</v>
      </c>
      <c r="Z330" s="99">
        <f>IF(Z$265=0,0,'P(M)年費表'!K63)</f>
        <v>5000</v>
      </c>
      <c r="AA330" s="99">
        <f>IF(AA$265=0,0,'P(M)年費表'!L63)</f>
        <v>0</v>
      </c>
      <c r="AB330" s="99">
        <f>IF(AB$265=0,0,'P(M)年費表'!M63)</f>
        <v>0</v>
      </c>
      <c r="AC330" s="99">
        <f>IF(AC$265=0,0,'P(M)年費表'!N63)</f>
        <v>0</v>
      </c>
      <c r="AD330" s="99">
        <f>IF(AD$265=0,0,'P(M)年費表'!O63)</f>
        <v>0</v>
      </c>
      <c r="AE330" s="99">
        <f>IF(AE$265=0,0,'P(M)年費表'!P63)</f>
        <v>0</v>
      </c>
      <c r="AF330" s="99">
        <f>IF(AF$265=0,0,'P(M)年費表'!Q63)</f>
        <v>0</v>
      </c>
      <c r="AG330" s="99">
        <f>IF(AG$265=0,0,'P(M)年費表'!R63)</f>
        <v>0</v>
      </c>
      <c r="AH330" s="99">
        <f>IF(AH$265=0,0,'P(M)年費表'!S63)</f>
        <v>0</v>
      </c>
      <c r="AI330" s="99">
        <f>IF(AI$265=0,0,'P(M)年費表'!T63)</f>
        <v>0</v>
      </c>
      <c r="AJ330" s="99">
        <f>IF(AJ$265=0,0,'P(M)年費表'!U63)</f>
        <v>0</v>
      </c>
      <c r="AK330" s="99">
        <f>IF(AK$265=0,0,'P(M)年費表'!V63)</f>
        <v>0</v>
      </c>
      <c r="AL330" s="99">
        <f>IF(AL$265=0,0,'P(M)年費表'!W63)</f>
        <v>0</v>
      </c>
      <c r="AM330" s="99">
        <f>IF(AM$265=0,0,'P(M)年費表'!X63)</f>
        <v>0</v>
      </c>
      <c r="AN330" s="99">
        <f>IF(AN$265=0,0,'P(M)年費表'!Y63)</f>
        <v>0</v>
      </c>
      <c r="AO330" s="99">
        <f>IF(AO$265=0,0,'P(M)年費表'!Z63)</f>
        <v>0</v>
      </c>
      <c r="AP330" s="99">
        <f>IF(AP$265=0,0,'P(M)年費表'!AA63)</f>
        <v>0</v>
      </c>
      <c r="AQ330" s="99">
        <f>IF(AQ$265=0,0,'P(M)年費表'!AB63)</f>
        <v>0</v>
      </c>
      <c r="AR330" s="77">
        <f t="shared" si="25"/>
        <v>5000</v>
      </c>
      <c r="AS330" s="11"/>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c r="CE330" s="35"/>
      <c r="CF330" s="35"/>
      <c r="CG330" s="35"/>
      <c r="CH330" s="35"/>
      <c r="CI330" s="35"/>
      <c r="CJ330" s="35"/>
      <c r="CK330" s="35"/>
      <c r="CL330" s="35"/>
      <c r="CM330" s="35"/>
      <c r="CN330" s="35"/>
      <c r="CO330" s="35"/>
      <c r="CP330" s="35"/>
      <c r="CQ330" s="35"/>
      <c r="CR330" s="35"/>
      <c r="CS330" s="35"/>
      <c r="CT330" s="35"/>
      <c r="CU330" s="35"/>
      <c r="CV330" s="35"/>
      <c r="CW330" s="35"/>
      <c r="CX330" s="35"/>
      <c r="CY330" s="35"/>
      <c r="CZ330" s="35"/>
      <c r="DA330" s="35"/>
      <c r="DB330" s="35"/>
      <c r="DC330" s="35"/>
      <c r="DD330" s="35"/>
      <c r="DE330" s="35"/>
      <c r="DF330" s="35"/>
      <c r="DG330" s="35"/>
      <c r="DH330" s="35"/>
      <c r="DI330" s="35"/>
      <c r="DJ330" s="35"/>
    </row>
    <row r="331" spans="1:114" ht="16.5" x14ac:dyDescent="0.25">
      <c r="A331" s="34"/>
      <c r="B331" s="34"/>
      <c r="C331" s="34"/>
      <c r="D331" s="34"/>
      <c r="E331" s="34"/>
      <c r="F331" s="34"/>
      <c r="G331" s="34"/>
      <c r="H331" s="34"/>
      <c r="I331" s="34"/>
      <c r="J331" s="34"/>
      <c r="K331" s="34"/>
      <c r="L331" s="34"/>
      <c r="M331" s="34"/>
      <c r="N331" s="35"/>
      <c r="O331" s="35"/>
      <c r="P331" s="216"/>
      <c r="Q331" s="11" t="str">
        <f t="shared" si="24"/>
        <v>新型</v>
      </c>
      <c r="R331" s="3" t="str">
        <f>'P(M)年費表'!C64</f>
        <v>NTD</v>
      </c>
      <c r="S331" s="99"/>
      <c r="T331" s="99">
        <f>IF(T$265=0,0,'P(M)年費表'!E64)</f>
        <v>0</v>
      </c>
      <c r="U331" s="99">
        <f>IF(U$265=0,0,'P(M)年費表'!F64)</f>
        <v>0</v>
      </c>
      <c r="V331" s="99">
        <f>IF(V$265=0,0,'P(M)年費表'!G64)</f>
        <v>0</v>
      </c>
      <c r="W331" s="99">
        <f>IF(W$265=0,0,'P(M)年費表'!H64)</f>
        <v>0</v>
      </c>
      <c r="X331" s="99">
        <f>IF(X$265=0,0,'P(M)年費表'!I64)</f>
        <v>0</v>
      </c>
      <c r="Y331" s="99">
        <f>IF(Y$265=0,0,'P(M)年費表'!J64)</f>
        <v>0</v>
      </c>
      <c r="Z331" s="99">
        <f>IF(Z$265=0,0,'P(M)年費表'!K64)</f>
        <v>5000</v>
      </c>
      <c r="AA331" s="99">
        <f>IF(AA$265=0,0,'P(M)年費表'!L64)</f>
        <v>0</v>
      </c>
      <c r="AB331" s="99">
        <f>IF(AB$265=0,0,'P(M)年費表'!M64)</f>
        <v>0</v>
      </c>
      <c r="AC331" s="99">
        <f>IF(AC$265=0,0,'P(M)年費表'!N64)</f>
        <v>0</v>
      </c>
      <c r="AD331" s="99">
        <f>IF(AD$265=0,0,'P(M)年費表'!O64)</f>
        <v>0</v>
      </c>
      <c r="AE331" s="99">
        <f>IF(AE$265=0,0,'P(M)年費表'!P64)</f>
        <v>0</v>
      </c>
      <c r="AF331" s="99">
        <f>IF(AF$265=0,0,'P(M)年費表'!Q64)</f>
        <v>0</v>
      </c>
      <c r="AG331" s="99">
        <f>IF(AG$265=0,0,'P(M)年費表'!R64)</f>
        <v>0</v>
      </c>
      <c r="AH331" s="99">
        <f>IF(AH$265=0,0,'P(M)年費表'!S64)</f>
        <v>0</v>
      </c>
      <c r="AI331" s="99">
        <f>IF(AI$265=0,0,'P(M)年費表'!T64)</f>
        <v>0</v>
      </c>
      <c r="AJ331" s="99">
        <f>IF(AJ$265=0,0,'P(M)年費表'!U64)</f>
        <v>0</v>
      </c>
      <c r="AK331" s="99">
        <f>IF(AK$265=0,0,'P(M)年費表'!V64)</f>
        <v>0</v>
      </c>
      <c r="AL331" s="99">
        <f>IF(AL$265=0,0,'P(M)年費表'!W64)</f>
        <v>0</v>
      </c>
      <c r="AM331" s="99">
        <f>IF(AM$265=0,0,'P(M)年費表'!X64)</f>
        <v>0</v>
      </c>
      <c r="AN331" s="99">
        <f>IF(AN$265=0,0,'P(M)年費表'!Y64)</f>
        <v>0</v>
      </c>
      <c r="AO331" s="99">
        <f>IF(AO$265=0,0,'P(M)年費表'!Z64)</f>
        <v>0</v>
      </c>
      <c r="AP331" s="99">
        <f>IF(AP$265=0,0,'P(M)年費表'!AA64)</f>
        <v>0</v>
      </c>
      <c r="AQ331" s="99">
        <f>IF(AQ$265=0,0,'P(M)年費表'!AB64)</f>
        <v>0</v>
      </c>
      <c r="AR331" s="77">
        <f t="shared" si="25"/>
        <v>5000</v>
      </c>
      <c r="AS331" s="11"/>
      <c r="AT331" s="35"/>
      <c r="AU331" s="35"/>
      <c r="AV331" s="35"/>
      <c r="AW331" s="35"/>
      <c r="AX331" s="35"/>
      <c r="AY331" s="35"/>
      <c r="AZ331" s="35"/>
      <c r="BA331" s="35"/>
      <c r="BB331" s="35"/>
      <c r="BC331" s="35"/>
      <c r="BD331" s="35"/>
      <c r="BE331" s="35"/>
      <c r="BF331" s="35"/>
      <c r="BG331" s="35"/>
      <c r="BH331" s="35"/>
      <c r="BI331" s="35"/>
      <c r="BJ331" s="35"/>
      <c r="BK331" s="35"/>
      <c r="BL331" s="35"/>
      <c r="BM331" s="35"/>
      <c r="BN331" s="35"/>
      <c r="BO331" s="35"/>
      <c r="BP331" s="35"/>
      <c r="BQ331" s="35"/>
      <c r="BR331" s="35"/>
      <c r="BS331" s="35"/>
      <c r="BT331" s="35"/>
      <c r="BU331" s="35"/>
      <c r="BV331" s="35"/>
      <c r="BW331" s="35"/>
      <c r="BX331" s="35"/>
      <c r="BY331" s="35"/>
      <c r="BZ331" s="35"/>
      <c r="CA331" s="35"/>
      <c r="CB331" s="35"/>
      <c r="CC331" s="35"/>
      <c r="CD331" s="35"/>
      <c r="CE331" s="35"/>
      <c r="CF331" s="35"/>
      <c r="CG331" s="35"/>
      <c r="CH331" s="35"/>
      <c r="CI331" s="35"/>
      <c r="CJ331" s="35"/>
      <c r="CK331" s="35"/>
      <c r="CL331" s="35"/>
      <c r="CM331" s="35"/>
      <c r="CN331" s="35"/>
      <c r="CO331" s="35"/>
      <c r="CP331" s="35"/>
      <c r="CQ331" s="35"/>
      <c r="CR331" s="35"/>
      <c r="CS331" s="35"/>
      <c r="CT331" s="35"/>
      <c r="CU331" s="35"/>
      <c r="CV331" s="35"/>
      <c r="CW331" s="35"/>
      <c r="CX331" s="35"/>
      <c r="CY331" s="35"/>
      <c r="CZ331" s="35"/>
      <c r="DA331" s="35"/>
      <c r="DB331" s="35"/>
      <c r="DC331" s="35"/>
      <c r="DD331" s="35"/>
      <c r="DE331" s="35"/>
      <c r="DF331" s="35"/>
      <c r="DG331" s="35"/>
      <c r="DH331" s="35"/>
      <c r="DI331" s="35"/>
      <c r="DJ331" s="35"/>
    </row>
    <row r="332" spans="1:114" ht="16.5" x14ac:dyDescent="0.25">
      <c r="A332" s="34"/>
      <c r="B332" s="34"/>
      <c r="C332" s="34"/>
      <c r="D332" s="34"/>
      <c r="E332" s="34"/>
      <c r="F332" s="34"/>
      <c r="G332" s="34"/>
      <c r="H332" s="34"/>
      <c r="I332" s="34"/>
      <c r="J332" s="34"/>
      <c r="K332" s="34"/>
      <c r="L332" s="34"/>
      <c r="M332" s="34"/>
      <c r="N332" s="35"/>
      <c r="O332" s="35"/>
      <c r="P332" s="215" t="s">
        <v>7</v>
      </c>
      <c r="Q332" s="11" t="str">
        <f t="shared" si="24"/>
        <v>發明</v>
      </c>
      <c r="R332" s="3" t="str">
        <f>'P(M)年費表'!C65</f>
        <v>NTD</v>
      </c>
      <c r="S332" s="99"/>
      <c r="T332" s="99">
        <f>IF(T$265=0,0,'P(M)年費表'!E65)</f>
        <v>0</v>
      </c>
      <c r="U332" s="99">
        <f>IF(U$265=0,0,'P(M)年費表'!F65)</f>
        <v>0</v>
      </c>
      <c r="V332" s="99">
        <f>IF(V$265=0,0,'P(M)年費表'!G65)</f>
        <v>0</v>
      </c>
      <c r="W332" s="99">
        <f>IF(W$265=0,0,'P(M)年費表'!H65)</f>
        <v>0</v>
      </c>
      <c r="X332" s="99">
        <f>IF(X$265=0,0,'P(M)年費表'!I65)</f>
        <v>0</v>
      </c>
      <c r="Y332" s="99">
        <f>IF(Y$265=0,0,'P(M)年費表'!J65)</f>
        <v>0</v>
      </c>
      <c r="Z332" s="99">
        <f>IF(Z$265=0,0,'P(M)年費表'!K65)</f>
        <v>5000</v>
      </c>
      <c r="AA332" s="99">
        <f>IF(AA$265=0,0,'P(M)年費表'!L65)</f>
        <v>0</v>
      </c>
      <c r="AB332" s="99">
        <f>IF(AB$265=0,0,'P(M)年費表'!M65)</f>
        <v>0</v>
      </c>
      <c r="AC332" s="99">
        <f>IF(AC$265=0,0,'P(M)年費表'!N65)</f>
        <v>0</v>
      </c>
      <c r="AD332" s="99">
        <f>IF(AD$265=0,0,'P(M)年費表'!O65)</f>
        <v>0</v>
      </c>
      <c r="AE332" s="99">
        <f>IF(AE$265=0,0,'P(M)年費表'!P65)</f>
        <v>0</v>
      </c>
      <c r="AF332" s="99">
        <f>IF(AF$265=0,0,'P(M)年費表'!Q65)</f>
        <v>0</v>
      </c>
      <c r="AG332" s="99">
        <f>IF(AG$265=0,0,'P(M)年費表'!R65)</f>
        <v>0</v>
      </c>
      <c r="AH332" s="99">
        <f>IF(AH$265=0,0,'P(M)年費表'!S65)</f>
        <v>0</v>
      </c>
      <c r="AI332" s="99">
        <f>IF(AI$265=0,0,'P(M)年費表'!T65)</f>
        <v>0</v>
      </c>
      <c r="AJ332" s="99">
        <f>IF(AJ$265=0,0,'P(M)年費表'!U65)</f>
        <v>0</v>
      </c>
      <c r="AK332" s="99">
        <f>IF(AK$265=0,0,'P(M)年費表'!V65)</f>
        <v>0</v>
      </c>
      <c r="AL332" s="99">
        <f>IF(AL$265=0,0,'P(M)年費表'!W65)</f>
        <v>0</v>
      </c>
      <c r="AM332" s="99">
        <f>IF(AM$265=0,0,'P(M)年費表'!X65)</f>
        <v>0</v>
      </c>
      <c r="AN332" s="99">
        <f>IF(AN$265=0,0,'P(M)年費表'!Y65)</f>
        <v>0</v>
      </c>
      <c r="AO332" s="99">
        <f>IF(AO$265=0,0,'P(M)年費表'!Z65)</f>
        <v>0</v>
      </c>
      <c r="AP332" s="99">
        <f>IF(AP$265=0,0,'P(M)年費表'!AA65)</f>
        <v>0</v>
      </c>
      <c r="AQ332" s="99">
        <f>IF(AQ$265=0,0,'P(M)年費表'!AB65)</f>
        <v>0</v>
      </c>
      <c r="AR332" s="77">
        <f t="shared" si="25"/>
        <v>5000</v>
      </c>
      <c r="AS332" s="11"/>
      <c r="AT332" s="35"/>
      <c r="AU332" s="35"/>
      <c r="AV332" s="35"/>
      <c r="AW332" s="35"/>
      <c r="AX332" s="35"/>
      <c r="AY332" s="35"/>
      <c r="AZ332" s="35"/>
      <c r="BA332" s="35"/>
      <c r="BB332" s="35"/>
      <c r="BC332" s="35"/>
      <c r="BD332" s="35"/>
      <c r="BE332" s="35"/>
      <c r="BF332" s="35"/>
      <c r="BG332" s="35"/>
      <c r="BH332" s="35"/>
      <c r="BI332" s="35"/>
      <c r="BJ332" s="35"/>
      <c r="BK332" s="35"/>
      <c r="BL332" s="35"/>
      <c r="BM332" s="35"/>
      <c r="BN332" s="35"/>
      <c r="BO332" s="35"/>
      <c r="BP332" s="35"/>
      <c r="BQ332" s="35"/>
      <c r="BR332" s="35"/>
      <c r="BS332" s="35"/>
      <c r="BT332" s="35"/>
      <c r="BU332" s="35"/>
      <c r="BV332" s="35"/>
      <c r="BW332" s="35"/>
      <c r="BX332" s="35"/>
      <c r="BY332" s="35"/>
      <c r="BZ332" s="35"/>
      <c r="CA332" s="35"/>
      <c r="CB332" s="35"/>
      <c r="CC332" s="35"/>
      <c r="CD332" s="35"/>
      <c r="CE332" s="35"/>
      <c r="CF332" s="35"/>
      <c r="CG332" s="35"/>
      <c r="CH332" s="35"/>
      <c r="CI332" s="35"/>
      <c r="CJ332" s="35"/>
      <c r="CK332" s="35"/>
      <c r="CL332" s="35"/>
      <c r="CM332" s="35"/>
      <c r="CN332" s="35"/>
      <c r="CO332" s="35"/>
      <c r="CP332" s="35"/>
      <c r="CQ332" s="35"/>
      <c r="CR332" s="35"/>
      <c r="CS332" s="35"/>
      <c r="CT332" s="35"/>
      <c r="CU332" s="35"/>
      <c r="CV332" s="35"/>
      <c r="CW332" s="35"/>
      <c r="CX332" s="35"/>
      <c r="CY332" s="35"/>
      <c r="CZ332" s="35"/>
      <c r="DA332" s="35"/>
      <c r="DB332" s="35"/>
      <c r="DC332" s="35"/>
      <c r="DD332" s="35"/>
      <c r="DE332" s="35"/>
      <c r="DF332" s="35"/>
      <c r="DG332" s="35"/>
      <c r="DH332" s="35"/>
      <c r="DI332" s="35"/>
      <c r="DJ332" s="35"/>
    </row>
    <row r="333" spans="1:114" ht="16.5" x14ac:dyDescent="0.25">
      <c r="A333" s="34"/>
      <c r="B333" s="34"/>
      <c r="C333" s="34"/>
      <c r="D333" s="34"/>
      <c r="E333" s="34"/>
      <c r="F333" s="34"/>
      <c r="G333" s="34"/>
      <c r="H333" s="34"/>
      <c r="I333" s="34"/>
      <c r="J333" s="34"/>
      <c r="K333" s="34"/>
      <c r="L333" s="34"/>
      <c r="M333" s="34"/>
      <c r="N333" s="35"/>
      <c r="O333" s="35"/>
      <c r="P333" s="216"/>
      <c r="Q333" s="11" t="str">
        <f t="shared" si="24"/>
        <v>新型</v>
      </c>
      <c r="R333" s="3" t="str">
        <f>'P(M)年費表'!C66</f>
        <v>NTD</v>
      </c>
      <c r="S333" s="99"/>
      <c r="T333" s="99">
        <f>IF(T$265=0,0,'P(M)年費表'!E66)</f>
        <v>0</v>
      </c>
      <c r="U333" s="99">
        <f>IF(U$265=0,0,'P(M)年費表'!F66)</f>
        <v>0</v>
      </c>
      <c r="V333" s="99">
        <f>IF(V$265=0,0,'P(M)年費表'!G66)</f>
        <v>0</v>
      </c>
      <c r="W333" s="99">
        <f>IF(W$265=0,0,'P(M)年費表'!H66)</f>
        <v>0</v>
      </c>
      <c r="X333" s="99">
        <f>IF(X$265=0,0,'P(M)年費表'!I66)</f>
        <v>0</v>
      </c>
      <c r="Y333" s="99">
        <f>IF(Y$265=0,0,'P(M)年費表'!J66)</f>
        <v>0</v>
      </c>
      <c r="Z333" s="99">
        <f>IF(Z$265=0,0,'P(M)年費表'!K66)</f>
        <v>5000</v>
      </c>
      <c r="AA333" s="99">
        <f>IF(AA$265=0,0,'P(M)年費表'!L66)</f>
        <v>0</v>
      </c>
      <c r="AB333" s="99">
        <f>IF(AB$265=0,0,'P(M)年費表'!M66)</f>
        <v>0</v>
      </c>
      <c r="AC333" s="99">
        <f>IF(AC$265=0,0,'P(M)年費表'!N66)</f>
        <v>0</v>
      </c>
      <c r="AD333" s="99">
        <f>IF(AD$265=0,0,'P(M)年費表'!O66)</f>
        <v>0</v>
      </c>
      <c r="AE333" s="99">
        <f>IF(AE$265=0,0,'P(M)年費表'!P66)</f>
        <v>0</v>
      </c>
      <c r="AF333" s="99">
        <f>IF(AF$265=0,0,'P(M)年費表'!Q66)</f>
        <v>0</v>
      </c>
      <c r="AG333" s="99">
        <f>IF(AG$265=0,0,'P(M)年費表'!R66)</f>
        <v>0</v>
      </c>
      <c r="AH333" s="99">
        <f>IF(AH$265=0,0,'P(M)年費表'!S66)</f>
        <v>0</v>
      </c>
      <c r="AI333" s="99">
        <f>IF(AI$265=0,0,'P(M)年費表'!T66)</f>
        <v>0</v>
      </c>
      <c r="AJ333" s="99">
        <f>IF(AJ$265=0,0,'P(M)年費表'!U66)</f>
        <v>0</v>
      </c>
      <c r="AK333" s="99">
        <f>IF(AK$265=0,0,'P(M)年費表'!V66)</f>
        <v>0</v>
      </c>
      <c r="AL333" s="99">
        <f>IF(AL$265=0,0,'P(M)年費表'!W66)</f>
        <v>0</v>
      </c>
      <c r="AM333" s="99">
        <f>IF(AM$265=0,0,'P(M)年費表'!X66)</f>
        <v>0</v>
      </c>
      <c r="AN333" s="99">
        <f>IF(AN$265=0,0,'P(M)年費表'!Y66)</f>
        <v>0</v>
      </c>
      <c r="AO333" s="99">
        <f>IF(AO$265=0,0,'P(M)年費表'!Z66)</f>
        <v>0</v>
      </c>
      <c r="AP333" s="99">
        <f>IF(AP$265=0,0,'P(M)年費表'!AA66)</f>
        <v>0</v>
      </c>
      <c r="AQ333" s="99">
        <f>IF(AQ$265=0,0,'P(M)年費表'!AB66)</f>
        <v>0</v>
      </c>
      <c r="AR333" s="77">
        <f t="shared" si="25"/>
        <v>5000</v>
      </c>
      <c r="AS333" s="11"/>
      <c r="AT333" s="35"/>
      <c r="AU333" s="35"/>
      <c r="AV333" s="35"/>
      <c r="AW333" s="35"/>
      <c r="AX333" s="35"/>
      <c r="AY333" s="35"/>
      <c r="AZ333" s="35"/>
      <c r="BA333" s="35"/>
      <c r="BB333" s="35"/>
      <c r="BC333" s="35"/>
      <c r="BD333" s="35"/>
      <c r="BE333" s="35"/>
      <c r="BF333" s="35"/>
      <c r="BG333" s="35"/>
      <c r="BH333" s="35"/>
      <c r="BI333" s="35"/>
      <c r="BJ333" s="35"/>
      <c r="BK333" s="35"/>
      <c r="BL333" s="35"/>
      <c r="BM333" s="35"/>
      <c r="BN333" s="35"/>
      <c r="BO333" s="35"/>
      <c r="BP333" s="35"/>
      <c r="BQ333" s="35"/>
      <c r="BR333" s="35"/>
      <c r="BS333" s="35"/>
      <c r="BT333" s="35"/>
      <c r="BU333" s="35"/>
      <c r="BV333" s="35"/>
      <c r="BW333" s="35"/>
      <c r="BX333" s="35"/>
      <c r="BY333" s="35"/>
      <c r="BZ333" s="35"/>
      <c r="CA333" s="35"/>
      <c r="CB333" s="35"/>
      <c r="CC333" s="35"/>
      <c r="CD333" s="35"/>
      <c r="CE333" s="35"/>
      <c r="CF333" s="35"/>
      <c r="CG333" s="35"/>
      <c r="CH333" s="35"/>
      <c r="CI333" s="35"/>
      <c r="CJ333" s="35"/>
      <c r="CK333" s="35"/>
      <c r="CL333" s="35"/>
      <c r="CM333" s="35"/>
      <c r="CN333" s="35"/>
      <c r="CO333" s="35"/>
      <c r="CP333" s="35"/>
      <c r="CQ333" s="35"/>
      <c r="CR333" s="35"/>
      <c r="CS333" s="35"/>
      <c r="CT333" s="35"/>
      <c r="CU333" s="35"/>
      <c r="CV333" s="35"/>
      <c r="CW333" s="35"/>
      <c r="CX333" s="35"/>
      <c r="CY333" s="35"/>
      <c r="CZ333" s="35"/>
      <c r="DA333" s="35"/>
      <c r="DB333" s="35"/>
      <c r="DC333" s="35"/>
      <c r="DD333" s="35"/>
      <c r="DE333" s="35"/>
      <c r="DF333" s="35"/>
      <c r="DG333" s="35"/>
      <c r="DH333" s="35"/>
      <c r="DI333" s="35"/>
      <c r="DJ333" s="35"/>
    </row>
    <row r="334" spans="1:114" ht="16.5" x14ac:dyDescent="0.25">
      <c r="A334" s="34"/>
      <c r="B334" s="34"/>
      <c r="C334" s="34"/>
      <c r="D334" s="34"/>
      <c r="E334" s="34"/>
      <c r="F334" s="34"/>
      <c r="G334" s="34"/>
      <c r="H334" s="34"/>
      <c r="I334" s="34"/>
      <c r="J334" s="34"/>
      <c r="K334" s="34"/>
      <c r="L334" s="34"/>
      <c r="M334" s="34"/>
      <c r="N334" s="35"/>
      <c r="O334" s="35"/>
      <c r="P334" s="3" t="s">
        <v>42</v>
      </c>
      <c r="Q334" s="11" t="str">
        <f t="shared" si="24"/>
        <v>發明</v>
      </c>
      <c r="R334" s="3" t="str">
        <f>'P(M)年費表'!C67</f>
        <v>NTD</v>
      </c>
      <c r="S334" s="99"/>
      <c r="T334" s="99">
        <f>IF(T$265=0,0,'P(M)年費表'!E67)</f>
        <v>0</v>
      </c>
      <c r="U334" s="99">
        <f>IF(U$265=0,0,'P(M)年費表'!F67)</f>
        <v>0</v>
      </c>
      <c r="V334" s="99">
        <f>IF(V$265=0,0,'P(M)年費表'!G67)</f>
        <v>0</v>
      </c>
      <c r="W334" s="99">
        <f>IF(W$265=0,0,'P(M)年費表'!H67)</f>
        <v>0</v>
      </c>
      <c r="X334" s="99">
        <f>IF(X$265=0,0,'P(M)年費表'!I67)</f>
        <v>0</v>
      </c>
      <c r="Y334" s="99">
        <f>IF(Y$265=0,0,'P(M)年費表'!J67)</f>
        <v>0</v>
      </c>
      <c r="Z334" s="99">
        <f>IF(Z$265=0,0,'P(M)年費表'!K67)</f>
        <v>5000</v>
      </c>
      <c r="AA334" s="99">
        <f>IF(AA$265=0,0,'P(M)年費表'!L67)</f>
        <v>0</v>
      </c>
      <c r="AB334" s="99">
        <f>IF(AB$265=0,0,'P(M)年費表'!M67)</f>
        <v>0</v>
      </c>
      <c r="AC334" s="99">
        <f>IF(AC$265=0,0,'P(M)年費表'!N67)</f>
        <v>0</v>
      </c>
      <c r="AD334" s="99">
        <f>IF(AD$265=0,0,'P(M)年費表'!O67)</f>
        <v>0</v>
      </c>
      <c r="AE334" s="99">
        <f>IF(AE$265=0,0,'P(M)年費表'!P67)</f>
        <v>0</v>
      </c>
      <c r="AF334" s="99">
        <f>IF(AF$265=0,0,'P(M)年費表'!Q67)</f>
        <v>0</v>
      </c>
      <c r="AG334" s="99">
        <f>IF(AG$265=0,0,'P(M)年費表'!R67)</f>
        <v>0</v>
      </c>
      <c r="AH334" s="99">
        <f>IF(AH$265=0,0,'P(M)年費表'!S67)</f>
        <v>0</v>
      </c>
      <c r="AI334" s="99">
        <f>IF(AI$265=0,0,'P(M)年費表'!T67)</f>
        <v>0</v>
      </c>
      <c r="AJ334" s="99">
        <f>IF(AJ$265=0,0,'P(M)年費表'!U67)</f>
        <v>0</v>
      </c>
      <c r="AK334" s="99">
        <f>IF(AK$265=0,0,'P(M)年費表'!V67)</f>
        <v>0</v>
      </c>
      <c r="AL334" s="99">
        <f>IF(AL$265=0,0,'P(M)年費表'!W67)</f>
        <v>0</v>
      </c>
      <c r="AM334" s="99">
        <f>IF(AM$265=0,0,'P(M)年費表'!X67)</f>
        <v>0</v>
      </c>
      <c r="AN334" s="99">
        <f>IF(AN$265=0,0,'P(M)年費表'!Y67)</f>
        <v>0</v>
      </c>
      <c r="AO334" s="99">
        <f>IF(AO$265=0,0,'P(M)年費表'!Z67)</f>
        <v>0</v>
      </c>
      <c r="AP334" s="99">
        <f>IF(AP$265=0,0,'P(M)年費表'!AA67)</f>
        <v>0</v>
      </c>
      <c r="AQ334" s="99">
        <f>IF(AQ$265=0,0,'P(M)年費表'!AB67)</f>
        <v>0</v>
      </c>
      <c r="AR334" s="77">
        <f>SUM(S334:AQ334)</f>
        <v>5000</v>
      </c>
      <c r="AS334" s="11"/>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c r="DH334" s="35"/>
      <c r="DI334" s="35"/>
      <c r="DJ334" s="35"/>
    </row>
    <row r="335" spans="1:114" ht="16.5" x14ac:dyDescent="0.25">
      <c r="A335" s="34"/>
      <c r="B335" s="34"/>
      <c r="C335" s="34"/>
      <c r="D335" s="34"/>
      <c r="E335" s="34"/>
      <c r="F335" s="34"/>
      <c r="G335" s="34"/>
      <c r="H335" s="34"/>
      <c r="I335" s="34"/>
      <c r="J335" s="34"/>
      <c r="K335" s="34"/>
      <c r="L335" s="34"/>
      <c r="M335" s="34"/>
      <c r="N335" s="35"/>
      <c r="O335" s="35"/>
      <c r="P335" s="3" t="s">
        <v>8</v>
      </c>
      <c r="Q335" s="11" t="str">
        <f t="shared" si="24"/>
        <v>發明</v>
      </c>
      <c r="R335" s="3" t="str">
        <f>'P(M)年費表'!C68</f>
        <v>NTD</v>
      </c>
      <c r="S335" s="99"/>
      <c r="T335" s="99">
        <f>IF(T$265=0,0,'P(M)年費表'!E68)</f>
        <v>0</v>
      </c>
      <c r="U335" s="99">
        <f>IF(U$265=0,0,'P(M)年費表'!F68)</f>
        <v>0</v>
      </c>
      <c r="V335" s="99">
        <f>IF(V$265=0,0,'P(M)年費表'!G68)</f>
        <v>0</v>
      </c>
      <c r="W335" s="99">
        <f>IF(W$265=0,0,'P(M)年費表'!H68)</f>
        <v>0</v>
      </c>
      <c r="X335" s="99">
        <f>IF(X$265=0,0,'P(M)年費表'!I68)</f>
        <v>0</v>
      </c>
      <c r="Y335" s="99">
        <f>IF(Y$265=0,0,'P(M)年費表'!J68)</f>
        <v>0</v>
      </c>
      <c r="Z335" s="99">
        <f>IF(Z$265=0,0,'P(M)年費表'!K68)</f>
        <v>5000</v>
      </c>
      <c r="AA335" s="99">
        <f>IF(AA$265=0,0,'P(M)年費表'!L68)</f>
        <v>0</v>
      </c>
      <c r="AB335" s="99">
        <f>IF(AB$265=0,0,'P(M)年費表'!M68)</f>
        <v>0</v>
      </c>
      <c r="AC335" s="99">
        <f>IF(AC$265=0,0,'P(M)年費表'!N68)</f>
        <v>0</v>
      </c>
      <c r="AD335" s="99">
        <f>IF(AD$265=0,0,'P(M)年費表'!O68)</f>
        <v>0</v>
      </c>
      <c r="AE335" s="99">
        <f>IF(AE$265=0,0,'P(M)年費表'!P68)</f>
        <v>0</v>
      </c>
      <c r="AF335" s="99">
        <f>IF(AF$265=0,0,'P(M)年費表'!Q68)</f>
        <v>0</v>
      </c>
      <c r="AG335" s="99">
        <f>IF(AG$265=0,0,'P(M)年費表'!R68)</f>
        <v>0</v>
      </c>
      <c r="AH335" s="99">
        <f>IF(AH$265=0,0,'P(M)年費表'!S68)</f>
        <v>0</v>
      </c>
      <c r="AI335" s="99">
        <f>IF(AI$265=0,0,'P(M)年費表'!T68)</f>
        <v>0</v>
      </c>
      <c r="AJ335" s="99">
        <f>IF(AJ$265=0,0,'P(M)年費表'!U68)</f>
        <v>0</v>
      </c>
      <c r="AK335" s="99">
        <f>IF(AK$265=0,0,'P(M)年費表'!V68)</f>
        <v>0</v>
      </c>
      <c r="AL335" s="99">
        <f>IF(AL$265=0,0,'P(M)年費表'!W68)</f>
        <v>0</v>
      </c>
      <c r="AM335" s="99">
        <f>IF(AM$265=0,0,'P(M)年費表'!X68)</f>
        <v>0</v>
      </c>
      <c r="AN335" s="99">
        <f>IF(AN$265=0,0,'P(M)年費表'!Y68)</f>
        <v>0</v>
      </c>
      <c r="AO335" s="99">
        <f>IF(AO$265=0,0,'P(M)年費表'!Z68)</f>
        <v>0</v>
      </c>
      <c r="AP335" s="99">
        <f>IF(AP$265=0,0,'P(M)年費表'!AA68)</f>
        <v>0</v>
      </c>
      <c r="AQ335" s="99">
        <f>IF(AQ$265=0,0,'P(M)年費表'!AB68)</f>
        <v>0</v>
      </c>
      <c r="AR335" s="77">
        <f t="shared" si="25"/>
        <v>5000</v>
      </c>
      <c r="AS335" s="11"/>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row>
    <row r="336" spans="1:114" ht="16.5" x14ac:dyDescent="0.25">
      <c r="A336" s="34"/>
      <c r="B336" s="34"/>
      <c r="C336" s="34"/>
      <c r="D336" s="34"/>
      <c r="E336" s="34"/>
      <c r="F336" s="34"/>
      <c r="G336" s="34"/>
      <c r="H336" s="34"/>
      <c r="I336" s="34"/>
      <c r="J336" s="34"/>
      <c r="K336" s="34"/>
      <c r="L336" s="34"/>
      <c r="M336" s="34"/>
      <c r="N336" s="35"/>
      <c r="O336" s="35"/>
      <c r="P336" s="215" t="s">
        <v>11</v>
      </c>
      <c r="Q336" s="11" t="str">
        <f t="shared" si="24"/>
        <v>發明</v>
      </c>
      <c r="R336" s="3" t="str">
        <f>'P(M)年費表'!C69</f>
        <v>NTD</v>
      </c>
      <c r="S336" s="99"/>
      <c r="T336" s="99">
        <f>IF(T$265=0,0,'P(M)年費表'!E69)</f>
        <v>0</v>
      </c>
      <c r="U336" s="99">
        <f>IF(U$265=0,0,'P(M)年費表'!F69)</f>
        <v>0</v>
      </c>
      <c r="V336" s="99">
        <f>IF(V$265=0,0,'P(M)年費表'!G69)</f>
        <v>0</v>
      </c>
      <c r="W336" s="99">
        <f>IF(W$265=0,0,'P(M)年費表'!H69)</f>
        <v>0</v>
      </c>
      <c r="X336" s="99">
        <f>IF(X$265=0,0,'P(M)年費表'!I69)</f>
        <v>0</v>
      </c>
      <c r="Y336" s="99">
        <f>IF(Y$265=0,0,'P(M)年費表'!J69)</f>
        <v>0</v>
      </c>
      <c r="Z336" s="99">
        <f>IF(Z$265=0,0,'P(M)年費表'!K69)</f>
        <v>5000</v>
      </c>
      <c r="AA336" s="99">
        <f>IF(AA$265=0,0,'P(M)年費表'!L69)</f>
        <v>0</v>
      </c>
      <c r="AB336" s="99">
        <f>IF(AB$265=0,0,'P(M)年費表'!M69)</f>
        <v>0</v>
      </c>
      <c r="AC336" s="99">
        <f>IF(AC$265=0,0,'P(M)年費表'!N69)</f>
        <v>0</v>
      </c>
      <c r="AD336" s="99">
        <f>IF(AD$265=0,0,'P(M)年費表'!O69)</f>
        <v>0</v>
      </c>
      <c r="AE336" s="99">
        <f>IF(AE$265=0,0,'P(M)年費表'!P69)</f>
        <v>0</v>
      </c>
      <c r="AF336" s="99">
        <f>IF(AF$265=0,0,'P(M)年費表'!Q69)</f>
        <v>0</v>
      </c>
      <c r="AG336" s="99">
        <f>IF(AG$265=0,0,'P(M)年費表'!R69)</f>
        <v>0</v>
      </c>
      <c r="AH336" s="99">
        <f>IF(AH$265=0,0,'P(M)年費表'!S69)</f>
        <v>0</v>
      </c>
      <c r="AI336" s="99">
        <f>IF(AI$265=0,0,'P(M)年費表'!T69)</f>
        <v>0</v>
      </c>
      <c r="AJ336" s="99">
        <f>IF(AJ$265=0,0,'P(M)年費表'!U69)</f>
        <v>0</v>
      </c>
      <c r="AK336" s="99">
        <f>IF(AK$265=0,0,'P(M)年費表'!V69)</f>
        <v>0</v>
      </c>
      <c r="AL336" s="99">
        <f>IF(AL$265=0,0,'P(M)年費表'!W69)</f>
        <v>0</v>
      </c>
      <c r="AM336" s="99">
        <f>IF(AM$265=0,0,'P(M)年費表'!X69)</f>
        <v>0</v>
      </c>
      <c r="AN336" s="99">
        <f>IF(AN$265=0,0,'P(M)年費表'!Y69)</f>
        <v>0</v>
      </c>
      <c r="AO336" s="99">
        <f>IF(AO$265=0,0,'P(M)年費表'!Z69)</f>
        <v>0</v>
      </c>
      <c r="AP336" s="99">
        <f>IF(AP$265=0,0,'P(M)年費表'!AA69)</f>
        <v>0</v>
      </c>
      <c r="AQ336" s="99">
        <f>IF(AQ$265=0,0,'P(M)年費表'!AB69)</f>
        <v>0</v>
      </c>
      <c r="AR336" s="77">
        <f>SUM(S336:AQ336)</f>
        <v>5000</v>
      </c>
      <c r="AS336" s="11"/>
      <c r="AT336" s="35"/>
      <c r="AU336" s="35"/>
      <c r="AV336" s="35"/>
      <c r="AW336" s="35"/>
      <c r="AX336" s="35"/>
      <c r="AY336" s="35"/>
      <c r="AZ336" s="35"/>
      <c r="BA336" s="35"/>
      <c r="BB336" s="35"/>
      <c r="BC336" s="35"/>
      <c r="BD336" s="35"/>
      <c r="BE336" s="35"/>
      <c r="BF336" s="35"/>
      <c r="BG336" s="35"/>
      <c r="BH336" s="35"/>
      <c r="BI336" s="35"/>
      <c r="BJ336" s="35"/>
      <c r="BK336" s="35"/>
      <c r="BL336" s="35"/>
      <c r="BM336" s="35"/>
      <c r="BN336" s="35"/>
      <c r="BO336" s="35"/>
      <c r="BP336" s="35"/>
      <c r="BQ336" s="35"/>
      <c r="BR336" s="35"/>
      <c r="BS336" s="35"/>
      <c r="BT336" s="35"/>
      <c r="BU336" s="35"/>
      <c r="BV336" s="35"/>
      <c r="BW336" s="35"/>
      <c r="BX336" s="35"/>
      <c r="BY336" s="35"/>
      <c r="BZ336" s="35"/>
      <c r="CA336" s="35"/>
      <c r="CB336" s="35"/>
      <c r="CC336" s="35"/>
      <c r="CD336" s="35"/>
      <c r="CE336" s="35"/>
      <c r="CF336" s="35"/>
      <c r="CG336" s="35"/>
      <c r="CH336" s="35"/>
      <c r="CI336" s="35"/>
      <c r="CJ336" s="35"/>
      <c r="CK336" s="35"/>
      <c r="CL336" s="35"/>
      <c r="CM336" s="35"/>
      <c r="CN336" s="35"/>
      <c r="CO336" s="35"/>
      <c r="CP336" s="35"/>
      <c r="CQ336" s="35"/>
      <c r="CR336" s="35"/>
      <c r="CS336" s="35"/>
      <c r="CT336" s="35"/>
      <c r="CU336" s="35"/>
      <c r="CV336" s="35"/>
      <c r="CW336" s="35"/>
      <c r="CX336" s="35"/>
      <c r="CY336" s="35"/>
      <c r="CZ336" s="35"/>
      <c r="DA336" s="35"/>
      <c r="DB336" s="35"/>
      <c r="DC336" s="35"/>
      <c r="DD336" s="35"/>
      <c r="DE336" s="35"/>
      <c r="DF336" s="35"/>
      <c r="DG336" s="35"/>
      <c r="DH336" s="35"/>
      <c r="DI336" s="35"/>
      <c r="DJ336" s="35"/>
    </row>
    <row r="337" spans="1:114" ht="16.5" x14ac:dyDescent="0.25">
      <c r="A337" s="34"/>
      <c r="B337" s="34"/>
      <c r="C337" s="34"/>
      <c r="D337" s="34"/>
      <c r="E337" s="34"/>
      <c r="F337" s="34"/>
      <c r="G337" s="34"/>
      <c r="H337" s="34"/>
      <c r="I337" s="34"/>
      <c r="J337" s="34"/>
      <c r="K337" s="34"/>
      <c r="L337" s="34"/>
      <c r="M337" s="34"/>
      <c r="N337" s="35"/>
      <c r="O337" s="35"/>
      <c r="P337" s="216"/>
      <c r="Q337" s="11" t="str">
        <f t="shared" si="24"/>
        <v>新型</v>
      </c>
      <c r="R337" s="3" t="str">
        <f>'P(M)年費表'!C70</f>
        <v>NTD</v>
      </c>
      <c r="S337" s="99"/>
      <c r="T337" s="99">
        <f>IF(T$265=0,0,'P(M)年費表'!E70)</f>
        <v>0</v>
      </c>
      <c r="U337" s="99">
        <f>IF(U$265=0,0,'P(M)年費表'!F70)</f>
        <v>0</v>
      </c>
      <c r="V337" s="99">
        <f>IF(V$265=0,0,'P(M)年費表'!G70)</f>
        <v>0</v>
      </c>
      <c r="W337" s="99">
        <f>IF(W$265=0,0,'P(M)年費表'!H70)</f>
        <v>0</v>
      </c>
      <c r="X337" s="99">
        <f>IF(X$265=0,0,'P(M)年費表'!I70)</f>
        <v>0</v>
      </c>
      <c r="Y337" s="99">
        <f>IF(Y$265=0,0,'P(M)年費表'!J70)</f>
        <v>0</v>
      </c>
      <c r="Z337" s="99">
        <f>IF(Z$265=0,0,'P(M)年費表'!K70)</f>
        <v>5000</v>
      </c>
      <c r="AA337" s="99">
        <f>IF(AA$265=0,0,'P(M)年費表'!L70)</f>
        <v>0</v>
      </c>
      <c r="AB337" s="99">
        <f>IF(AB$265=0,0,'P(M)年費表'!M70)</f>
        <v>0</v>
      </c>
      <c r="AC337" s="99">
        <f>IF(AC$265=0,0,'P(M)年費表'!N70)</f>
        <v>0</v>
      </c>
      <c r="AD337" s="99">
        <f>IF(AD$265=0,0,'P(M)年費表'!O70)</f>
        <v>0</v>
      </c>
      <c r="AE337" s="99">
        <f>IF(AE$265=0,0,'P(M)年費表'!P70)</f>
        <v>0</v>
      </c>
      <c r="AF337" s="99">
        <f>IF(AF$265=0,0,'P(M)年費表'!Q70)</f>
        <v>0</v>
      </c>
      <c r="AG337" s="99">
        <f>IF(AG$265=0,0,'P(M)年費表'!R70)</f>
        <v>0</v>
      </c>
      <c r="AH337" s="99">
        <f>IF(AH$265=0,0,'P(M)年費表'!S70)</f>
        <v>0</v>
      </c>
      <c r="AI337" s="99">
        <f>IF(AI$265=0,0,'P(M)年費表'!T70)</f>
        <v>0</v>
      </c>
      <c r="AJ337" s="99">
        <f>IF(AJ$265=0,0,'P(M)年費表'!U70)</f>
        <v>0</v>
      </c>
      <c r="AK337" s="99">
        <f>IF(AK$265=0,0,'P(M)年費表'!V70)</f>
        <v>0</v>
      </c>
      <c r="AL337" s="99">
        <f>IF(AL$265=0,0,'P(M)年費表'!W70)</f>
        <v>0</v>
      </c>
      <c r="AM337" s="99">
        <f>IF(AM$265=0,0,'P(M)年費表'!X70)</f>
        <v>0</v>
      </c>
      <c r="AN337" s="99">
        <f>IF(AN$265=0,0,'P(M)年費表'!Y70)</f>
        <v>0</v>
      </c>
      <c r="AO337" s="99">
        <f>IF(AO$265=0,0,'P(M)年費表'!Z70)</f>
        <v>0</v>
      </c>
      <c r="AP337" s="99">
        <f>IF(AP$265=0,0,'P(M)年費表'!AA70)</f>
        <v>0</v>
      </c>
      <c r="AQ337" s="99">
        <f>IF(AQ$265=0,0,'P(M)年費表'!AB70)</f>
        <v>0</v>
      </c>
      <c r="AR337" s="77">
        <f>SUM(S337:AQ337)</f>
        <v>5000</v>
      </c>
      <c r="AS337" s="11"/>
      <c r="AT337" s="35"/>
      <c r="AU337" s="35"/>
      <c r="AV337" s="35"/>
      <c r="AW337" s="35"/>
      <c r="AX337" s="35"/>
      <c r="AY337" s="35"/>
      <c r="AZ337" s="35"/>
      <c r="BA337" s="35"/>
      <c r="BB337" s="35"/>
      <c r="BC337" s="35"/>
      <c r="BD337" s="35"/>
      <c r="BE337" s="35"/>
      <c r="BF337" s="35"/>
      <c r="BG337" s="35"/>
      <c r="BH337" s="35"/>
      <c r="BI337" s="35"/>
      <c r="BJ337" s="35"/>
      <c r="BK337" s="35"/>
      <c r="BL337" s="35"/>
      <c r="BM337" s="35"/>
      <c r="BN337" s="35"/>
      <c r="BO337" s="35"/>
      <c r="BP337" s="35"/>
      <c r="BQ337" s="35"/>
      <c r="BR337" s="35"/>
      <c r="BS337" s="35"/>
      <c r="BT337" s="35"/>
      <c r="BU337" s="35"/>
      <c r="BV337" s="35"/>
      <c r="BW337" s="35"/>
      <c r="BX337" s="35"/>
      <c r="BY337" s="35"/>
      <c r="BZ337" s="35"/>
      <c r="CA337" s="35"/>
      <c r="CB337" s="35"/>
      <c r="CC337" s="35"/>
      <c r="CD337" s="35"/>
      <c r="CE337" s="35"/>
      <c r="CF337" s="35"/>
      <c r="CG337" s="35"/>
      <c r="CH337" s="35"/>
      <c r="CI337" s="35"/>
      <c r="CJ337" s="35"/>
      <c r="CK337" s="35"/>
      <c r="CL337" s="35"/>
      <c r="CM337" s="35"/>
      <c r="CN337" s="35"/>
      <c r="CO337" s="35"/>
      <c r="CP337" s="35"/>
      <c r="CQ337" s="35"/>
      <c r="CR337" s="35"/>
      <c r="CS337" s="35"/>
      <c r="CT337" s="35"/>
      <c r="CU337" s="35"/>
      <c r="CV337" s="35"/>
      <c r="CW337" s="35"/>
      <c r="CX337" s="35"/>
      <c r="CY337" s="35"/>
      <c r="CZ337" s="35"/>
      <c r="DA337" s="35"/>
      <c r="DB337" s="35"/>
      <c r="DC337" s="35"/>
      <c r="DD337" s="35"/>
      <c r="DE337" s="35"/>
      <c r="DF337" s="35"/>
      <c r="DG337" s="35"/>
      <c r="DH337" s="35"/>
      <c r="DI337" s="35"/>
      <c r="DJ337" s="35"/>
    </row>
    <row r="338" spans="1:114" ht="16.5" x14ac:dyDescent="0.25">
      <c r="A338" s="34"/>
      <c r="B338" s="34"/>
      <c r="C338" s="34"/>
      <c r="D338" s="34"/>
      <c r="E338" s="34"/>
      <c r="F338" s="34"/>
      <c r="G338" s="34"/>
      <c r="H338" s="34"/>
      <c r="I338" s="34"/>
      <c r="J338" s="34"/>
      <c r="K338" s="34"/>
      <c r="L338" s="34"/>
      <c r="M338" s="34"/>
      <c r="N338" s="35"/>
      <c r="O338" s="35"/>
      <c r="P338" s="54" t="s">
        <v>146</v>
      </c>
      <c r="Q338" s="11" t="str">
        <f t="shared" si="24"/>
        <v>發明</v>
      </c>
      <c r="R338" s="3" t="str">
        <f>'P(M)年費表'!C71</f>
        <v>NTD</v>
      </c>
      <c r="S338" s="99"/>
      <c r="T338" s="99">
        <f>IF(T$265=0,0,'P(M)年費表'!E71)</f>
        <v>0</v>
      </c>
      <c r="U338" s="99">
        <f>IF(U$265=0,0,'P(M)年費表'!F71)</f>
        <v>0</v>
      </c>
      <c r="V338" s="99">
        <f>IF(V$265=0,0,'P(M)年費表'!G71)</f>
        <v>0</v>
      </c>
      <c r="W338" s="99">
        <f>IF(W$265=0,0,'P(M)年費表'!H71)</f>
        <v>0</v>
      </c>
      <c r="X338" s="99">
        <f>IF(X$265=0,0,'P(M)年費表'!I71)</f>
        <v>0</v>
      </c>
      <c r="Y338" s="99">
        <f>IF(Y$265=0,0,'P(M)年費表'!J71)</f>
        <v>0</v>
      </c>
      <c r="Z338" s="99">
        <f>IF(Z$265=0,0,'P(M)年費表'!K71)</f>
        <v>5000</v>
      </c>
      <c r="AA338" s="99">
        <f>IF(AA$265=0,0,'P(M)年費表'!L71)</f>
        <v>0</v>
      </c>
      <c r="AB338" s="99">
        <f>IF(AB$265=0,0,'P(M)年費表'!M71)</f>
        <v>0</v>
      </c>
      <c r="AC338" s="99">
        <f>IF(AC$265=0,0,'P(M)年費表'!N71)</f>
        <v>0</v>
      </c>
      <c r="AD338" s="99">
        <f>IF(AD$265=0,0,'P(M)年費表'!O71)</f>
        <v>0</v>
      </c>
      <c r="AE338" s="99">
        <f>IF(AE$265=0,0,'P(M)年費表'!P71)</f>
        <v>0</v>
      </c>
      <c r="AF338" s="99">
        <f>IF(AF$265=0,0,'P(M)年費表'!Q71)</f>
        <v>0</v>
      </c>
      <c r="AG338" s="99">
        <f>IF(AG$265=0,0,'P(M)年費表'!R71)</f>
        <v>0</v>
      </c>
      <c r="AH338" s="99">
        <f>IF(AH$265=0,0,'P(M)年費表'!S71)</f>
        <v>0</v>
      </c>
      <c r="AI338" s="99">
        <f>IF(AI$265=0,0,'P(M)年費表'!T71)</f>
        <v>0</v>
      </c>
      <c r="AJ338" s="99">
        <f>IF(AJ$265=0,0,'P(M)年費表'!U71)</f>
        <v>0</v>
      </c>
      <c r="AK338" s="99">
        <f>IF(AK$265=0,0,'P(M)年費表'!V71)</f>
        <v>0</v>
      </c>
      <c r="AL338" s="99">
        <f>IF(AL$265=0,0,'P(M)年費表'!W71)</f>
        <v>0</v>
      </c>
      <c r="AM338" s="99">
        <f>IF(AM$265=0,0,'P(M)年費表'!X71)</f>
        <v>0</v>
      </c>
      <c r="AN338" s="99">
        <f>IF(AN$265=0,0,'P(M)年費表'!Y71)</f>
        <v>0</v>
      </c>
      <c r="AO338" s="99">
        <f>IF(AO$265=0,0,'P(M)年費表'!Z71)</f>
        <v>0</v>
      </c>
      <c r="AP338" s="99">
        <f>IF(AP$265=0,0,'P(M)年費表'!AA71)</f>
        <v>0</v>
      </c>
      <c r="AQ338" s="99">
        <f>IF(AQ$265=0,0,'P(M)年費表'!AB71)</f>
        <v>0</v>
      </c>
      <c r="AR338" s="77">
        <f t="shared" si="25"/>
        <v>5000</v>
      </c>
      <c r="AS338" s="11"/>
      <c r="AT338" s="35"/>
      <c r="AU338" s="35"/>
      <c r="AV338" s="35"/>
      <c r="AW338" s="35"/>
      <c r="AX338" s="35"/>
      <c r="AY338" s="35"/>
      <c r="AZ338" s="35"/>
      <c r="BA338" s="35"/>
      <c r="BB338" s="35"/>
      <c r="BC338" s="35"/>
      <c r="BD338" s="35"/>
      <c r="BE338" s="35"/>
      <c r="BF338" s="35"/>
      <c r="BG338" s="35"/>
      <c r="BH338" s="35"/>
      <c r="BI338" s="35"/>
      <c r="BJ338" s="35"/>
      <c r="BK338" s="35"/>
      <c r="BL338" s="35"/>
      <c r="BM338" s="35"/>
      <c r="BN338" s="35"/>
      <c r="BO338" s="35"/>
      <c r="BP338" s="35"/>
      <c r="BQ338" s="35"/>
      <c r="BR338" s="35"/>
      <c r="BS338" s="35"/>
      <c r="BT338" s="35"/>
      <c r="BU338" s="35"/>
      <c r="BV338" s="35"/>
      <c r="BW338" s="35"/>
      <c r="BX338" s="35"/>
      <c r="BY338" s="35"/>
      <c r="BZ338" s="35"/>
      <c r="CA338" s="35"/>
      <c r="CB338" s="35"/>
      <c r="CC338" s="35"/>
      <c r="CD338" s="35"/>
      <c r="CE338" s="35"/>
      <c r="CF338" s="35"/>
      <c r="CG338" s="35"/>
      <c r="CH338" s="35"/>
      <c r="CI338" s="35"/>
      <c r="CJ338" s="35"/>
      <c r="CK338" s="35"/>
      <c r="CL338" s="35"/>
      <c r="CM338" s="35"/>
      <c r="CN338" s="35"/>
      <c r="CO338" s="35"/>
      <c r="CP338" s="35"/>
      <c r="CQ338" s="35"/>
      <c r="CR338" s="35"/>
      <c r="CS338" s="35"/>
      <c r="CT338" s="35"/>
      <c r="CU338" s="35"/>
      <c r="CV338" s="35"/>
      <c r="CW338" s="35"/>
      <c r="CX338" s="35"/>
      <c r="CY338" s="35"/>
      <c r="CZ338" s="35"/>
      <c r="DA338" s="35"/>
      <c r="DB338" s="35"/>
      <c r="DC338" s="35"/>
      <c r="DD338" s="35"/>
      <c r="DE338" s="35"/>
      <c r="DF338" s="35"/>
      <c r="DG338" s="35"/>
      <c r="DH338" s="35"/>
      <c r="DI338" s="35"/>
      <c r="DJ338" s="35"/>
    </row>
    <row r="339" spans="1:114" ht="16.5" x14ac:dyDescent="0.25">
      <c r="A339" s="34"/>
      <c r="B339" s="34"/>
      <c r="C339" s="34"/>
      <c r="D339" s="34"/>
      <c r="E339" s="34"/>
      <c r="F339" s="34"/>
      <c r="G339" s="34"/>
      <c r="H339" s="34"/>
      <c r="I339" s="34"/>
      <c r="J339" s="34"/>
      <c r="K339" s="34"/>
      <c r="L339" s="34"/>
      <c r="M339" s="34"/>
      <c r="N339" s="35"/>
      <c r="O339" s="35"/>
      <c r="P339" s="215" t="s">
        <v>131</v>
      </c>
      <c r="Q339" s="11" t="str">
        <f t="shared" si="24"/>
        <v>發明</v>
      </c>
      <c r="R339" s="3" t="str">
        <f>'P(M)年費表'!C72</f>
        <v>NTD</v>
      </c>
      <c r="S339" s="99"/>
      <c r="T339" s="99">
        <f>IF(T$265=0,0,'P(M)年費表'!E72)</f>
        <v>0</v>
      </c>
      <c r="U339" s="99">
        <f>IF(U$265=0,0,'P(M)年費表'!F72)</f>
        <v>0</v>
      </c>
      <c r="V339" s="99">
        <f>IF(V$265=0,0,'P(M)年費表'!G72)</f>
        <v>0</v>
      </c>
      <c r="W339" s="99">
        <f>IF(W$265=0,0,'P(M)年費表'!H72)</f>
        <v>0</v>
      </c>
      <c r="X339" s="99">
        <f>IF(X$265=0,0,'P(M)年費表'!I72)</f>
        <v>0</v>
      </c>
      <c r="Y339" s="99">
        <f>IF(Y$265=0,0,'P(M)年費表'!J72)</f>
        <v>0</v>
      </c>
      <c r="Z339" s="99">
        <f>IF(Z$265=0,0,'P(M)年費表'!K72)</f>
        <v>5000</v>
      </c>
      <c r="AA339" s="99">
        <f>IF(AA$265=0,0,'P(M)年費表'!L72)</f>
        <v>0</v>
      </c>
      <c r="AB339" s="99">
        <f>IF(AB$265=0,0,'P(M)年費表'!M72)</f>
        <v>0</v>
      </c>
      <c r="AC339" s="99">
        <f>IF(AC$265=0,0,'P(M)年費表'!N72)</f>
        <v>0</v>
      </c>
      <c r="AD339" s="99">
        <f>IF(AD$265=0,0,'P(M)年費表'!O72)</f>
        <v>0</v>
      </c>
      <c r="AE339" s="99">
        <f>IF(AE$265=0,0,'P(M)年費表'!P72)</f>
        <v>0</v>
      </c>
      <c r="AF339" s="99">
        <f>IF(AF$265=0,0,'P(M)年費表'!Q72)</f>
        <v>0</v>
      </c>
      <c r="AG339" s="99">
        <f>IF(AG$265=0,0,'P(M)年費表'!R72)</f>
        <v>0</v>
      </c>
      <c r="AH339" s="99">
        <f>IF(AH$265=0,0,'P(M)年費表'!S72)</f>
        <v>0</v>
      </c>
      <c r="AI339" s="99">
        <f>IF(AI$265=0,0,'P(M)年費表'!T72)</f>
        <v>0</v>
      </c>
      <c r="AJ339" s="99">
        <f>IF(AJ$265=0,0,'P(M)年費表'!U72)</f>
        <v>0</v>
      </c>
      <c r="AK339" s="99">
        <f>IF(AK$265=0,0,'P(M)年費表'!V72)</f>
        <v>0</v>
      </c>
      <c r="AL339" s="99">
        <f>IF(AL$265=0,0,'P(M)年費表'!W72)</f>
        <v>0</v>
      </c>
      <c r="AM339" s="99">
        <f>IF(AM$265=0,0,'P(M)年費表'!X72)</f>
        <v>0</v>
      </c>
      <c r="AN339" s="99">
        <f>IF(AN$265=0,0,'P(M)年費表'!Y72)</f>
        <v>0</v>
      </c>
      <c r="AO339" s="99">
        <f>IF(AO$265=0,0,'P(M)年費表'!Z72)</f>
        <v>0</v>
      </c>
      <c r="AP339" s="99">
        <f>IF(AP$265=0,0,'P(M)年費表'!AA72)</f>
        <v>0</v>
      </c>
      <c r="AQ339" s="99">
        <f>IF(AQ$265=0,0,'P(M)年費表'!AB72)</f>
        <v>0</v>
      </c>
      <c r="AR339" s="77">
        <f>SUM(S339:AQ339)</f>
        <v>5000</v>
      </c>
      <c r="AS339" s="11"/>
      <c r="AT339" s="35"/>
      <c r="AU339" s="35"/>
      <c r="AV339" s="35"/>
      <c r="AW339" s="35"/>
      <c r="AX339" s="35"/>
      <c r="AY339" s="35"/>
      <c r="AZ339" s="35"/>
      <c r="BA339" s="35"/>
      <c r="BB339" s="35"/>
      <c r="BC339" s="35"/>
      <c r="BD339" s="35"/>
      <c r="BE339" s="35"/>
      <c r="BF339" s="35"/>
      <c r="BG339" s="35"/>
      <c r="BH339" s="35"/>
      <c r="BI339" s="35"/>
      <c r="BJ339" s="35"/>
      <c r="BK339" s="35"/>
      <c r="BL339" s="35"/>
      <c r="BM339" s="35"/>
      <c r="BN339" s="35"/>
      <c r="BO339" s="35"/>
      <c r="BP339" s="35"/>
      <c r="BQ339" s="35"/>
      <c r="BR339" s="35"/>
      <c r="BS339" s="35"/>
      <c r="BT339" s="35"/>
      <c r="BU339" s="35"/>
      <c r="BV339" s="35"/>
      <c r="BW339" s="35"/>
      <c r="BX339" s="35"/>
      <c r="BY339" s="35"/>
      <c r="BZ339" s="35"/>
      <c r="CA339" s="35"/>
      <c r="CB339" s="35"/>
      <c r="CC339" s="35"/>
      <c r="CD339" s="35"/>
      <c r="CE339" s="35"/>
      <c r="CF339" s="35"/>
      <c r="CG339" s="35"/>
      <c r="CH339" s="35"/>
      <c r="CI339" s="35"/>
      <c r="CJ339" s="35"/>
      <c r="CK339" s="35"/>
      <c r="CL339" s="35"/>
      <c r="CM339" s="35"/>
      <c r="CN339" s="35"/>
      <c r="CO339" s="35"/>
      <c r="CP339" s="35"/>
      <c r="CQ339" s="35"/>
      <c r="CR339" s="35"/>
      <c r="CS339" s="35"/>
      <c r="CT339" s="35"/>
      <c r="CU339" s="35"/>
      <c r="CV339" s="35"/>
      <c r="CW339" s="35"/>
      <c r="CX339" s="35"/>
      <c r="CY339" s="35"/>
      <c r="CZ339" s="35"/>
      <c r="DA339" s="35"/>
      <c r="DB339" s="35"/>
      <c r="DC339" s="35"/>
      <c r="DD339" s="35"/>
      <c r="DE339" s="35"/>
      <c r="DF339" s="35"/>
      <c r="DG339" s="35"/>
      <c r="DH339" s="35"/>
      <c r="DI339" s="35"/>
      <c r="DJ339" s="35"/>
    </row>
    <row r="340" spans="1:114" ht="16.5" x14ac:dyDescent="0.25">
      <c r="A340" s="34"/>
      <c r="B340" s="34"/>
      <c r="C340" s="34"/>
      <c r="D340" s="34"/>
      <c r="E340" s="34"/>
      <c r="F340" s="34"/>
      <c r="G340" s="34"/>
      <c r="H340" s="34"/>
      <c r="I340" s="34"/>
      <c r="J340" s="34"/>
      <c r="K340" s="34"/>
      <c r="L340" s="34"/>
      <c r="M340" s="34"/>
      <c r="N340" s="35"/>
      <c r="O340" s="35"/>
      <c r="P340" s="216"/>
      <c r="Q340" s="11" t="str">
        <f t="shared" si="24"/>
        <v>新型</v>
      </c>
      <c r="R340" s="3" t="str">
        <f>'P(M)年費表'!C73</f>
        <v>NTD</v>
      </c>
      <c r="S340" s="99"/>
      <c r="T340" s="99">
        <f>IF(T$265=0,0,'P(M)年費表'!E73)</f>
        <v>0</v>
      </c>
      <c r="U340" s="99">
        <f>IF(U$265=0,0,'P(M)年費表'!F73)</f>
        <v>0</v>
      </c>
      <c r="V340" s="99">
        <f>IF(V$265=0,0,'P(M)年費表'!G73)</f>
        <v>0</v>
      </c>
      <c r="W340" s="99">
        <f>IF(W$265=0,0,'P(M)年費表'!H73)</f>
        <v>0</v>
      </c>
      <c r="X340" s="99">
        <f>IF(X$265=0,0,'P(M)年費表'!I73)</f>
        <v>0</v>
      </c>
      <c r="Y340" s="99">
        <f>IF(Y$265=0,0,'P(M)年費表'!J73)</f>
        <v>0</v>
      </c>
      <c r="Z340" s="99">
        <f>IF(Z$265=0,0,'P(M)年費表'!K73)</f>
        <v>5000</v>
      </c>
      <c r="AA340" s="99">
        <f>IF(AA$265=0,0,'P(M)年費表'!L73)</f>
        <v>0</v>
      </c>
      <c r="AB340" s="99">
        <f>IF(AB$265=0,0,'P(M)年費表'!M73)</f>
        <v>0</v>
      </c>
      <c r="AC340" s="99">
        <f>IF(AC$265=0,0,'P(M)年費表'!N73)</f>
        <v>0</v>
      </c>
      <c r="AD340" s="99">
        <f>IF(AD$265=0,0,'P(M)年費表'!O73)</f>
        <v>0</v>
      </c>
      <c r="AE340" s="99">
        <f>IF(AE$265=0,0,'P(M)年費表'!P73)</f>
        <v>0</v>
      </c>
      <c r="AF340" s="99">
        <f>IF(AF$265=0,0,'P(M)年費表'!Q73)</f>
        <v>0</v>
      </c>
      <c r="AG340" s="99">
        <f>IF(AG$265=0,0,'P(M)年費表'!R73)</f>
        <v>0</v>
      </c>
      <c r="AH340" s="99">
        <f>IF(AH$265=0,0,'P(M)年費表'!S73)</f>
        <v>0</v>
      </c>
      <c r="AI340" s="99">
        <f>IF(AI$265=0,0,'P(M)年費表'!T73)</f>
        <v>0</v>
      </c>
      <c r="AJ340" s="99">
        <f>IF(AJ$265=0,0,'P(M)年費表'!U73)</f>
        <v>0</v>
      </c>
      <c r="AK340" s="99">
        <f>IF(AK$265=0,0,'P(M)年費表'!V73)</f>
        <v>0</v>
      </c>
      <c r="AL340" s="99">
        <f>IF(AL$265=0,0,'P(M)年費表'!W73)</f>
        <v>0</v>
      </c>
      <c r="AM340" s="99">
        <f>IF(AM$265=0,0,'P(M)年費表'!X73)</f>
        <v>0</v>
      </c>
      <c r="AN340" s="99">
        <f>IF(AN$265=0,0,'P(M)年費表'!Y73)</f>
        <v>0</v>
      </c>
      <c r="AO340" s="99">
        <f>IF(AO$265=0,0,'P(M)年費表'!Z73)</f>
        <v>0</v>
      </c>
      <c r="AP340" s="99">
        <f>IF(AP$265=0,0,'P(M)年費表'!AA73)</f>
        <v>0</v>
      </c>
      <c r="AQ340" s="99">
        <f>IF(AQ$265=0,0,'P(M)年費表'!AB73)</f>
        <v>0</v>
      </c>
      <c r="AR340" s="77">
        <f>SUM(S340:AQ340)</f>
        <v>5000</v>
      </c>
      <c r="AS340" s="11"/>
      <c r="AT340" s="35"/>
      <c r="AU340" s="35"/>
      <c r="AV340" s="35"/>
      <c r="AW340" s="35"/>
      <c r="AX340" s="35"/>
      <c r="AY340" s="35"/>
      <c r="AZ340" s="35"/>
      <c r="BA340" s="35"/>
      <c r="BB340" s="35"/>
      <c r="BC340" s="35"/>
      <c r="BD340" s="35"/>
      <c r="BE340" s="35"/>
      <c r="BF340" s="35"/>
      <c r="BG340" s="35"/>
      <c r="BH340" s="35"/>
      <c r="BI340" s="35"/>
      <c r="BJ340" s="35"/>
      <c r="BK340" s="35"/>
      <c r="BL340" s="35"/>
      <c r="BM340" s="35"/>
      <c r="BN340" s="35"/>
      <c r="BO340" s="35"/>
      <c r="BP340" s="35"/>
      <c r="BQ340" s="35"/>
      <c r="BR340" s="35"/>
      <c r="BS340" s="35"/>
      <c r="BT340" s="35"/>
      <c r="BU340" s="35"/>
      <c r="BV340" s="35"/>
      <c r="BW340" s="35"/>
      <c r="BX340" s="35"/>
      <c r="BY340" s="35"/>
      <c r="BZ340" s="35"/>
      <c r="CA340" s="35"/>
      <c r="CB340" s="35"/>
      <c r="CC340" s="35"/>
      <c r="CD340" s="35"/>
      <c r="CE340" s="35"/>
      <c r="CF340" s="35"/>
      <c r="CG340" s="35"/>
      <c r="CH340" s="35"/>
      <c r="CI340" s="35"/>
      <c r="CJ340" s="35"/>
      <c r="CK340" s="35"/>
      <c r="CL340" s="35"/>
      <c r="CM340" s="35"/>
      <c r="CN340" s="35"/>
      <c r="CO340" s="35"/>
      <c r="CP340" s="35"/>
      <c r="CQ340" s="35"/>
      <c r="CR340" s="35"/>
      <c r="CS340" s="35"/>
      <c r="CT340" s="35"/>
      <c r="CU340" s="35"/>
      <c r="CV340" s="35"/>
      <c r="CW340" s="35"/>
      <c r="CX340" s="35"/>
      <c r="CY340" s="35"/>
      <c r="CZ340" s="35"/>
      <c r="DA340" s="35"/>
      <c r="DB340" s="35"/>
      <c r="DC340" s="35"/>
      <c r="DD340" s="35"/>
      <c r="DE340" s="35"/>
      <c r="DF340" s="35"/>
      <c r="DG340" s="35"/>
      <c r="DH340" s="35"/>
      <c r="DI340" s="35"/>
      <c r="DJ340" s="35"/>
    </row>
    <row r="341" spans="1:114" ht="16.5" x14ac:dyDescent="0.25">
      <c r="A341" s="34"/>
      <c r="B341" s="34"/>
      <c r="C341" s="34"/>
      <c r="D341" s="34"/>
      <c r="E341" s="34"/>
      <c r="F341" s="34"/>
      <c r="G341" s="34"/>
      <c r="H341" s="34"/>
      <c r="I341" s="34"/>
      <c r="J341" s="34"/>
      <c r="K341" s="34"/>
      <c r="L341" s="34"/>
      <c r="M341" s="34"/>
      <c r="N341" s="35"/>
      <c r="O341" s="35"/>
      <c r="P341" s="215" t="s">
        <v>9</v>
      </c>
      <c r="Q341" s="11" t="str">
        <f t="shared" si="24"/>
        <v>發明</v>
      </c>
      <c r="R341" s="3" t="str">
        <f>'P(M)年費表'!C74</f>
        <v>NTD</v>
      </c>
      <c r="S341" s="99"/>
      <c r="T341" s="99">
        <f>IF(T$265=0,0,'P(M)年費表'!E74)</f>
        <v>0</v>
      </c>
      <c r="U341" s="99">
        <f>IF(U$265=0,0,'P(M)年費表'!F74)</f>
        <v>0</v>
      </c>
      <c r="V341" s="99">
        <f>IF(V$265=0,0,'P(M)年費表'!G74)</f>
        <v>0</v>
      </c>
      <c r="W341" s="99">
        <f>IF(W$265=0,0,'P(M)年費表'!H74)</f>
        <v>0</v>
      </c>
      <c r="X341" s="99">
        <f>IF(X$265=0,0,'P(M)年費表'!I74)</f>
        <v>0</v>
      </c>
      <c r="Y341" s="99">
        <f>IF(Y$265=0,0,'P(M)年費表'!J74)</f>
        <v>0</v>
      </c>
      <c r="Z341" s="99">
        <f>IF(Z$265=0,0,'P(M)年費表'!K74)</f>
        <v>5000</v>
      </c>
      <c r="AA341" s="99">
        <f>IF(AA$265=0,0,'P(M)年費表'!L74)</f>
        <v>0</v>
      </c>
      <c r="AB341" s="99">
        <f>IF(AB$265=0,0,'P(M)年費表'!M74)</f>
        <v>0</v>
      </c>
      <c r="AC341" s="99">
        <f>IF(AC$265=0,0,'P(M)年費表'!N74)</f>
        <v>0</v>
      </c>
      <c r="AD341" s="99">
        <f>IF(AD$265=0,0,'P(M)年費表'!O74)</f>
        <v>0</v>
      </c>
      <c r="AE341" s="99">
        <f>IF(AE$265=0,0,'P(M)年費表'!P74)</f>
        <v>0</v>
      </c>
      <c r="AF341" s="99">
        <f>IF(AF$265=0,0,'P(M)年費表'!Q74)</f>
        <v>0</v>
      </c>
      <c r="AG341" s="99">
        <f>IF(AG$265=0,0,'P(M)年費表'!R74)</f>
        <v>0</v>
      </c>
      <c r="AH341" s="99">
        <f>IF(AH$265=0,0,'P(M)年費表'!S74)</f>
        <v>0</v>
      </c>
      <c r="AI341" s="99">
        <f>IF(AI$265=0,0,'P(M)年費表'!T74)</f>
        <v>0</v>
      </c>
      <c r="AJ341" s="99">
        <f>IF(AJ$265=0,0,'P(M)年費表'!U74)</f>
        <v>0</v>
      </c>
      <c r="AK341" s="99">
        <f>IF(AK$265=0,0,'P(M)年費表'!V74)</f>
        <v>0</v>
      </c>
      <c r="AL341" s="99">
        <f>IF(AL$265=0,0,'P(M)年費表'!W74)</f>
        <v>0</v>
      </c>
      <c r="AM341" s="99">
        <f>IF(AM$265=0,0,'P(M)年費表'!X74)</f>
        <v>0</v>
      </c>
      <c r="AN341" s="99">
        <f>IF(AN$265=0,0,'P(M)年費表'!Y74)</f>
        <v>0</v>
      </c>
      <c r="AO341" s="99">
        <f>IF(AO$265=0,0,'P(M)年費表'!Z74)</f>
        <v>0</v>
      </c>
      <c r="AP341" s="99">
        <f>IF(AP$265=0,0,'P(M)年費表'!AA74)</f>
        <v>0</v>
      </c>
      <c r="AQ341" s="99">
        <f>IF(AQ$265=0,0,'P(M)年費表'!AB74)</f>
        <v>0</v>
      </c>
      <c r="AR341" s="77">
        <f t="shared" si="25"/>
        <v>5000</v>
      </c>
      <c r="AS341" s="11"/>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35"/>
      <c r="CD341" s="35"/>
      <c r="CE341" s="35"/>
      <c r="CF341" s="35"/>
      <c r="CG341" s="35"/>
      <c r="CH341" s="35"/>
      <c r="CI341" s="35"/>
      <c r="CJ341" s="35"/>
      <c r="CK341" s="35"/>
      <c r="CL341" s="35"/>
      <c r="CM341" s="35"/>
      <c r="CN341" s="35"/>
      <c r="CO341" s="35"/>
      <c r="CP341" s="35"/>
      <c r="CQ341" s="35"/>
      <c r="CR341" s="35"/>
      <c r="CS341" s="35"/>
      <c r="CT341" s="35"/>
      <c r="CU341" s="35"/>
      <c r="CV341" s="35"/>
      <c r="CW341" s="35"/>
      <c r="CX341" s="35"/>
      <c r="CY341" s="35"/>
      <c r="CZ341" s="35"/>
      <c r="DA341" s="35"/>
      <c r="DB341" s="35"/>
      <c r="DC341" s="35"/>
      <c r="DD341" s="35"/>
      <c r="DE341" s="35"/>
      <c r="DF341" s="35"/>
      <c r="DG341" s="35"/>
      <c r="DH341" s="35"/>
      <c r="DI341" s="35"/>
      <c r="DJ341" s="35"/>
    </row>
    <row r="342" spans="1:114" ht="16.5" x14ac:dyDescent="0.25">
      <c r="A342" s="34"/>
      <c r="B342" s="34"/>
      <c r="C342" s="34"/>
      <c r="D342" s="34"/>
      <c r="E342" s="34"/>
      <c r="F342" s="34"/>
      <c r="G342" s="34"/>
      <c r="H342" s="34"/>
      <c r="I342" s="34"/>
      <c r="J342" s="34"/>
      <c r="K342" s="34"/>
      <c r="L342" s="34"/>
      <c r="M342" s="34"/>
      <c r="N342" s="35"/>
      <c r="O342" s="35"/>
      <c r="P342" s="216"/>
      <c r="Q342" s="11" t="str">
        <f t="shared" si="24"/>
        <v>新型</v>
      </c>
      <c r="R342" s="3" t="str">
        <f>'P(M)年費表'!C75</f>
        <v>NTD</v>
      </c>
      <c r="S342" s="99"/>
      <c r="T342" s="99">
        <f>IF(T$265=0,0,'P(M)年費表'!E75)</f>
        <v>0</v>
      </c>
      <c r="U342" s="99">
        <f>IF(U$265=0,0,'P(M)年費表'!F75)</f>
        <v>0</v>
      </c>
      <c r="V342" s="99">
        <f>IF(V$265=0,0,'P(M)年費表'!G75)</f>
        <v>0</v>
      </c>
      <c r="W342" s="99">
        <f>IF(W$265=0,0,'P(M)年費表'!H75)</f>
        <v>0</v>
      </c>
      <c r="X342" s="99">
        <f>IF(X$265=0,0,'P(M)年費表'!I75)</f>
        <v>0</v>
      </c>
      <c r="Y342" s="99">
        <f>IF(Y$265=0,0,'P(M)年費表'!J75)</f>
        <v>0</v>
      </c>
      <c r="Z342" s="99">
        <f>IF(Z$265=0,0,'P(M)年費表'!K75)</f>
        <v>5000</v>
      </c>
      <c r="AA342" s="99">
        <f>IF(AA$265=0,0,'P(M)年費表'!L75)</f>
        <v>0</v>
      </c>
      <c r="AB342" s="99">
        <f>IF(AB$265=0,0,'P(M)年費表'!M75)</f>
        <v>0</v>
      </c>
      <c r="AC342" s="99">
        <f>IF(AC$265=0,0,'P(M)年費表'!N75)</f>
        <v>0</v>
      </c>
      <c r="AD342" s="99">
        <f>IF(AD$265=0,0,'P(M)年費表'!O75)</f>
        <v>0</v>
      </c>
      <c r="AE342" s="99">
        <f>IF(AE$265=0,0,'P(M)年費表'!P75)</f>
        <v>0</v>
      </c>
      <c r="AF342" s="99">
        <f>IF(AF$265=0,0,'P(M)年費表'!Q75)</f>
        <v>0</v>
      </c>
      <c r="AG342" s="99">
        <f>IF(AG$265=0,0,'P(M)年費表'!R75)</f>
        <v>0</v>
      </c>
      <c r="AH342" s="99">
        <f>IF(AH$265=0,0,'P(M)年費表'!S75)</f>
        <v>0</v>
      </c>
      <c r="AI342" s="99">
        <f>IF(AI$265=0,0,'P(M)年費表'!T75)</f>
        <v>0</v>
      </c>
      <c r="AJ342" s="99">
        <f>IF(AJ$265=0,0,'P(M)年費表'!U75)</f>
        <v>0</v>
      </c>
      <c r="AK342" s="99">
        <f>IF(AK$265=0,0,'P(M)年費表'!V75)</f>
        <v>0</v>
      </c>
      <c r="AL342" s="99">
        <f>IF(AL$265=0,0,'P(M)年費表'!W75)</f>
        <v>0</v>
      </c>
      <c r="AM342" s="99">
        <f>IF(AM$265=0,0,'P(M)年費表'!X75)</f>
        <v>0</v>
      </c>
      <c r="AN342" s="99">
        <f>IF(AN$265=0,0,'P(M)年費表'!Y75)</f>
        <v>0</v>
      </c>
      <c r="AO342" s="99">
        <f>IF(AO$265=0,0,'P(M)年費表'!Z75)</f>
        <v>0</v>
      </c>
      <c r="AP342" s="99">
        <f>IF(AP$265=0,0,'P(M)年費表'!AA75)</f>
        <v>0</v>
      </c>
      <c r="AQ342" s="99">
        <f>IF(AQ$265=0,0,'P(M)年費表'!AB75)</f>
        <v>0</v>
      </c>
      <c r="AR342" s="77">
        <f t="shared" si="25"/>
        <v>5000</v>
      </c>
      <c r="AS342" s="11"/>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35"/>
      <c r="BS342" s="35"/>
      <c r="BT342" s="35"/>
      <c r="BU342" s="35"/>
      <c r="BV342" s="35"/>
      <c r="BW342" s="35"/>
      <c r="BX342" s="35"/>
      <c r="BY342" s="35"/>
      <c r="BZ342" s="35"/>
      <c r="CA342" s="35"/>
      <c r="CB342" s="35"/>
      <c r="CC342" s="35"/>
      <c r="CD342" s="35"/>
      <c r="CE342" s="35"/>
      <c r="CF342" s="35"/>
      <c r="CG342" s="35"/>
      <c r="CH342" s="35"/>
      <c r="CI342" s="35"/>
      <c r="CJ342" s="35"/>
      <c r="CK342" s="35"/>
      <c r="CL342" s="35"/>
      <c r="CM342" s="35"/>
      <c r="CN342" s="35"/>
      <c r="CO342" s="35"/>
      <c r="CP342" s="35"/>
      <c r="CQ342" s="35"/>
      <c r="CR342" s="35"/>
      <c r="CS342" s="35"/>
      <c r="CT342" s="35"/>
      <c r="CU342" s="35"/>
      <c r="CV342" s="35"/>
      <c r="CW342" s="35"/>
      <c r="CX342" s="35"/>
      <c r="CY342" s="35"/>
      <c r="CZ342" s="35"/>
      <c r="DA342" s="35"/>
      <c r="DB342" s="35"/>
      <c r="DC342" s="35"/>
      <c r="DD342" s="35"/>
      <c r="DE342" s="35"/>
      <c r="DF342" s="35"/>
      <c r="DG342" s="35"/>
      <c r="DH342" s="35"/>
      <c r="DI342" s="35"/>
      <c r="DJ342" s="35"/>
    </row>
    <row r="343" spans="1:114" ht="16.5" x14ac:dyDescent="0.25">
      <c r="A343" s="34"/>
      <c r="B343" s="34"/>
      <c r="C343" s="34"/>
      <c r="D343" s="34"/>
      <c r="E343" s="34"/>
      <c r="F343" s="34"/>
      <c r="G343" s="34"/>
      <c r="H343" s="34"/>
      <c r="I343" s="34"/>
      <c r="J343" s="34"/>
      <c r="K343" s="34"/>
      <c r="L343" s="34"/>
      <c r="M343" s="34"/>
      <c r="N343" s="35"/>
      <c r="O343" s="35"/>
      <c r="P343" s="215" t="s">
        <v>10</v>
      </c>
      <c r="Q343" s="11" t="str">
        <f t="shared" si="24"/>
        <v>發明</v>
      </c>
      <c r="R343" s="3" t="str">
        <f>'P(M)年費表'!C76</f>
        <v>NTD</v>
      </c>
      <c r="S343" s="99"/>
      <c r="T343" s="99">
        <f>IF(T$265=0,0,'P(M)年費表'!E76)</f>
        <v>0</v>
      </c>
      <c r="U343" s="99">
        <f>IF(U$265=0,0,'P(M)年費表'!F76)</f>
        <v>0</v>
      </c>
      <c r="V343" s="99">
        <f>IF(V$265=0,0,'P(M)年費表'!G76)</f>
        <v>0</v>
      </c>
      <c r="W343" s="99">
        <f>IF(W$265=0,0,'P(M)年費表'!H76)</f>
        <v>0</v>
      </c>
      <c r="X343" s="99">
        <f>IF(X$265=0,0,'P(M)年費表'!I76)</f>
        <v>0</v>
      </c>
      <c r="Y343" s="99">
        <f>IF(Y$265=0,0,'P(M)年費表'!J76)</f>
        <v>0</v>
      </c>
      <c r="Z343" s="99">
        <f>IF(Z$265=0,0,'P(M)年費表'!K76)</f>
        <v>5000</v>
      </c>
      <c r="AA343" s="99">
        <f>IF(AA$265=0,0,'P(M)年費表'!L76)</f>
        <v>0</v>
      </c>
      <c r="AB343" s="99">
        <f>IF(AB$265=0,0,'P(M)年費表'!M76)</f>
        <v>0</v>
      </c>
      <c r="AC343" s="99">
        <f>IF(AC$265=0,0,'P(M)年費表'!N76)</f>
        <v>0</v>
      </c>
      <c r="AD343" s="99">
        <f>IF(AD$265=0,0,'P(M)年費表'!O76)</f>
        <v>0</v>
      </c>
      <c r="AE343" s="99">
        <f>IF(AE$265=0,0,'P(M)年費表'!P76)</f>
        <v>0</v>
      </c>
      <c r="AF343" s="99">
        <f>IF(AF$265=0,0,'P(M)年費表'!Q76)</f>
        <v>0</v>
      </c>
      <c r="AG343" s="99">
        <f>IF(AG$265=0,0,'P(M)年費表'!R76)</f>
        <v>0</v>
      </c>
      <c r="AH343" s="99">
        <f>IF(AH$265=0,0,'P(M)年費表'!S76)</f>
        <v>0</v>
      </c>
      <c r="AI343" s="99">
        <f>IF(AI$265=0,0,'P(M)年費表'!T76)</f>
        <v>0</v>
      </c>
      <c r="AJ343" s="99">
        <f>IF(AJ$265=0,0,'P(M)年費表'!U76)</f>
        <v>0</v>
      </c>
      <c r="AK343" s="99">
        <f>IF(AK$265=0,0,'P(M)年費表'!V76)</f>
        <v>0</v>
      </c>
      <c r="AL343" s="99">
        <f>IF(AL$265=0,0,'P(M)年費表'!W76)</f>
        <v>0</v>
      </c>
      <c r="AM343" s="99">
        <f>IF(AM$265=0,0,'P(M)年費表'!X76)</f>
        <v>0</v>
      </c>
      <c r="AN343" s="99">
        <f>IF(AN$265=0,0,'P(M)年費表'!Y76)</f>
        <v>0</v>
      </c>
      <c r="AO343" s="99">
        <f>IF(AO$265=0,0,'P(M)年費表'!Z76)</f>
        <v>0</v>
      </c>
      <c r="AP343" s="99">
        <f>IF(AP$265=0,0,'P(M)年費表'!AA76)</f>
        <v>0</v>
      </c>
      <c r="AQ343" s="99">
        <f>IF(AQ$265=0,0,'P(M)年費表'!AB76)</f>
        <v>0</v>
      </c>
      <c r="AR343" s="77">
        <f t="shared" si="25"/>
        <v>5000</v>
      </c>
      <c r="AS343" s="11"/>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35"/>
      <c r="CD343" s="35"/>
      <c r="CE343" s="35"/>
      <c r="CF343" s="35"/>
      <c r="CG343" s="35"/>
      <c r="CH343" s="35"/>
      <c r="CI343" s="35"/>
      <c r="CJ343" s="35"/>
      <c r="CK343" s="35"/>
      <c r="CL343" s="35"/>
      <c r="CM343" s="35"/>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row>
    <row r="344" spans="1:114" ht="16.5" x14ac:dyDescent="0.25">
      <c r="A344" s="34"/>
      <c r="B344" s="34"/>
      <c r="C344" s="34"/>
      <c r="D344" s="34"/>
      <c r="E344" s="34"/>
      <c r="F344" s="34"/>
      <c r="G344" s="34"/>
      <c r="H344" s="34"/>
      <c r="I344" s="34"/>
      <c r="J344" s="34"/>
      <c r="K344" s="34"/>
      <c r="L344" s="34"/>
      <c r="M344" s="34"/>
      <c r="N344" s="35"/>
      <c r="O344" s="35"/>
      <c r="P344" s="216"/>
      <c r="Q344" s="11" t="str">
        <f t="shared" si="24"/>
        <v>新型</v>
      </c>
      <c r="R344" s="3" t="str">
        <f>'P(M)年費表'!C77</f>
        <v>NTD</v>
      </c>
      <c r="S344" s="99"/>
      <c r="T344" s="99">
        <f>IF(T$265=0,0,'P(M)年費表'!E77)</f>
        <v>0</v>
      </c>
      <c r="U344" s="99">
        <f>IF(U$265=0,0,'P(M)年費表'!F77)</f>
        <v>0</v>
      </c>
      <c r="V344" s="99">
        <f>IF(V$265=0,0,'P(M)年費表'!G77)</f>
        <v>0</v>
      </c>
      <c r="W344" s="99">
        <f>IF(W$265=0,0,'P(M)年費表'!H77)</f>
        <v>0</v>
      </c>
      <c r="X344" s="99">
        <f>IF(X$265=0,0,'P(M)年費表'!I77)</f>
        <v>0</v>
      </c>
      <c r="Y344" s="99">
        <f>IF(Y$265=0,0,'P(M)年費表'!J77)</f>
        <v>0</v>
      </c>
      <c r="Z344" s="99">
        <f>IF(Z$265=0,0,'P(M)年費表'!K77)</f>
        <v>0</v>
      </c>
      <c r="AA344" s="99">
        <f>IF(AA$265=0,0,'P(M)年費表'!L77)</f>
        <v>0</v>
      </c>
      <c r="AB344" s="99">
        <f>IF(AB$265=0,0,'P(M)年費表'!M77)</f>
        <v>0</v>
      </c>
      <c r="AC344" s="99">
        <f>IF(AC$265=0,0,'P(M)年費表'!N77)</f>
        <v>0</v>
      </c>
      <c r="AD344" s="99">
        <f>IF(AD$265=0,0,'P(M)年費表'!O77)</f>
        <v>0</v>
      </c>
      <c r="AE344" s="99">
        <f>IF(AE$265=0,0,'P(M)年費表'!P77)</f>
        <v>0</v>
      </c>
      <c r="AF344" s="99">
        <f>IF(AF$265=0,0,'P(M)年費表'!Q77)</f>
        <v>0</v>
      </c>
      <c r="AG344" s="99">
        <f>IF(AG$265=0,0,'P(M)年費表'!R77)</f>
        <v>0</v>
      </c>
      <c r="AH344" s="99">
        <f>IF(AH$265=0,0,'P(M)年費表'!S77)</f>
        <v>0</v>
      </c>
      <c r="AI344" s="99">
        <f>IF(AI$265=0,0,'P(M)年費表'!T77)</f>
        <v>0</v>
      </c>
      <c r="AJ344" s="99">
        <f>IF(AJ$265=0,0,'P(M)年費表'!U77)</f>
        <v>0</v>
      </c>
      <c r="AK344" s="99">
        <f>IF(AK$265=0,0,'P(M)年費表'!V77)</f>
        <v>0</v>
      </c>
      <c r="AL344" s="99">
        <f>IF(AL$265=0,0,'P(M)年費表'!W77)</f>
        <v>0</v>
      </c>
      <c r="AM344" s="99">
        <f>IF(AM$265=0,0,'P(M)年費表'!X77)</f>
        <v>0</v>
      </c>
      <c r="AN344" s="99">
        <f>IF(AN$265=0,0,'P(M)年費表'!Y77)</f>
        <v>0</v>
      </c>
      <c r="AO344" s="99">
        <f>IF(AO$265=0,0,'P(M)年費表'!Z77)</f>
        <v>0</v>
      </c>
      <c r="AP344" s="99">
        <f>IF(AP$265=0,0,'P(M)年費表'!AA77)</f>
        <v>0</v>
      </c>
      <c r="AQ344" s="99">
        <f>IF(AQ$265=0,0,'P(M)年費表'!AB77)</f>
        <v>0</v>
      </c>
      <c r="AR344" s="77">
        <f t="shared" si="25"/>
        <v>0</v>
      </c>
      <c r="AS344" s="11"/>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row>
    <row r="345" spans="1:114" ht="16.5" x14ac:dyDescent="0.25">
      <c r="A345" s="34"/>
      <c r="B345" s="34"/>
      <c r="C345" s="34"/>
      <c r="D345" s="34"/>
      <c r="E345" s="34"/>
      <c r="F345" s="34"/>
      <c r="G345" s="34"/>
      <c r="H345" s="34"/>
      <c r="I345" s="34"/>
      <c r="J345" s="34"/>
      <c r="K345" s="34"/>
      <c r="L345" s="34"/>
      <c r="M345" s="34"/>
      <c r="N345" s="35"/>
      <c r="O345" s="35"/>
      <c r="P345" s="5"/>
      <c r="Q345" s="5"/>
      <c r="R345" s="5"/>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c r="AR345" s="77">
        <f t="shared" si="25"/>
        <v>0</v>
      </c>
      <c r="AS345" s="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35"/>
      <c r="CD345" s="35"/>
      <c r="CE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row>
    <row r="346" spans="1:114" ht="16.5" x14ac:dyDescent="0.25">
      <c r="A346" s="34"/>
      <c r="B346" s="34"/>
      <c r="C346" s="34"/>
      <c r="D346" s="34"/>
      <c r="E346" s="34"/>
      <c r="F346" s="34"/>
      <c r="G346" s="34"/>
      <c r="H346" s="34"/>
      <c r="I346" s="34"/>
      <c r="J346" s="34"/>
      <c r="K346" s="34"/>
      <c r="L346" s="34"/>
      <c r="M346" s="34"/>
      <c r="N346" s="35"/>
      <c r="O346" s="35"/>
      <c r="P346" s="135" t="s">
        <v>295</v>
      </c>
      <c r="Q346"/>
      <c r="R346"/>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101"/>
      <c r="AQ346" s="101"/>
      <c r="AR346"/>
      <c r="AS346"/>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35"/>
      <c r="CD346" s="35"/>
      <c r="CE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row>
    <row r="347" spans="1:114" x14ac:dyDescent="0.25">
      <c r="A347" s="34"/>
      <c r="B347" s="34"/>
      <c r="C347" s="34"/>
      <c r="D347" s="34"/>
      <c r="E347" s="34"/>
      <c r="F347" s="34"/>
      <c r="G347" s="34"/>
      <c r="H347" s="34"/>
      <c r="I347" s="34"/>
      <c r="J347" s="34"/>
      <c r="K347" s="34"/>
      <c r="L347" s="34"/>
      <c r="M347" s="34"/>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row>
    <row r="348" spans="1:114" x14ac:dyDescent="0.25">
      <c r="A348" s="34"/>
      <c r="B348" s="34"/>
      <c r="C348" s="34"/>
      <c r="D348" s="34"/>
      <c r="E348" s="34"/>
      <c r="F348" s="34"/>
      <c r="G348" s="34"/>
      <c r="H348" s="34"/>
      <c r="I348" s="34"/>
      <c r="J348" s="34"/>
      <c r="K348" s="34"/>
      <c r="L348" s="34"/>
      <c r="M348" s="34"/>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c r="BK348" s="35"/>
      <c r="BL348" s="35"/>
      <c r="BM348" s="35"/>
      <c r="BN348" s="35"/>
      <c r="BO348" s="35"/>
      <c r="BP348" s="35"/>
      <c r="BQ348" s="35"/>
      <c r="BR348" s="35"/>
      <c r="BS348" s="35"/>
      <c r="BT348" s="35"/>
      <c r="BU348" s="35"/>
      <c r="BV348" s="35"/>
      <c r="BW348" s="35"/>
      <c r="BX348" s="35"/>
      <c r="BY348" s="35"/>
      <c r="BZ348" s="35"/>
      <c r="CA348" s="35"/>
      <c r="CB348" s="35"/>
      <c r="CC348" s="35"/>
      <c r="CD348" s="35"/>
      <c r="CE348" s="35"/>
      <c r="CF348" s="35"/>
      <c r="CG348" s="35"/>
      <c r="CH348" s="35"/>
      <c r="CI348" s="35"/>
      <c r="CJ348" s="35"/>
      <c r="CK348" s="35"/>
      <c r="CL348" s="35"/>
      <c r="CM348" s="35"/>
      <c r="CN348" s="35"/>
      <c r="CO348" s="35"/>
      <c r="CP348" s="35"/>
      <c r="CQ348" s="35"/>
      <c r="CR348" s="35"/>
      <c r="CS348" s="35"/>
      <c r="CT348" s="35"/>
      <c r="CU348" s="35"/>
      <c r="CV348" s="35"/>
      <c r="CW348" s="35"/>
      <c r="CX348" s="35"/>
      <c r="CY348" s="35"/>
      <c r="CZ348" s="35"/>
      <c r="DA348" s="35"/>
      <c r="DB348" s="35"/>
      <c r="DC348" s="35"/>
      <c r="DD348" s="35"/>
      <c r="DE348" s="35"/>
      <c r="DF348" s="35"/>
      <c r="DG348" s="35"/>
      <c r="DH348" s="35"/>
      <c r="DI348" s="35"/>
      <c r="DJ348" s="35"/>
    </row>
    <row r="349" spans="1:114" x14ac:dyDescent="0.25">
      <c r="A349" s="34"/>
      <c r="B349" s="34"/>
      <c r="C349" s="34"/>
      <c r="D349" s="34"/>
      <c r="E349" s="34"/>
      <c r="F349" s="34"/>
      <c r="G349" s="34"/>
      <c r="H349" s="34"/>
      <c r="I349" s="34"/>
      <c r="J349" s="34"/>
      <c r="K349" s="34"/>
      <c r="L349" s="34"/>
      <c r="M349" s="34"/>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35"/>
      <c r="CT349" s="35"/>
      <c r="CU349" s="35"/>
      <c r="CV349" s="35"/>
      <c r="CW349" s="35"/>
      <c r="CX349" s="35"/>
      <c r="CY349" s="35"/>
      <c r="CZ349" s="35"/>
      <c r="DA349" s="35"/>
      <c r="DB349" s="35"/>
      <c r="DC349" s="35"/>
      <c r="DD349" s="35"/>
      <c r="DE349" s="35"/>
      <c r="DF349" s="35"/>
      <c r="DG349" s="35"/>
      <c r="DH349" s="35"/>
      <c r="DI349" s="35"/>
      <c r="DJ349" s="35"/>
    </row>
    <row r="350" spans="1:114" x14ac:dyDescent="0.25">
      <c r="A350" s="34"/>
      <c r="B350" s="34"/>
      <c r="C350" s="34"/>
      <c r="D350" s="34"/>
      <c r="E350" s="34"/>
      <c r="F350" s="34"/>
      <c r="G350" s="34"/>
      <c r="H350" s="34"/>
      <c r="I350" s="34"/>
      <c r="J350" s="34"/>
      <c r="K350" s="34"/>
      <c r="L350" s="34"/>
      <c r="M350" s="34"/>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5"/>
      <c r="CT350" s="35"/>
      <c r="CU350" s="35"/>
      <c r="CV350" s="35"/>
      <c r="CW350" s="35"/>
      <c r="CX350" s="35"/>
      <c r="CY350" s="35"/>
      <c r="CZ350" s="35"/>
      <c r="DA350" s="35"/>
      <c r="DB350" s="35"/>
      <c r="DC350" s="35"/>
      <c r="DD350" s="35"/>
      <c r="DE350" s="35"/>
      <c r="DF350" s="35"/>
      <c r="DG350" s="35"/>
      <c r="DH350" s="35"/>
      <c r="DI350" s="35"/>
      <c r="DJ350" s="35"/>
    </row>
    <row r="351" spans="1:114" x14ac:dyDescent="0.25">
      <c r="A351" s="34"/>
      <c r="B351" s="34"/>
      <c r="C351" s="34"/>
      <c r="D351" s="34"/>
      <c r="E351" s="34"/>
      <c r="F351" s="34"/>
      <c r="G351" s="34"/>
      <c r="H351" s="34"/>
      <c r="I351" s="34"/>
      <c r="J351" s="34"/>
      <c r="K351" s="34"/>
      <c r="L351" s="34"/>
      <c r="M351" s="34"/>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c r="DH351" s="35"/>
      <c r="DI351" s="35"/>
      <c r="DJ351" s="35"/>
    </row>
    <row r="352" spans="1:114" x14ac:dyDescent="0.25">
      <c r="A352" s="34"/>
      <c r="B352" s="34"/>
      <c r="C352" s="34"/>
      <c r="D352" s="34"/>
      <c r="E352" s="34"/>
      <c r="F352" s="34"/>
      <c r="G352" s="34"/>
      <c r="H352" s="34"/>
      <c r="I352" s="34"/>
      <c r="J352" s="34"/>
      <c r="K352" s="34"/>
      <c r="L352" s="34"/>
      <c r="M352" s="34"/>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35"/>
      <c r="CT352" s="35"/>
      <c r="CU352" s="35"/>
      <c r="CV352" s="35"/>
      <c r="CW352" s="35"/>
      <c r="CX352" s="35"/>
      <c r="CY352" s="35"/>
      <c r="CZ352" s="35"/>
      <c r="DA352" s="35"/>
      <c r="DB352" s="35"/>
      <c r="DC352" s="35"/>
      <c r="DD352" s="35"/>
      <c r="DE352" s="35"/>
      <c r="DF352" s="35"/>
      <c r="DG352" s="35"/>
      <c r="DH352" s="35"/>
      <c r="DI352" s="35"/>
      <c r="DJ352" s="35"/>
    </row>
    <row r="353" spans="1:114" x14ac:dyDescent="0.25">
      <c r="A353" s="34"/>
      <c r="B353" s="34"/>
      <c r="C353" s="34"/>
      <c r="D353" s="34"/>
      <c r="E353" s="34"/>
      <c r="F353" s="34"/>
      <c r="G353" s="34"/>
      <c r="H353" s="34"/>
      <c r="I353" s="34"/>
      <c r="J353" s="34"/>
      <c r="K353" s="34"/>
      <c r="L353" s="34"/>
      <c r="M353" s="34"/>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c r="BG353" s="35"/>
      <c r="BH353" s="35"/>
      <c r="BI353" s="35"/>
      <c r="BJ353" s="35"/>
      <c r="BK353" s="35"/>
      <c r="BL353" s="35"/>
      <c r="BM353" s="35"/>
      <c r="BN353" s="35"/>
      <c r="BO353" s="35"/>
      <c r="BP353" s="35"/>
      <c r="BQ353" s="35"/>
      <c r="BR353" s="35"/>
      <c r="BS353" s="35"/>
      <c r="BT353" s="35"/>
      <c r="BU353" s="35"/>
      <c r="BV353" s="35"/>
      <c r="BW353" s="35"/>
      <c r="BX353" s="35"/>
      <c r="BY353" s="35"/>
      <c r="BZ353" s="35"/>
      <c r="CA353" s="35"/>
      <c r="CB353" s="35"/>
      <c r="CC353" s="35"/>
      <c r="CD353" s="35"/>
      <c r="CE353" s="35"/>
      <c r="CF353" s="35"/>
      <c r="CG353" s="35"/>
      <c r="CH353" s="35"/>
      <c r="CI353" s="35"/>
      <c r="CJ353" s="35"/>
      <c r="CK353" s="35"/>
      <c r="CL353" s="35"/>
      <c r="CM353" s="35"/>
      <c r="CN353" s="35"/>
      <c r="CO353" s="35"/>
      <c r="CP353" s="35"/>
      <c r="CQ353" s="35"/>
      <c r="CR353" s="35"/>
      <c r="CS353" s="35"/>
      <c r="CT353" s="35"/>
      <c r="CU353" s="35"/>
      <c r="CV353" s="35"/>
      <c r="CW353" s="35"/>
      <c r="CX353" s="35"/>
      <c r="CY353" s="35"/>
      <c r="CZ353" s="35"/>
      <c r="DA353" s="35"/>
      <c r="DB353" s="35"/>
      <c r="DC353" s="35"/>
      <c r="DD353" s="35"/>
      <c r="DE353" s="35"/>
      <c r="DF353" s="35"/>
      <c r="DG353" s="35"/>
      <c r="DH353" s="35"/>
      <c r="DI353" s="35"/>
      <c r="DJ353" s="35"/>
    </row>
    <row r="354" spans="1:114" x14ac:dyDescent="0.25">
      <c r="A354" s="34"/>
      <c r="B354" s="34"/>
      <c r="C354" s="34"/>
      <c r="D354" s="34"/>
      <c r="E354" s="34"/>
      <c r="F354" s="34"/>
      <c r="G354" s="34"/>
      <c r="H354" s="34"/>
      <c r="I354" s="34"/>
      <c r="J354" s="34"/>
      <c r="K354" s="34"/>
      <c r="L354" s="34"/>
      <c r="M354" s="34"/>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row>
    <row r="355" spans="1:114" x14ac:dyDescent="0.25">
      <c r="A355" s="34"/>
      <c r="B355" s="34"/>
      <c r="C355" s="34"/>
      <c r="D355" s="34"/>
      <c r="E355" s="34"/>
      <c r="F355" s="34"/>
      <c r="G355" s="34"/>
      <c r="H355" s="34"/>
      <c r="I355" s="34"/>
      <c r="J355" s="34"/>
      <c r="K355" s="34"/>
      <c r="L355" s="34"/>
      <c r="M355" s="34"/>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35"/>
    </row>
    <row r="356" spans="1:114" x14ac:dyDescent="0.25">
      <c r="A356" s="34"/>
      <c r="B356" s="34"/>
      <c r="C356" s="34"/>
      <c r="D356" s="34"/>
      <c r="E356" s="34"/>
      <c r="F356" s="34"/>
      <c r="G356" s="34"/>
      <c r="H356" s="34"/>
      <c r="I356" s="34"/>
      <c r="J356" s="34"/>
      <c r="K356" s="34"/>
      <c r="L356" s="34"/>
      <c r="M356" s="34"/>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M356" s="35"/>
      <c r="BN356" s="35"/>
      <c r="BO356" s="35"/>
      <c r="BP356" s="35"/>
      <c r="BQ356" s="35"/>
      <c r="BR356" s="35"/>
      <c r="BS356" s="35"/>
      <c r="BT356" s="35"/>
      <c r="BU356" s="35"/>
      <c r="BV356" s="35"/>
      <c r="BW356" s="35"/>
      <c r="BX356" s="35"/>
      <c r="BY356" s="35"/>
      <c r="BZ356" s="35"/>
      <c r="CA356" s="35"/>
      <c r="CB356" s="35"/>
      <c r="CC356" s="35"/>
      <c r="CD356" s="35"/>
      <c r="CE356" s="35"/>
      <c r="CF356" s="35"/>
      <c r="CG356" s="35"/>
      <c r="CH356" s="35"/>
      <c r="CI356" s="35"/>
      <c r="CJ356" s="35"/>
      <c r="CK356" s="35"/>
      <c r="CL356" s="35"/>
      <c r="CM356" s="35"/>
      <c r="CN356" s="35"/>
      <c r="CO356" s="35"/>
      <c r="CP356" s="35"/>
      <c r="CQ356" s="35"/>
      <c r="CR356" s="35"/>
      <c r="CS356" s="35"/>
      <c r="CT356" s="35"/>
      <c r="CU356" s="35"/>
      <c r="CV356" s="35"/>
      <c r="CW356" s="35"/>
      <c r="CX356" s="35"/>
      <c r="CY356" s="35"/>
      <c r="CZ356" s="35"/>
      <c r="DA356" s="35"/>
      <c r="DB356" s="35"/>
      <c r="DC356" s="35"/>
      <c r="DD356" s="35"/>
      <c r="DE356" s="35"/>
      <c r="DF356" s="35"/>
      <c r="DG356" s="35"/>
      <c r="DH356" s="35"/>
      <c r="DI356" s="35"/>
      <c r="DJ356" s="35"/>
    </row>
    <row r="357" spans="1:114" x14ac:dyDescent="0.25">
      <c r="A357" s="34"/>
      <c r="B357" s="34"/>
      <c r="C357" s="34"/>
      <c r="D357" s="34"/>
      <c r="E357" s="34"/>
      <c r="F357" s="34"/>
      <c r="G357" s="34"/>
      <c r="H357" s="34"/>
      <c r="I357" s="34"/>
      <c r="J357" s="34"/>
      <c r="K357" s="34"/>
      <c r="L357" s="34"/>
      <c r="M357" s="34"/>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35"/>
      <c r="BT357" s="35"/>
      <c r="BU357" s="35"/>
      <c r="BV357" s="35"/>
      <c r="BW357" s="35"/>
      <c r="BX357" s="35"/>
      <c r="BY357" s="35"/>
      <c r="BZ357" s="35"/>
      <c r="CA357" s="35"/>
      <c r="CB357" s="35"/>
      <c r="CC357" s="35"/>
      <c r="CD357" s="35"/>
      <c r="CE357" s="35"/>
      <c r="CF357" s="35"/>
      <c r="CG357" s="35"/>
      <c r="CH357" s="35"/>
      <c r="CI357" s="35"/>
      <c r="CJ357" s="35"/>
      <c r="CK357" s="35"/>
      <c r="CL357" s="35"/>
      <c r="CM357" s="35"/>
      <c r="CN357" s="35"/>
      <c r="CO357" s="35"/>
      <c r="CP357" s="35"/>
      <c r="CQ357" s="35"/>
      <c r="CR357" s="35"/>
      <c r="CS357" s="35"/>
      <c r="CT357" s="35"/>
      <c r="CU357" s="35"/>
      <c r="CV357" s="35"/>
      <c r="CW357" s="35"/>
      <c r="CX357" s="35"/>
      <c r="CY357" s="35"/>
      <c r="CZ357" s="35"/>
      <c r="DA357" s="35"/>
      <c r="DB357" s="35"/>
      <c r="DC357" s="35"/>
      <c r="DD357" s="35"/>
      <c r="DE357" s="35"/>
      <c r="DF357" s="35"/>
      <c r="DG357" s="35"/>
      <c r="DH357" s="35"/>
      <c r="DI357" s="35"/>
      <c r="DJ357" s="35"/>
    </row>
    <row r="358" spans="1:114" x14ac:dyDescent="0.25">
      <c r="A358" s="34"/>
      <c r="B358" s="34"/>
      <c r="C358" s="34"/>
      <c r="D358" s="34"/>
      <c r="E358" s="34"/>
      <c r="F358" s="34"/>
      <c r="G358" s="34"/>
      <c r="H358" s="34"/>
      <c r="I358" s="34"/>
      <c r="J358" s="34"/>
      <c r="K358" s="34"/>
      <c r="L358" s="34"/>
      <c r="M358" s="34"/>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c r="BG358" s="35"/>
      <c r="BH358" s="35"/>
      <c r="BI358" s="35"/>
      <c r="BJ358" s="35"/>
      <c r="BK358" s="35"/>
      <c r="BL358" s="35"/>
      <c r="BM358" s="35"/>
      <c r="BN358" s="35"/>
      <c r="BO358" s="35"/>
      <c r="BP358" s="35"/>
      <c r="BQ358" s="35"/>
      <c r="BR358" s="35"/>
      <c r="BS358" s="35"/>
      <c r="BT358" s="35"/>
      <c r="BU358" s="35"/>
      <c r="BV358" s="35"/>
      <c r="BW358" s="35"/>
      <c r="BX358" s="35"/>
      <c r="BY358" s="35"/>
      <c r="BZ358" s="35"/>
      <c r="CA358" s="35"/>
      <c r="CB358" s="35"/>
      <c r="CC358" s="35"/>
      <c r="CD358" s="35"/>
      <c r="CE358" s="35"/>
      <c r="CF358" s="35"/>
      <c r="CG358" s="35"/>
      <c r="CH358" s="35"/>
      <c r="CI358" s="35"/>
      <c r="CJ358" s="35"/>
      <c r="CK358" s="35"/>
      <c r="CL358" s="35"/>
      <c r="CM358" s="35"/>
      <c r="CN358" s="35"/>
      <c r="CO358" s="35"/>
      <c r="CP358" s="35"/>
      <c r="CQ358" s="35"/>
      <c r="CR358" s="35"/>
      <c r="CS358" s="35"/>
      <c r="CT358" s="35"/>
      <c r="CU358" s="35"/>
      <c r="CV358" s="35"/>
      <c r="CW358" s="35"/>
      <c r="CX358" s="35"/>
      <c r="CY358" s="35"/>
      <c r="CZ358" s="35"/>
      <c r="DA358" s="35"/>
      <c r="DB358" s="35"/>
      <c r="DC358" s="35"/>
      <c r="DD358" s="35"/>
      <c r="DE358" s="35"/>
      <c r="DF358" s="35"/>
      <c r="DG358" s="35"/>
      <c r="DH358" s="35"/>
      <c r="DI358" s="35"/>
      <c r="DJ358" s="35"/>
    </row>
    <row r="359" spans="1:114" x14ac:dyDescent="0.25">
      <c r="A359" s="34"/>
      <c r="B359" s="34"/>
      <c r="C359" s="34"/>
      <c r="D359" s="34"/>
      <c r="E359" s="34"/>
      <c r="F359" s="34"/>
      <c r="G359" s="34"/>
      <c r="H359" s="34"/>
      <c r="I359" s="34"/>
      <c r="J359" s="34"/>
      <c r="K359" s="34"/>
      <c r="L359" s="34"/>
      <c r="M359" s="34"/>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c r="BN359" s="35"/>
      <c r="BO359" s="35"/>
      <c r="BP359" s="35"/>
      <c r="BQ359" s="35"/>
      <c r="BR359" s="35"/>
      <c r="BS359" s="35"/>
      <c r="BT359" s="35"/>
      <c r="BU359" s="35"/>
      <c r="BV359" s="35"/>
      <c r="BW359" s="35"/>
      <c r="BX359" s="35"/>
      <c r="BY359" s="35"/>
      <c r="BZ359" s="35"/>
      <c r="CA359" s="35"/>
      <c r="CB359" s="35"/>
      <c r="CC359" s="35"/>
      <c r="CD359" s="35"/>
      <c r="CE359" s="35"/>
      <c r="CF359" s="35"/>
      <c r="CG359" s="35"/>
      <c r="CH359" s="35"/>
      <c r="CI359" s="35"/>
      <c r="CJ359" s="35"/>
      <c r="CK359" s="35"/>
      <c r="CL359" s="35"/>
      <c r="CM359" s="35"/>
      <c r="CN359" s="35"/>
      <c r="CO359" s="35"/>
      <c r="CP359" s="35"/>
      <c r="CQ359" s="35"/>
      <c r="CR359" s="35"/>
      <c r="CS359" s="35"/>
      <c r="CT359" s="35"/>
      <c r="CU359" s="35"/>
      <c r="CV359" s="35"/>
      <c r="CW359" s="35"/>
      <c r="CX359" s="35"/>
      <c r="CY359" s="35"/>
      <c r="CZ359" s="35"/>
      <c r="DA359" s="35"/>
      <c r="DB359" s="35"/>
      <c r="DC359" s="35"/>
      <c r="DD359" s="35"/>
      <c r="DE359" s="35"/>
      <c r="DF359" s="35"/>
      <c r="DG359" s="35"/>
      <c r="DH359" s="35"/>
      <c r="DI359" s="35"/>
      <c r="DJ359" s="35"/>
    </row>
    <row r="360" spans="1:114" x14ac:dyDescent="0.25">
      <c r="A360" s="34"/>
      <c r="B360" s="34"/>
      <c r="C360" s="34"/>
      <c r="D360" s="34"/>
      <c r="E360" s="34"/>
      <c r="F360" s="34"/>
      <c r="G360" s="34"/>
      <c r="H360" s="34"/>
      <c r="I360" s="34"/>
      <c r="J360" s="34"/>
      <c r="K360" s="34"/>
      <c r="L360" s="34"/>
      <c r="M360" s="34"/>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c r="BG360" s="35"/>
      <c r="BH360" s="35"/>
      <c r="BI360" s="35"/>
      <c r="BJ360" s="35"/>
      <c r="BK360" s="35"/>
      <c r="BL360" s="35"/>
      <c r="BM360" s="35"/>
      <c r="BN360" s="35"/>
      <c r="BO360" s="35"/>
      <c r="BP360" s="35"/>
      <c r="BQ360" s="35"/>
      <c r="BR360" s="35"/>
      <c r="BS360" s="35"/>
      <c r="BT360" s="35"/>
      <c r="BU360" s="35"/>
      <c r="BV360" s="35"/>
      <c r="BW360" s="35"/>
      <c r="BX360" s="35"/>
      <c r="BY360" s="35"/>
      <c r="BZ360" s="35"/>
      <c r="CA360" s="35"/>
      <c r="CB360" s="35"/>
      <c r="CC360" s="35"/>
      <c r="CD360" s="35"/>
      <c r="CE360" s="35"/>
      <c r="CF360" s="35"/>
      <c r="CG360" s="35"/>
      <c r="CH360" s="35"/>
      <c r="CI360" s="35"/>
      <c r="CJ360" s="35"/>
      <c r="CK360" s="35"/>
      <c r="CL360" s="35"/>
      <c r="CM360" s="35"/>
      <c r="CN360" s="35"/>
      <c r="CO360" s="35"/>
      <c r="CP360" s="35"/>
      <c r="CQ360" s="35"/>
      <c r="CR360" s="35"/>
      <c r="CS360" s="35"/>
      <c r="CT360" s="35"/>
      <c r="CU360" s="35"/>
      <c r="CV360" s="35"/>
      <c r="CW360" s="35"/>
      <c r="CX360" s="35"/>
      <c r="CY360" s="35"/>
      <c r="CZ360" s="35"/>
      <c r="DA360" s="35"/>
      <c r="DB360" s="35"/>
      <c r="DC360" s="35"/>
      <c r="DD360" s="35"/>
      <c r="DE360" s="35"/>
      <c r="DF360" s="35"/>
      <c r="DG360" s="35"/>
      <c r="DH360" s="35"/>
      <c r="DI360" s="35"/>
      <c r="DJ360" s="35"/>
    </row>
    <row r="361" spans="1:114" x14ac:dyDescent="0.25">
      <c r="A361" s="34"/>
      <c r="B361" s="34"/>
      <c r="C361" s="34"/>
      <c r="D361" s="34"/>
      <c r="E361" s="34"/>
      <c r="F361" s="34"/>
      <c r="G361" s="34"/>
      <c r="H361" s="34"/>
      <c r="I361" s="34"/>
      <c r="J361" s="34"/>
      <c r="K361" s="34"/>
      <c r="L361" s="34"/>
      <c r="M361" s="34"/>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c r="BG361" s="35"/>
      <c r="BH361" s="35"/>
      <c r="BI361" s="35"/>
      <c r="BJ361" s="35"/>
      <c r="BK361" s="35"/>
      <c r="BL361" s="35"/>
      <c r="BM361" s="35"/>
      <c r="BN361" s="35"/>
      <c r="BO361" s="35"/>
      <c r="BP361" s="35"/>
      <c r="BQ361" s="35"/>
      <c r="BR361" s="35"/>
      <c r="BS361" s="35"/>
      <c r="BT361" s="35"/>
      <c r="BU361" s="35"/>
      <c r="BV361" s="35"/>
      <c r="BW361" s="35"/>
      <c r="BX361" s="35"/>
      <c r="BY361" s="35"/>
      <c r="BZ361" s="35"/>
      <c r="CA361" s="35"/>
      <c r="CB361" s="35"/>
      <c r="CC361" s="35"/>
      <c r="CD361" s="35"/>
      <c r="CE361" s="35"/>
      <c r="CF361" s="35"/>
      <c r="CG361" s="35"/>
      <c r="CH361" s="35"/>
      <c r="CI361" s="35"/>
      <c r="CJ361" s="35"/>
      <c r="CK361" s="35"/>
      <c r="CL361" s="35"/>
      <c r="CM361" s="35"/>
      <c r="CN361" s="35"/>
      <c r="CO361" s="35"/>
      <c r="CP361" s="35"/>
      <c r="CQ361" s="35"/>
      <c r="CR361" s="35"/>
      <c r="CS361" s="35"/>
      <c r="CT361" s="35"/>
      <c r="CU361" s="35"/>
      <c r="CV361" s="35"/>
      <c r="CW361" s="35"/>
      <c r="CX361" s="35"/>
      <c r="CY361" s="35"/>
      <c r="CZ361" s="35"/>
      <c r="DA361" s="35"/>
      <c r="DB361" s="35"/>
      <c r="DC361" s="35"/>
      <c r="DD361" s="35"/>
      <c r="DE361" s="35"/>
      <c r="DF361" s="35"/>
      <c r="DG361" s="35"/>
      <c r="DH361" s="35"/>
      <c r="DI361" s="35"/>
      <c r="DJ361" s="35"/>
    </row>
    <row r="362" spans="1:114" x14ac:dyDescent="0.25">
      <c r="A362" s="34"/>
      <c r="B362" s="34"/>
      <c r="C362" s="34"/>
      <c r="D362" s="34"/>
      <c r="E362" s="34"/>
      <c r="F362" s="34"/>
      <c r="G362" s="34"/>
      <c r="H362" s="34"/>
      <c r="I362" s="34"/>
      <c r="J362" s="34"/>
      <c r="K362" s="34"/>
      <c r="L362" s="34"/>
      <c r="M362" s="34"/>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c r="BG362" s="35"/>
      <c r="BH362" s="35"/>
      <c r="BI362" s="35"/>
      <c r="BJ362" s="35"/>
      <c r="BK362" s="35"/>
      <c r="BL362" s="35"/>
      <c r="BM362" s="35"/>
      <c r="BN362" s="35"/>
      <c r="BO362" s="35"/>
      <c r="BP362" s="35"/>
      <c r="BQ362" s="35"/>
      <c r="BR362" s="35"/>
      <c r="BS362" s="35"/>
      <c r="BT362" s="35"/>
      <c r="BU362" s="35"/>
      <c r="BV362" s="35"/>
      <c r="BW362" s="35"/>
      <c r="BX362" s="35"/>
      <c r="BY362" s="35"/>
      <c r="BZ362" s="35"/>
      <c r="CA362" s="35"/>
      <c r="CB362" s="35"/>
      <c r="CC362" s="35"/>
      <c r="CD362" s="35"/>
      <c r="CE362" s="35"/>
      <c r="CF362" s="35"/>
      <c r="CG362" s="35"/>
      <c r="CH362" s="35"/>
      <c r="CI362" s="35"/>
      <c r="CJ362" s="35"/>
      <c r="CK362" s="35"/>
      <c r="CL362" s="35"/>
      <c r="CM362" s="35"/>
      <c r="CN362" s="35"/>
      <c r="CO362" s="35"/>
      <c r="CP362" s="35"/>
      <c r="CQ362" s="35"/>
      <c r="CR362" s="35"/>
      <c r="CS362" s="35"/>
      <c r="CT362" s="35"/>
      <c r="CU362" s="35"/>
      <c r="CV362" s="35"/>
      <c r="CW362" s="35"/>
      <c r="CX362" s="35"/>
      <c r="CY362" s="35"/>
      <c r="CZ362" s="35"/>
      <c r="DA362" s="35"/>
      <c r="DB362" s="35"/>
      <c r="DC362" s="35"/>
      <c r="DD362" s="35"/>
      <c r="DE362" s="35"/>
      <c r="DF362" s="35"/>
      <c r="DG362" s="35"/>
      <c r="DH362" s="35"/>
      <c r="DI362" s="35"/>
      <c r="DJ362" s="35"/>
    </row>
    <row r="363" spans="1:114" x14ac:dyDescent="0.25">
      <c r="A363" s="34"/>
      <c r="B363" s="34"/>
      <c r="C363" s="34"/>
      <c r="D363" s="34"/>
      <c r="E363" s="34"/>
      <c r="F363" s="34"/>
      <c r="G363" s="34"/>
      <c r="H363" s="34"/>
      <c r="I363" s="34"/>
      <c r="J363" s="34"/>
      <c r="K363" s="34"/>
      <c r="L363" s="34"/>
      <c r="M363" s="34"/>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c r="BG363" s="35"/>
      <c r="BH363" s="35"/>
      <c r="BI363" s="35"/>
      <c r="BJ363" s="35"/>
      <c r="BK363" s="35"/>
      <c r="BL363" s="35"/>
      <c r="BM363" s="35"/>
      <c r="BN363" s="35"/>
      <c r="BO363" s="35"/>
      <c r="BP363" s="35"/>
      <c r="BQ363" s="35"/>
      <c r="BR363" s="35"/>
      <c r="BS363" s="35"/>
      <c r="BT363" s="35"/>
      <c r="BU363" s="35"/>
      <c r="BV363" s="35"/>
      <c r="BW363" s="35"/>
      <c r="BX363" s="35"/>
      <c r="BY363" s="35"/>
      <c r="BZ363" s="35"/>
      <c r="CA363" s="35"/>
      <c r="CB363" s="35"/>
      <c r="CC363" s="35"/>
      <c r="CD363" s="35"/>
      <c r="CE363" s="35"/>
      <c r="CF363" s="35"/>
      <c r="CG363" s="35"/>
      <c r="CH363" s="35"/>
      <c r="CI363" s="35"/>
      <c r="CJ363" s="35"/>
      <c r="CK363" s="35"/>
      <c r="CL363" s="35"/>
      <c r="CM363" s="35"/>
      <c r="CN363" s="35"/>
      <c r="CO363" s="35"/>
      <c r="CP363" s="35"/>
      <c r="CQ363" s="35"/>
      <c r="CR363" s="35"/>
      <c r="CS363" s="35"/>
      <c r="CT363" s="35"/>
      <c r="CU363" s="35"/>
      <c r="CV363" s="35"/>
      <c r="CW363" s="35"/>
      <c r="CX363" s="35"/>
      <c r="CY363" s="35"/>
      <c r="CZ363" s="35"/>
      <c r="DA363" s="35"/>
      <c r="DB363" s="35"/>
      <c r="DC363" s="35"/>
      <c r="DD363" s="35"/>
      <c r="DE363" s="35"/>
      <c r="DF363" s="35"/>
      <c r="DG363" s="35"/>
      <c r="DH363" s="35"/>
      <c r="DI363" s="35"/>
      <c r="DJ363" s="35"/>
    </row>
    <row r="364" spans="1:114" x14ac:dyDescent="0.25">
      <c r="A364" s="34"/>
      <c r="B364" s="34"/>
      <c r="C364" s="34"/>
      <c r="D364" s="34"/>
      <c r="E364" s="34"/>
      <c r="F364" s="34"/>
      <c r="G364" s="34"/>
      <c r="H364" s="34"/>
      <c r="I364" s="34"/>
      <c r="J364" s="34"/>
      <c r="K364" s="34"/>
      <c r="L364" s="34"/>
      <c r="M364" s="34"/>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V364" s="35"/>
      <c r="BW364" s="35"/>
      <c r="BX364" s="35"/>
      <c r="BY364" s="35"/>
      <c r="BZ364" s="35"/>
      <c r="CA364" s="35"/>
      <c r="CB364" s="35"/>
      <c r="CC364" s="35"/>
      <c r="CD364" s="35"/>
      <c r="CE364" s="35"/>
      <c r="CF364" s="35"/>
      <c r="CG364" s="35"/>
      <c r="CH364" s="35"/>
      <c r="CI364" s="35"/>
      <c r="CJ364" s="35"/>
      <c r="CK364" s="35"/>
      <c r="CL364" s="35"/>
      <c r="CM364" s="35"/>
      <c r="CN364" s="35"/>
      <c r="CO364" s="35"/>
      <c r="CP364" s="35"/>
      <c r="CQ364" s="35"/>
      <c r="CR364" s="35"/>
      <c r="CS364" s="35"/>
      <c r="CT364" s="35"/>
      <c r="CU364" s="35"/>
      <c r="CV364" s="35"/>
      <c r="CW364" s="35"/>
      <c r="CX364" s="35"/>
      <c r="CY364" s="35"/>
      <c r="CZ364" s="35"/>
      <c r="DA364" s="35"/>
      <c r="DB364" s="35"/>
      <c r="DC364" s="35"/>
      <c r="DD364" s="35"/>
      <c r="DE364" s="35"/>
      <c r="DF364" s="35"/>
      <c r="DG364" s="35"/>
      <c r="DH364" s="35"/>
      <c r="DI364" s="35"/>
      <c r="DJ364" s="35"/>
    </row>
    <row r="365" spans="1:114" x14ac:dyDescent="0.25">
      <c r="A365" s="34"/>
      <c r="B365" s="34"/>
      <c r="C365" s="34"/>
      <c r="D365" s="34"/>
      <c r="E365" s="34"/>
      <c r="F365" s="34"/>
      <c r="G365" s="34"/>
      <c r="H365" s="34"/>
      <c r="I365" s="34"/>
      <c r="J365" s="34"/>
      <c r="K365" s="34"/>
      <c r="L365" s="34"/>
      <c r="M365" s="34"/>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c r="BG365" s="35"/>
      <c r="BH365" s="35"/>
      <c r="BI365" s="35"/>
      <c r="BJ365" s="35"/>
      <c r="BK365" s="35"/>
      <c r="BL365" s="35"/>
      <c r="BM365" s="35"/>
      <c r="BN365" s="35"/>
      <c r="BO365" s="35"/>
      <c r="BP365" s="35"/>
      <c r="BQ365" s="35"/>
      <c r="BR365" s="35"/>
      <c r="BS365" s="35"/>
      <c r="BT365" s="35"/>
      <c r="BU365" s="35"/>
      <c r="BV365" s="35"/>
      <c r="BW365" s="35"/>
      <c r="BX365" s="35"/>
      <c r="BY365" s="35"/>
      <c r="BZ365" s="35"/>
      <c r="CA365" s="35"/>
      <c r="CB365" s="35"/>
      <c r="CC365" s="35"/>
      <c r="CD365" s="35"/>
      <c r="CE365" s="35"/>
      <c r="CF365" s="35"/>
      <c r="CG365" s="35"/>
      <c r="CH365" s="35"/>
      <c r="CI365" s="35"/>
      <c r="CJ365" s="35"/>
      <c r="CK365" s="35"/>
      <c r="CL365" s="35"/>
      <c r="CM365" s="35"/>
      <c r="CN365" s="35"/>
      <c r="CO365" s="35"/>
      <c r="CP365" s="35"/>
      <c r="CQ365" s="35"/>
      <c r="CR365" s="35"/>
      <c r="CS365" s="35"/>
      <c r="CT365" s="35"/>
      <c r="CU365" s="35"/>
      <c r="CV365" s="35"/>
      <c r="CW365" s="35"/>
      <c r="CX365" s="35"/>
      <c r="CY365" s="35"/>
      <c r="CZ365" s="35"/>
      <c r="DA365" s="35"/>
      <c r="DB365" s="35"/>
      <c r="DC365" s="35"/>
      <c r="DD365" s="35"/>
      <c r="DE365" s="35"/>
      <c r="DF365" s="35"/>
      <c r="DG365" s="35"/>
      <c r="DH365" s="35"/>
      <c r="DI365" s="35"/>
      <c r="DJ365" s="35"/>
    </row>
    <row r="366" spans="1:114" x14ac:dyDescent="0.25">
      <c r="A366" s="34"/>
      <c r="B366" s="34"/>
      <c r="C366" s="34"/>
      <c r="D366" s="34"/>
      <c r="E366" s="34"/>
      <c r="F366" s="34"/>
      <c r="G366" s="34"/>
      <c r="H366" s="34"/>
      <c r="I366" s="34"/>
      <c r="J366" s="34"/>
      <c r="K366" s="34"/>
      <c r="L366" s="34"/>
      <c r="M366" s="34"/>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c r="BI366" s="35"/>
      <c r="BJ366" s="35"/>
      <c r="BK366" s="35"/>
      <c r="BL366" s="35"/>
      <c r="BM366" s="35"/>
      <c r="BN366" s="35"/>
      <c r="BO366" s="35"/>
      <c r="BP366" s="35"/>
      <c r="BQ366" s="35"/>
      <c r="BR366" s="35"/>
      <c r="BS366" s="35"/>
      <c r="BT366" s="35"/>
      <c r="BU366" s="35"/>
      <c r="BV366" s="35"/>
      <c r="BW366" s="35"/>
      <c r="BX366" s="35"/>
      <c r="BY366" s="35"/>
      <c r="BZ366" s="35"/>
      <c r="CA366" s="35"/>
      <c r="CB366" s="35"/>
      <c r="CC366" s="35"/>
      <c r="CD366" s="35"/>
      <c r="CE366" s="35"/>
      <c r="CF366" s="35"/>
      <c r="CG366" s="35"/>
      <c r="CH366" s="35"/>
      <c r="CI366" s="35"/>
      <c r="CJ366" s="35"/>
      <c r="CK366" s="35"/>
      <c r="CL366" s="35"/>
      <c r="CM366" s="35"/>
      <c r="CN366" s="35"/>
      <c r="CO366" s="35"/>
      <c r="CP366" s="35"/>
      <c r="CQ366" s="35"/>
      <c r="CR366" s="35"/>
      <c r="CS366" s="35"/>
      <c r="CT366" s="35"/>
      <c r="CU366" s="35"/>
      <c r="CV366" s="35"/>
      <c r="CW366" s="35"/>
      <c r="CX366" s="35"/>
      <c r="CY366" s="35"/>
      <c r="CZ366" s="35"/>
      <c r="DA366" s="35"/>
      <c r="DB366" s="35"/>
      <c r="DC366" s="35"/>
      <c r="DD366" s="35"/>
      <c r="DE366" s="35"/>
      <c r="DF366" s="35"/>
      <c r="DG366" s="35"/>
      <c r="DH366" s="35"/>
      <c r="DI366" s="35"/>
      <c r="DJ366" s="35"/>
    </row>
    <row r="367" spans="1:114" x14ac:dyDescent="0.25">
      <c r="A367" s="34"/>
      <c r="B367" s="34"/>
      <c r="C367" s="34"/>
      <c r="D367" s="34"/>
      <c r="E367" s="34"/>
      <c r="F367" s="34"/>
      <c r="G367" s="34"/>
      <c r="H367" s="34"/>
      <c r="I367" s="34"/>
      <c r="J367" s="34"/>
      <c r="K367" s="34"/>
      <c r="L367" s="34"/>
      <c r="M367" s="34"/>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c r="BG367" s="35"/>
      <c r="BH367" s="35"/>
      <c r="BI367" s="35"/>
      <c r="BJ367" s="35"/>
      <c r="BK367" s="35"/>
      <c r="BL367" s="35"/>
      <c r="BM367" s="35"/>
      <c r="BN367" s="35"/>
      <c r="BO367" s="35"/>
      <c r="BP367" s="35"/>
      <c r="BQ367" s="35"/>
      <c r="BR367" s="35"/>
      <c r="BS367" s="35"/>
      <c r="BT367" s="35"/>
      <c r="BU367" s="35"/>
      <c r="BV367" s="35"/>
      <c r="BW367" s="35"/>
      <c r="BX367" s="35"/>
      <c r="BY367" s="35"/>
      <c r="BZ367" s="35"/>
      <c r="CA367" s="35"/>
      <c r="CB367" s="35"/>
      <c r="CC367" s="35"/>
      <c r="CD367" s="35"/>
      <c r="CE367" s="35"/>
      <c r="CF367" s="35"/>
      <c r="CG367" s="35"/>
      <c r="CH367" s="35"/>
      <c r="CI367" s="35"/>
      <c r="CJ367" s="35"/>
      <c r="CK367" s="35"/>
      <c r="CL367" s="35"/>
      <c r="CM367" s="35"/>
      <c r="CN367" s="35"/>
      <c r="CO367" s="35"/>
      <c r="CP367" s="35"/>
      <c r="CQ367" s="35"/>
      <c r="CR367" s="35"/>
      <c r="CS367" s="35"/>
      <c r="CT367" s="35"/>
      <c r="CU367" s="35"/>
      <c r="CV367" s="35"/>
      <c r="CW367" s="35"/>
      <c r="CX367" s="35"/>
      <c r="CY367" s="35"/>
      <c r="CZ367" s="35"/>
      <c r="DA367" s="35"/>
      <c r="DB367" s="35"/>
      <c r="DC367" s="35"/>
      <c r="DD367" s="35"/>
      <c r="DE367" s="35"/>
      <c r="DF367" s="35"/>
      <c r="DG367" s="35"/>
      <c r="DH367" s="35"/>
      <c r="DI367" s="35"/>
      <c r="DJ367" s="35"/>
    </row>
    <row r="368" spans="1:114" x14ac:dyDescent="0.25">
      <c r="A368" s="34"/>
      <c r="B368" s="34"/>
      <c r="C368" s="34"/>
      <c r="D368" s="34"/>
      <c r="E368" s="34"/>
      <c r="F368" s="34"/>
      <c r="G368" s="34"/>
      <c r="H368" s="34"/>
      <c r="I368" s="34"/>
      <c r="J368" s="34"/>
      <c r="K368" s="34"/>
      <c r="L368" s="34"/>
      <c r="M368" s="34"/>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c r="DH368" s="35"/>
      <c r="DI368" s="35"/>
      <c r="DJ368" s="35"/>
    </row>
    <row r="369" spans="1:114" x14ac:dyDescent="0.25">
      <c r="A369" s="34"/>
      <c r="B369" s="34"/>
      <c r="C369" s="34"/>
      <c r="D369" s="34"/>
      <c r="E369" s="34"/>
      <c r="F369" s="34"/>
      <c r="G369" s="34"/>
      <c r="H369" s="34"/>
      <c r="I369" s="34"/>
      <c r="J369" s="34"/>
      <c r="K369" s="34"/>
      <c r="L369" s="34"/>
      <c r="M369" s="34"/>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c r="BG369" s="35"/>
      <c r="BH369" s="35"/>
      <c r="BI369" s="35"/>
      <c r="BJ369" s="35"/>
      <c r="BK369" s="35"/>
      <c r="BL369" s="35"/>
      <c r="BM369" s="35"/>
      <c r="BN369" s="35"/>
      <c r="BO369" s="35"/>
      <c r="BP369" s="35"/>
      <c r="BQ369" s="35"/>
      <c r="BR369" s="35"/>
      <c r="BS369" s="35"/>
      <c r="BT369" s="35"/>
      <c r="BU369" s="35"/>
      <c r="BV369" s="35"/>
      <c r="BW369" s="35"/>
      <c r="BX369" s="35"/>
      <c r="BY369" s="35"/>
      <c r="BZ369" s="35"/>
      <c r="CA369" s="35"/>
      <c r="CB369" s="35"/>
      <c r="CC369" s="35"/>
      <c r="CD369" s="35"/>
      <c r="CE369" s="35"/>
      <c r="CF369" s="35"/>
      <c r="CG369" s="35"/>
      <c r="CH369" s="35"/>
      <c r="CI369" s="35"/>
      <c r="CJ369" s="35"/>
      <c r="CK369" s="35"/>
      <c r="CL369" s="35"/>
      <c r="CM369" s="35"/>
      <c r="CN369" s="35"/>
      <c r="CO369" s="35"/>
      <c r="CP369" s="35"/>
      <c r="CQ369" s="35"/>
      <c r="CR369" s="35"/>
      <c r="CS369" s="35"/>
      <c r="CT369" s="35"/>
      <c r="CU369" s="35"/>
      <c r="CV369" s="35"/>
      <c r="CW369" s="35"/>
      <c r="CX369" s="35"/>
      <c r="CY369" s="35"/>
      <c r="CZ369" s="35"/>
      <c r="DA369" s="35"/>
      <c r="DB369" s="35"/>
      <c r="DC369" s="35"/>
      <c r="DD369" s="35"/>
      <c r="DE369" s="35"/>
      <c r="DF369" s="35"/>
      <c r="DG369" s="35"/>
      <c r="DH369" s="35"/>
      <c r="DI369" s="35"/>
      <c r="DJ369" s="35"/>
    </row>
    <row r="370" spans="1:114" x14ac:dyDescent="0.25">
      <c r="A370" s="34"/>
      <c r="B370" s="34"/>
      <c r="C370" s="34"/>
      <c r="D370" s="34"/>
      <c r="E370" s="34"/>
      <c r="F370" s="34"/>
      <c r="G370" s="34"/>
      <c r="H370" s="34"/>
      <c r="I370" s="34"/>
      <c r="J370" s="34"/>
      <c r="K370" s="34"/>
      <c r="L370" s="34"/>
      <c r="M370" s="34"/>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c r="BN370" s="35"/>
      <c r="BO370" s="35"/>
      <c r="BP370" s="35"/>
      <c r="BQ370" s="35"/>
      <c r="BR370" s="35"/>
      <c r="BS370" s="35"/>
      <c r="BT370" s="35"/>
      <c r="BU370" s="35"/>
      <c r="BV370" s="35"/>
      <c r="BW370" s="35"/>
      <c r="BX370" s="35"/>
      <c r="BY370" s="35"/>
      <c r="BZ370" s="35"/>
      <c r="CA370" s="35"/>
      <c r="CB370" s="35"/>
      <c r="CC370" s="35"/>
      <c r="CD370" s="35"/>
      <c r="CE370" s="35"/>
      <c r="CF370" s="35"/>
      <c r="CG370" s="35"/>
      <c r="CH370" s="35"/>
      <c r="CI370" s="35"/>
      <c r="CJ370" s="35"/>
      <c r="CK370" s="35"/>
      <c r="CL370" s="35"/>
      <c r="CM370" s="35"/>
      <c r="CN370" s="35"/>
      <c r="CO370" s="35"/>
      <c r="CP370" s="35"/>
      <c r="CQ370" s="35"/>
      <c r="CR370" s="35"/>
      <c r="CS370" s="35"/>
      <c r="CT370" s="35"/>
      <c r="CU370" s="35"/>
      <c r="CV370" s="35"/>
      <c r="CW370" s="35"/>
      <c r="CX370" s="35"/>
      <c r="CY370" s="35"/>
      <c r="CZ370" s="35"/>
      <c r="DA370" s="35"/>
      <c r="DB370" s="35"/>
      <c r="DC370" s="35"/>
      <c r="DD370" s="35"/>
      <c r="DE370" s="35"/>
      <c r="DF370" s="35"/>
      <c r="DG370" s="35"/>
      <c r="DH370" s="35"/>
      <c r="DI370" s="35"/>
      <c r="DJ370" s="35"/>
    </row>
    <row r="371" spans="1:114" x14ac:dyDescent="0.25">
      <c r="A371" s="34"/>
      <c r="B371" s="34"/>
      <c r="C371" s="34"/>
      <c r="D371" s="34"/>
      <c r="E371" s="34"/>
      <c r="F371" s="34"/>
      <c r="G371" s="34"/>
      <c r="H371" s="34"/>
      <c r="I371" s="34"/>
      <c r="J371" s="34"/>
      <c r="K371" s="34"/>
      <c r="L371" s="34"/>
      <c r="M371" s="34"/>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c r="BK371" s="35"/>
      <c r="BL371" s="35"/>
      <c r="BM371" s="35"/>
      <c r="BN371" s="35"/>
      <c r="BO371" s="35"/>
      <c r="BP371" s="35"/>
      <c r="BQ371" s="35"/>
      <c r="BR371" s="35"/>
      <c r="BS371" s="35"/>
      <c r="BT371" s="35"/>
      <c r="BU371" s="35"/>
      <c r="BV371" s="35"/>
      <c r="BW371" s="35"/>
      <c r="BX371" s="35"/>
      <c r="BY371" s="35"/>
      <c r="BZ371" s="35"/>
      <c r="CA371" s="35"/>
      <c r="CB371" s="35"/>
      <c r="CC371" s="35"/>
      <c r="CD371" s="35"/>
      <c r="CE371" s="35"/>
      <c r="CF371" s="35"/>
      <c r="CG371" s="35"/>
      <c r="CH371" s="35"/>
      <c r="CI371" s="35"/>
      <c r="CJ371" s="35"/>
      <c r="CK371" s="35"/>
      <c r="CL371" s="35"/>
      <c r="CM371" s="35"/>
      <c r="CN371" s="35"/>
      <c r="CO371" s="35"/>
      <c r="CP371" s="35"/>
      <c r="CQ371" s="35"/>
      <c r="CR371" s="35"/>
      <c r="CS371" s="35"/>
      <c r="CT371" s="35"/>
      <c r="CU371" s="35"/>
      <c r="CV371" s="35"/>
      <c r="CW371" s="35"/>
      <c r="CX371" s="35"/>
      <c r="CY371" s="35"/>
      <c r="CZ371" s="35"/>
      <c r="DA371" s="35"/>
      <c r="DB371" s="35"/>
      <c r="DC371" s="35"/>
      <c r="DD371" s="35"/>
      <c r="DE371" s="35"/>
      <c r="DF371" s="35"/>
      <c r="DG371" s="35"/>
      <c r="DH371" s="35"/>
      <c r="DI371" s="35"/>
      <c r="DJ371" s="35"/>
    </row>
    <row r="372" spans="1:114" x14ac:dyDescent="0.25">
      <c r="A372" s="34"/>
      <c r="B372" s="34"/>
      <c r="C372" s="34"/>
      <c r="D372" s="34"/>
      <c r="E372" s="34"/>
      <c r="F372" s="34"/>
      <c r="G372" s="34"/>
      <c r="H372" s="34"/>
      <c r="I372" s="34"/>
      <c r="J372" s="34"/>
      <c r="K372" s="34"/>
      <c r="L372" s="34"/>
      <c r="M372" s="34"/>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c r="BN372" s="35"/>
      <c r="BO372" s="35"/>
      <c r="BP372" s="35"/>
      <c r="BQ372" s="35"/>
      <c r="BR372" s="35"/>
      <c r="BS372" s="35"/>
      <c r="BT372" s="35"/>
      <c r="BU372" s="35"/>
      <c r="BV372" s="35"/>
      <c r="BW372" s="35"/>
      <c r="BX372" s="35"/>
      <c r="BY372" s="35"/>
      <c r="BZ372" s="35"/>
      <c r="CA372" s="35"/>
      <c r="CB372" s="35"/>
      <c r="CC372" s="35"/>
      <c r="CD372" s="35"/>
      <c r="CE372" s="35"/>
      <c r="CF372" s="35"/>
      <c r="CG372" s="35"/>
      <c r="CH372" s="35"/>
      <c r="CI372" s="35"/>
      <c r="CJ372" s="35"/>
      <c r="CK372" s="35"/>
      <c r="CL372" s="35"/>
      <c r="CM372" s="35"/>
      <c r="CN372" s="35"/>
      <c r="CO372" s="35"/>
      <c r="CP372" s="35"/>
      <c r="CQ372" s="35"/>
      <c r="CR372" s="35"/>
      <c r="CS372" s="35"/>
      <c r="CT372" s="35"/>
      <c r="CU372" s="35"/>
      <c r="CV372" s="35"/>
      <c r="CW372" s="35"/>
      <c r="CX372" s="35"/>
      <c r="CY372" s="35"/>
      <c r="CZ372" s="35"/>
      <c r="DA372" s="35"/>
      <c r="DB372" s="35"/>
      <c r="DC372" s="35"/>
      <c r="DD372" s="35"/>
      <c r="DE372" s="35"/>
      <c r="DF372" s="35"/>
      <c r="DG372" s="35"/>
      <c r="DH372" s="35"/>
      <c r="DI372" s="35"/>
      <c r="DJ372" s="35"/>
    </row>
    <row r="373" spans="1:114" x14ac:dyDescent="0.25">
      <c r="A373" s="34"/>
      <c r="B373" s="34"/>
      <c r="C373" s="34"/>
      <c r="D373" s="34"/>
      <c r="E373" s="34"/>
      <c r="F373" s="34"/>
      <c r="G373" s="34"/>
      <c r="H373" s="34"/>
      <c r="I373" s="34"/>
      <c r="J373" s="34"/>
      <c r="K373" s="34"/>
      <c r="L373" s="34"/>
      <c r="M373" s="34"/>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35"/>
      <c r="BJ373" s="35"/>
      <c r="BK373" s="35"/>
      <c r="BL373" s="35"/>
      <c r="BM373" s="35"/>
      <c r="BN373" s="35"/>
      <c r="BO373" s="35"/>
      <c r="BP373" s="35"/>
      <c r="BQ373" s="35"/>
      <c r="BR373" s="35"/>
      <c r="BS373" s="35"/>
      <c r="BT373" s="35"/>
      <c r="BU373" s="35"/>
      <c r="BV373" s="35"/>
      <c r="BW373" s="35"/>
      <c r="BX373" s="35"/>
      <c r="BY373" s="35"/>
      <c r="BZ373" s="35"/>
      <c r="CA373" s="35"/>
      <c r="CB373" s="35"/>
      <c r="CC373" s="35"/>
      <c r="CD373" s="35"/>
      <c r="CE373" s="35"/>
      <c r="CF373" s="35"/>
      <c r="CG373" s="35"/>
      <c r="CH373" s="35"/>
      <c r="CI373" s="35"/>
      <c r="CJ373" s="35"/>
      <c r="CK373" s="35"/>
      <c r="CL373" s="35"/>
      <c r="CM373" s="35"/>
      <c r="CN373" s="35"/>
      <c r="CO373" s="35"/>
      <c r="CP373" s="35"/>
      <c r="CQ373" s="35"/>
      <c r="CR373" s="35"/>
      <c r="CS373" s="35"/>
      <c r="CT373" s="35"/>
      <c r="CU373" s="35"/>
      <c r="CV373" s="35"/>
      <c r="CW373" s="35"/>
      <c r="CX373" s="35"/>
      <c r="CY373" s="35"/>
      <c r="CZ373" s="35"/>
      <c r="DA373" s="35"/>
      <c r="DB373" s="35"/>
      <c r="DC373" s="35"/>
      <c r="DD373" s="35"/>
      <c r="DE373" s="35"/>
      <c r="DF373" s="35"/>
      <c r="DG373" s="35"/>
      <c r="DH373" s="35"/>
      <c r="DI373" s="35"/>
      <c r="DJ373" s="35"/>
    </row>
    <row r="374" spans="1:114" x14ac:dyDescent="0.25">
      <c r="A374" s="34"/>
      <c r="B374" s="34"/>
      <c r="C374" s="34"/>
      <c r="D374" s="34"/>
      <c r="E374" s="34"/>
      <c r="F374" s="34"/>
      <c r="G374" s="34"/>
      <c r="H374" s="34"/>
      <c r="I374" s="34"/>
      <c r="J374" s="34"/>
      <c r="K374" s="34"/>
      <c r="L374" s="34"/>
      <c r="M374" s="34"/>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c r="BG374" s="35"/>
      <c r="BH374" s="35"/>
      <c r="BI374" s="35"/>
      <c r="BJ374" s="35"/>
      <c r="BK374" s="35"/>
      <c r="BL374" s="35"/>
      <c r="BM374" s="35"/>
      <c r="BN374" s="35"/>
      <c r="BO374" s="35"/>
      <c r="BP374" s="35"/>
      <c r="BQ374" s="35"/>
      <c r="BR374" s="35"/>
      <c r="BS374" s="35"/>
      <c r="BT374" s="35"/>
      <c r="BU374" s="35"/>
      <c r="BV374" s="35"/>
      <c r="BW374" s="35"/>
      <c r="BX374" s="35"/>
      <c r="BY374" s="35"/>
      <c r="BZ374" s="35"/>
      <c r="CA374" s="35"/>
      <c r="CB374" s="35"/>
      <c r="CC374" s="35"/>
      <c r="CD374" s="35"/>
      <c r="CE374" s="35"/>
      <c r="CF374" s="35"/>
      <c r="CG374" s="35"/>
      <c r="CH374" s="35"/>
      <c r="CI374" s="35"/>
      <c r="CJ374" s="35"/>
      <c r="CK374" s="35"/>
      <c r="CL374" s="35"/>
      <c r="CM374" s="35"/>
      <c r="CN374" s="35"/>
      <c r="CO374" s="35"/>
      <c r="CP374" s="35"/>
      <c r="CQ374" s="35"/>
      <c r="CR374" s="35"/>
      <c r="CS374" s="35"/>
      <c r="CT374" s="35"/>
      <c r="CU374" s="35"/>
      <c r="CV374" s="35"/>
      <c r="CW374" s="35"/>
      <c r="CX374" s="35"/>
      <c r="CY374" s="35"/>
      <c r="CZ374" s="35"/>
      <c r="DA374" s="35"/>
      <c r="DB374" s="35"/>
      <c r="DC374" s="35"/>
      <c r="DD374" s="35"/>
      <c r="DE374" s="35"/>
      <c r="DF374" s="35"/>
      <c r="DG374" s="35"/>
      <c r="DH374" s="35"/>
      <c r="DI374" s="35"/>
      <c r="DJ374" s="35"/>
    </row>
    <row r="375" spans="1:114" x14ac:dyDescent="0.25">
      <c r="A375" s="34"/>
      <c r="B375" s="34"/>
      <c r="C375" s="34"/>
      <c r="D375" s="34"/>
      <c r="E375" s="34"/>
      <c r="F375" s="34"/>
      <c r="G375" s="34"/>
      <c r="H375" s="34"/>
      <c r="I375" s="34"/>
      <c r="J375" s="34"/>
      <c r="K375" s="34"/>
      <c r="L375" s="34"/>
      <c r="M375" s="34"/>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c r="BG375" s="35"/>
      <c r="BH375" s="35"/>
      <c r="BI375" s="35"/>
      <c r="BJ375" s="35"/>
      <c r="BK375" s="35"/>
      <c r="BL375" s="35"/>
      <c r="BM375" s="35"/>
      <c r="BN375" s="35"/>
      <c r="BO375" s="35"/>
      <c r="BP375" s="35"/>
      <c r="BQ375" s="35"/>
      <c r="BR375" s="35"/>
      <c r="BS375" s="35"/>
      <c r="BT375" s="35"/>
      <c r="BU375" s="35"/>
      <c r="BV375" s="35"/>
      <c r="BW375" s="35"/>
      <c r="BX375" s="35"/>
      <c r="BY375" s="35"/>
      <c r="BZ375" s="35"/>
      <c r="CA375" s="35"/>
      <c r="CB375" s="35"/>
      <c r="CC375" s="35"/>
      <c r="CD375" s="35"/>
      <c r="CE375" s="35"/>
      <c r="CF375" s="35"/>
      <c r="CG375" s="35"/>
      <c r="CH375" s="35"/>
      <c r="CI375" s="35"/>
      <c r="CJ375" s="35"/>
      <c r="CK375" s="35"/>
      <c r="CL375" s="35"/>
      <c r="CM375" s="35"/>
      <c r="CN375" s="35"/>
      <c r="CO375" s="35"/>
      <c r="CP375" s="35"/>
      <c r="CQ375" s="35"/>
      <c r="CR375" s="35"/>
      <c r="CS375" s="35"/>
      <c r="CT375" s="35"/>
      <c r="CU375" s="35"/>
      <c r="CV375" s="35"/>
      <c r="CW375" s="35"/>
      <c r="CX375" s="35"/>
      <c r="CY375" s="35"/>
      <c r="CZ375" s="35"/>
      <c r="DA375" s="35"/>
      <c r="DB375" s="35"/>
      <c r="DC375" s="35"/>
      <c r="DD375" s="35"/>
      <c r="DE375" s="35"/>
      <c r="DF375" s="35"/>
      <c r="DG375" s="35"/>
      <c r="DH375" s="35"/>
      <c r="DI375" s="35"/>
      <c r="DJ375" s="35"/>
    </row>
    <row r="376" spans="1:114" x14ac:dyDescent="0.25">
      <c r="A376" s="34"/>
      <c r="B376" s="34"/>
      <c r="C376" s="34"/>
      <c r="D376" s="34"/>
      <c r="E376" s="34"/>
      <c r="F376" s="34"/>
      <c r="G376" s="34"/>
      <c r="H376" s="34"/>
      <c r="I376" s="34"/>
      <c r="J376" s="34"/>
      <c r="K376" s="34"/>
      <c r="L376" s="34"/>
      <c r="M376" s="34"/>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c r="BG376" s="35"/>
      <c r="BH376" s="35"/>
      <c r="BI376" s="35"/>
      <c r="BJ376" s="35"/>
      <c r="BK376" s="35"/>
      <c r="BL376" s="35"/>
      <c r="BM376" s="35"/>
      <c r="BN376" s="35"/>
      <c r="BO376" s="35"/>
      <c r="BP376" s="35"/>
      <c r="BQ376" s="35"/>
      <c r="BR376" s="35"/>
      <c r="BS376" s="35"/>
      <c r="BT376" s="35"/>
      <c r="BU376" s="35"/>
      <c r="BV376" s="35"/>
      <c r="BW376" s="35"/>
      <c r="BX376" s="35"/>
      <c r="BY376" s="35"/>
      <c r="BZ376" s="35"/>
      <c r="CA376" s="35"/>
      <c r="CB376" s="35"/>
      <c r="CC376" s="35"/>
      <c r="CD376" s="35"/>
      <c r="CE376" s="35"/>
      <c r="CF376" s="35"/>
      <c r="CG376" s="35"/>
      <c r="CH376" s="35"/>
      <c r="CI376" s="35"/>
      <c r="CJ376" s="35"/>
      <c r="CK376" s="35"/>
      <c r="CL376" s="35"/>
      <c r="CM376" s="35"/>
      <c r="CN376" s="35"/>
      <c r="CO376" s="35"/>
      <c r="CP376" s="35"/>
      <c r="CQ376" s="35"/>
      <c r="CR376" s="35"/>
      <c r="CS376" s="35"/>
      <c r="CT376" s="35"/>
      <c r="CU376" s="35"/>
      <c r="CV376" s="35"/>
      <c r="CW376" s="35"/>
      <c r="CX376" s="35"/>
      <c r="CY376" s="35"/>
      <c r="CZ376" s="35"/>
      <c r="DA376" s="35"/>
      <c r="DB376" s="35"/>
      <c r="DC376" s="35"/>
      <c r="DD376" s="35"/>
      <c r="DE376" s="35"/>
      <c r="DF376" s="35"/>
      <c r="DG376" s="35"/>
      <c r="DH376" s="35"/>
      <c r="DI376" s="35"/>
      <c r="DJ376" s="35"/>
    </row>
    <row r="377" spans="1:114" x14ac:dyDescent="0.25">
      <c r="A377" s="34"/>
      <c r="B377" s="34"/>
      <c r="C377" s="34"/>
      <c r="D377" s="34"/>
      <c r="E377" s="34"/>
      <c r="F377" s="34"/>
      <c r="G377" s="34"/>
      <c r="H377" s="34"/>
      <c r="I377" s="34"/>
      <c r="J377" s="34"/>
      <c r="K377" s="34"/>
      <c r="L377" s="34"/>
      <c r="M377" s="34"/>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c r="BG377" s="35"/>
      <c r="BH377" s="35"/>
      <c r="BI377" s="35"/>
      <c r="BJ377" s="35"/>
      <c r="BK377" s="35"/>
      <c r="BL377" s="35"/>
      <c r="BM377" s="35"/>
      <c r="BN377" s="35"/>
      <c r="BO377" s="35"/>
      <c r="BP377" s="35"/>
      <c r="BQ377" s="35"/>
      <c r="BR377" s="35"/>
      <c r="BS377" s="35"/>
      <c r="BT377" s="35"/>
      <c r="BU377" s="35"/>
      <c r="BV377" s="35"/>
      <c r="BW377" s="35"/>
      <c r="BX377" s="35"/>
      <c r="BY377" s="35"/>
      <c r="BZ377" s="35"/>
      <c r="CA377" s="35"/>
      <c r="CB377" s="35"/>
      <c r="CC377" s="35"/>
      <c r="CD377" s="35"/>
      <c r="CE377" s="35"/>
      <c r="CF377" s="35"/>
      <c r="CG377" s="35"/>
      <c r="CH377" s="35"/>
      <c r="CI377" s="35"/>
      <c r="CJ377" s="35"/>
      <c r="CK377" s="35"/>
      <c r="CL377" s="35"/>
      <c r="CM377" s="35"/>
      <c r="CN377" s="35"/>
      <c r="CO377" s="35"/>
      <c r="CP377" s="35"/>
      <c r="CQ377" s="35"/>
      <c r="CR377" s="35"/>
      <c r="CS377" s="35"/>
      <c r="CT377" s="35"/>
      <c r="CU377" s="35"/>
      <c r="CV377" s="35"/>
      <c r="CW377" s="35"/>
      <c r="CX377" s="35"/>
      <c r="CY377" s="35"/>
      <c r="CZ377" s="35"/>
      <c r="DA377" s="35"/>
      <c r="DB377" s="35"/>
      <c r="DC377" s="35"/>
      <c r="DD377" s="35"/>
      <c r="DE377" s="35"/>
      <c r="DF377" s="35"/>
      <c r="DG377" s="35"/>
      <c r="DH377" s="35"/>
      <c r="DI377" s="35"/>
      <c r="DJ377" s="35"/>
    </row>
    <row r="378" spans="1:114" x14ac:dyDescent="0.25">
      <c r="A378" s="34"/>
      <c r="B378" s="34"/>
      <c r="C378" s="34"/>
      <c r="D378" s="34"/>
      <c r="E378" s="34"/>
      <c r="F378" s="34"/>
      <c r="G378" s="34"/>
      <c r="H378" s="34"/>
      <c r="I378" s="34"/>
      <c r="J378" s="34"/>
      <c r="K378" s="34"/>
      <c r="L378" s="34"/>
      <c r="M378" s="34"/>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c r="BG378" s="35"/>
      <c r="BH378" s="35"/>
      <c r="BI378" s="35"/>
      <c r="BJ378" s="35"/>
      <c r="BK378" s="35"/>
      <c r="BL378" s="35"/>
      <c r="BM378" s="35"/>
      <c r="BN378" s="35"/>
      <c r="BO378" s="35"/>
      <c r="BP378" s="35"/>
      <c r="BQ378" s="35"/>
      <c r="BR378" s="35"/>
      <c r="BS378" s="35"/>
      <c r="BT378" s="35"/>
      <c r="BU378" s="35"/>
      <c r="BV378" s="35"/>
      <c r="BW378" s="35"/>
      <c r="BX378" s="35"/>
      <c r="BY378" s="35"/>
      <c r="BZ378" s="35"/>
      <c r="CA378" s="35"/>
      <c r="CB378" s="35"/>
      <c r="CC378" s="35"/>
      <c r="CD378" s="35"/>
      <c r="CE378" s="35"/>
      <c r="CF378" s="35"/>
      <c r="CG378" s="35"/>
      <c r="CH378" s="35"/>
      <c r="CI378" s="35"/>
      <c r="CJ378" s="35"/>
      <c r="CK378" s="35"/>
      <c r="CL378" s="35"/>
      <c r="CM378" s="35"/>
      <c r="CN378" s="35"/>
      <c r="CO378" s="35"/>
      <c r="CP378" s="35"/>
      <c r="CQ378" s="35"/>
      <c r="CR378" s="35"/>
      <c r="CS378" s="35"/>
      <c r="CT378" s="35"/>
      <c r="CU378" s="35"/>
      <c r="CV378" s="35"/>
      <c r="CW378" s="35"/>
      <c r="CX378" s="35"/>
      <c r="CY378" s="35"/>
      <c r="CZ378" s="35"/>
      <c r="DA378" s="35"/>
      <c r="DB378" s="35"/>
      <c r="DC378" s="35"/>
      <c r="DD378" s="35"/>
      <c r="DE378" s="35"/>
      <c r="DF378" s="35"/>
      <c r="DG378" s="35"/>
      <c r="DH378" s="35"/>
      <c r="DI378" s="35"/>
      <c r="DJ378" s="35"/>
    </row>
    <row r="379" spans="1:114" x14ac:dyDescent="0.25">
      <c r="A379" s="34"/>
      <c r="B379" s="34"/>
      <c r="C379" s="34"/>
      <c r="D379" s="34"/>
      <c r="E379" s="34"/>
      <c r="F379" s="34"/>
      <c r="G379" s="34"/>
      <c r="H379" s="34"/>
      <c r="I379" s="34"/>
      <c r="J379" s="34"/>
      <c r="K379" s="34"/>
      <c r="L379" s="34"/>
      <c r="M379" s="34"/>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V379" s="35"/>
      <c r="BW379" s="35"/>
      <c r="BX379" s="35"/>
      <c r="BY379" s="35"/>
      <c r="BZ379" s="35"/>
      <c r="CA379" s="35"/>
      <c r="CB379" s="35"/>
      <c r="CC379" s="35"/>
      <c r="CD379" s="35"/>
      <c r="CE379" s="35"/>
      <c r="CF379" s="35"/>
      <c r="CG379" s="35"/>
      <c r="CH379" s="35"/>
      <c r="CI379" s="35"/>
      <c r="CJ379" s="35"/>
      <c r="CK379" s="35"/>
      <c r="CL379" s="35"/>
      <c r="CM379" s="35"/>
      <c r="CN379" s="35"/>
      <c r="CO379" s="35"/>
      <c r="CP379" s="35"/>
      <c r="CQ379" s="35"/>
      <c r="CR379" s="35"/>
      <c r="CS379" s="35"/>
      <c r="CT379" s="35"/>
      <c r="CU379" s="35"/>
      <c r="CV379" s="35"/>
      <c r="CW379" s="35"/>
      <c r="CX379" s="35"/>
      <c r="CY379" s="35"/>
      <c r="CZ379" s="35"/>
      <c r="DA379" s="35"/>
      <c r="DB379" s="35"/>
      <c r="DC379" s="35"/>
      <c r="DD379" s="35"/>
      <c r="DE379" s="35"/>
      <c r="DF379" s="35"/>
      <c r="DG379" s="35"/>
      <c r="DH379" s="35"/>
      <c r="DI379" s="35"/>
      <c r="DJ379" s="35"/>
    </row>
    <row r="380" spans="1:114" x14ac:dyDescent="0.25">
      <c r="A380" s="34"/>
      <c r="B380" s="34"/>
      <c r="C380" s="34"/>
      <c r="D380" s="34"/>
      <c r="E380" s="34"/>
      <c r="F380" s="34"/>
      <c r="G380" s="34"/>
      <c r="H380" s="34"/>
      <c r="I380" s="34"/>
      <c r="J380" s="34"/>
      <c r="K380" s="34"/>
      <c r="L380" s="34"/>
      <c r="M380" s="34"/>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c r="BG380" s="35"/>
      <c r="BH380" s="35"/>
      <c r="BI380" s="35"/>
      <c r="BJ380" s="35"/>
      <c r="BK380" s="35"/>
      <c r="BL380" s="35"/>
      <c r="BM380" s="35"/>
      <c r="BN380" s="35"/>
      <c r="BO380" s="35"/>
      <c r="BP380" s="35"/>
      <c r="BQ380" s="35"/>
      <c r="BR380" s="35"/>
      <c r="BS380" s="35"/>
      <c r="BT380" s="35"/>
      <c r="BU380" s="35"/>
      <c r="BV380" s="35"/>
      <c r="BW380" s="35"/>
      <c r="BX380" s="35"/>
      <c r="BY380" s="35"/>
      <c r="BZ380" s="35"/>
      <c r="CA380" s="35"/>
      <c r="CB380" s="35"/>
      <c r="CC380" s="35"/>
      <c r="CD380" s="35"/>
      <c r="CE380" s="35"/>
      <c r="CF380" s="35"/>
      <c r="CG380" s="35"/>
      <c r="CH380" s="35"/>
      <c r="CI380" s="35"/>
      <c r="CJ380" s="35"/>
      <c r="CK380" s="35"/>
      <c r="CL380" s="35"/>
      <c r="CM380" s="35"/>
      <c r="CN380" s="35"/>
      <c r="CO380" s="35"/>
      <c r="CP380" s="35"/>
      <c r="CQ380" s="35"/>
      <c r="CR380" s="35"/>
      <c r="CS380" s="35"/>
      <c r="CT380" s="35"/>
      <c r="CU380" s="35"/>
      <c r="CV380" s="35"/>
      <c r="CW380" s="35"/>
      <c r="CX380" s="35"/>
      <c r="CY380" s="35"/>
      <c r="CZ380" s="35"/>
      <c r="DA380" s="35"/>
      <c r="DB380" s="35"/>
      <c r="DC380" s="35"/>
      <c r="DD380" s="35"/>
      <c r="DE380" s="35"/>
      <c r="DF380" s="35"/>
      <c r="DG380" s="35"/>
      <c r="DH380" s="35"/>
      <c r="DI380" s="35"/>
      <c r="DJ380" s="35"/>
    </row>
    <row r="381" spans="1:114" x14ac:dyDescent="0.25">
      <c r="A381" s="34"/>
      <c r="B381" s="34"/>
      <c r="C381" s="34"/>
      <c r="D381" s="34"/>
      <c r="E381" s="34"/>
      <c r="F381" s="34"/>
      <c r="G381" s="34"/>
      <c r="H381" s="34"/>
      <c r="I381" s="34"/>
      <c r="J381" s="34"/>
      <c r="K381" s="34"/>
      <c r="L381" s="34"/>
      <c r="M381" s="34"/>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35"/>
      <c r="BO381" s="35"/>
      <c r="BP381" s="35"/>
      <c r="BQ381" s="35"/>
      <c r="BR381" s="35"/>
      <c r="BS381" s="35"/>
      <c r="BT381" s="35"/>
      <c r="BU381" s="35"/>
      <c r="BV381" s="35"/>
      <c r="BW381" s="35"/>
      <c r="BX381" s="35"/>
      <c r="BY381" s="35"/>
      <c r="BZ381" s="35"/>
      <c r="CA381" s="35"/>
      <c r="CB381" s="35"/>
      <c r="CC381" s="35"/>
      <c r="CD381" s="35"/>
      <c r="CE381" s="35"/>
      <c r="CF381" s="35"/>
      <c r="CG381" s="35"/>
      <c r="CH381" s="35"/>
      <c r="CI381" s="35"/>
      <c r="CJ381" s="35"/>
      <c r="CK381" s="35"/>
      <c r="CL381" s="35"/>
      <c r="CM381" s="35"/>
      <c r="CN381" s="35"/>
      <c r="CO381" s="35"/>
      <c r="CP381" s="35"/>
      <c r="CQ381" s="35"/>
      <c r="CR381" s="35"/>
      <c r="CS381" s="35"/>
      <c r="CT381" s="35"/>
      <c r="CU381" s="35"/>
      <c r="CV381" s="35"/>
      <c r="CW381" s="35"/>
      <c r="CX381" s="35"/>
      <c r="CY381" s="35"/>
      <c r="CZ381" s="35"/>
      <c r="DA381" s="35"/>
      <c r="DB381" s="35"/>
      <c r="DC381" s="35"/>
      <c r="DD381" s="35"/>
      <c r="DE381" s="35"/>
      <c r="DF381" s="35"/>
      <c r="DG381" s="35"/>
      <c r="DH381" s="35"/>
      <c r="DI381" s="35"/>
      <c r="DJ381" s="35"/>
    </row>
    <row r="382" spans="1:114" x14ac:dyDescent="0.25">
      <c r="A382" s="34"/>
      <c r="B382" s="34"/>
      <c r="C382" s="34"/>
      <c r="D382" s="34"/>
      <c r="E382" s="34"/>
      <c r="F382" s="34"/>
      <c r="G382" s="34"/>
      <c r="H382" s="34"/>
      <c r="I382" s="34"/>
      <c r="J382" s="34"/>
      <c r="K382" s="34"/>
      <c r="L382" s="34"/>
      <c r="M382" s="34"/>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c r="BG382" s="35"/>
      <c r="BH382" s="35"/>
      <c r="BI382" s="35"/>
      <c r="BJ382" s="35"/>
      <c r="BK382" s="35"/>
      <c r="BL382" s="35"/>
      <c r="BM382" s="35"/>
      <c r="BN382" s="35"/>
      <c r="BO382" s="35"/>
      <c r="BP382" s="35"/>
      <c r="BQ382" s="35"/>
      <c r="BR382" s="35"/>
      <c r="BS382" s="35"/>
      <c r="BT382" s="35"/>
      <c r="BU382" s="35"/>
      <c r="BV382" s="35"/>
      <c r="BW382" s="35"/>
      <c r="BX382" s="35"/>
      <c r="BY382" s="35"/>
      <c r="BZ382" s="35"/>
      <c r="CA382" s="35"/>
      <c r="CB382" s="35"/>
      <c r="CC382" s="35"/>
      <c r="CD382" s="35"/>
      <c r="CE382" s="35"/>
      <c r="CF382" s="35"/>
      <c r="CG382" s="35"/>
      <c r="CH382" s="35"/>
      <c r="CI382" s="35"/>
      <c r="CJ382" s="35"/>
      <c r="CK382" s="35"/>
      <c r="CL382" s="35"/>
      <c r="CM382" s="35"/>
      <c r="CN382" s="35"/>
      <c r="CO382" s="35"/>
      <c r="CP382" s="35"/>
      <c r="CQ382" s="35"/>
      <c r="CR382" s="35"/>
      <c r="CS382" s="35"/>
      <c r="CT382" s="35"/>
      <c r="CU382" s="35"/>
      <c r="CV382" s="35"/>
      <c r="CW382" s="35"/>
      <c r="CX382" s="35"/>
      <c r="CY382" s="35"/>
      <c r="CZ382" s="35"/>
      <c r="DA382" s="35"/>
      <c r="DB382" s="35"/>
      <c r="DC382" s="35"/>
      <c r="DD382" s="35"/>
      <c r="DE382" s="35"/>
      <c r="DF382" s="35"/>
      <c r="DG382" s="35"/>
      <c r="DH382" s="35"/>
      <c r="DI382" s="35"/>
      <c r="DJ382" s="35"/>
    </row>
    <row r="383" spans="1:114" x14ac:dyDescent="0.25">
      <c r="A383" s="34"/>
      <c r="B383" s="34"/>
      <c r="C383" s="34"/>
      <c r="D383" s="34"/>
      <c r="E383" s="34"/>
      <c r="F383" s="34"/>
      <c r="G383" s="34"/>
      <c r="H383" s="34"/>
      <c r="I383" s="34"/>
      <c r="J383" s="34"/>
      <c r="K383" s="34"/>
      <c r="L383" s="34"/>
      <c r="M383" s="34"/>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V383" s="35"/>
      <c r="BW383" s="35"/>
      <c r="BX383" s="35"/>
      <c r="BY383" s="35"/>
      <c r="BZ383" s="35"/>
      <c r="CA383" s="35"/>
      <c r="CB383" s="35"/>
      <c r="CC383" s="35"/>
      <c r="CD383" s="35"/>
      <c r="CE383" s="35"/>
      <c r="CF383" s="35"/>
      <c r="CG383" s="35"/>
      <c r="CH383" s="35"/>
      <c r="CI383" s="35"/>
      <c r="CJ383" s="35"/>
      <c r="CK383" s="35"/>
      <c r="CL383" s="35"/>
      <c r="CM383" s="35"/>
      <c r="CN383" s="35"/>
      <c r="CO383" s="35"/>
      <c r="CP383" s="35"/>
      <c r="CQ383" s="35"/>
      <c r="CR383" s="35"/>
      <c r="CS383" s="35"/>
      <c r="CT383" s="35"/>
      <c r="CU383" s="35"/>
      <c r="CV383" s="35"/>
      <c r="CW383" s="35"/>
      <c r="CX383" s="35"/>
      <c r="CY383" s="35"/>
      <c r="CZ383" s="35"/>
      <c r="DA383" s="35"/>
      <c r="DB383" s="35"/>
      <c r="DC383" s="35"/>
      <c r="DD383" s="35"/>
      <c r="DE383" s="35"/>
      <c r="DF383" s="35"/>
      <c r="DG383" s="35"/>
      <c r="DH383" s="35"/>
      <c r="DI383" s="35"/>
      <c r="DJ383" s="35"/>
    </row>
    <row r="384" spans="1:114" x14ac:dyDescent="0.25">
      <c r="A384" s="34"/>
      <c r="B384" s="34"/>
      <c r="C384" s="34"/>
      <c r="D384" s="34"/>
      <c r="E384" s="34"/>
      <c r="F384" s="34"/>
      <c r="G384" s="34"/>
      <c r="H384" s="34"/>
      <c r="I384" s="34"/>
      <c r="J384" s="34"/>
      <c r="K384" s="34"/>
      <c r="L384" s="34"/>
      <c r="M384" s="34"/>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c r="BG384" s="35"/>
      <c r="BH384" s="35"/>
      <c r="BI384" s="35"/>
      <c r="BJ384" s="35"/>
      <c r="BK384" s="35"/>
      <c r="BL384" s="35"/>
      <c r="BM384" s="35"/>
      <c r="BN384" s="35"/>
      <c r="BO384" s="35"/>
      <c r="BP384" s="35"/>
      <c r="BQ384" s="35"/>
      <c r="BR384" s="35"/>
      <c r="BS384" s="35"/>
      <c r="BT384" s="35"/>
      <c r="BU384" s="35"/>
      <c r="BV384" s="35"/>
      <c r="BW384" s="35"/>
      <c r="BX384" s="35"/>
      <c r="BY384" s="35"/>
      <c r="BZ384" s="35"/>
      <c r="CA384" s="35"/>
      <c r="CB384" s="35"/>
      <c r="CC384" s="35"/>
      <c r="CD384" s="35"/>
      <c r="CE384" s="35"/>
      <c r="CF384" s="35"/>
      <c r="CG384" s="35"/>
      <c r="CH384" s="35"/>
      <c r="CI384" s="35"/>
      <c r="CJ384" s="35"/>
      <c r="CK384" s="35"/>
      <c r="CL384" s="35"/>
      <c r="CM384" s="35"/>
      <c r="CN384" s="35"/>
      <c r="CO384" s="35"/>
      <c r="CP384" s="35"/>
      <c r="CQ384" s="35"/>
      <c r="CR384" s="35"/>
      <c r="CS384" s="35"/>
      <c r="CT384" s="35"/>
      <c r="CU384" s="35"/>
      <c r="CV384" s="35"/>
      <c r="CW384" s="35"/>
      <c r="CX384" s="35"/>
      <c r="CY384" s="35"/>
      <c r="CZ384" s="35"/>
      <c r="DA384" s="35"/>
      <c r="DB384" s="35"/>
      <c r="DC384" s="35"/>
      <c r="DD384" s="35"/>
      <c r="DE384" s="35"/>
      <c r="DF384" s="35"/>
      <c r="DG384" s="35"/>
      <c r="DH384" s="35"/>
      <c r="DI384" s="35"/>
      <c r="DJ384" s="35"/>
    </row>
    <row r="385" spans="1:114" x14ac:dyDescent="0.25">
      <c r="A385" s="34"/>
      <c r="B385" s="34"/>
      <c r="C385" s="34"/>
      <c r="D385" s="34"/>
      <c r="E385" s="34"/>
      <c r="F385" s="34"/>
      <c r="G385" s="34"/>
      <c r="H385" s="34"/>
      <c r="I385" s="34"/>
      <c r="J385" s="34"/>
      <c r="K385" s="34"/>
      <c r="L385" s="34"/>
      <c r="M385" s="34"/>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c r="BG385" s="35"/>
      <c r="BH385" s="35"/>
      <c r="BI385" s="35"/>
      <c r="BJ385" s="35"/>
      <c r="BK385" s="35"/>
      <c r="BL385" s="35"/>
      <c r="BM385" s="35"/>
      <c r="BN385" s="35"/>
      <c r="BO385" s="35"/>
      <c r="BP385" s="35"/>
      <c r="BQ385" s="35"/>
      <c r="BR385" s="35"/>
      <c r="BS385" s="35"/>
      <c r="BT385" s="35"/>
      <c r="BU385" s="35"/>
      <c r="BV385" s="35"/>
      <c r="BW385" s="35"/>
      <c r="BX385" s="35"/>
      <c r="BY385" s="35"/>
      <c r="BZ385" s="35"/>
      <c r="CA385" s="35"/>
      <c r="CB385" s="35"/>
      <c r="CC385" s="35"/>
      <c r="CD385" s="35"/>
      <c r="CE385" s="35"/>
      <c r="CF385" s="35"/>
      <c r="CG385" s="35"/>
      <c r="CH385" s="35"/>
      <c r="CI385" s="35"/>
      <c r="CJ385" s="35"/>
      <c r="CK385" s="35"/>
      <c r="CL385" s="35"/>
      <c r="CM385" s="35"/>
      <c r="CN385" s="35"/>
      <c r="CO385" s="35"/>
      <c r="CP385" s="35"/>
      <c r="CQ385" s="35"/>
      <c r="CR385" s="35"/>
      <c r="CS385" s="35"/>
      <c r="CT385" s="35"/>
      <c r="CU385" s="35"/>
      <c r="CV385" s="35"/>
      <c r="CW385" s="35"/>
      <c r="CX385" s="35"/>
      <c r="CY385" s="35"/>
      <c r="CZ385" s="35"/>
      <c r="DA385" s="35"/>
      <c r="DB385" s="35"/>
      <c r="DC385" s="35"/>
      <c r="DD385" s="35"/>
      <c r="DE385" s="35"/>
      <c r="DF385" s="35"/>
      <c r="DG385" s="35"/>
      <c r="DH385" s="35"/>
      <c r="DI385" s="35"/>
      <c r="DJ385" s="35"/>
    </row>
    <row r="386" spans="1:114" x14ac:dyDescent="0.25">
      <c r="A386" s="34"/>
      <c r="B386" s="34"/>
      <c r="C386" s="34"/>
      <c r="D386" s="34"/>
      <c r="E386" s="34"/>
      <c r="F386" s="34"/>
      <c r="G386" s="34"/>
      <c r="H386" s="34"/>
      <c r="I386" s="34"/>
      <c r="J386" s="34"/>
      <c r="K386" s="34"/>
      <c r="L386" s="34"/>
      <c r="M386" s="34"/>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c r="BG386" s="35"/>
      <c r="BH386" s="35"/>
      <c r="BI386" s="35"/>
      <c r="BJ386" s="35"/>
      <c r="BK386" s="35"/>
      <c r="BL386" s="35"/>
      <c r="BM386" s="35"/>
      <c r="BN386" s="35"/>
      <c r="BO386" s="35"/>
      <c r="BP386" s="35"/>
      <c r="BQ386" s="35"/>
      <c r="BR386" s="35"/>
      <c r="BS386" s="35"/>
      <c r="BT386" s="35"/>
      <c r="BU386" s="35"/>
      <c r="BV386" s="35"/>
      <c r="BW386" s="35"/>
      <c r="BX386" s="35"/>
      <c r="BY386" s="35"/>
      <c r="BZ386" s="35"/>
      <c r="CA386" s="35"/>
      <c r="CB386" s="35"/>
      <c r="CC386" s="35"/>
      <c r="CD386" s="35"/>
      <c r="CE386" s="35"/>
      <c r="CF386" s="35"/>
      <c r="CG386" s="35"/>
      <c r="CH386" s="35"/>
      <c r="CI386" s="35"/>
      <c r="CJ386" s="35"/>
      <c r="CK386" s="35"/>
      <c r="CL386" s="35"/>
      <c r="CM386" s="35"/>
      <c r="CN386" s="35"/>
      <c r="CO386" s="35"/>
      <c r="CP386" s="35"/>
      <c r="CQ386" s="35"/>
      <c r="CR386" s="35"/>
      <c r="CS386" s="35"/>
      <c r="CT386" s="35"/>
      <c r="CU386" s="35"/>
      <c r="CV386" s="35"/>
      <c r="CW386" s="35"/>
      <c r="CX386" s="35"/>
      <c r="CY386" s="35"/>
      <c r="CZ386" s="35"/>
      <c r="DA386" s="35"/>
      <c r="DB386" s="35"/>
      <c r="DC386" s="35"/>
      <c r="DD386" s="35"/>
      <c r="DE386" s="35"/>
      <c r="DF386" s="35"/>
      <c r="DG386" s="35"/>
      <c r="DH386" s="35"/>
      <c r="DI386" s="35"/>
      <c r="DJ386" s="35"/>
    </row>
    <row r="387" spans="1:114" x14ac:dyDescent="0.25">
      <c r="A387" s="34"/>
      <c r="B387" s="34"/>
      <c r="C387" s="34"/>
      <c r="D387" s="34"/>
      <c r="E387" s="34"/>
      <c r="F387" s="34"/>
      <c r="G387" s="34"/>
      <c r="H387" s="34"/>
      <c r="I387" s="34"/>
      <c r="J387" s="34"/>
      <c r="K387" s="34"/>
      <c r="L387" s="34"/>
      <c r="M387" s="34"/>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c r="BG387" s="35"/>
      <c r="BH387" s="35"/>
      <c r="BI387" s="35"/>
      <c r="BJ387" s="35"/>
      <c r="BK387" s="35"/>
      <c r="BL387" s="35"/>
      <c r="BM387" s="35"/>
      <c r="BN387" s="35"/>
      <c r="BO387" s="35"/>
      <c r="BP387" s="35"/>
      <c r="BQ387" s="35"/>
      <c r="BR387" s="35"/>
      <c r="BS387" s="35"/>
      <c r="BT387" s="35"/>
      <c r="BU387" s="35"/>
      <c r="BV387" s="35"/>
      <c r="BW387" s="35"/>
      <c r="BX387" s="35"/>
      <c r="BY387" s="35"/>
      <c r="BZ387" s="35"/>
      <c r="CA387" s="35"/>
      <c r="CB387" s="35"/>
      <c r="CC387" s="35"/>
      <c r="CD387" s="35"/>
      <c r="CE387" s="35"/>
      <c r="CF387" s="35"/>
      <c r="CG387" s="35"/>
      <c r="CH387" s="35"/>
      <c r="CI387" s="35"/>
      <c r="CJ387" s="35"/>
      <c r="CK387" s="35"/>
      <c r="CL387" s="35"/>
      <c r="CM387" s="35"/>
      <c r="CN387" s="35"/>
      <c r="CO387" s="35"/>
      <c r="CP387" s="35"/>
      <c r="CQ387" s="35"/>
      <c r="CR387" s="35"/>
      <c r="CS387" s="35"/>
      <c r="CT387" s="35"/>
      <c r="CU387" s="35"/>
      <c r="CV387" s="35"/>
      <c r="CW387" s="35"/>
      <c r="CX387" s="35"/>
      <c r="CY387" s="35"/>
      <c r="CZ387" s="35"/>
      <c r="DA387" s="35"/>
      <c r="DB387" s="35"/>
      <c r="DC387" s="35"/>
      <c r="DD387" s="35"/>
      <c r="DE387" s="35"/>
      <c r="DF387" s="35"/>
      <c r="DG387" s="35"/>
      <c r="DH387" s="35"/>
      <c r="DI387" s="35"/>
      <c r="DJ387" s="35"/>
    </row>
    <row r="388" spans="1:114" x14ac:dyDescent="0.25">
      <c r="A388" s="34"/>
      <c r="B388" s="34"/>
      <c r="C388" s="34"/>
      <c r="D388" s="34"/>
      <c r="E388" s="34"/>
      <c r="F388" s="34"/>
      <c r="G388" s="34"/>
      <c r="H388" s="34"/>
      <c r="I388" s="34"/>
      <c r="J388" s="34"/>
      <c r="K388" s="34"/>
      <c r="L388" s="34"/>
      <c r="M388" s="34"/>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c r="BK388" s="35"/>
      <c r="BL388" s="35"/>
      <c r="BM388" s="35"/>
      <c r="BN388" s="35"/>
      <c r="BO388" s="35"/>
      <c r="BP388" s="35"/>
      <c r="BQ388" s="35"/>
      <c r="BR388" s="35"/>
      <c r="BS388" s="35"/>
      <c r="BT388" s="35"/>
      <c r="BU388" s="35"/>
      <c r="BV388" s="35"/>
      <c r="BW388" s="35"/>
      <c r="BX388" s="35"/>
      <c r="BY388" s="35"/>
      <c r="BZ388" s="35"/>
      <c r="CA388" s="35"/>
      <c r="CB388" s="35"/>
      <c r="CC388" s="35"/>
      <c r="CD388" s="35"/>
      <c r="CE388" s="35"/>
      <c r="CF388" s="35"/>
      <c r="CG388" s="35"/>
      <c r="CH388" s="35"/>
      <c r="CI388" s="35"/>
      <c r="CJ388" s="35"/>
      <c r="CK388" s="35"/>
      <c r="CL388" s="35"/>
      <c r="CM388" s="35"/>
      <c r="CN388" s="35"/>
      <c r="CO388" s="35"/>
      <c r="CP388" s="35"/>
      <c r="CQ388" s="35"/>
      <c r="CR388" s="35"/>
      <c r="CS388" s="35"/>
      <c r="CT388" s="35"/>
      <c r="CU388" s="35"/>
      <c r="CV388" s="35"/>
      <c r="CW388" s="35"/>
      <c r="CX388" s="35"/>
      <c r="CY388" s="35"/>
      <c r="CZ388" s="35"/>
      <c r="DA388" s="35"/>
      <c r="DB388" s="35"/>
      <c r="DC388" s="35"/>
      <c r="DD388" s="35"/>
      <c r="DE388" s="35"/>
      <c r="DF388" s="35"/>
      <c r="DG388" s="35"/>
      <c r="DH388" s="35"/>
      <c r="DI388" s="35"/>
      <c r="DJ388" s="35"/>
    </row>
    <row r="389" spans="1:114" x14ac:dyDescent="0.25">
      <c r="A389" s="34"/>
      <c r="B389" s="34"/>
      <c r="C389" s="34"/>
      <c r="D389" s="34"/>
      <c r="E389" s="34"/>
      <c r="F389" s="34"/>
      <c r="G389" s="34"/>
      <c r="H389" s="34"/>
      <c r="I389" s="34"/>
      <c r="J389" s="34"/>
      <c r="K389" s="34"/>
      <c r="L389" s="34"/>
      <c r="M389" s="34"/>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35"/>
      <c r="CA389" s="35"/>
      <c r="CB389" s="35"/>
      <c r="CC389" s="35"/>
      <c r="CD389" s="35"/>
      <c r="CE389" s="35"/>
      <c r="CF389" s="35"/>
      <c r="CG389" s="35"/>
      <c r="CH389" s="35"/>
      <c r="CI389" s="35"/>
      <c r="CJ389" s="35"/>
      <c r="CK389" s="35"/>
      <c r="CL389" s="35"/>
      <c r="CM389" s="35"/>
      <c r="CN389" s="35"/>
      <c r="CO389" s="35"/>
      <c r="CP389" s="35"/>
      <c r="CQ389" s="35"/>
      <c r="CR389" s="35"/>
      <c r="CS389" s="35"/>
      <c r="CT389" s="35"/>
      <c r="CU389" s="35"/>
      <c r="CV389" s="35"/>
      <c r="CW389" s="35"/>
      <c r="CX389" s="35"/>
      <c r="CY389" s="35"/>
      <c r="CZ389" s="35"/>
      <c r="DA389" s="35"/>
      <c r="DB389" s="35"/>
      <c r="DC389" s="35"/>
      <c r="DD389" s="35"/>
      <c r="DE389" s="35"/>
      <c r="DF389" s="35"/>
      <c r="DG389" s="35"/>
      <c r="DH389" s="35"/>
      <c r="DI389" s="35"/>
      <c r="DJ389" s="35"/>
    </row>
    <row r="390" spans="1:114" x14ac:dyDescent="0.25">
      <c r="A390" s="34"/>
      <c r="B390" s="34"/>
      <c r="C390" s="34"/>
      <c r="D390" s="34"/>
      <c r="E390" s="34"/>
      <c r="F390" s="34"/>
      <c r="G390" s="34"/>
      <c r="H390" s="34"/>
      <c r="I390" s="34"/>
      <c r="J390" s="34"/>
      <c r="K390" s="34"/>
      <c r="L390" s="34"/>
      <c r="M390" s="34"/>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c r="BG390" s="35"/>
      <c r="BH390" s="35"/>
      <c r="BI390" s="35"/>
      <c r="BJ390" s="35"/>
      <c r="BK390" s="35"/>
      <c r="BL390" s="35"/>
      <c r="BM390" s="35"/>
      <c r="BN390" s="35"/>
      <c r="BO390" s="35"/>
      <c r="BP390" s="35"/>
      <c r="BQ390" s="35"/>
      <c r="BR390" s="35"/>
      <c r="BS390" s="35"/>
      <c r="BT390" s="35"/>
      <c r="BU390" s="35"/>
      <c r="BV390" s="35"/>
      <c r="BW390" s="35"/>
      <c r="BX390" s="35"/>
      <c r="BY390" s="35"/>
      <c r="BZ390" s="35"/>
      <c r="CA390" s="35"/>
      <c r="CB390" s="35"/>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c r="DH390" s="35"/>
      <c r="DI390" s="35"/>
      <c r="DJ390" s="35"/>
    </row>
    <row r="391" spans="1:114" x14ac:dyDescent="0.25">
      <c r="A391" s="34"/>
      <c r="B391" s="34"/>
      <c r="C391" s="34"/>
      <c r="D391" s="34"/>
      <c r="E391" s="34"/>
      <c r="F391" s="34"/>
      <c r="G391" s="34"/>
      <c r="H391" s="34"/>
      <c r="I391" s="34"/>
      <c r="J391" s="34"/>
      <c r="K391" s="34"/>
      <c r="L391" s="34"/>
      <c r="M391" s="34"/>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5"/>
      <c r="BK391" s="35"/>
      <c r="BL391" s="35"/>
      <c r="BM391" s="35"/>
      <c r="BN391" s="35"/>
      <c r="BO391" s="35"/>
      <c r="BP391" s="35"/>
      <c r="BQ391" s="35"/>
      <c r="BR391" s="35"/>
      <c r="BS391" s="35"/>
      <c r="BT391" s="35"/>
      <c r="BU391" s="35"/>
      <c r="BV391" s="35"/>
      <c r="BW391" s="35"/>
      <c r="BX391" s="35"/>
      <c r="BY391" s="35"/>
      <c r="BZ391" s="35"/>
      <c r="CA391" s="35"/>
      <c r="CB391" s="35"/>
      <c r="CC391" s="35"/>
      <c r="CD391" s="35"/>
      <c r="CE391" s="35"/>
      <c r="CF391" s="35"/>
      <c r="CG391" s="35"/>
      <c r="CH391" s="35"/>
      <c r="CI391" s="35"/>
      <c r="CJ391" s="35"/>
      <c r="CK391" s="35"/>
      <c r="CL391" s="35"/>
      <c r="CM391" s="35"/>
      <c r="CN391" s="35"/>
      <c r="CO391" s="35"/>
      <c r="CP391" s="35"/>
      <c r="CQ391" s="35"/>
      <c r="CR391" s="35"/>
      <c r="CS391" s="35"/>
      <c r="CT391" s="35"/>
      <c r="CU391" s="35"/>
      <c r="CV391" s="35"/>
      <c r="CW391" s="35"/>
      <c r="CX391" s="35"/>
      <c r="CY391" s="35"/>
      <c r="CZ391" s="35"/>
      <c r="DA391" s="35"/>
      <c r="DB391" s="35"/>
      <c r="DC391" s="35"/>
      <c r="DD391" s="35"/>
      <c r="DE391" s="35"/>
      <c r="DF391" s="35"/>
      <c r="DG391" s="35"/>
      <c r="DH391" s="35"/>
      <c r="DI391" s="35"/>
      <c r="DJ391" s="35"/>
    </row>
    <row r="392" spans="1:114" x14ac:dyDescent="0.25">
      <c r="A392" s="34"/>
      <c r="B392" s="34"/>
      <c r="C392" s="34"/>
      <c r="D392" s="34"/>
      <c r="E392" s="34"/>
      <c r="F392" s="34"/>
      <c r="G392" s="34"/>
      <c r="H392" s="34"/>
      <c r="I392" s="34"/>
      <c r="J392" s="34"/>
      <c r="K392" s="34"/>
      <c r="L392" s="34"/>
      <c r="M392" s="34"/>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c r="BG392" s="35"/>
      <c r="BH392" s="35"/>
      <c r="BI392" s="35"/>
      <c r="BJ392" s="35"/>
      <c r="BK392" s="35"/>
      <c r="BL392" s="35"/>
      <c r="BM392" s="35"/>
      <c r="BN392" s="35"/>
      <c r="BO392" s="35"/>
      <c r="BP392" s="35"/>
      <c r="BQ392" s="35"/>
      <c r="BR392" s="35"/>
      <c r="BS392" s="35"/>
      <c r="BT392" s="35"/>
      <c r="BU392" s="35"/>
      <c r="BV392" s="35"/>
      <c r="BW392" s="35"/>
      <c r="BX392" s="35"/>
      <c r="BY392" s="35"/>
      <c r="BZ392" s="35"/>
      <c r="CA392" s="35"/>
      <c r="CB392" s="35"/>
      <c r="CC392" s="35"/>
      <c r="CD392" s="35"/>
      <c r="CE392" s="35"/>
      <c r="CF392" s="35"/>
      <c r="CG392" s="35"/>
      <c r="CH392" s="35"/>
      <c r="CI392" s="35"/>
      <c r="CJ392" s="35"/>
      <c r="CK392" s="35"/>
      <c r="CL392" s="35"/>
      <c r="CM392" s="35"/>
      <c r="CN392" s="35"/>
      <c r="CO392" s="35"/>
      <c r="CP392" s="35"/>
      <c r="CQ392" s="35"/>
      <c r="CR392" s="35"/>
      <c r="CS392" s="35"/>
      <c r="CT392" s="35"/>
      <c r="CU392" s="35"/>
      <c r="CV392" s="35"/>
      <c r="CW392" s="35"/>
      <c r="CX392" s="35"/>
      <c r="CY392" s="35"/>
      <c r="CZ392" s="35"/>
      <c r="DA392" s="35"/>
      <c r="DB392" s="35"/>
      <c r="DC392" s="35"/>
      <c r="DD392" s="35"/>
      <c r="DE392" s="35"/>
      <c r="DF392" s="35"/>
      <c r="DG392" s="35"/>
      <c r="DH392" s="35"/>
      <c r="DI392" s="35"/>
      <c r="DJ392" s="35"/>
    </row>
    <row r="393" spans="1:114" x14ac:dyDescent="0.25">
      <c r="A393" s="34"/>
      <c r="B393" s="34"/>
      <c r="C393" s="34"/>
      <c r="D393" s="34"/>
      <c r="E393" s="34"/>
      <c r="F393" s="34"/>
      <c r="G393" s="34"/>
      <c r="H393" s="34"/>
      <c r="I393" s="34"/>
      <c r="J393" s="34"/>
      <c r="K393" s="34"/>
      <c r="L393" s="34"/>
      <c r="M393" s="34"/>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c r="BG393" s="35"/>
      <c r="BH393" s="35"/>
      <c r="BI393" s="35"/>
      <c r="BJ393" s="35"/>
      <c r="BK393" s="35"/>
      <c r="BL393" s="35"/>
      <c r="BM393" s="35"/>
      <c r="BN393" s="35"/>
      <c r="BO393" s="35"/>
      <c r="BP393" s="35"/>
      <c r="BQ393" s="35"/>
      <c r="BR393" s="35"/>
      <c r="BS393" s="35"/>
      <c r="BT393" s="35"/>
      <c r="BU393" s="35"/>
      <c r="BV393" s="35"/>
      <c r="BW393" s="35"/>
      <c r="BX393" s="35"/>
      <c r="BY393" s="35"/>
      <c r="BZ393" s="35"/>
      <c r="CA393" s="35"/>
      <c r="CB393" s="35"/>
      <c r="CC393" s="35"/>
      <c r="CD393" s="35"/>
      <c r="CE393" s="35"/>
      <c r="CF393" s="35"/>
      <c r="CG393" s="35"/>
      <c r="CH393" s="35"/>
      <c r="CI393" s="35"/>
      <c r="CJ393" s="35"/>
      <c r="CK393" s="35"/>
      <c r="CL393" s="35"/>
      <c r="CM393" s="35"/>
      <c r="CN393" s="35"/>
      <c r="CO393" s="35"/>
      <c r="CP393" s="35"/>
      <c r="CQ393" s="35"/>
      <c r="CR393" s="35"/>
      <c r="CS393" s="35"/>
      <c r="CT393" s="35"/>
      <c r="CU393" s="35"/>
      <c r="CV393" s="35"/>
      <c r="CW393" s="35"/>
      <c r="CX393" s="35"/>
      <c r="CY393" s="35"/>
      <c r="CZ393" s="35"/>
      <c r="DA393" s="35"/>
      <c r="DB393" s="35"/>
      <c r="DC393" s="35"/>
      <c r="DD393" s="35"/>
      <c r="DE393" s="35"/>
      <c r="DF393" s="35"/>
      <c r="DG393" s="35"/>
      <c r="DH393" s="35"/>
      <c r="DI393" s="35"/>
      <c r="DJ393" s="35"/>
    </row>
    <row r="394" spans="1:114" x14ac:dyDescent="0.25">
      <c r="A394" s="34"/>
      <c r="B394" s="34"/>
      <c r="C394" s="34"/>
      <c r="D394" s="34"/>
      <c r="E394" s="34"/>
      <c r="F394" s="34"/>
      <c r="G394" s="34"/>
      <c r="H394" s="34"/>
      <c r="I394" s="34"/>
      <c r="J394" s="34"/>
      <c r="K394" s="34"/>
      <c r="L394" s="34"/>
      <c r="M394" s="34"/>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c r="BG394" s="35"/>
      <c r="BH394" s="35"/>
      <c r="BI394" s="35"/>
      <c r="BJ394" s="35"/>
      <c r="BK394" s="35"/>
      <c r="BL394" s="35"/>
      <c r="BM394" s="35"/>
      <c r="BN394" s="35"/>
      <c r="BO394" s="35"/>
      <c r="BP394" s="35"/>
      <c r="BQ394" s="35"/>
      <c r="BR394" s="35"/>
      <c r="BS394" s="35"/>
      <c r="BT394" s="35"/>
      <c r="BU394" s="35"/>
      <c r="BV394" s="35"/>
      <c r="BW394" s="35"/>
      <c r="BX394" s="35"/>
      <c r="BY394" s="35"/>
      <c r="BZ394" s="35"/>
      <c r="CA394" s="35"/>
      <c r="CB394" s="35"/>
      <c r="CC394" s="35"/>
      <c r="CD394" s="35"/>
      <c r="CE394" s="35"/>
      <c r="CF394" s="35"/>
      <c r="CG394" s="35"/>
      <c r="CH394" s="35"/>
      <c r="CI394" s="35"/>
      <c r="CJ394" s="35"/>
      <c r="CK394" s="35"/>
      <c r="CL394" s="35"/>
      <c r="CM394" s="35"/>
      <c r="CN394" s="35"/>
      <c r="CO394" s="35"/>
      <c r="CP394" s="35"/>
      <c r="CQ394" s="35"/>
      <c r="CR394" s="35"/>
      <c r="CS394" s="35"/>
      <c r="CT394" s="35"/>
      <c r="CU394" s="35"/>
      <c r="CV394" s="35"/>
      <c r="CW394" s="35"/>
      <c r="CX394" s="35"/>
      <c r="CY394" s="35"/>
      <c r="CZ394" s="35"/>
      <c r="DA394" s="35"/>
      <c r="DB394" s="35"/>
      <c r="DC394" s="35"/>
      <c r="DD394" s="35"/>
      <c r="DE394" s="35"/>
      <c r="DF394" s="35"/>
      <c r="DG394" s="35"/>
      <c r="DH394" s="35"/>
      <c r="DI394" s="35"/>
      <c r="DJ394" s="35"/>
    </row>
    <row r="395" spans="1:114" x14ac:dyDescent="0.25">
      <c r="A395" s="34"/>
      <c r="B395" s="34"/>
      <c r="C395" s="34"/>
      <c r="D395" s="34"/>
      <c r="E395" s="34"/>
      <c r="F395" s="34"/>
      <c r="G395" s="34"/>
      <c r="H395" s="34"/>
      <c r="I395" s="34"/>
      <c r="J395" s="34"/>
      <c r="K395" s="34"/>
      <c r="L395" s="34"/>
      <c r="M395" s="34"/>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c r="BG395" s="35"/>
      <c r="BH395" s="35"/>
      <c r="BI395" s="35"/>
      <c r="BJ395" s="35"/>
      <c r="BK395" s="35"/>
      <c r="BL395" s="35"/>
      <c r="BM395" s="35"/>
      <c r="BN395" s="35"/>
      <c r="BO395" s="35"/>
      <c r="BP395" s="35"/>
      <c r="BQ395" s="35"/>
      <c r="BR395" s="35"/>
      <c r="BS395" s="35"/>
      <c r="BT395" s="35"/>
      <c r="BU395" s="35"/>
      <c r="BV395" s="35"/>
      <c r="BW395" s="35"/>
      <c r="BX395" s="35"/>
      <c r="BY395" s="35"/>
      <c r="BZ395" s="35"/>
      <c r="CA395" s="35"/>
      <c r="CB395" s="35"/>
      <c r="CC395" s="35"/>
      <c r="CD395" s="35"/>
      <c r="CE395" s="35"/>
      <c r="CF395" s="35"/>
      <c r="CG395" s="35"/>
      <c r="CH395" s="35"/>
      <c r="CI395" s="35"/>
      <c r="CJ395" s="35"/>
      <c r="CK395" s="35"/>
      <c r="CL395" s="35"/>
      <c r="CM395" s="35"/>
      <c r="CN395" s="35"/>
      <c r="CO395" s="35"/>
      <c r="CP395" s="35"/>
      <c r="CQ395" s="35"/>
      <c r="CR395" s="35"/>
      <c r="CS395" s="35"/>
      <c r="CT395" s="35"/>
      <c r="CU395" s="35"/>
      <c r="CV395" s="35"/>
      <c r="CW395" s="35"/>
      <c r="CX395" s="35"/>
      <c r="CY395" s="35"/>
      <c r="CZ395" s="35"/>
      <c r="DA395" s="35"/>
      <c r="DB395" s="35"/>
      <c r="DC395" s="35"/>
      <c r="DD395" s="35"/>
      <c r="DE395" s="35"/>
      <c r="DF395" s="35"/>
      <c r="DG395" s="35"/>
      <c r="DH395" s="35"/>
      <c r="DI395" s="35"/>
      <c r="DJ395" s="35"/>
    </row>
    <row r="396" spans="1:114" x14ac:dyDescent="0.25">
      <c r="A396" s="34"/>
      <c r="B396" s="34"/>
      <c r="C396" s="34"/>
      <c r="D396" s="34"/>
      <c r="E396" s="34"/>
      <c r="F396" s="34"/>
      <c r="G396" s="34"/>
      <c r="H396" s="34"/>
      <c r="I396" s="34"/>
      <c r="J396" s="34"/>
      <c r="K396" s="34"/>
      <c r="L396" s="34"/>
      <c r="M396" s="34"/>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c r="BN396" s="35"/>
      <c r="BO396" s="35"/>
      <c r="BP396" s="35"/>
      <c r="BQ396" s="35"/>
      <c r="BR396" s="35"/>
      <c r="BS396" s="35"/>
      <c r="BT396" s="35"/>
      <c r="BU396" s="35"/>
      <c r="BV396" s="35"/>
      <c r="BW396" s="35"/>
      <c r="BX396" s="35"/>
      <c r="BY396" s="35"/>
      <c r="BZ396" s="35"/>
      <c r="CA396" s="35"/>
      <c r="CB396" s="35"/>
      <c r="CC396" s="35"/>
      <c r="CD396" s="35"/>
      <c r="CE396" s="35"/>
      <c r="CF396" s="35"/>
      <c r="CG396" s="35"/>
      <c r="CH396" s="35"/>
      <c r="CI396" s="35"/>
      <c r="CJ396" s="35"/>
      <c r="CK396" s="35"/>
      <c r="CL396" s="35"/>
      <c r="CM396" s="35"/>
      <c r="CN396" s="35"/>
      <c r="CO396" s="35"/>
      <c r="CP396" s="35"/>
      <c r="CQ396" s="35"/>
      <c r="CR396" s="35"/>
      <c r="CS396" s="35"/>
      <c r="CT396" s="35"/>
      <c r="CU396" s="35"/>
      <c r="CV396" s="35"/>
      <c r="CW396" s="35"/>
      <c r="CX396" s="35"/>
      <c r="CY396" s="35"/>
      <c r="CZ396" s="35"/>
      <c r="DA396" s="35"/>
      <c r="DB396" s="35"/>
      <c r="DC396" s="35"/>
      <c r="DD396" s="35"/>
      <c r="DE396" s="35"/>
      <c r="DF396" s="35"/>
      <c r="DG396" s="35"/>
      <c r="DH396" s="35"/>
      <c r="DI396" s="35"/>
      <c r="DJ396" s="35"/>
    </row>
    <row r="397" spans="1:114" x14ac:dyDescent="0.25">
      <c r="A397" s="34"/>
      <c r="B397" s="34"/>
      <c r="C397" s="34"/>
      <c r="D397" s="34"/>
      <c r="E397" s="34"/>
      <c r="F397" s="34"/>
      <c r="G397" s="34"/>
      <c r="H397" s="34"/>
      <c r="I397" s="34"/>
      <c r="J397" s="34"/>
      <c r="K397" s="34"/>
      <c r="L397" s="34"/>
      <c r="M397" s="34"/>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c r="BK397" s="35"/>
      <c r="BL397" s="35"/>
      <c r="BM397" s="35"/>
      <c r="BN397" s="35"/>
      <c r="BO397" s="35"/>
      <c r="BP397" s="35"/>
      <c r="BQ397" s="35"/>
      <c r="BR397" s="35"/>
      <c r="BS397" s="35"/>
      <c r="BT397" s="35"/>
      <c r="BU397" s="35"/>
      <c r="BV397" s="35"/>
      <c r="BW397" s="35"/>
      <c r="BX397" s="35"/>
      <c r="BY397" s="35"/>
      <c r="BZ397" s="35"/>
      <c r="CA397" s="35"/>
      <c r="CB397" s="35"/>
      <c r="CC397" s="35"/>
      <c r="CD397" s="35"/>
      <c r="CE397" s="35"/>
      <c r="CF397" s="35"/>
      <c r="CG397" s="35"/>
      <c r="CH397" s="35"/>
      <c r="CI397" s="35"/>
      <c r="CJ397" s="35"/>
      <c r="CK397" s="35"/>
      <c r="CL397" s="35"/>
      <c r="CM397" s="35"/>
      <c r="CN397" s="35"/>
      <c r="CO397" s="35"/>
      <c r="CP397" s="35"/>
      <c r="CQ397" s="35"/>
      <c r="CR397" s="35"/>
      <c r="CS397" s="35"/>
      <c r="CT397" s="35"/>
      <c r="CU397" s="35"/>
      <c r="CV397" s="35"/>
      <c r="CW397" s="35"/>
      <c r="CX397" s="35"/>
      <c r="CY397" s="35"/>
      <c r="CZ397" s="35"/>
      <c r="DA397" s="35"/>
      <c r="DB397" s="35"/>
      <c r="DC397" s="35"/>
      <c r="DD397" s="35"/>
      <c r="DE397" s="35"/>
      <c r="DF397" s="35"/>
      <c r="DG397" s="35"/>
      <c r="DH397" s="35"/>
      <c r="DI397" s="35"/>
      <c r="DJ397" s="35"/>
    </row>
    <row r="398" spans="1:114" x14ac:dyDescent="0.25">
      <c r="A398" s="34"/>
      <c r="B398" s="34"/>
      <c r="C398" s="34"/>
      <c r="D398" s="34"/>
      <c r="E398" s="34"/>
      <c r="F398" s="34"/>
      <c r="G398" s="34"/>
      <c r="H398" s="34"/>
      <c r="I398" s="34"/>
      <c r="J398" s="34"/>
      <c r="K398" s="34"/>
      <c r="L398" s="34"/>
      <c r="M398" s="34"/>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c r="BG398" s="35"/>
      <c r="BH398" s="35"/>
      <c r="BI398" s="35"/>
      <c r="BJ398" s="35"/>
      <c r="BK398" s="35"/>
      <c r="BL398" s="35"/>
      <c r="BM398" s="35"/>
      <c r="BN398" s="35"/>
      <c r="BO398" s="35"/>
      <c r="BP398" s="35"/>
      <c r="BQ398" s="35"/>
      <c r="BR398" s="35"/>
      <c r="BS398" s="35"/>
      <c r="BT398" s="35"/>
      <c r="BU398" s="35"/>
      <c r="BV398" s="35"/>
      <c r="BW398" s="35"/>
      <c r="BX398" s="35"/>
      <c r="BY398" s="35"/>
      <c r="BZ398" s="35"/>
      <c r="CA398" s="35"/>
      <c r="CB398" s="35"/>
      <c r="CC398" s="35"/>
      <c r="CD398" s="35"/>
      <c r="CE398" s="35"/>
      <c r="CF398" s="35"/>
      <c r="CG398" s="35"/>
      <c r="CH398" s="35"/>
      <c r="CI398" s="35"/>
      <c r="CJ398" s="35"/>
      <c r="CK398" s="35"/>
      <c r="CL398" s="35"/>
      <c r="CM398" s="35"/>
      <c r="CN398" s="35"/>
      <c r="CO398" s="35"/>
      <c r="CP398" s="35"/>
      <c r="CQ398" s="35"/>
      <c r="CR398" s="35"/>
      <c r="CS398" s="35"/>
      <c r="CT398" s="35"/>
      <c r="CU398" s="35"/>
      <c r="CV398" s="35"/>
      <c r="CW398" s="35"/>
      <c r="CX398" s="35"/>
      <c r="CY398" s="35"/>
      <c r="CZ398" s="35"/>
      <c r="DA398" s="35"/>
      <c r="DB398" s="35"/>
      <c r="DC398" s="35"/>
      <c r="DD398" s="35"/>
      <c r="DE398" s="35"/>
      <c r="DF398" s="35"/>
      <c r="DG398" s="35"/>
      <c r="DH398" s="35"/>
      <c r="DI398" s="35"/>
      <c r="DJ398" s="35"/>
    </row>
    <row r="399" spans="1:114" x14ac:dyDescent="0.25">
      <c r="A399" s="34"/>
      <c r="B399" s="34"/>
      <c r="C399" s="34"/>
      <c r="D399" s="34"/>
      <c r="E399" s="34"/>
      <c r="F399" s="34"/>
      <c r="G399" s="34"/>
      <c r="H399" s="34"/>
      <c r="I399" s="34"/>
      <c r="J399" s="34"/>
      <c r="K399" s="34"/>
      <c r="L399" s="34"/>
      <c r="M399" s="34"/>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c r="BG399" s="35"/>
      <c r="BH399" s="35"/>
      <c r="BI399" s="35"/>
      <c r="BJ399" s="35"/>
      <c r="BK399" s="35"/>
      <c r="BL399" s="35"/>
      <c r="BM399" s="35"/>
      <c r="BN399" s="35"/>
      <c r="BO399" s="35"/>
      <c r="BP399" s="35"/>
      <c r="BQ399" s="35"/>
      <c r="BR399" s="35"/>
      <c r="BS399" s="35"/>
      <c r="BT399" s="35"/>
      <c r="BU399" s="35"/>
      <c r="BV399" s="35"/>
      <c r="BW399" s="35"/>
      <c r="BX399" s="35"/>
      <c r="BY399" s="35"/>
      <c r="BZ399" s="35"/>
      <c r="CA399" s="35"/>
      <c r="CB399" s="35"/>
      <c r="CC399" s="35"/>
      <c r="CD399" s="35"/>
      <c r="CE399" s="35"/>
      <c r="CF399" s="35"/>
      <c r="CG399" s="35"/>
      <c r="CH399" s="35"/>
      <c r="CI399" s="35"/>
      <c r="CJ399" s="35"/>
      <c r="CK399" s="35"/>
      <c r="CL399" s="35"/>
      <c r="CM399" s="35"/>
      <c r="CN399" s="35"/>
      <c r="CO399" s="35"/>
      <c r="CP399" s="35"/>
      <c r="CQ399" s="35"/>
      <c r="CR399" s="35"/>
      <c r="CS399" s="35"/>
      <c r="CT399" s="35"/>
      <c r="CU399" s="35"/>
      <c r="CV399" s="35"/>
      <c r="CW399" s="35"/>
      <c r="CX399" s="35"/>
      <c r="CY399" s="35"/>
      <c r="CZ399" s="35"/>
      <c r="DA399" s="35"/>
      <c r="DB399" s="35"/>
      <c r="DC399" s="35"/>
      <c r="DD399" s="35"/>
      <c r="DE399" s="35"/>
      <c r="DF399" s="35"/>
      <c r="DG399" s="35"/>
      <c r="DH399" s="35"/>
      <c r="DI399" s="35"/>
      <c r="DJ399" s="35"/>
    </row>
    <row r="400" spans="1:114" x14ac:dyDescent="0.25">
      <c r="A400" s="34"/>
      <c r="B400" s="34"/>
      <c r="C400" s="34"/>
      <c r="D400" s="34"/>
      <c r="E400" s="34"/>
      <c r="F400" s="34"/>
      <c r="G400" s="34"/>
      <c r="H400" s="34"/>
      <c r="I400" s="34"/>
      <c r="J400" s="34"/>
      <c r="K400" s="34"/>
      <c r="L400" s="34"/>
      <c r="M400" s="34"/>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c r="BG400" s="35"/>
      <c r="BH400" s="35"/>
      <c r="BI400" s="35"/>
      <c r="BJ400" s="35"/>
      <c r="BK400" s="35"/>
      <c r="BL400" s="35"/>
      <c r="BM400" s="35"/>
      <c r="BN400" s="35"/>
      <c r="BO400" s="35"/>
      <c r="BP400" s="35"/>
      <c r="BQ400" s="35"/>
      <c r="BR400" s="35"/>
      <c r="BS400" s="35"/>
      <c r="BT400" s="35"/>
      <c r="BU400" s="35"/>
      <c r="BV400" s="35"/>
      <c r="BW400" s="35"/>
      <c r="BX400" s="35"/>
      <c r="BY400" s="35"/>
      <c r="BZ400" s="35"/>
      <c r="CA400" s="35"/>
      <c r="CB400" s="35"/>
      <c r="CC400" s="35"/>
      <c r="CD400" s="35"/>
      <c r="CE400" s="35"/>
      <c r="CF400" s="35"/>
      <c r="CG400" s="35"/>
      <c r="CH400" s="35"/>
      <c r="CI400" s="35"/>
      <c r="CJ400" s="35"/>
      <c r="CK400" s="35"/>
      <c r="CL400" s="35"/>
      <c r="CM400" s="35"/>
      <c r="CN400" s="35"/>
      <c r="CO400" s="35"/>
      <c r="CP400" s="35"/>
      <c r="CQ400" s="35"/>
      <c r="CR400" s="35"/>
      <c r="CS400" s="35"/>
      <c r="CT400" s="35"/>
      <c r="CU400" s="35"/>
      <c r="CV400" s="35"/>
      <c r="CW400" s="35"/>
      <c r="CX400" s="35"/>
      <c r="CY400" s="35"/>
      <c r="CZ400" s="35"/>
      <c r="DA400" s="35"/>
      <c r="DB400" s="35"/>
      <c r="DC400" s="35"/>
      <c r="DD400" s="35"/>
      <c r="DE400" s="35"/>
      <c r="DF400" s="35"/>
      <c r="DG400" s="35"/>
      <c r="DH400" s="35"/>
      <c r="DI400" s="35"/>
      <c r="DJ400" s="35"/>
    </row>
    <row r="401" spans="1:114" x14ac:dyDescent="0.25">
      <c r="A401" s="34"/>
      <c r="B401" s="34"/>
      <c r="C401" s="34"/>
      <c r="D401" s="34"/>
      <c r="E401" s="34"/>
      <c r="F401" s="34"/>
      <c r="G401" s="34"/>
      <c r="H401" s="34"/>
      <c r="I401" s="34"/>
      <c r="J401" s="34"/>
      <c r="K401" s="34"/>
      <c r="L401" s="34"/>
      <c r="M401" s="34"/>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row>
    <row r="402" spans="1:114" x14ac:dyDescent="0.25">
      <c r="A402" s="34"/>
      <c r="B402" s="34"/>
      <c r="C402" s="34"/>
      <c r="D402" s="34"/>
      <c r="E402" s="34"/>
      <c r="F402" s="34"/>
      <c r="G402" s="34"/>
      <c r="H402" s="34"/>
      <c r="I402" s="34"/>
      <c r="J402" s="34"/>
      <c r="K402" s="34"/>
      <c r="L402" s="34"/>
      <c r="M402" s="34"/>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35"/>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35"/>
      <c r="DB402" s="35"/>
      <c r="DC402" s="35"/>
      <c r="DD402" s="35"/>
      <c r="DE402" s="35"/>
      <c r="DF402" s="35"/>
      <c r="DG402" s="35"/>
      <c r="DH402" s="35"/>
      <c r="DI402" s="35"/>
      <c r="DJ402" s="35"/>
    </row>
    <row r="403" spans="1:114" x14ac:dyDescent="0.25">
      <c r="A403" s="34"/>
      <c r="B403" s="34"/>
      <c r="C403" s="34"/>
      <c r="D403" s="34"/>
      <c r="E403" s="34"/>
      <c r="F403" s="34"/>
      <c r="G403" s="34"/>
      <c r="H403" s="34"/>
      <c r="I403" s="34"/>
      <c r="J403" s="34"/>
      <c r="K403" s="34"/>
      <c r="L403" s="34"/>
      <c r="M403" s="34"/>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row>
    <row r="404" spans="1:114" x14ac:dyDescent="0.25">
      <c r="A404" s="34"/>
      <c r="B404" s="34"/>
      <c r="C404" s="34"/>
      <c r="D404" s="34"/>
      <c r="E404" s="34"/>
      <c r="F404" s="34"/>
      <c r="G404" s="34"/>
      <c r="H404" s="34"/>
      <c r="I404" s="34"/>
      <c r="J404" s="34"/>
      <c r="K404" s="34"/>
      <c r="L404" s="34"/>
      <c r="M404" s="34"/>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35"/>
      <c r="BV404" s="35"/>
      <c r="BW404" s="35"/>
      <c r="BX404" s="35"/>
      <c r="BY404" s="35"/>
      <c r="BZ404" s="35"/>
      <c r="CA404" s="35"/>
      <c r="CB404" s="35"/>
      <c r="CC404" s="35"/>
      <c r="CD404" s="35"/>
      <c r="CE404" s="3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35"/>
      <c r="DD404" s="35"/>
      <c r="DE404" s="35"/>
      <c r="DF404" s="35"/>
      <c r="DG404" s="35"/>
      <c r="DH404" s="35"/>
      <c r="DI404" s="35"/>
      <c r="DJ404" s="35"/>
    </row>
    <row r="405" spans="1:114" x14ac:dyDescent="0.25">
      <c r="A405" s="34"/>
      <c r="B405" s="34"/>
      <c r="C405" s="34"/>
      <c r="D405" s="34"/>
      <c r="E405" s="34"/>
      <c r="F405" s="34"/>
      <c r="G405" s="34"/>
      <c r="H405" s="34"/>
      <c r="I405" s="34"/>
      <c r="J405" s="34"/>
      <c r="K405" s="34"/>
      <c r="L405" s="34"/>
      <c r="M405" s="34"/>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35"/>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35"/>
      <c r="DI405" s="35"/>
      <c r="DJ405" s="35"/>
    </row>
    <row r="406" spans="1:114" x14ac:dyDescent="0.25">
      <c r="A406" s="34"/>
      <c r="B406" s="34"/>
      <c r="C406" s="34"/>
      <c r="D406" s="34"/>
      <c r="E406" s="34"/>
      <c r="F406" s="34"/>
      <c r="G406" s="34"/>
      <c r="H406" s="34"/>
      <c r="I406" s="34"/>
      <c r="J406" s="34"/>
      <c r="K406" s="34"/>
      <c r="L406" s="34"/>
      <c r="M406" s="34"/>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c r="CC406" s="35"/>
      <c r="CD406" s="35"/>
      <c r="CE406" s="3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row>
    <row r="407" spans="1:114" x14ac:dyDescent="0.25">
      <c r="A407" s="34"/>
      <c r="B407" s="34"/>
      <c r="C407" s="34"/>
      <c r="D407" s="34"/>
      <c r="E407" s="34"/>
      <c r="F407" s="34"/>
      <c r="G407" s="34"/>
      <c r="H407" s="34"/>
      <c r="I407" s="34"/>
      <c r="J407" s="34"/>
      <c r="K407" s="34"/>
      <c r="L407" s="34"/>
      <c r="M407" s="34"/>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row>
    <row r="408" spans="1:114" x14ac:dyDescent="0.25">
      <c r="A408" s="34"/>
      <c r="B408" s="34"/>
      <c r="C408" s="34"/>
      <c r="D408" s="34"/>
      <c r="E408" s="34"/>
      <c r="F408" s="34"/>
      <c r="G408" s="34"/>
      <c r="H408" s="34"/>
      <c r="I408" s="34"/>
      <c r="J408" s="34"/>
      <c r="K408" s="34"/>
      <c r="L408" s="34"/>
      <c r="M408" s="34"/>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35"/>
      <c r="CD408" s="35"/>
      <c r="CE408" s="35"/>
      <c r="CF408" s="35"/>
      <c r="CG408" s="35"/>
      <c r="CH408" s="35"/>
      <c r="CI408" s="35"/>
      <c r="CJ408" s="35"/>
      <c r="CK408" s="35"/>
      <c r="CL408" s="35"/>
      <c r="CM408" s="35"/>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row>
    <row r="409" spans="1:114" x14ac:dyDescent="0.25">
      <c r="A409" s="34"/>
      <c r="B409" s="34"/>
      <c r="C409" s="34"/>
      <c r="D409" s="34"/>
      <c r="E409" s="34"/>
      <c r="F409" s="34"/>
      <c r="G409" s="34"/>
      <c r="H409" s="34"/>
      <c r="I409" s="34"/>
      <c r="J409" s="34"/>
      <c r="K409" s="34"/>
      <c r="L409" s="34"/>
      <c r="M409" s="34"/>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35"/>
      <c r="CD409" s="35"/>
      <c r="CE409" s="35"/>
      <c r="CF409" s="35"/>
      <c r="CG409" s="35"/>
      <c r="CH409" s="35"/>
      <c r="CI409" s="35"/>
      <c r="CJ409" s="35"/>
      <c r="CK409" s="35"/>
      <c r="CL409" s="35"/>
      <c r="CM409" s="35"/>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row>
    <row r="410" spans="1:114" x14ac:dyDescent="0.25">
      <c r="A410" s="34"/>
      <c r="B410" s="34"/>
      <c r="C410" s="34"/>
      <c r="D410" s="34"/>
      <c r="E410" s="34"/>
      <c r="F410" s="34"/>
      <c r="G410" s="34"/>
      <c r="H410" s="34"/>
      <c r="I410" s="34"/>
      <c r="J410" s="34"/>
      <c r="K410" s="34"/>
      <c r="L410" s="34"/>
      <c r="M410" s="34"/>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row>
    <row r="411" spans="1:114" x14ac:dyDescent="0.25">
      <c r="A411" s="34"/>
      <c r="B411" s="34"/>
      <c r="C411" s="34"/>
      <c r="D411" s="34"/>
      <c r="E411" s="34"/>
      <c r="F411" s="34"/>
      <c r="G411" s="34"/>
      <c r="H411" s="34"/>
      <c r="I411" s="34"/>
      <c r="J411" s="34"/>
      <c r="K411" s="34"/>
      <c r="L411" s="34"/>
      <c r="M411" s="34"/>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35"/>
      <c r="CD411" s="35"/>
      <c r="CE411" s="35"/>
      <c r="CF411" s="35"/>
      <c r="CG411" s="35"/>
      <c r="CH411" s="35"/>
      <c r="CI411" s="35"/>
      <c r="CJ411" s="35"/>
      <c r="CK411" s="35"/>
      <c r="CL411" s="35"/>
      <c r="CM411" s="35"/>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row>
    <row r="412" spans="1:114" x14ac:dyDescent="0.25">
      <c r="A412" s="34"/>
      <c r="B412" s="34"/>
      <c r="C412" s="34"/>
      <c r="D412" s="34"/>
      <c r="E412" s="34"/>
      <c r="F412" s="34"/>
      <c r="G412" s="34"/>
      <c r="H412" s="34"/>
      <c r="I412" s="34"/>
      <c r="J412" s="34"/>
      <c r="K412" s="34"/>
      <c r="L412" s="34"/>
      <c r="M412" s="34"/>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35"/>
      <c r="CD412" s="35"/>
      <c r="CE412" s="35"/>
      <c r="CF412" s="35"/>
      <c r="CG412" s="35"/>
      <c r="CH412" s="35"/>
      <c r="CI412" s="35"/>
      <c r="CJ412" s="35"/>
      <c r="CK412" s="35"/>
      <c r="CL412" s="35"/>
      <c r="CM412" s="35"/>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row>
    <row r="413" spans="1:114" x14ac:dyDescent="0.25">
      <c r="A413" s="34"/>
      <c r="B413" s="34"/>
      <c r="C413" s="34"/>
      <c r="D413" s="34"/>
      <c r="E413" s="34"/>
      <c r="F413" s="34"/>
      <c r="G413" s="34"/>
      <c r="H413" s="34"/>
      <c r="I413" s="34"/>
      <c r="J413" s="34"/>
      <c r="K413" s="34"/>
      <c r="L413" s="34"/>
      <c r="M413" s="34"/>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row>
    <row r="414" spans="1:114" x14ac:dyDescent="0.25">
      <c r="A414" s="34"/>
      <c r="B414" s="34"/>
      <c r="C414" s="34"/>
      <c r="D414" s="34"/>
      <c r="E414" s="34"/>
      <c r="F414" s="34"/>
      <c r="G414" s="34"/>
      <c r="H414" s="34"/>
      <c r="I414" s="34"/>
      <c r="J414" s="34"/>
      <c r="K414" s="34"/>
      <c r="L414" s="34"/>
      <c r="M414" s="34"/>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c r="BG414" s="35"/>
      <c r="BH414" s="35"/>
      <c r="BI414" s="35"/>
      <c r="BJ414" s="35"/>
      <c r="BK414" s="35"/>
      <c r="BL414" s="35"/>
      <c r="BM414" s="35"/>
      <c r="BN414" s="35"/>
      <c r="BO414" s="35"/>
      <c r="BP414" s="35"/>
      <c r="BQ414" s="35"/>
      <c r="BR414" s="35"/>
      <c r="BS414" s="35"/>
      <c r="BT414" s="35"/>
      <c r="BU414" s="35"/>
      <c r="BV414" s="35"/>
      <c r="BW414" s="35"/>
      <c r="BX414" s="35"/>
      <c r="BY414" s="35"/>
      <c r="BZ414" s="35"/>
      <c r="CA414" s="35"/>
      <c r="CB414" s="35"/>
      <c r="CC414" s="35"/>
      <c r="CD414" s="35"/>
      <c r="CE414" s="35"/>
      <c r="CF414" s="35"/>
      <c r="CG414" s="35"/>
      <c r="CH414" s="35"/>
      <c r="CI414" s="35"/>
      <c r="CJ414" s="35"/>
      <c r="CK414" s="35"/>
      <c r="CL414" s="35"/>
      <c r="CM414" s="35"/>
      <c r="CN414" s="35"/>
      <c r="CO414" s="35"/>
      <c r="CP414" s="35"/>
      <c r="CQ414" s="35"/>
      <c r="CR414" s="35"/>
      <c r="CS414" s="35"/>
      <c r="CT414" s="35"/>
      <c r="CU414" s="35"/>
      <c r="CV414" s="35"/>
      <c r="CW414" s="35"/>
      <c r="CX414" s="35"/>
      <c r="CY414" s="35"/>
      <c r="CZ414" s="35"/>
      <c r="DA414" s="35"/>
      <c r="DB414" s="35"/>
      <c r="DC414" s="35"/>
      <c r="DD414" s="35"/>
      <c r="DE414" s="35"/>
      <c r="DF414" s="35"/>
      <c r="DG414" s="35"/>
      <c r="DH414" s="35"/>
      <c r="DI414" s="35"/>
      <c r="DJ414" s="35"/>
    </row>
    <row r="415" spans="1:114" x14ac:dyDescent="0.25">
      <c r="A415" s="34"/>
      <c r="B415" s="34"/>
      <c r="C415" s="34"/>
      <c r="D415" s="34"/>
      <c r="E415" s="34"/>
      <c r="F415" s="34"/>
      <c r="G415" s="34"/>
      <c r="H415" s="34"/>
      <c r="I415" s="34"/>
      <c r="J415" s="34"/>
      <c r="K415" s="34"/>
      <c r="L415" s="34"/>
      <c r="M415" s="34"/>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c r="BG415" s="35"/>
      <c r="BH415" s="35"/>
      <c r="BI415" s="35"/>
      <c r="BJ415" s="35"/>
      <c r="BK415" s="35"/>
      <c r="BL415" s="35"/>
      <c r="BM415" s="35"/>
      <c r="BN415" s="35"/>
      <c r="BO415" s="35"/>
      <c r="BP415" s="35"/>
      <c r="BQ415" s="35"/>
      <c r="BR415" s="35"/>
      <c r="BS415" s="35"/>
      <c r="BT415" s="35"/>
      <c r="BU415" s="35"/>
      <c r="BV415" s="35"/>
      <c r="BW415" s="35"/>
      <c r="BX415" s="35"/>
      <c r="BY415" s="35"/>
      <c r="BZ415" s="35"/>
      <c r="CA415" s="35"/>
      <c r="CB415" s="35"/>
      <c r="CC415" s="35"/>
      <c r="CD415" s="35"/>
      <c r="CE415" s="35"/>
      <c r="CF415" s="35"/>
      <c r="CG415" s="35"/>
      <c r="CH415" s="35"/>
      <c r="CI415" s="35"/>
      <c r="CJ415" s="35"/>
      <c r="CK415" s="35"/>
      <c r="CL415" s="35"/>
      <c r="CM415" s="35"/>
      <c r="CN415" s="35"/>
      <c r="CO415" s="35"/>
      <c r="CP415" s="35"/>
      <c r="CQ415" s="35"/>
      <c r="CR415" s="35"/>
      <c r="CS415" s="35"/>
      <c r="CT415" s="35"/>
      <c r="CU415" s="35"/>
      <c r="CV415" s="35"/>
      <c r="CW415" s="35"/>
      <c r="CX415" s="35"/>
      <c r="CY415" s="35"/>
      <c r="CZ415" s="35"/>
      <c r="DA415" s="35"/>
      <c r="DB415" s="35"/>
      <c r="DC415" s="35"/>
      <c r="DD415" s="35"/>
      <c r="DE415" s="35"/>
      <c r="DF415" s="35"/>
      <c r="DG415" s="35"/>
      <c r="DH415" s="35"/>
      <c r="DI415" s="35"/>
      <c r="DJ415" s="35"/>
    </row>
    <row r="416" spans="1:114" x14ac:dyDescent="0.25">
      <c r="A416" s="34"/>
      <c r="B416" s="34"/>
      <c r="C416" s="34"/>
      <c r="D416" s="34"/>
      <c r="E416" s="34"/>
      <c r="F416" s="34"/>
      <c r="G416" s="34"/>
      <c r="H416" s="34"/>
      <c r="I416" s="34"/>
      <c r="J416" s="34"/>
      <c r="K416" s="34"/>
      <c r="L416" s="34"/>
      <c r="M416" s="34"/>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35"/>
      <c r="CT416" s="35"/>
      <c r="CU416" s="35"/>
      <c r="CV416" s="35"/>
      <c r="CW416" s="35"/>
      <c r="CX416" s="35"/>
      <c r="CY416" s="35"/>
      <c r="CZ416" s="35"/>
      <c r="DA416" s="35"/>
      <c r="DB416" s="35"/>
      <c r="DC416" s="35"/>
      <c r="DD416" s="35"/>
      <c r="DE416" s="35"/>
      <c r="DF416" s="35"/>
      <c r="DG416" s="35"/>
      <c r="DH416" s="35"/>
      <c r="DI416" s="35"/>
      <c r="DJ416" s="35"/>
    </row>
    <row r="417" spans="1:114" x14ac:dyDescent="0.25">
      <c r="A417" s="34"/>
      <c r="B417" s="34"/>
      <c r="C417" s="34"/>
      <c r="D417" s="34"/>
      <c r="E417" s="34"/>
      <c r="F417" s="34"/>
      <c r="G417" s="34"/>
      <c r="H417" s="34"/>
      <c r="I417" s="34"/>
      <c r="J417" s="34"/>
      <c r="K417" s="34"/>
      <c r="L417" s="34"/>
      <c r="M417" s="34"/>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35"/>
      <c r="CT417" s="35"/>
      <c r="CU417" s="35"/>
      <c r="CV417" s="35"/>
      <c r="CW417" s="35"/>
      <c r="CX417" s="35"/>
      <c r="CY417" s="35"/>
      <c r="CZ417" s="35"/>
      <c r="DA417" s="35"/>
      <c r="DB417" s="35"/>
      <c r="DC417" s="35"/>
      <c r="DD417" s="35"/>
      <c r="DE417" s="35"/>
      <c r="DF417" s="35"/>
      <c r="DG417" s="35"/>
      <c r="DH417" s="35"/>
      <c r="DI417" s="35"/>
      <c r="DJ417" s="35"/>
    </row>
    <row r="418" spans="1:114" x14ac:dyDescent="0.25">
      <c r="A418" s="34"/>
      <c r="B418" s="34"/>
      <c r="C418" s="34"/>
      <c r="D418" s="34"/>
      <c r="E418" s="34"/>
      <c r="F418" s="34"/>
      <c r="G418" s="34"/>
      <c r="H418" s="34"/>
      <c r="I418" s="34"/>
      <c r="J418" s="34"/>
      <c r="K418" s="34"/>
      <c r="L418" s="34"/>
      <c r="M418" s="34"/>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35"/>
      <c r="CT418" s="35"/>
      <c r="CU418" s="35"/>
      <c r="CV418" s="35"/>
      <c r="CW418" s="35"/>
      <c r="CX418" s="35"/>
      <c r="CY418" s="35"/>
      <c r="CZ418" s="35"/>
      <c r="DA418" s="35"/>
      <c r="DB418" s="35"/>
      <c r="DC418" s="35"/>
      <c r="DD418" s="35"/>
      <c r="DE418" s="35"/>
      <c r="DF418" s="35"/>
      <c r="DG418" s="35"/>
      <c r="DH418" s="35"/>
      <c r="DI418" s="35"/>
      <c r="DJ418" s="35"/>
    </row>
    <row r="419" spans="1:114" x14ac:dyDescent="0.25">
      <c r="A419" s="34"/>
      <c r="B419" s="34"/>
      <c r="C419" s="34"/>
      <c r="D419" s="34"/>
      <c r="E419" s="34"/>
      <c r="F419" s="34"/>
      <c r="G419" s="34"/>
      <c r="H419" s="34"/>
      <c r="I419" s="34"/>
      <c r="J419" s="34"/>
      <c r="K419" s="34"/>
      <c r="L419" s="34"/>
      <c r="M419" s="34"/>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35"/>
      <c r="CT419" s="35"/>
      <c r="CU419" s="35"/>
      <c r="CV419" s="35"/>
      <c r="CW419" s="35"/>
      <c r="CX419" s="35"/>
      <c r="CY419" s="35"/>
      <c r="CZ419" s="35"/>
      <c r="DA419" s="35"/>
      <c r="DB419" s="35"/>
      <c r="DC419" s="35"/>
      <c r="DD419" s="35"/>
      <c r="DE419" s="35"/>
      <c r="DF419" s="35"/>
      <c r="DG419" s="35"/>
      <c r="DH419" s="35"/>
      <c r="DI419" s="35"/>
      <c r="DJ419" s="35"/>
    </row>
    <row r="420" spans="1:114" x14ac:dyDescent="0.25">
      <c r="A420" s="34"/>
      <c r="B420" s="34"/>
      <c r="C420" s="34"/>
      <c r="D420" s="34"/>
      <c r="E420" s="34"/>
      <c r="F420" s="34"/>
      <c r="G420" s="34"/>
      <c r="H420" s="34"/>
      <c r="I420" s="34"/>
      <c r="J420" s="34"/>
      <c r="K420" s="34"/>
      <c r="L420" s="34"/>
      <c r="M420" s="34"/>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c r="BG420" s="35"/>
      <c r="BH420" s="35"/>
      <c r="BI420" s="35"/>
      <c r="BJ420" s="35"/>
      <c r="BK420" s="35"/>
      <c r="BL420" s="35"/>
      <c r="BM420" s="35"/>
      <c r="BN420" s="35"/>
      <c r="BO420" s="35"/>
      <c r="BP420" s="35"/>
      <c r="BQ420" s="35"/>
      <c r="BR420" s="35"/>
      <c r="BS420" s="35"/>
      <c r="BT420" s="35"/>
      <c r="BU420" s="35"/>
      <c r="BV420" s="35"/>
      <c r="BW420" s="35"/>
      <c r="BX420" s="35"/>
      <c r="BY420" s="35"/>
      <c r="BZ420" s="35"/>
      <c r="CA420" s="35"/>
      <c r="CB420" s="35"/>
      <c r="CC420" s="35"/>
      <c r="CD420" s="35"/>
      <c r="CE420" s="35"/>
      <c r="CF420" s="35"/>
      <c r="CG420" s="35"/>
      <c r="CH420" s="35"/>
      <c r="CI420" s="35"/>
      <c r="CJ420" s="35"/>
      <c r="CK420" s="35"/>
      <c r="CL420" s="35"/>
      <c r="CM420" s="35"/>
      <c r="CN420" s="35"/>
      <c r="CO420" s="35"/>
      <c r="CP420" s="35"/>
      <c r="CQ420" s="35"/>
      <c r="CR420" s="35"/>
      <c r="CS420" s="35"/>
      <c r="CT420" s="35"/>
      <c r="CU420" s="35"/>
      <c r="CV420" s="35"/>
      <c r="CW420" s="35"/>
      <c r="CX420" s="35"/>
      <c r="CY420" s="35"/>
      <c r="CZ420" s="35"/>
      <c r="DA420" s="35"/>
      <c r="DB420" s="35"/>
      <c r="DC420" s="35"/>
      <c r="DD420" s="35"/>
      <c r="DE420" s="35"/>
      <c r="DF420" s="35"/>
      <c r="DG420" s="35"/>
      <c r="DH420" s="35"/>
      <c r="DI420" s="35"/>
      <c r="DJ420" s="35"/>
    </row>
    <row r="421" spans="1:114" x14ac:dyDescent="0.25">
      <c r="A421" s="34"/>
      <c r="B421" s="34"/>
      <c r="C421" s="34"/>
      <c r="D421" s="34"/>
      <c r="E421" s="34"/>
      <c r="F421" s="34"/>
      <c r="G421" s="34"/>
      <c r="H421" s="34"/>
      <c r="I421" s="34"/>
      <c r="J421" s="34"/>
      <c r="K421" s="34"/>
      <c r="L421" s="34"/>
      <c r="M421" s="34"/>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row>
    <row r="422" spans="1:114" x14ac:dyDescent="0.25">
      <c r="A422" s="34"/>
      <c r="B422" s="34"/>
      <c r="C422" s="34"/>
      <c r="D422" s="34"/>
      <c r="E422" s="34"/>
      <c r="F422" s="34"/>
      <c r="G422" s="34"/>
      <c r="H422" s="34"/>
      <c r="I422" s="34"/>
      <c r="J422" s="34"/>
      <c r="K422" s="34"/>
      <c r="L422" s="34"/>
      <c r="M422" s="34"/>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row>
    <row r="423" spans="1:114" x14ac:dyDescent="0.25">
      <c r="A423" s="34"/>
      <c r="B423" s="34"/>
      <c r="C423" s="34"/>
      <c r="D423" s="34"/>
      <c r="E423" s="34"/>
      <c r="F423" s="34"/>
      <c r="G423" s="34"/>
      <c r="H423" s="34"/>
      <c r="I423" s="34"/>
      <c r="J423" s="34"/>
      <c r="K423" s="34"/>
      <c r="L423" s="34"/>
      <c r="M423" s="34"/>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M423" s="35"/>
      <c r="BN423" s="35"/>
      <c r="BO423" s="35"/>
      <c r="BP423" s="35"/>
      <c r="BQ423" s="35"/>
      <c r="BR423" s="35"/>
      <c r="BS423" s="35"/>
      <c r="BT423" s="35"/>
      <c r="BU423" s="35"/>
      <c r="BV423" s="35"/>
      <c r="BW423" s="35"/>
      <c r="BX423" s="35"/>
      <c r="BY423" s="35"/>
      <c r="BZ423" s="35"/>
      <c r="CA423" s="35"/>
      <c r="CB423" s="35"/>
      <c r="CC423" s="35"/>
      <c r="CD423" s="35"/>
      <c r="CE423" s="35"/>
      <c r="CF423" s="35"/>
      <c r="CG423" s="35"/>
      <c r="CH423" s="35"/>
      <c r="CI423" s="35"/>
      <c r="CJ423" s="35"/>
      <c r="CK423" s="35"/>
      <c r="CL423" s="35"/>
      <c r="CM423" s="35"/>
      <c r="CN423" s="35"/>
      <c r="CO423" s="35"/>
      <c r="CP423" s="35"/>
      <c r="CQ423" s="35"/>
      <c r="CR423" s="35"/>
      <c r="CS423" s="35"/>
      <c r="CT423" s="35"/>
      <c r="CU423" s="35"/>
      <c r="CV423" s="35"/>
      <c r="CW423" s="35"/>
      <c r="CX423" s="35"/>
      <c r="CY423" s="35"/>
      <c r="CZ423" s="35"/>
      <c r="DA423" s="35"/>
      <c r="DB423" s="35"/>
      <c r="DC423" s="35"/>
      <c r="DD423" s="35"/>
      <c r="DE423" s="35"/>
      <c r="DF423" s="35"/>
      <c r="DG423" s="35"/>
      <c r="DH423" s="35"/>
      <c r="DI423" s="35"/>
      <c r="DJ423" s="35"/>
    </row>
    <row r="424" spans="1:114" x14ac:dyDescent="0.25">
      <c r="A424" s="34"/>
      <c r="B424" s="34"/>
      <c r="C424" s="34"/>
      <c r="D424" s="34"/>
      <c r="E424" s="34"/>
      <c r="F424" s="34"/>
      <c r="G424" s="34"/>
      <c r="H424" s="34"/>
      <c r="I424" s="34"/>
      <c r="J424" s="34"/>
      <c r="K424" s="34"/>
      <c r="L424" s="34"/>
      <c r="M424" s="34"/>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c r="BF424" s="35"/>
      <c r="BG424" s="35"/>
      <c r="BH424" s="35"/>
      <c r="BI424" s="35"/>
      <c r="BJ424" s="35"/>
      <c r="BK424" s="35"/>
      <c r="BL424" s="35"/>
      <c r="BM424" s="35"/>
      <c r="BN424" s="35"/>
      <c r="BO424" s="35"/>
      <c r="BP424" s="35"/>
      <c r="BQ424" s="35"/>
      <c r="BR424" s="35"/>
      <c r="BS424" s="35"/>
      <c r="BT424" s="35"/>
      <c r="BU424" s="35"/>
      <c r="BV424" s="35"/>
      <c r="BW424" s="35"/>
      <c r="BX424" s="35"/>
      <c r="BY424" s="35"/>
      <c r="BZ424" s="35"/>
      <c r="CA424" s="35"/>
      <c r="CB424" s="35"/>
      <c r="CC424" s="35"/>
      <c r="CD424" s="35"/>
      <c r="CE424" s="35"/>
      <c r="CF424" s="35"/>
      <c r="CG424" s="35"/>
      <c r="CH424" s="35"/>
      <c r="CI424" s="35"/>
      <c r="CJ424" s="35"/>
      <c r="CK424" s="35"/>
      <c r="CL424" s="35"/>
      <c r="CM424" s="35"/>
      <c r="CN424" s="35"/>
      <c r="CO424" s="35"/>
      <c r="CP424" s="35"/>
      <c r="CQ424" s="35"/>
      <c r="CR424" s="35"/>
      <c r="CS424" s="35"/>
      <c r="CT424" s="35"/>
      <c r="CU424" s="35"/>
      <c r="CV424" s="35"/>
      <c r="CW424" s="35"/>
      <c r="CX424" s="35"/>
      <c r="CY424" s="35"/>
      <c r="CZ424" s="35"/>
      <c r="DA424" s="35"/>
      <c r="DB424" s="35"/>
      <c r="DC424" s="35"/>
      <c r="DD424" s="35"/>
      <c r="DE424" s="35"/>
      <c r="DF424" s="35"/>
      <c r="DG424" s="35"/>
      <c r="DH424" s="35"/>
      <c r="DI424" s="35"/>
      <c r="DJ424" s="35"/>
    </row>
    <row r="425" spans="1:114" x14ac:dyDescent="0.25">
      <c r="A425" s="34"/>
      <c r="B425" s="34"/>
      <c r="C425" s="34"/>
      <c r="D425" s="34"/>
      <c r="E425" s="34"/>
      <c r="F425" s="34"/>
      <c r="G425" s="34"/>
      <c r="H425" s="34"/>
      <c r="I425" s="34"/>
      <c r="J425" s="34"/>
      <c r="K425" s="34"/>
      <c r="L425" s="34"/>
      <c r="M425" s="34"/>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5"/>
      <c r="BK425" s="35"/>
      <c r="BL425" s="35"/>
      <c r="BM425" s="35"/>
      <c r="BN425" s="35"/>
      <c r="BO425" s="35"/>
      <c r="BP425" s="35"/>
      <c r="BQ425" s="35"/>
      <c r="BR425" s="35"/>
      <c r="BS425" s="35"/>
      <c r="BT425" s="35"/>
      <c r="BU425" s="35"/>
      <c r="BV425" s="35"/>
      <c r="BW425" s="35"/>
      <c r="BX425" s="35"/>
      <c r="BY425" s="35"/>
      <c r="BZ425" s="35"/>
      <c r="CA425" s="35"/>
      <c r="CB425" s="35"/>
      <c r="CC425" s="35"/>
      <c r="CD425" s="35"/>
      <c r="CE425" s="35"/>
      <c r="CF425" s="35"/>
      <c r="CG425" s="35"/>
      <c r="CH425" s="35"/>
      <c r="CI425" s="35"/>
      <c r="CJ425" s="35"/>
      <c r="CK425" s="35"/>
      <c r="CL425" s="35"/>
      <c r="CM425" s="35"/>
      <c r="CN425" s="35"/>
      <c r="CO425" s="35"/>
      <c r="CP425" s="35"/>
      <c r="CQ425" s="35"/>
      <c r="CR425" s="35"/>
      <c r="CS425" s="35"/>
      <c r="CT425" s="35"/>
      <c r="CU425" s="35"/>
      <c r="CV425" s="35"/>
      <c r="CW425" s="35"/>
      <c r="CX425" s="35"/>
      <c r="CY425" s="35"/>
      <c r="CZ425" s="35"/>
      <c r="DA425" s="35"/>
      <c r="DB425" s="35"/>
      <c r="DC425" s="35"/>
      <c r="DD425" s="35"/>
      <c r="DE425" s="35"/>
      <c r="DF425" s="35"/>
      <c r="DG425" s="35"/>
      <c r="DH425" s="35"/>
      <c r="DI425" s="35"/>
      <c r="DJ425" s="35"/>
    </row>
    <row r="426" spans="1:114" x14ac:dyDescent="0.25">
      <c r="A426" s="34"/>
      <c r="B426" s="34"/>
      <c r="C426" s="34"/>
      <c r="D426" s="34"/>
      <c r="E426" s="34"/>
      <c r="F426" s="34"/>
      <c r="G426" s="34"/>
      <c r="H426" s="34"/>
      <c r="I426" s="34"/>
      <c r="J426" s="34"/>
      <c r="K426" s="34"/>
      <c r="L426" s="34"/>
      <c r="M426" s="34"/>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c r="BG426" s="35"/>
      <c r="BH426" s="35"/>
      <c r="BI426" s="35"/>
      <c r="BJ426" s="35"/>
      <c r="BK426" s="35"/>
      <c r="BL426" s="35"/>
      <c r="BM426" s="35"/>
      <c r="BN426" s="35"/>
      <c r="BO426" s="35"/>
      <c r="BP426" s="35"/>
      <c r="BQ426" s="35"/>
      <c r="BR426" s="35"/>
      <c r="BS426" s="35"/>
      <c r="BT426" s="35"/>
      <c r="BU426" s="35"/>
      <c r="BV426" s="35"/>
      <c r="BW426" s="35"/>
      <c r="BX426" s="35"/>
      <c r="BY426" s="35"/>
      <c r="BZ426" s="35"/>
      <c r="CA426" s="35"/>
      <c r="CB426" s="35"/>
      <c r="CC426" s="35"/>
      <c r="CD426" s="35"/>
      <c r="CE426" s="35"/>
      <c r="CF426" s="35"/>
      <c r="CG426" s="35"/>
      <c r="CH426" s="35"/>
      <c r="CI426" s="35"/>
      <c r="CJ426" s="35"/>
      <c r="CK426" s="35"/>
      <c r="CL426" s="35"/>
      <c r="CM426" s="35"/>
      <c r="CN426" s="35"/>
      <c r="CO426" s="35"/>
      <c r="CP426" s="35"/>
      <c r="CQ426" s="35"/>
      <c r="CR426" s="35"/>
      <c r="CS426" s="35"/>
      <c r="CT426" s="35"/>
      <c r="CU426" s="35"/>
      <c r="CV426" s="35"/>
      <c r="CW426" s="35"/>
      <c r="CX426" s="35"/>
      <c r="CY426" s="35"/>
      <c r="CZ426" s="35"/>
      <c r="DA426" s="35"/>
      <c r="DB426" s="35"/>
      <c r="DC426" s="35"/>
      <c r="DD426" s="35"/>
      <c r="DE426" s="35"/>
      <c r="DF426" s="35"/>
      <c r="DG426" s="35"/>
      <c r="DH426" s="35"/>
      <c r="DI426" s="35"/>
      <c r="DJ426" s="35"/>
    </row>
    <row r="427" spans="1:114" x14ac:dyDescent="0.25">
      <c r="A427" s="34"/>
      <c r="B427" s="34"/>
      <c r="C427" s="34"/>
      <c r="D427" s="34"/>
      <c r="E427" s="34"/>
      <c r="F427" s="34"/>
      <c r="G427" s="34"/>
      <c r="H427" s="34"/>
      <c r="I427" s="34"/>
      <c r="J427" s="34"/>
      <c r="K427" s="34"/>
      <c r="L427" s="34"/>
      <c r="M427" s="34"/>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c r="BO427" s="35"/>
      <c r="BP427" s="35"/>
      <c r="BQ427" s="35"/>
      <c r="BR427" s="35"/>
      <c r="BS427" s="35"/>
      <c r="BT427" s="35"/>
      <c r="BU427" s="35"/>
      <c r="BV427" s="35"/>
      <c r="BW427" s="35"/>
      <c r="BX427" s="35"/>
      <c r="BY427" s="35"/>
      <c r="BZ427" s="35"/>
      <c r="CA427" s="35"/>
      <c r="CB427" s="35"/>
      <c r="CC427" s="35"/>
      <c r="CD427" s="35"/>
      <c r="CE427" s="35"/>
      <c r="CF427" s="35"/>
      <c r="CG427" s="35"/>
      <c r="CH427" s="35"/>
      <c r="CI427" s="35"/>
      <c r="CJ427" s="35"/>
      <c r="CK427" s="35"/>
      <c r="CL427" s="35"/>
      <c r="CM427" s="35"/>
      <c r="CN427" s="35"/>
      <c r="CO427" s="35"/>
      <c r="CP427" s="35"/>
      <c r="CQ427" s="35"/>
      <c r="CR427" s="35"/>
      <c r="CS427" s="35"/>
      <c r="CT427" s="35"/>
      <c r="CU427" s="35"/>
      <c r="CV427" s="35"/>
      <c r="CW427" s="35"/>
      <c r="CX427" s="35"/>
      <c r="CY427" s="35"/>
      <c r="CZ427" s="35"/>
      <c r="DA427" s="35"/>
      <c r="DB427" s="35"/>
      <c r="DC427" s="35"/>
      <c r="DD427" s="35"/>
      <c r="DE427" s="35"/>
      <c r="DF427" s="35"/>
      <c r="DG427" s="35"/>
      <c r="DH427" s="35"/>
      <c r="DI427" s="35"/>
      <c r="DJ427" s="35"/>
    </row>
    <row r="428" spans="1:114" x14ac:dyDescent="0.25">
      <c r="A428" s="34"/>
      <c r="B428" s="34"/>
      <c r="C428" s="34"/>
      <c r="D428" s="34"/>
      <c r="E428" s="34"/>
      <c r="F428" s="34"/>
      <c r="G428" s="34"/>
      <c r="H428" s="34"/>
      <c r="I428" s="34"/>
      <c r="J428" s="34"/>
      <c r="K428" s="34"/>
      <c r="L428" s="34"/>
      <c r="M428" s="34"/>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c r="BO428" s="35"/>
      <c r="BP428" s="35"/>
      <c r="BQ428" s="35"/>
      <c r="BR428" s="35"/>
      <c r="BS428" s="35"/>
      <c r="BT428" s="35"/>
      <c r="BU428" s="35"/>
      <c r="BV428" s="35"/>
      <c r="BW428" s="35"/>
      <c r="BX428" s="35"/>
      <c r="BY428" s="35"/>
      <c r="BZ428" s="35"/>
      <c r="CA428" s="35"/>
      <c r="CB428" s="35"/>
      <c r="CC428" s="35"/>
      <c r="CD428" s="35"/>
      <c r="CE428" s="35"/>
      <c r="CF428" s="35"/>
      <c r="CG428" s="35"/>
      <c r="CH428" s="35"/>
      <c r="CI428" s="35"/>
      <c r="CJ428" s="35"/>
      <c r="CK428" s="35"/>
      <c r="CL428" s="35"/>
      <c r="CM428" s="35"/>
      <c r="CN428" s="35"/>
      <c r="CO428" s="35"/>
      <c r="CP428" s="35"/>
      <c r="CQ428" s="35"/>
      <c r="CR428" s="35"/>
      <c r="CS428" s="35"/>
      <c r="CT428" s="35"/>
      <c r="CU428" s="35"/>
      <c r="CV428" s="35"/>
      <c r="CW428" s="35"/>
      <c r="CX428" s="35"/>
      <c r="CY428" s="35"/>
      <c r="CZ428" s="35"/>
      <c r="DA428" s="35"/>
      <c r="DB428" s="35"/>
      <c r="DC428" s="35"/>
      <c r="DD428" s="35"/>
      <c r="DE428" s="35"/>
      <c r="DF428" s="35"/>
      <c r="DG428" s="35"/>
      <c r="DH428" s="35"/>
      <c r="DI428" s="35"/>
      <c r="DJ428" s="35"/>
    </row>
    <row r="429" spans="1:114" x14ac:dyDescent="0.25">
      <c r="A429" s="34"/>
      <c r="B429" s="34"/>
      <c r="C429" s="34"/>
      <c r="D429" s="34"/>
      <c r="E429" s="34"/>
      <c r="F429" s="34"/>
      <c r="G429" s="34"/>
      <c r="H429" s="34"/>
      <c r="I429" s="34"/>
      <c r="J429" s="34"/>
      <c r="K429" s="34"/>
      <c r="L429" s="34"/>
      <c r="M429" s="34"/>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c r="BO429" s="35"/>
      <c r="BP429" s="35"/>
      <c r="BQ429" s="35"/>
      <c r="BR429" s="35"/>
      <c r="BS429" s="35"/>
      <c r="BT429" s="35"/>
      <c r="BU429" s="35"/>
      <c r="BV429" s="35"/>
      <c r="BW429" s="35"/>
      <c r="BX429" s="35"/>
      <c r="BY429" s="35"/>
      <c r="BZ429" s="35"/>
      <c r="CA429" s="35"/>
      <c r="CB429" s="35"/>
      <c r="CC429" s="35"/>
      <c r="CD429" s="35"/>
      <c r="CE429" s="35"/>
      <c r="CF429" s="35"/>
      <c r="CG429" s="35"/>
      <c r="CH429" s="35"/>
      <c r="CI429" s="35"/>
      <c r="CJ429" s="35"/>
      <c r="CK429" s="35"/>
      <c r="CL429" s="35"/>
      <c r="CM429" s="35"/>
      <c r="CN429" s="35"/>
      <c r="CO429" s="35"/>
      <c r="CP429" s="35"/>
      <c r="CQ429" s="35"/>
      <c r="CR429" s="35"/>
      <c r="CS429" s="35"/>
      <c r="CT429" s="35"/>
      <c r="CU429" s="35"/>
      <c r="CV429" s="35"/>
      <c r="CW429" s="35"/>
      <c r="CX429" s="35"/>
      <c r="CY429" s="35"/>
      <c r="CZ429" s="35"/>
      <c r="DA429" s="35"/>
      <c r="DB429" s="35"/>
      <c r="DC429" s="35"/>
      <c r="DD429" s="35"/>
      <c r="DE429" s="35"/>
      <c r="DF429" s="35"/>
      <c r="DG429" s="35"/>
      <c r="DH429" s="35"/>
      <c r="DI429" s="35"/>
      <c r="DJ429" s="35"/>
    </row>
    <row r="430" spans="1:114" x14ac:dyDescent="0.25">
      <c r="A430" s="34"/>
      <c r="B430" s="34"/>
      <c r="C430" s="34"/>
      <c r="D430" s="34"/>
      <c r="E430" s="34"/>
      <c r="F430" s="34"/>
      <c r="G430" s="34"/>
      <c r="H430" s="34"/>
      <c r="I430" s="34"/>
      <c r="J430" s="34"/>
      <c r="K430" s="34"/>
      <c r="L430" s="34"/>
      <c r="M430" s="34"/>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c r="BO430" s="35"/>
      <c r="BP430" s="35"/>
      <c r="BQ430" s="35"/>
      <c r="BR430" s="35"/>
      <c r="BS430" s="35"/>
      <c r="BT430" s="35"/>
      <c r="BU430" s="35"/>
      <c r="BV430" s="35"/>
      <c r="BW430" s="35"/>
      <c r="BX430" s="35"/>
      <c r="BY430" s="35"/>
      <c r="BZ430" s="35"/>
      <c r="CA430" s="35"/>
      <c r="CB430" s="35"/>
      <c r="CC430" s="35"/>
      <c r="CD430" s="35"/>
      <c r="CE430" s="35"/>
      <c r="CF430" s="35"/>
      <c r="CG430" s="35"/>
      <c r="CH430" s="35"/>
      <c r="CI430" s="35"/>
      <c r="CJ430" s="35"/>
      <c r="CK430" s="35"/>
      <c r="CL430" s="35"/>
      <c r="CM430" s="35"/>
      <c r="CN430" s="35"/>
      <c r="CO430" s="35"/>
      <c r="CP430" s="35"/>
      <c r="CQ430" s="35"/>
      <c r="CR430" s="35"/>
      <c r="CS430" s="35"/>
      <c r="CT430" s="35"/>
      <c r="CU430" s="35"/>
      <c r="CV430" s="35"/>
      <c r="CW430" s="35"/>
      <c r="CX430" s="35"/>
      <c r="CY430" s="35"/>
      <c r="CZ430" s="35"/>
      <c r="DA430" s="35"/>
      <c r="DB430" s="35"/>
      <c r="DC430" s="35"/>
      <c r="DD430" s="35"/>
      <c r="DE430" s="35"/>
      <c r="DF430" s="35"/>
      <c r="DG430" s="35"/>
      <c r="DH430" s="35"/>
      <c r="DI430" s="35"/>
      <c r="DJ430" s="35"/>
    </row>
    <row r="431" spans="1:114" x14ac:dyDescent="0.25">
      <c r="A431" s="34"/>
      <c r="B431" s="34"/>
      <c r="C431" s="34"/>
      <c r="D431" s="34"/>
      <c r="E431" s="34"/>
      <c r="F431" s="34"/>
      <c r="G431" s="34"/>
      <c r="H431" s="34"/>
      <c r="I431" s="34"/>
      <c r="J431" s="34"/>
      <c r="K431" s="34"/>
      <c r="L431" s="34"/>
      <c r="M431" s="34"/>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35"/>
      <c r="CC431" s="35"/>
      <c r="CD431" s="35"/>
      <c r="CE431" s="35"/>
      <c r="CF431" s="35"/>
      <c r="CG431" s="35"/>
      <c r="CH431" s="35"/>
      <c r="CI431" s="35"/>
      <c r="CJ431" s="35"/>
      <c r="CK431" s="35"/>
      <c r="CL431" s="35"/>
      <c r="CM431" s="35"/>
      <c r="CN431" s="35"/>
      <c r="CO431" s="35"/>
      <c r="CP431" s="35"/>
      <c r="CQ431" s="35"/>
      <c r="CR431" s="35"/>
      <c r="CS431" s="35"/>
      <c r="CT431" s="35"/>
      <c r="CU431" s="35"/>
      <c r="CV431" s="35"/>
      <c r="CW431" s="35"/>
      <c r="CX431" s="35"/>
      <c r="CY431" s="35"/>
      <c r="CZ431" s="35"/>
      <c r="DA431" s="35"/>
      <c r="DB431" s="35"/>
      <c r="DC431" s="35"/>
      <c r="DD431" s="35"/>
      <c r="DE431" s="35"/>
      <c r="DF431" s="35"/>
      <c r="DG431" s="35"/>
      <c r="DH431" s="35"/>
      <c r="DI431" s="35"/>
      <c r="DJ431" s="35"/>
    </row>
    <row r="432" spans="1:114" x14ac:dyDescent="0.25">
      <c r="A432" s="34"/>
      <c r="B432" s="34"/>
      <c r="C432" s="34"/>
      <c r="D432" s="34"/>
      <c r="E432" s="34"/>
      <c r="F432" s="34"/>
      <c r="G432" s="34"/>
      <c r="H432" s="34"/>
      <c r="I432" s="34"/>
      <c r="J432" s="34"/>
      <c r="K432" s="34"/>
      <c r="L432" s="34"/>
      <c r="M432" s="34"/>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c r="CE432" s="35"/>
      <c r="CF432" s="35"/>
      <c r="CG432" s="35"/>
      <c r="CH432" s="35"/>
      <c r="CI432" s="35"/>
      <c r="CJ432" s="35"/>
      <c r="CK432" s="35"/>
      <c r="CL432" s="35"/>
      <c r="CM432" s="35"/>
      <c r="CN432" s="35"/>
      <c r="CO432" s="35"/>
      <c r="CP432" s="35"/>
      <c r="CQ432" s="35"/>
      <c r="CR432" s="35"/>
      <c r="CS432" s="35"/>
      <c r="CT432" s="35"/>
      <c r="CU432" s="35"/>
      <c r="CV432" s="35"/>
      <c r="CW432" s="35"/>
      <c r="CX432" s="35"/>
      <c r="CY432" s="35"/>
      <c r="CZ432" s="35"/>
      <c r="DA432" s="35"/>
      <c r="DB432" s="35"/>
      <c r="DC432" s="35"/>
      <c r="DD432" s="35"/>
      <c r="DE432" s="35"/>
      <c r="DF432" s="35"/>
      <c r="DG432" s="35"/>
      <c r="DH432" s="35"/>
      <c r="DI432" s="35"/>
      <c r="DJ432" s="35"/>
    </row>
    <row r="433" spans="1:114" x14ac:dyDescent="0.25">
      <c r="A433" s="34"/>
      <c r="B433" s="34"/>
      <c r="C433" s="34"/>
      <c r="D433" s="34"/>
      <c r="E433" s="34"/>
      <c r="F433" s="34"/>
      <c r="G433" s="34"/>
      <c r="H433" s="34"/>
      <c r="I433" s="34"/>
      <c r="J433" s="34"/>
      <c r="K433" s="34"/>
      <c r="L433" s="34"/>
      <c r="M433" s="34"/>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c r="CE433" s="35"/>
      <c r="CF433" s="35"/>
      <c r="CG433" s="35"/>
      <c r="CH433" s="35"/>
      <c r="CI433" s="35"/>
      <c r="CJ433" s="35"/>
      <c r="CK433" s="35"/>
      <c r="CL433" s="35"/>
      <c r="CM433" s="35"/>
      <c r="CN433" s="35"/>
      <c r="CO433" s="35"/>
      <c r="CP433" s="35"/>
      <c r="CQ433" s="35"/>
      <c r="CR433" s="35"/>
      <c r="CS433" s="35"/>
      <c r="CT433" s="35"/>
      <c r="CU433" s="35"/>
      <c r="CV433" s="35"/>
      <c r="CW433" s="35"/>
      <c r="CX433" s="35"/>
      <c r="CY433" s="35"/>
      <c r="CZ433" s="35"/>
      <c r="DA433" s="35"/>
      <c r="DB433" s="35"/>
      <c r="DC433" s="35"/>
      <c r="DD433" s="35"/>
      <c r="DE433" s="35"/>
      <c r="DF433" s="35"/>
      <c r="DG433" s="35"/>
      <c r="DH433" s="35"/>
      <c r="DI433" s="35"/>
      <c r="DJ433" s="35"/>
    </row>
    <row r="434" spans="1:114" x14ac:dyDescent="0.25">
      <c r="A434" s="34"/>
      <c r="B434" s="34"/>
      <c r="C434" s="34"/>
      <c r="D434" s="34"/>
      <c r="E434" s="34"/>
      <c r="F434" s="34"/>
      <c r="G434" s="34"/>
      <c r="H434" s="34"/>
      <c r="I434" s="34"/>
      <c r="J434" s="34"/>
      <c r="K434" s="34"/>
      <c r="L434" s="34"/>
      <c r="M434" s="34"/>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c r="CE434" s="35"/>
      <c r="CF434" s="35"/>
      <c r="CG434" s="35"/>
      <c r="CH434" s="35"/>
      <c r="CI434" s="35"/>
      <c r="CJ434" s="35"/>
      <c r="CK434" s="35"/>
      <c r="CL434" s="35"/>
      <c r="CM434" s="35"/>
      <c r="CN434" s="35"/>
      <c r="CO434" s="35"/>
      <c r="CP434" s="35"/>
      <c r="CQ434" s="35"/>
      <c r="CR434" s="35"/>
      <c r="CS434" s="35"/>
      <c r="CT434" s="35"/>
      <c r="CU434" s="35"/>
      <c r="CV434" s="35"/>
      <c r="CW434" s="35"/>
      <c r="CX434" s="35"/>
      <c r="CY434" s="35"/>
      <c r="CZ434" s="35"/>
      <c r="DA434" s="35"/>
      <c r="DB434" s="35"/>
      <c r="DC434" s="35"/>
      <c r="DD434" s="35"/>
      <c r="DE434" s="35"/>
      <c r="DF434" s="35"/>
      <c r="DG434" s="35"/>
      <c r="DH434" s="35"/>
      <c r="DI434" s="35"/>
      <c r="DJ434" s="35"/>
    </row>
    <row r="435" spans="1:114" x14ac:dyDescent="0.25">
      <c r="A435" s="34"/>
      <c r="B435" s="34"/>
      <c r="C435" s="34"/>
      <c r="D435" s="34"/>
      <c r="E435" s="34"/>
      <c r="F435" s="34"/>
      <c r="G435" s="34"/>
      <c r="H435" s="34"/>
      <c r="I435" s="34"/>
      <c r="J435" s="34"/>
      <c r="K435" s="34"/>
      <c r="L435" s="34"/>
      <c r="M435" s="34"/>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c r="CE435" s="35"/>
      <c r="CF435" s="35"/>
      <c r="CG435" s="35"/>
      <c r="CH435" s="35"/>
      <c r="CI435" s="35"/>
      <c r="CJ435" s="35"/>
      <c r="CK435" s="35"/>
      <c r="CL435" s="35"/>
      <c r="CM435" s="35"/>
      <c r="CN435" s="35"/>
      <c r="CO435" s="35"/>
      <c r="CP435" s="35"/>
      <c r="CQ435" s="35"/>
      <c r="CR435" s="35"/>
      <c r="CS435" s="35"/>
      <c r="CT435" s="35"/>
      <c r="CU435" s="35"/>
      <c r="CV435" s="35"/>
      <c r="CW435" s="35"/>
      <c r="CX435" s="35"/>
      <c r="CY435" s="35"/>
      <c r="CZ435" s="35"/>
      <c r="DA435" s="35"/>
      <c r="DB435" s="35"/>
      <c r="DC435" s="35"/>
      <c r="DD435" s="35"/>
      <c r="DE435" s="35"/>
      <c r="DF435" s="35"/>
      <c r="DG435" s="35"/>
      <c r="DH435" s="35"/>
      <c r="DI435" s="35"/>
      <c r="DJ435" s="35"/>
    </row>
    <row r="436" spans="1:114" x14ac:dyDescent="0.25">
      <c r="A436" s="34"/>
      <c r="B436" s="34"/>
      <c r="C436" s="34"/>
      <c r="D436" s="34"/>
      <c r="E436" s="34"/>
      <c r="F436" s="34"/>
      <c r="G436" s="34"/>
      <c r="H436" s="34"/>
      <c r="I436" s="34"/>
      <c r="J436" s="34"/>
      <c r="K436" s="34"/>
      <c r="L436" s="34"/>
      <c r="M436" s="34"/>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c r="CE436" s="35"/>
      <c r="CF436" s="35"/>
      <c r="CG436" s="35"/>
      <c r="CH436" s="35"/>
      <c r="CI436" s="35"/>
      <c r="CJ436" s="35"/>
      <c r="CK436" s="35"/>
      <c r="CL436" s="35"/>
      <c r="CM436" s="35"/>
      <c r="CN436" s="35"/>
      <c r="CO436" s="35"/>
      <c r="CP436" s="35"/>
      <c r="CQ436" s="35"/>
      <c r="CR436" s="35"/>
      <c r="CS436" s="35"/>
      <c r="CT436" s="35"/>
      <c r="CU436" s="35"/>
      <c r="CV436" s="35"/>
      <c r="CW436" s="35"/>
      <c r="CX436" s="35"/>
      <c r="CY436" s="35"/>
      <c r="CZ436" s="35"/>
      <c r="DA436" s="35"/>
      <c r="DB436" s="35"/>
      <c r="DC436" s="35"/>
      <c r="DD436" s="35"/>
      <c r="DE436" s="35"/>
      <c r="DF436" s="35"/>
      <c r="DG436" s="35"/>
      <c r="DH436" s="35"/>
      <c r="DI436" s="35"/>
      <c r="DJ436" s="35"/>
    </row>
    <row r="437" spans="1:114" x14ac:dyDescent="0.25">
      <c r="A437" s="34"/>
      <c r="B437" s="34"/>
      <c r="C437" s="34"/>
      <c r="D437" s="34"/>
      <c r="E437" s="34"/>
      <c r="F437" s="34"/>
      <c r="G437" s="34"/>
      <c r="H437" s="34"/>
      <c r="I437" s="34"/>
      <c r="J437" s="34"/>
      <c r="K437" s="34"/>
      <c r="L437" s="34"/>
      <c r="M437" s="34"/>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c r="CE437" s="35"/>
      <c r="CF437" s="35"/>
      <c r="CG437" s="35"/>
      <c r="CH437" s="35"/>
      <c r="CI437" s="35"/>
      <c r="CJ437" s="35"/>
      <c r="CK437" s="35"/>
      <c r="CL437" s="35"/>
      <c r="CM437" s="35"/>
      <c r="CN437" s="35"/>
      <c r="CO437" s="35"/>
      <c r="CP437" s="35"/>
      <c r="CQ437" s="35"/>
      <c r="CR437" s="35"/>
      <c r="CS437" s="35"/>
      <c r="CT437" s="35"/>
      <c r="CU437" s="35"/>
      <c r="CV437" s="35"/>
      <c r="CW437" s="35"/>
      <c r="CX437" s="35"/>
      <c r="CY437" s="35"/>
      <c r="CZ437" s="35"/>
      <c r="DA437" s="35"/>
      <c r="DB437" s="35"/>
      <c r="DC437" s="35"/>
      <c r="DD437" s="35"/>
      <c r="DE437" s="35"/>
      <c r="DF437" s="35"/>
      <c r="DG437" s="35"/>
      <c r="DH437" s="35"/>
      <c r="DI437" s="35"/>
      <c r="DJ437" s="35"/>
    </row>
    <row r="438" spans="1:114" x14ac:dyDescent="0.25">
      <c r="A438" s="34"/>
      <c r="B438" s="34"/>
      <c r="C438" s="34"/>
      <c r="D438" s="34"/>
      <c r="E438" s="34"/>
      <c r="F438" s="34"/>
      <c r="G438" s="34"/>
      <c r="H438" s="34"/>
      <c r="I438" s="34"/>
      <c r="J438" s="34"/>
      <c r="K438" s="34"/>
      <c r="L438" s="34"/>
      <c r="M438" s="34"/>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c r="CE438" s="35"/>
      <c r="CF438" s="35"/>
      <c r="CG438" s="35"/>
      <c r="CH438" s="35"/>
      <c r="CI438" s="35"/>
      <c r="CJ438" s="35"/>
      <c r="CK438" s="35"/>
      <c r="CL438" s="35"/>
      <c r="CM438" s="35"/>
      <c r="CN438" s="35"/>
      <c r="CO438" s="35"/>
      <c r="CP438" s="35"/>
      <c r="CQ438" s="35"/>
      <c r="CR438" s="35"/>
      <c r="CS438" s="35"/>
      <c r="CT438" s="35"/>
      <c r="CU438" s="35"/>
      <c r="CV438" s="35"/>
      <c r="CW438" s="35"/>
      <c r="CX438" s="35"/>
      <c r="CY438" s="35"/>
      <c r="CZ438" s="35"/>
      <c r="DA438" s="35"/>
      <c r="DB438" s="35"/>
      <c r="DC438" s="35"/>
      <c r="DD438" s="35"/>
      <c r="DE438" s="35"/>
      <c r="DF438" s="35"/>
      <c r="DG438" s="35"/>
      <c r="DH438" s="35"/>
      <c r="DI438" s="35"/>
      <c r="DJ438" s="35"/>
    </row>
    <row r="439" spans="1:114" x14ac:dyDescent="0.25">
      <c r="A439" s="34"/>
      <c r="B439" s="34"/>
      <c r="C439" s="34"/>
      <c r="D439" s="34"/>
      <c r="E439" s="34"/>
      <c r="F439" s="34"/>
      <c r="G439" s="34"/>
      <c r="H439" s="34"/>
      <c r="I439" s="34"/>
      <c r="J439" s="34"/>
      <c r="K439" s="34"/>
      <c r="L439" s="34"/>
      <c r="M439" s="34"/>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c r="CE439" s="35"/>
      <c r="CF439" s="35"/>
      <c r="CG439" s="35"/>
      <c r="CH439" s="35"/>
      <c r="CI439" s="35"/>
      <c r="CJ439" s="35"/>
      <c r="CK439" s="35"/>
      <c r="CL439" s="35"/>
      <c r="CM439" s="35"/>
      <c r="CN439" s="35"/>
      <c r="CO439" s="35"/>
      <c r="CP439" s="35"/>
      <c r="CQ439" s="35"/>
      <c r="CR439" s="35"/>
      <c r="CS439" s="35"/>
      <c r="CT439" s="35"/>
      <c r="CU439" s="35"/>
      <c r="CV439" s="35"/>
      <c r="CW439" s="35"/>
      <c r="CX439" s="35"/>
      <c r="CY439" s="35"/>
      <c r="CZ439" s="35"/>
      <c r="DA439" s="35"/>
      <c r="DB439" s="35"/>
      <c r="DC439" s="35"/>
      <c r="DD439" s="35"/>
      <c r="DE439" s="35"/>
      <c r="DF439" s="35"/>
      <c r="DG439" s="35"/>
      <c r="DH439" s="35"/>
      <c r="DI439" s="35"/>
      <c r="DJ439" s="35"/>
    </row>
    <row r="440" spans="1:114" x14ac:dyDescent="0.25">
      <c r="A440" s="34"/>
      <c r="B440" s="34"/>
      <c r="C440" s="34"/>
      <c r="D440" s="34"/>
      <c r="E440" s="34"/>
      <c r="F440" s="34"/>
      <c r="G440" s="34"/>
      <c r="H440" s="34"/>
      <c r="I440" s="34"/>
      <c r="J440" s="34"/>
      <c r="K440" s="34"/>
      <c r="L440" s="34"/>
      <c r="M440" s="34"/>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c r="CE440" s="35"/>
      <c r="CF440" s="35"/>
      <c r="CG440" s="35"/>
      <c r="CH440" s="35"/>
      <c r="CI440" s="35"/>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c r="DH440" s="35"/>
      <c r="DI440" s="35"/>
      <c r="DJ440" s="35"/>
    </row>
    <row r="441" spans="1:114" x14ac:dyDescent="0.25">
      <c r="A441" s="34"/>
      <c r="B441" s="34"/>
      <c r="C441" s="34"/>
      <c r="D441" s="34"/>
      <c r="E441" s="34"/>
      <c r="F441" s="34"/>
      <c r="G441" s="34"/>
      <c r="H441" s="34"/>
      <c r="I441" s="34"/>
      <c r="J441" s="34"/>
      <c r="K441" s="34"/>
      <c r="L441" s="34"/>
      <c r="M441" s="34"/>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c r="CE441" s="35"/>
      <c r="CF441" s="35"/>
      <c r="CG441" s="35"/>
      <c r="CH441" s="35"/>
      <c r="CI441" s="35"/>
      <c r="CJ441" s="35"/>
      <c r="CK441" s="35"/>
      <c r="CL441" s="35"/>
      <c r="CM441" s="35"/>
      <c r="CN441" s="35"/>
      <c r="CO441" s="35"/>
      <c r="CP441" s="35"/>
      <c r="CQ441" s="35"/>
      <c r="CR441" s="35"/>
      <c r="CS441" s="35"/>
      <c r="CT441" s="35"/>
      <c r="CU441" s="35"/>
      <c r="CV441" s="35"/>
      <c r="CW441" s="35"/>
      <c r="CX441" s="35"/>
      <c r="CY441" s="35"/>
      <c r="CZ441" s="35"/>
      <c r="DA441" s="35"/>
      <c r="DB441" s="35"/>
      <c r="DC441" s="35"/>
      <c r="DD441" s="35"/>
      <c r="DE441" s="35"/>
      <c r="DF441" s="35"/>
      <c r="DG441" s="35"/>
      <c r="DH441" s="35"/>
      <c r="DI441" s="35"/>
      <c r="DJ441" s="35"/>
    </row>
    <row r="442" spans="1:114" x14ac:dyDescent="0.25">
      <c r="A442" s="34"/>
      <c r="B442" s="34"/>
      <c r="C442" s="34"/>
      <c r="D442" s="34"/>
      <c r="E442" s="34"/>
      <c r="F442" s="34"/>
      <c r="G442" s="34"/>
      <c r="H442" s="34"/>
      <c r="I442" s="34"/>
      <c r="J442" s="34"/>
      <c r="K442" s="34"/>
      <c r="L442" s="34"/>
      <c r="M442" s="34"/>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c r="CE442" s="35"/>
      <c r="CF442" s="35"/>
      <c r="CG442" s="35"/>
      <c r="CH442" s="35"/>
      <c r="CI442" s="35"/>
      <c r="CJ442" s="35"/>
      <c r="CK442" s="35"/>
      <c r="CL442" s="35"/>
      <c r="CM442" s="35"/>
      <c r="CN442" s="35"/>
      <c r="CO442" s="35"/>
      <c r="CP442" s="35"/>
      <c r="CQ442" s="35"/>
      <c r="CR442" s="35"/>
      <c r="CS442" s="35"/>
      <c r="CT442" s="35"/>
      <c r="CU442" s="35"/>
      <c r="CV442" s="35"/>
      <c r="CW442" s="35"/>
      <c r="CX442" s="35"/>
      <c r="CY442" s="35"/>
      <c r="CZ442" s="35"/>
      <c r="DA442" s="35"/>
      <c r="DB442" s="35"/>
      <c r="DC442" s="35"/>
      <c r="DD442" s="35"/>
      <c r="DE442" s="35"/>
      <c r="DF442" s="35"/>
      <c r="DG442" s="35"/>
      <c r="DH442" s="35"/>
      <c r="DI442" s="35"/>
      <c r="DJ442" s="35"/>
    </row>
    <row r="443" spans="1:114" x14ac:dyDescent="0.25">
      <c r="A443" s="34"/>
      <c r="B443" s="34"/>
      <c r="C443" s="34"/>
      <c r="D443" s="34"/>
      <c r="E443" s="34"/>
      <c r="F443" s="34"/>
      <c r="G443" s="34"/>
      <c r="H443" s="34"/>
      <c r="I443" s="34"/>
      <c r="J443" s="34"/>
      <c r="K443" s="34"/>
      <c r="L443" s="34"/>
      <c r="M443" s="34"/>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row>
    <row r="444" spans="1:114" x14ac:dyDescent="0.25">
      <c r="A444" s="34"/>
      <c r="B444" s="34"/>
      <c r="C444" s="34"/>
      <c r="D444" s="34"/>
      <c r="E444" s="34"/>
      <c r="F444" s="34"/>
      <c r="G444" s="34"/>
      <c r="H444" s="34"/>
      <c r="I444" s="34"/>
      <c r="J444" s="34"/>
      <c r="K444" s="34"/>
      <c r="L444" s="34"/>
      <c r="M444" s="34"/>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row>
    <row r="445" spans="1:114" x14ac:dyDescent="0.25">
      <c r="A445" s="34"/>
      <c r="B445" s="34"/>
      <c r="C445" s="34"/>
      <c r="D445" s="34"/>
      <c r="E445" s="34"/>
      <c r="F445" s="34"/>
      <c r="G445" s="34"/>
      <c r="H445" s="34"/>
      <c r="I445" s="34"/>
      <c r="J445" s="34"/>
      <c r="K445" s="34"/>
      <c r="L445" s="34"/>
      <c r="M445" s="34"/>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row>
    <row r="446" spans="1:114" x14ac:dyDescent="0.25">
      <c r="A446" s="34"/>
      <c r="B446" s="34"/>
      <c r="C446" s="34"/>
      <c r="D446" s="34"/>
      <c r="E446" s="34"/>
      <c r="F446" s="34"/>
      <c r="G446" s="34"/>
      <c r="H446" s="34"/>
      <c r="I446" s="34"/>
      <c r="J446" s="34"/>
      <c r="K446" s="34"/>
      <c r="L446" s="34"/>
      <c r="M446" s="34"/>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row>
    <row r="447" spans="1:114" x14ac:dyDescent="0.25">
      <c r="A447" s="34"/>
      <c r="B447" s="34"/>
      <c r="C447" s="34"/>
      <c r="D447" s="34"/>
      <c r="E447" s="34"/>
      <c r="F447" s="34"/>
      <c r="G447" s="34"/>
      <c r="H447" s="34"/>
      <c r="I447" s="34"/>
      <c r="J447" s="34"/>
      <c r="K447" s="34"/>
      <c r="L447" s="34"/>
      <c r="M447" s="34"/>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c r="CZ447" s="35"/>
      <c r="DA447" s="35"/>
      <c r="DB447" s="35"/>
      <c r="DC447" s="35"/>
      <c r="DD447" s="35"/>
      <c r="DE447" s="35"/>
      <c r="DF447" s="35"/>
      <c r="DG447" s="35"/>
      <c r="DH447" s="35"/>
      <c r="DI447" s="35"/>
      <c r="DJ447" s="35"/>
    </row>
    <row r="448" spans="1:114" x14ac:dyDescent="0.25">
      <c r="A448" s="34"/>
      <c r="B448" s="34"/>
      <c r="C448" s="34"/>
      <c r="D448" s="34"/>
      <c r="E448" s="34"/>
      <c r="F448" s="34"/>
      <c r="G448" s="34"/>
      <c r="H448" s="34"/>
      <c r="I448" s="34"/>
      <c r="J448" s="34"/>
      <c r="K448" s="34"/>
      <c r="L448" s="34"/>
      <c r="M448" s="34"/>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c r="CE448" s="35"/>
      <c r="CF448" s="35"/>
      <c r="CG448" s="35"/>
      <c r="CH448" s="35"/>
      <c r="CI448" s="35"/>
      <c r="CJ448" s="35"/>
      <c r="CK448" s="35"/>
      <c r="CL448" s="35"/>
      <c r="CM448" s="35"/>
      <c r="CN448" s="35"/>
      <c r="CO448" s="35"/>
      <c r="CP448" s="35"/>
      <c r="CQ448" s="35"/>
      <c r="CR448" s="35"/>
      <c r="CS448" s="35"/>
      <c r="CT448" s="35"/>
      <c r="CU448" s="35"/>
      <c r="CV448" s="35"/>
      <c r="CW448" s="35"/>
      <c r="CX448" s="35"/>
      <c r="CY448" s="35"/>
      <c r="CZ448" s="35"/>
      <c r="DA448" s="35"/>
      <c r="DB448" s="35"/>
      <c r="DC448" s="35"/>
      <c r="DD448" s="35"/>
      <c r="DE448" s="35"/>
      <c r="DF448" s="35"/>
      <c r="DG448" s="35"/>
      <c r="DH448" s="35"/>
      <c r="DI448" s="35"/>
      <c r="DJ448" s="35"/>
    </row>
    <row r="449" spans="1:114" x14ac:dyDescent="0.25">
      <c r="A449" s="34"/>
      <c r="B449" s="34"/>
      <c r="C449" s="34"/>
      <c r="D449" s="34"/>
      <c r="E449" s="34"/>
      <c r="F449" s="34"/>
      <c r="G449" s="34"/>
      <c r="H449" s="34"/>
      <c r="I449" s="34"/>
      <c r="J449" s="34"/>
      <c r="K449" s="34"/>
      <c r="L449" s="34"/>
      <c r="M449" s="34"/>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c r="CE449" s="35"/>
      <c r="CF449" s="35"/>
      <c r="CG449" s="35"/>
      <c r="CH449" s="35"/>
      <c r="CI449" s="35"/>
      <c r="CJ449" s="35"/>
      <c r="CK449" s="35"/>
      <c r="CL449" s="35"/>
      <c r="CM449" s="35"/>
      <c r="CN449" s="35"/>
      <c r="CO449" s="35"/>
      <c r="CP449" s="35"/>
      <c r="CQ449" s="35"/>
      <c r="CR449" s="35"/>
      <c r="CS449" s="35"/>
      <c r="CT449" s="35"/>
      <c r="CU449" s="35"/>
      <c r="CV449" s="35"/>
      <c r="CW449" s="35"/>
      <c r="CX449" s="35"/>
      <c r="CY449" s="35"/>
      <c r="CZ449" s="35"/>
      <c r="DA449" s="35"/>
      <c r="DB449" s="35"/>
      <c r="DC449" s="35"/>
      <c r="DD449" s="35"/>
      <c r="DE449" s="35"/>
      <c r="DF449" s="35"/>
      <c r="DG449" s="35"/>
      <c r="DH449" s="35"/>
      <c r="DI449" s="35"/>
      <c r="DJ449" s="35"/>
    </row>
    <row r="450" spans="1:114" x14ac:dyDescent="0.25">
      <c r="A450" s="34"/>
      <c r="B450" s="34"/>
      <c r="C450" s="34"/>
      <c r="D450" s="34"/>
      <c r="E450" s="34"/>
      <c r="F450" s="34"/>
      <c r="G450" s="34"/>
      <c r="H450" s="34"/>
      <c r="I450" s="34"/>
      <c r="J450" s="34"/>
      <c r="K450" s="34"/>
      <c r="L450" s="34"/>
      <c r="M450" s="34"/>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c r="CE450" s="35"/>
      <c r="CF450" s="35"/>
      <c r="CG450" s="35"/>
      <c r="CH450" s="35"/>
      <c r="CI450" s="35"/>
      <c r="CJ450" s="35"/>
      <c r="CK450" s="35"/>
      <c r="CL450" s="35"/>
      <c r="CM450" s="35"/>
      <c r="CN450" s="35"/>
      <c r="CO450" s="35"/>
      <c r="CP450" s="35"/>
      <c r="CQ450" s="35"/>
      <c r="CR450" s="35"/>
      <c r="CS450" s="35"/>
      <c r="CT450" s="35"/>
      <c r="CU450" s="35"/>
      <c r="CV450" s="35"/>
      <c r="CW450" s="35"/>
      <c r="CX450" s="35"/>
      <c r="CY450" s="35"/>
      <c r="CZ450" s="35"/>
      <c r="DA450" s="35"/>
      <c r="DB450" s="35"/>
      <c r="DC450" s="35"/>
      <c r="DD450" s="35"/>
      <c r="DE450" s="35"/>
      <c r="DF450" s="35"/>
      <c r="DG450" s="35"/>
      <c r="DH450" s="35"/>
      <c r="DI450" s="35"/>
      <c r="DJ450" s="35"/>
    </row>
    <row r="451" spans="1:114" x14ac:dyDescent="0.25">
      <c r="A451" s="34"/>
      <c r="B451" s="34"/>
      <c r="C451" s="34"/>
      <c r="D451" s="34"/>
      <c r="E451" s="34"/>
      <c r="F451" s="34"/>
      <c r="G451" s="34"/>
      <c r="H451" s="34"/>
      <c r="I451" s="34"/>
      <c r="J451" s="34"/>
      <c r="K451" s="34"/>
      <c r="L451" s="34"/>
      <c r="M451" s="34"/>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c r="CE451" s="35"/>
      <c r="CF451" s="35"/>
      <c r="CG451" s="35"/>
      <c r="CH451" s="35"/>
      <c r="CI451" s="35"/>
      <c r="CJ451" s="35"/>
      <c r="CK451" s="35"/>
      <c r="CL451" s="35"/>
      <c r="CM451" s="35"/>
      <c r="CN451" s="35"/>
      <c r="CO451" s="35"/>
      <c r="CP451" s="35"/>
      <c r="CQ451" s="35"/>
      <c r="CR451" s="35"/>
      <c r="CS451" s="35"/>
      <c r="CT451" s="35"/>
      <c r="CU451" s="35"/>
      <c r="CV451" s="35"/>
      <c r="CW451" s="35"/>
      <c r="CX451" s="35"/>
      <c r="CY451" s="35"/>
      <c r="CZ451" s="35"/>
      <c r="DA451" s="35"/>
      <c r="DB451" s="35"/>
      <c r="DC451" s="35"/>
      <c r="DD451" s="35"/>
      <c r="DE451" s="35"/>
      <c r="DF451" s="35"/>
      <c r="DG451" s="35"/>
      <c r="DH451" s="35"/>
      <c r="DI451" s="35"/>
      <c r="DJ451" s="35"/>
    </row>
    <row r="452" spans="1:114" x14ac:dyDescent="0.25">
      <c r="A452" s="34"/>
      <c r="B452" s="34"/>
      <c r="C452" s="34"/>
      <c r="D452" s="34"/>
      <c r="E452" s="34"/>
      <c r="F452" s="34"/>
      <c r="G452" s="34"/>
      <c r="H452" s="34"/>
      <c r="I452" s="34"/>
      <c r="J452" s="34"/>
      <c r="K452" s="34"/>
      <c r="L452" s="34"/>
      <c r="M452" s="34"/>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c r="CE452" s="35"/>
      <c r="CF452" s="35"/>
      <c r="CG452" s="35"/>
      <c r="CH452" s="35"/>
      <c r="CI452" s="35"/>
      <c r="CJ452" s="35"/>
      <c r="CK452" s="35"/>
      <c r="CL452" s="35"/>
      <c r="CM452" s="35"/>
      <c r="CN452" s="35"/>
      <c r="CO452" s="35"/>
      <c r="CP452" s="35"/>
      <c r="CQ452" s="35"/>
      <c r="CR452" s="35"/>
      <c r="CS452" s="35"/>
      <c r="CT452" s="35"/>
      <c r="CU452" s="35"/>
      <c r="CV452" s="35"/>
      <c r="CW452" s="35"/>
      <c r="CX452" s="35"/>
      <c r="CY452" s="35"/>
      <c r="CZ452" s="35"/>
      <c r="DA452" s="35"/>
      <c r="DB452" s="35"/>
      <c r="DC452" s="35"/>
      <c r="DD452" s="35"/>
      <c r="DE452" s="35"/>
      <c r="DF452" s="35"/>
      <c r="DG452" s="35"/>
      <c r="DH452" s="35"/>
      <c r="DI452" s="35"/>
      <c r="DJ452" s="35"/>
    </row>
    <row r="453" spans="1:114" x14ac:dyDescent="0.25">
      <c r="A453" s="34"/>
      <c r="B453" s="34"/>
      <c r="C453" s="34"/>
      <c r="D453" s="34"/>
      <c r="E453" s="34"/>
      <c r="F453" s="34"/>
      <c r="G453" s="34"/>
      <c r="H453" s="34"/>
      <c r="I453" s="34"/>
      <c r="J453" s="34"/>
      <c r="K453" s="34"/>
      <c r="L453" s="34"/>
      <c r="M453" s="34"/>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c r="CE453" s="35"/>
      <c r="CF453" s="35"/>
      <c r="CG453" s="35"/>
      <c r="CH453" s="35"/>
      <c r="CI453" s="35"/>
      <c r="CJ453" s="35"/>
      <c r="CK453" s="35"/>
      <c r="CL453" s="35"/>
      <c r="CM453" s="35"/>
      <c r="CN453" s="35"/>
      <c r="CO453" s="35"/>
      <c r="CP453" s="35"/>
      <c r="CQ453" s="35"/>
      <c r="CR453" s="35"/>
      <c r="CS453" s="35"/>
      <c r="CT453" s="35"/>
      <c r="CU453" s="35"/>
      <c r="CV453" s="35"/>
      <c r="CW453" s="35"/>
      <c r="CX453" s="35"/>
      <c r="CY453" s="35"/>
      <c r="CZ453" s="35"/>
      <c r="DA453" s="35"/>
      <c r="DB453" s="35"/>
      <c r="DC453" s="35"/>
      <c r="DD453" s="35"/>
      <c r="DE453" s="35"/>
      <c r="DF453" s="35"/>
      <c r="DG453" s="35"/>
      <c r="DH453" s="35"/>
      <c r="DI453" s="35"/>
      <c r="DJ453" s="35"/>
    </row>
    <row r="454" spans="1:114" x14ac:dyDescent="0.25">
      <c r="A454" s="34"/>
      <c r="B454" s="34"/>
      <c r="C454" s="34"/>
      <c r="D454" s="34"/>
      <c r="E454" s="34"/>
      <c r="F454" s="34"/>
      <c r="G454" s="34"/>
      <c r="H454" s="34"/>
      <c r="I454" s="34"/>
      <c r="J454" s="34"/>
      <c r="K454" s="34"/>
      <c r="L454" s="34"/>
      <c r="M454" s="34"/>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c r="CE454" s="35"/>
      <c r="CF454" s="35"/>
      <c r="CG454" s="35"/>
      <c r="CH454" s="35"/>
      <c r="CI454" s="35"/>
      <c r="CJ454" s="35"/>
      <c r="CK454" s="35"/>
      <c r="CL454" s="35"/>
      <c r="CM454" s="35"/>
      <c r="CN454" s="35"/>
      <c r="CO454" s="35"/>
      <c r="CP454" s="35"/>
      <c r="CQ454" s="35"/>
      <c r="CR454" s="35"/>
      <c r="CS454" s="35"/>
      <c r="CT454" s="35"/>
      <c r="CU454" s="35"/>
      <c r="CV454" s="35"/>
      <c r="CW454" s="35"/>
      <c r="CX454" s="35"/>
      <c r="CY454" s="35"/>
      <c r="CZ454" s="35"/>
      <c r="DA454" s="35"/>
      <c r="DB454" s="35"/>
      <c r="DC454" s="35"/>
      <c r="DD454" s="35"/>
      <c r="DE454" s="35"/>
      <c r="DF454" s="35"/>
      <c r="DG454" s="35"/>
      <c r="DH454" s="35"/>
      <c r="DI454" s="35"/>
      <c r="DJ454" s="35"/>
    </row>
    <row r="455" spans="1:114" x14ac:dyDescent="0.25">
      <c r="A455" s="34"/>
      <c r="B455" s="34"/>
      <c r="C455" s="34"/>
      <c r="D455" s="34"/>
      <c r="E455" s="34"/>
      <c r="F455" s="34"/>
      <c r="G455" s="34"/>
      <c r="H455" s="34"/>
      <c r="I455" s="34"/>
      <c r="J455" s="34"/>
      <c r="K455" s="34"/>
      <c r="L455" s="34"/>
      <c r="M455" s="34"/>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35"/>
      <c r="DG455" s="35"/>
      <c r="DH455" s="35"/>
      <c r="DI455" s="35"/>
      <c r="DJ455" s="35"/>
    </row>
    <row r="456" spans="1:114" x14ac:dyDescent="0.25">
      <c r="A456" s="34"/>
      <c r="B456" s="34"/>
      <c r="C456" s="34"/>
      <c r="D456" s="34"/>
      <c r="E456" s="34"/>
      <c r="F456" s="34"/>
      <c r="G456" s="34"/>
      <c r="H456" s="34"/>
      <c r="I456" s="34"/>
      <c r="J456" s="34"/>
      <c r="K456" s="34"/>
      <c r="L456" s="34"/>
      <c r="M456" s="34"/>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c r="BK456" s="35"/>
      <c r="BL456" s="35"/>
      <c r="BM456" s="35"/>
      <c r="BN456" s="35"/>
      <c r="BO456" s="35"/>
      <c r="BP456" s="35"/>
      <c r="BQ456" s="35"/>
      <c r="BR456" s="35"/>
      <c r="BS456" s="35"/>
      <c r="BT456" s="35"/>
      <c r="BU456" s="35"/>
      <c r="BV456" s="35"/>
      <c r="BW456" s="35"/>
      <c r="BX456" s="35"/>
      <c r="BY456" s="35"/>
      <c r="BZ456" s="35"/>
      <c r="CA456" s="35"/>
      <c r="CB456" s="35"/>
      <c r="CC456" s="35"/>
      <c r="CD456" s="35"/>
      <c r="CE456" s="35"/>
      <c r="CF456" s="35"/>
      <c r="CG456" s="35"/>
      <c r="CH456" s="35"/>
      <c r="CI456" s="35"/>
      <c r="CJ456" s="35"/>
      <c r="CK456" s="35"/>
      <c r="CL456" s="35"/>
      <c r="CM456" s="35"/>
      <c r="CN456" s="35"/>
      <c r="CO456" s="35"/>
      <c r="CP456" s="35"/>
      <c r="CQ456" s="35"/>
      <c r="CR456" s="35"/>
      <c r="CS456" s="35"/>
      <c r="CT456" s="35"/>
      <c r="CU456" s="35"/>
      <c r="CV456" s="35"/>
      <c r="CW456" s="35"/>
      <c r="CX456" s="35"/>
      <c r="CY456" s="35"/>
      <c r="CZ456" s="35"/>
      <c r="DA456" s="35"/>
      <c r="DB456" s="35"/>
      <c r="DC456" s="35"/>
      <c r="DD456" s="35"/>
      <c r="DE456" s="35"/>
      <c r="DF456" s="35"/>
      <c r="DG456" s="35"/>
      <c r="DH456" s="35"/>
      <c r="DI456" s="35"/>
      <c r="DJ456" s="35"/>
    </row>
    <row r="457" spans="1:114" x14ac:dyDescent="0.25">
      <c r="A457" s="34"/>
      <c r="B457" s="34"/>
      <c r="C457" s="34"/>
      <c r="D457" s="34"/>
      <c r="E457" s="34"/>
      <c r="F457" s="34"/>
      <c r="G457" s="34"/>
      <c r="H457" s="34"/>
      <c r="I457" s="34"/>
      <c r="J457" s="34"/>
      <c r="K457" s="34"/>
      <c r="L457" s="34"/>
      <c r="M457" s="34"/>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35"/>
      <c r="DB457" s="35"/>
      <c r="DC457" s="35"/>
      <c r="DD457" s="35"/>
      <c r="DE457" s="35"/>
      <c r="DF457" s="35"/>
      <c r="DG457" s="35"/>
      <c r="DH457" s="35"/>
      <c r="DI457" s="35"/>
      <c r="DJ457" s="35"/>
    </row>
    <row r="458" spans="1:114" x14ac:dyDescent="0.25">
      <c r="A458" s="34"/>
      <c r="B458" s="34"/>
      <c r="C458" s="34"/>
      <c r="D458" s="34"/>
      <c r="E458" s="34"/>
      <c r="F458" s="34"/>
      <c r="G458" s="34"/>
      <c r="H458" s="34"/>
      <c r="I458" s="34"/>
      <c r="J458" s="34"/>
      <c r="K458" s="34"/>
      <c r="L458" s="34"/>
      <c r="M458" s="34"/>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c r="CE458" s="35"/>
      <c r="CF458" s="35"/>
      <c r="CG458" s="35"/>
      <c r="CH458" s="35"/>
      <c r="CI458" s="35"/>
      <c r="CJ458" s="35"/>
      <c r="CK458" s="35"/>
      <c r="CL458" s="35"/>
      <c r="CM458" s="35"/>
      <c r="CN458" s="35"/>
      <c r="CO458" s="35"/>
      <c r="CP458" s="35"/>
      <c r="CQ458" s="35"/>
      <c r="CR458" s="35"/>
      <c r="CS458" s="35"/>
      <c r="CT458" s="35"/>
      <c r="CU458" s="35"/>
      <c r="CV458" s="35"/>
      <c r="CW458" s="35"/>
      <c r="CX458" s="35"/>
      <c r="CY458" s="35"/>
      <c r="CZ458" s="35"/>
      <c r="DA458" s="35"/>
      <c r="DB458" s="35"/>
      <c r="DC458" s="35"/>
      <c r="DD458" s="35"/>
      <c r="DE458" s="35"/>
      <c r="DF458" s="35"/>
      <c r="DG458" s="35"/>
      <c r="DH458" s="35"/>
      <c r="DI458" s="35"/>
      <c r="DJ458" s="35"/>
    </row>
    <row r="459" spans="1:114" x14ac:dyDescent="0.25">
      <c r="A459" s="34"/>
      <c r="B459" s="34"/>
      <c r="C459" s="34"/>
      <c r="D459" s="34"/>
      <c r="E459" s="34"/>
      <c r="F459" s="34"/>
      <c r="G459" s="34"/>
      <c r="H459" s="34"/>
      <c r="I459" s="34"/>
      <c r="J459" s="34"/>
      <c r="K459" s="34"/>
      <c r="L459" s="34"/>
      <c r="M459" s="34"/>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c r="CC459" s="35"/>
      <c r="CD459" s="35"/>
      <c r="CE459" s="35"/>
      <c r="CF459" s="35"/>
      <c r="CG459" s="35"/>
      <c r="CH459" s="35"/>
      <c r="CI459" s="35"/>
      <c r="CJ459" s="35"/>
      <c r="CK459" s="35"/>
      <c r="CL459" s="35"/>
      <c r="CM459" s="35"/>
      <c r="CN459" s="35"/>
      <c r="CO459" s="35"/>
      <c r="CP459" s="35"/>
      <c r="CQ459" s="35"/>
      <c r="CR459" s="35"/>
      <c r="CS459" s="35"/>
      <c r="CT459" s="35"/>
      <c r="CU459" s="35"/>
      <c r="CV459" s="35"/>
      <c r="CW459" s="35"/>
      <c r="CX459" s="35"/>
      <c r="CY459" s="35"/>
      <c r="CZ459" s="35"/>
      <c r="DA459" s="35"/>
      <c r="DB459" s="35"/>
      <c r="DC459" s="35"/>
      <c r="DD459" s="35"/>
      <c r="DE459" s="35"/>
      <c r="DF459" s="35"/>
      <c r="DG459" s="35"/>
      <c r="DH459" s="35"/>
      <c r="DI459" s="35"/>
      <c r="DJ459" s="35"/>
    </row>
    <row r="460" spans="1:114" x14ac:dyDescent="0.25">
      <c r="A460" s="34"/>
      <c r="B460" s="34"/>
      <c r="C460" s="34"/>
      <c r="D460" s="34"/>
      <c r="E460" s="34"/>
      <c r="F460" s="34"/>
      <c r="G460" s="34"/>
      <c r="H460" s="34"/>
      <c r="I460" s="34"/>
      <c r="J460" s="34"/>
      <c r="K460" s="34"/>
      <c r="L460" s="34"/>
      <c r="M460" s="34"/>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c r="CC460" s="35"/>
      <c r="CD460" s="35"/>
      <c r="CE460" s="35"/>
      <c r="CF460" s="35"/>
      <c r="CG460" s="35"/>
      <c r="CH460" s="35"/>
      <c r="CI460" s="35"/>
      <c r="CJ460" s="35"/>
      <c r="CK460" s="35"/>
      <c r="CL460" s="35"/>
      <c r="CM460" s="35"/>
      <c r="CN460" s="35"/>
      <c r="CO460" s="35"/>
      <c r="CP460" s="35"/>
      <c r="CQ460" s="35"/>
      <c r="CR460" s="35"/>
      <c r="CS460" s="35"/>
      <c r="CT460" s="35"/>
      <c r="CU460" s="35"/>
      <c r="CV460" s="35"/>
      <c r="CW460" s="35"/>
      <c r="CX460" s="35"/>
      <c r="CY460" s="35"/>
      <c r="CZ460" s="35"/>
      <c r="DA460" s="35"/>
      <c r="DB460" s="35"/>
      <c r="DC460" s="35"/>
      <c r="DD460" s="35"/>
      <c r="DE460" s="35"/>
      <c r="DF460" s="35"/>
      <c r="DG460" s="35"/>
      <c r="DH460" s="35"/>
      <c r="DI460" s="35"/>
      <c r="DJ460" s="35"/>
    </row>
    <row r="461" spans="1:114" x14ac:dyDescent="0.25">
      <c r="A461" s="34"/>
      <c r="B461" s="34"/>
      <c r="C461" s="34"/>
      <c r="D461" s="34"/>
      <c r="E461" s="34"/>
      <c r="F461" s="34"/>
      <c r="G461" s="34"/>
      <c r="H461" s="34"/>
      <c r="I461" s="34"/>
      <c r="J461" s="34"/>
      <c r="K461" s="34"/>
      <c r="L461" s="34"/>
      <c r="M461" s="34"/>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c r="BG461" s="35"/>
      <c r="BH461" s="35"/>
      <c r="BI461" s="35"/>
      <c r="BJ461" s="35"/>
      <c r="BK461" s="35"/>
      <c r="BL461" s="35"/>
      <c r="BM461" s="35"/>
      <c r="BN461" s="35"/>
      <c r="BO461" s="35"/>
      <c r="BP461" s="35"/>
      <c r="BQ461" s="35"/>
      <c r="BR461" s="35"/>
      <c r="BS461" s="35"/>
      <c r="BT461" s="35"/>
      <c r="BU461" s="35"/>
      <c r="BV461" s="35"/>
      <c r="BW461" s="35"/>
      <c r="BX461" s="35"/>
      <c r="BY461" s="35"/>
      <c r="BZ461" s="35"/>
      <c r="CA461" s="35"/>
      <c r="CB461" s="35"/>
      <c r="CC461" s="35"/>
      <c r="CD461" s="35"/>
      <c r="CE461" s="35"/>
      <c r="CF461" s="35"/>
      <c r="CG461" s="35"/>
      <c r="CH461" s="35"/>
      <c r="CI461" s="35"/>
      <c r="CJ461" s="35"/>
      <c r="CK461" s="35"/>
      <c r="CL461" s="35"/>
      <c r="CM461" s="35"/>
      <c r="CN461" s="35"/>
      <c r="CO461" s="35"/>
      <c r="CP461" s="35"/>
      <c r="CQ461" s="35"/>
      <c r="CR461" s="35"/>
      <c r="CS461" s="35"/>
      <c r="CT461" s="35"/>
      <c r="CU461" s="35"/>
      <c r="CV461" s="35"/>
      <c r="CW461" s="35"/>
      <c r="CX461" s="35"/>
      <c r="CY461" s="35"/>
      <c r="CZ461" s="35"/>
      <c r="DA461" s="35"/>
      <c r="DB461" s="35"/>
      <c r="DC461" s="35"/>
      <c r="DD461" s="35"/>
      <c r="DE461" s="35"/>
      <c r="DF461" s="35"/>
      <c r="DG461" s="35"/>
      <c r="DH461" s="35"/>
      <c r="DI461" s="35"/>
      <c r="DJ461" s="35"/>
    </row>
    <row r="462" spans="1:114" x14ac:dyDescent="0.25">
      <c r="A462" s="34"/>
      <c r="B462" s="34"/>
      <c r="C462" s="34"/>
      <c r="D462" s="34"/>
      <c r="E462" s="34"/>
      <c r="F462" s="34"/>
      <c r="G462" s="34"/>
      <c r="H462" s="34"/>
      <c r="I462" s="34"/>
      <c r="J462" s="34"/>
      <c r="K462" s="34"/>
      <c r="L462" s="34"/>
      <c r="M462" s="34"/>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c r="CC462" s="35"/>
      <c r="CD462" s="35"/>
      <c r="CE462" s="35"/>
      <c r="CF462" s="35"/>
      <c r="CG462" s="35"/>
      <c r="CH462" s="35"/>
      <c r="CI462" s="35"/>
      <c r="CJ462" s="35"/>
      <c r="CK462" s="35"/>
      <c r="CL462" s="35"/>
      <c r="CM462" s="35"/>
      <c r="CN462" s="35"/>
      <c r="CO462" s="35"/>
      <c r="CP462" s="35"/>
      <c r="CQ462" s="35"/>
      <c r="CR462" s="35"/>
      <c r="CS462" s="35"/>
      <c r="CT462" s="35"/>
      <c r="CU462" s="35"/>
      <c r="CV462" s="35"/>
      <c r="CW462" s="35"/>
      <c r="CX462" s="35"/>
      <c r="CY462" s="35"/>
      <c r="CZ462" s="35"/>
      <c r="DA462" s="35"/>
      <c r="DB462" s="35"/>
      <c r="DC462" s="35"/>
      <c r="DD462" s="35"/>
      <c r="DE462" s="35"/>
      <c r="DF462" s="35"/>
      <c r="DG462" s="35"/>
      <c r="DH462" s="35"/>
      <c r="DI462" s="35"/>
      <c r="DJ462" s="35"/>
    </row>
    <row r="463" spans="1:114" x14ac:dyDescent="0.25">
      <c r="A463" s="34"/>
      <c r="B463" s="34"/>
      <c r="C463" s="34"/>
      <c r="D463" s="34"/>
      <c r="E463" s="34"/>
      <c r="F463" s="34"/>
      <c r="G463" s="34"/>
      <c r="H463" s="34"/>
      <c r="I463" s="34"/>
      <c r="J463" s="34"/>
      <c r="K463" s="34"/>
      <c r="L463" s="34"/>
      <c r="M463" s="34"/>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M463" s="35"/>
      <c r="BN463" s="35"/>
      <c r="BO463" s="35"/>
      <c r="BP463" s="35"/>
      <c r="BQ463" s="35"/>
      <c r="BR463" s="35"/>
      <c r="BS463" s="35"/>
      <c r="BT463" s="35"/>
      <c r="BU463" s="35"/>
      <c r="BV463" s="35"/>
      <c r="BW463" s="35"/>
      <c r="BX463" s="35"/>
      <c r="BY463" s="35"/>
      <c r="BZ463" s="35"/>
      <c r="CA463" s="35"/>
      <c r="CB463" s="35"/>
      <c r="CC463" s="35"/>
      <c r="CD463" s="35"/>
      <c r="CE463" s="35"/>
      <c r="CF463" s="35"/>
      <c r="CG463" s="35"/>
      <c r="CH463" s="35"/>
      <c r="CI463" s="35"/>
      <c r="CJ463" s="35"/>
      <c r="CK463" s="35"/>
      <c r="CL463" s="35"/>
      <c r="CM463" s="35"/>
      <c r="CN463" s="35"/>
      <c r="CO463" s="35"/>
      <c r="CP463" s="35"/>
      <c r="CQ463" s="35"/>
      <c r="CR463" s="35"/>
      <c r="CS463" s="35"/>
      <c r="CT463" s="35"/>
      <c r="CU463" s="35"/>
      <c r="CV463" s="35"/>
      <c r="CW463" s="35"/>
      <c r="CX463" s="35"/>
      <c r="CY463" s="35"/>
      <c r="CZ463" s="35"/>
      <c r="DA463" s="35"/>
      <c r="DB463" s="35"/>
      <c r="DC463" s="35"/>
      <c r="DD463" s="35"/>
      <c r="DE463" s="35"/>
      <c r="DF463" s="35"/>
      <c r="DG463" s="35"/>
      <c r="DH463" s="35"/>
      <c r="DI463" s="35"/>
      <c r="DJ463" s="35"/>
    </row>
    <row r="464" spans="1:114" x14ac:dyDescent="0.25">
      <c r="A464" s="34"/>
      <c r="B464" s="34"/>
      <c r="C464" s="34"/>
      <c r="D464" s="34"/>
      <c r="E464" s="34"/>
      <c r="F464" s="34"/>
      <c r="G464" s="34"/>
      <c r="H464" s="34"/>
      <c r="I464" s="34"/>
      <c r="J464" s="34"/>
      <c r="K464" s="34"/>
      <c r="L464" s="34"/>
      <c r="M464" s="34"/>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c r="BK464" s="35"/>
      <c r="BL464" s="35"/>
      <c r="BM464" s="35"/>
      <c r="BN464" s="35"/>
      <c r="BO464" s="35"/>
      <c r="BP464" s="35"/>
      <c r="BQ464" s="35"/>
      <c r="BR464" s="35"/>
      <c r="BS464" s="35"/>
      <c r="BT464" s="35"/>
      <c r="BU464" s="35"/>
      <c r="BV464" s="35"/>
      <c r="BW464" s="35"/>
      <c r="BX464" s="35"/>
      <c r="BY464" s="35"/>
      <c r="BZ464" s="35"/>
      <c r="CA464" s="35"/>
      <c r="CB464" s="35"/>
      <c r="CC464" s="35"/>
      <c r="CD464" s="35"/>
      <c r="CE464" s="35"/>
      <c r="CF464" s="35"/>
      <c r="CG464" s="35"/>
      <c r="CH464" s="35"/>
      <c r="CI464" s="35"/>
      <c r="CJ464" s="35"/>
      <c r="CK464" s="35"/>
      <c r="CL464" s="35"/>
      <c r="CM464" s="35"/>
      <c r="CN464" s="35"/>
      <c r="CO464" s="35"/>
      <c r="CP464" s="35"/>
      <c r="CQ464" s="35"/>
      <c r="CR464" s="35"/>
      <c r="CS464" s="35"/>
      <c r="CT464" s="35"/>
      <c r="CU464" s="35"/>
      <c r="CV464" s="35"/>
      <c r="CW464" s="35"/>
      <c r="CX464" s="35"/>
      <c r="CY464" s="35"/>
      <c r="CZ464" s="35"/>
      <c r="DA464" s="35"/>
      <c r="DB464" s="35"/>
      <c r="DC464" s="35"/>
      <c r="DD464" s="35"/>
      <c r="DE464" s="35"/>
      <c r="DF464" s="35"/>
      <c r="DG464" s="35"/>
      <c r="DH464" s="35"/>
      <c r="DI464" s="35"/>
      <c r="DJ464" s="35"/>
    </row>
    <row r="465" spans="1:114" x14ac:dyDescent="0.25">
      <c r="A465" s="34"/>
      <c r="B465" s="34"/>
      <c r="C465" s="34"/>
      <c r="D465" s="34"/>
      <c r="E465" s="34"/>
      <c r="F465" s="34"/>
      <c r="G465" s="34"/>
      <c r="H465" s="34"/>
      <c r="I465" s="34"/>
      <c r="J465" s="34"/>
      <c r="K465" s="34"/>
      <c r="L465" s="34"/>
      <c r="M465" s="34"/>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c r="BG465" s="35"/>
      <c r="BH465" s="35"/>
      <c r="BI465" s="35"/>
      <c r="BJ465" s="35"/>
      <c r="BK465" s="35"/>
      <c r="BL465" s="35"/>
      <c r="BM465" s="35"/>
      <c r="BN465" s="35"/>
      <c r="BO465" s="35"/>
      <c r="BP465" s="35"/>
      <c r="BQ465" s="35"/>
      <c r="BR465" s="35"/>
      <c r="BS465" s="35"/>
      <c r="BT465" s="35"/>
      <c r="BU465" s="35"/>
      <c r="BV465" s="35"/>
      <c r="BW465" s="35"/>
      <c r="BX465" s="35"/>
      <c r="BY465" s="35"/>
      <c r="BZ465" s="35"/>
      <c r="CA465" s="35"/>
      <c r="CB465" s="35"/>
      <c r="CC465" s="35"/>
      <c r="CD465" s="35"/>
      <c r="CE465" s="35"/>
      <c r="CF465" s="35"/>
      <c r="CG465" s="35"/>
      <c r="CH465" s="35"/>
      <c r="CI465" s="35"/>
      <c r="CJ465" s="35"/>
      <c r="CK465" s="35"/>
      <c r="CL465" s="35"/>
      <c r="CM465" s="35"/>
      <c r="CN465" s="35"/>
      <c r="CO465" s="35"/>
      <c r="CP465" s="35"/>
      <c r="CQ465" s="35"/>
      <c r="CR465" s="35"/>
      <c r="CS465" s="35"/>
      <c r="CT465" s="35"/>
      <c r="CU465" s="35"/>
      <c r="CV465" s="35"/>
      <c r="CW465" s="35"/>
      <c r="CX465" s="35"/>
      <c r="CY465" s="35"/>
      <c r="CZ465" s="35"/>
      <c r="DA465" s="35"/>
      <c r="DB465" s="35"/>
      <c r="DC465" s="35"/>
      <c r="DD465" s="35"/>
      <c r="DE465" s="35"/>
      <c r="DF465" s="35"/>
      <c r="DG465" s="35"/>
      <c r="DH465" s="35"/>
      <c r="DI465" s="35"/>
      <c r="DJ465" s="35"/>
    </row>
    <row r="466" spans="1:114" x14ac:dyDescent="0.25">
      <c r="A466" s="34"/>
      <c r="B466" s="34"/>
      <c r="C466" s="34"/>
      <c r="D466" s="34"/>
      <c r="E466" s="34"/>
      <c r="F466" s="34"/>
      <c r="G466" s="34"/>
      <c r="H466" s="34"/>
      <c r="I466" s="34"/>
      <c r="J466" s="34"/>
      <c r="K466" s="34"/>
      <c r="L466" s="34"/>
      <c r="M466" s="34"/>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5"/>
      <c r="CR466" s="35"/>
      <c r="CS466" s="35"/>
      <c r="CT466" s="35"/>
      <c r="CU466" s="35"/>
      <c r="CV466" s="35"/>
      <c r="CW466" s="35"/>
      <c r="CX466" s="35"/>
      <c r="CY466" s="35"/>
      <c r="CZ466" s="35"/>
      <c r="DA466" s="35"/>
      <c r="DB466" s="35"/>
      <c r="DC466" s="35"/>
      <c r="DD466" s="35"/>
      <c r="DE466" s="35"/>
      <c r="DF466" s="35"/>
      <c r="DG466" s="35"/>
      <c r="DH466" s="35"/>
      <c r="DI466" s="35"/>
      <c r="DJ466" s="35"/>
    </row>
    <row r="467" spans="1:114" x14ac:dyDescent="0.25">
      <c r="A467" s="34"/>
      <c r="B467" s="34"/>
      <c r="C467" s="34"/>
      <c r="D467" s="34"/>
      <c r="E467" s="34"/>
      <c r="F467" s="34"/>
      <c r="G467" s="34"/>
      <c r="H467" s="34"/>
      <c r="I467" s="34"/>
      <c r="J467" s="34"/>
      <c r="K467" s="34"/>
      <c r="L467" s="34"/>
      <c r="M467" s="34"/>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row>
    <row r="468" spans="1:114" x14ac:dyDescent="0.25">
      <c r="A468" s="34"/>
      <c r="B468" s="34"/>
      <c r="C468" s="34"/>
      <c r="D468" s="34"/>
      <c r="E468" s="34"/>
      <c r="F468" s="34"/>
      <c r="G468" s="34"/>
      <c r="H468" s="34"/>
      <c r="I468" s="34"/>
      <c r="J468" s="34"/>
      <c r="K468" s="34"/>
      <c r="L468" s="34"/>
      <c r="M468" s="34"/>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c r="DH468" s="35"/>
      <c r="DI468" s="35"/>
      <c r="DJ468" s="35"/>
    </row>
    <row r="469" spans="1:114" x14ac:dyDescent="0.25">
      <c r="A469" s="34"/>
      <c r="B469" s="34"/>
      <c r="C469" s="34"/>
      <c r="D469" s="34"/>
      <c r="E469" s="34"/>
      <c r="F469" s="34"/>
      <c r="G469" s="34"/>
      <c r="H469" s="34"/>
      <c r="I469" s="34"/>
      <c r="J469" s="34"/>
      <c r="K469" s="34"/>
      <c r="L469" s="34"/>
      <c r="M469" s="34"/>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row>
    <row r="470" spans="1:114" x14ac:dyDescent="0.25">
      <c r="A470" s="34"/>
      <c r="B470" s="34"/>
      <c r="C470" s="34"/>
      <c r="D470" s="34"/>
      <c r="E470" s="34"/>
      <c r="F470" s="34"/>
      <c r="G470" s="34"/>
      <c r="H470" s="34"/>
      <c r="I470" s="34"/>
      <c r="J470" s="34"/>
      <c r="K470" s="34"/>
      <c r="L470" s="34"/>
      <c r="M470" s="34"/>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c r="CC470" s="35"/>
      <c r="CD470" s="35"/>
      <c r="CE470" s="3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35"/>
      <c r="DD470" s="35"/>
      <c r="DE470" s="35"/>
      <c r="DF470" s="35"/>
      <c r="DG470" s="35"/>
      <c r="DH470" s="35"/>
      <c r="DI470" s="35"/>
      <c r="DJ470" s="35"/>
    </row>
    <row r="471" spans="1:114" x14ac:dyDescent="0.25">
      <c r="A471" s="34"/>
      <c r="B471" s="34"/>
      <c r="C471" s="34"/>
      <c r="D471" s="34"/>
      <c r="E471" s="34"/>
      <c r="F471" s="34"/>
      <c r="G471" s="34"/>
      <c r="H471" s="34"/>
      <c r="I471" s="34"/>
      <c r="J471" s="34"/>
      <c r="K471" s="34"/>
      <c r="L471" s="34"/>
      <c r="M471" s="34"/>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35"/>
      <c r="DI471" s="35"/>
      <c r="DJ471" s="35"/>
    </row>
    <row r="472" spans="1:114" x14ac:dyDescent="0.25">
      <c r="A472" s="34"/>
      <c r="B472" s="34"/>
      <c r="C472" s="34"/>
      <c r="D472" s="34"/>
      <c r="E472" s="34"/>
      <c r="F472" s="34"/>
      <c r="G472" s="34"/>
      <c r="H472" s="34"/>
      <c r="I472" s="34"/>
      <c r="J472" s="34"/>
      <c r="K472" s="34"/>
      <c r="L472" s="34"/>
      <c r="M472" s="34"/>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35"/>
      <c r="BV472" s="35"/>
      <c r="BW472" s="35"/>
      <c r="BX472" s="35"/>
      <c r="BY472" s="35"/>
      <c r="BZ472" s="35"/>
      <c r="CA472" s="35"/>
      <c r="CB472" s="35"/>
      <c r="CC472" s="35"/>
      <c r="CD472" s="35"/>
      <c r="CE472" s="3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row>
    <row r="473" spans="1:114" x14ac:dyDescent="0.25">
      <c r="A473" s="34"/>
      <c r="B473" s="34"/>
      <c r="C473" s="34"/>
      <c r="D473" s="34"/>
      <c r="E473" s="34"/>
      <c r="F473" s="34"/>
      <c r="G473" s="34"/>
      <c r="H473" s="34"/>
      <c r="I473" s="34"/>
      <c r="J473" s="34"/>
      <c r="K473" s="34"/>
      <c r="L473" s="34"/>
      <c r="M473" s="34"/>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row>
    <row r="474" spans="1:114" x14ac:dyDescent="0.25">
      <c r="A474" s="34"/>
      <c r="B474" s="34"/>
      <c r="C474" s="34"/>
      <c r="D474" s="34"/>
      <c r="E474" s="34"/>
      <c r="F474" s="34"/>
      <c r="G474" s="34"/>
      <c r="H474" s="34"/>
      <c r="I474" s="34"/>
      <c r="J474" s="34"/>
      <c r="K474" s="34"/>
      <c r="L474" s="34"/>
      <c r="M474" s="34"/>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35"/>
      <c r="CD474" s="35"/>
      <c r="CE474" s="35"/>
      <c r="CF474" s="35"/>
      <c r="CG474" s="35"/>
      <c r="CH474" s="35"/>
      <c r="CI474" s="35"/>
      <c r="CJ474" s="35"/>
      <c r="CK474" s="35"/>
      <c r="CL474" s="35"/>
      <c r="CM474" s="35"/>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row>
    <row r="475" spans="1:114" x14ac:dyDescent="0.25">
      <c r="A475" s="34"/>
      <c r="B475" s="34"/>
      <c r="C475" s="34"/>
      <c r="D475" s="34"/>
      <c r="E475" s="34"/>
      <c r="F475" s="34"/>
      <c r="G475" s="34"/>
      <c r="H475" s="34"/>
      <c r="I475" s="34"/>
      <c r="J475" s="34"/>
      <c r="K475" s="34"/>
      <c r="L475" s="34"/>
      <c r="M475" s="34"/>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35"/>
      <c r="CD475" s="35"/>
      <c r="CE475" s="35"/>
      <c r="CF475" s="35"/>
      <c r="CG475" s="35"/>
      <c r="CH475" s="35"/>
      <c r="CI475" s="35"/>
      <c r="CJ475" s="35"/>
      <c r="CK475" s="35"/>
      <c r="CL475" s="35"/>
      <c r="CM475" s="35"/>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row>
    <row r="476" spans="1:114" x14ac:dyDescent="0.25">
      <c r="A476" s="34"/>
      <c r="B476" s="34"/>
      <c r="C476" s="34"/>
      <c r="D476" s="34"/>
      <c r="E476" s="34"/>
      <c r="F476" s="34"/>
      <c r="G476" s="34"/>
      <c r="H476" s="34"/>
      <c r="I476" s="34"/>
      <c r="J476" s="34"/>
      <c r="K476" s="34"/>
      <c r="L476" s="34"/>
      <c r="M476" s="34"/>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row>
    <row r="477" spans="1:114" x14ac:dyDescent="0.25">
      <c r="A477" s="34"/>
      <c r="B477" s="34"/>
      <c r="C477" s="34"/>
      <c r="D477" s="34"/>
      <c r="E477" s="34"/>
      <c r="F477" s="34"/>
      <c r="G477" s="34"/>
      <c r="H477" s="34"/>
      <c r="I477" s="34"/>
      <c r="J477" s="34"/>
      <c r="K477" s="34"/>
      <c r="L477" s="34"/>
      <c r="M477" s="34"/>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35"/>
      <c r="CD477" s="35"/>
      <c r="CE477" s="35"/>
      <c r="CF477" s="35"/>
      <c r="CG477" s="35"/>
      <c r="CH477" s="35"/>
      <c r="CI477" s="35"/>
      <c r="CJ477" s="35"/>
      <c r="CK477" s="35"/>
      <c r="CL477" s="35"/>
      <c r="CM477" s="35"/>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row>
    <row r="478" spans="1:114" x14ac:dyDescent="0.25">
      <c r="A478" s="34"/>
      <c r="B478" s="34"/>
      <c r="C478" s="34"/>
      <c r="D478" s="34"/>
      <c r="E478" s="34"/>
      <c r="F478" s="34"/>
      <c r="G478" s="34"/>
      <c r="H478" s="34"/>
      <c r="I478" s="34"/>
      <c r="J478" s="34"/>
      <c r="K478" s="34"/>
      <c r="L478" s="34"/>
      <c r="M478" s="34"/>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35"/>
      <c r="CD478" s="35"/>
      <c r="CE478" s="35"/>
      <c r="CF478" s="35"/>
      <c r="CG478" s="35"/>
      <c r="CH478" s="35"/>
      <c r="CI478" s="35"/>
      <c r="CJ478" s="35"/>
      <c r="CK478" s="35"/>
      <c r="CL478" s="35"/>
      <c r="CM478" s="35"/>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row>
    <row r="479" spans="1:114" x14ac:dyDescent="0.25">
      <c r="A479" s="34"/>
      <c r="B479" s="34"/>
      <c r="C479" s="34"/>
      <c r="D479" s="34"/>
      <c r="E479" s="34"/>
      <c r="F479" s="34"/>
      <c r="G479" s="34"/>
      <c r="H479" s="34"/>
      <c r="I479" s="34"/>
      <c r="J479" s="34"/>
      <c r="K479" s="34"/>
      <c r="L479" s="34"/>
      <c r="M479" s="34"/>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row>
    <row r="480" spans="1:114" x14ac:dyDescent="0.25">
      <c r="A480" s="34"/>
      <c r="B480" s="34"/>
      <c r="C480" s="34"/>
      <c r="D480" s="34"/>
      <c r="E480" s="34"/>
      <c r="F480" s="34"/>
      <c r="G480" s="34"/>
      <c r="H480" s="34"/>
      <c r="I480" s="34"/>
      <c r="J480" s="34"/>
      <c r="K480" s="34"/>
      <c r="L480" s="34"/>
      <c r="M480" s="34"/>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c r="BG480" s="35"/>
      <c r="BH480" s="35"/>
      <c r="BI480" s="35"/>
      <c r="BJ480" s="35"/>
      <c r="BK480" s="35"/>
      <c r="BL480" s="35"/>
      <c r="BM480" s="35"/>
      <c r="BN480" s="35"/>
      <c r="BO480" s="35"/>
      <c r="BP480" s="35"/>
      <c r="BQ480" s="35"/>
      <c r="BR480" s="35"/>
      <c r="BS480" s="35"/>
      <c r="BT480" s="35"/>
      <c r="BU480" s="35"/>
      <c r="BV480" s="35"/>
      <c r="BW480" s="35"/>
      <c r="BX480" s="35"/>
      <c r="BY480" s="35"/>
      <c r="BZ480" s="35"/>
      <c r="CA480" s="35"/>
      <c r="CB480" s="35"/>
      <c r="CC480" s="35"/>
      <c r="CD480" s="35"/>
      <c r="CE480" s="35"/>
      <c r="CF480" s="35"/>
      <c r="CG480" s="35"/>
      <c r="CH480" s="35"/>
      <c r="CI480" s="35"/>
      <c r="CJ480" s="35"/>
      <c r="CK480" s="35"/>
      <c r="CL480" s="35"/>
      <c r="CM480" s="35"/>
      <c r="CN480" s="35"/>
      <c r="CO480" s="35"/>
      <c r="CP480" s="35"/>
      <c r="CQ480" s="35"/>
      <c r="CR480" s="35"/>
      <c r="CS480" s="35"/>
      <c r="CT480" s="35"/>
      <c r="CU480" s="35"/>
      <c r="CV480" s="35"/>
      <c r="CW480" s="35"/>
      <c r="CX480" s="35"/>
      <c r="CY480" s="35"/>
      <c r="CZ480" s="35"/>
      <c r="DA480" s="35"/>
      <c r="DB480" s="35"/>
      <c r="DC480" s="35"/>
      <c r="DD480" s="35"/>
      <c r="DE480" s="35"/>
      <c r="DF480" s="35"/>
      <c r="DG480" s="35"/>
      <c r="DH480" s="35"/>
      <c r="DI480" s="35"/>
      <c r="DJ480" s="35"/>
    </row>
    <row r="481" spans="1:114" x14ac:dyDescent="0.25">
      <c r="A481" s="34"/>
      <c r="B481" s="34"/>
      <c r="C481" s="34"/>
      <c r="D481" s="34"/>
      <c r="E481" s="34"/>
      <c r="F481" s="34"/>
      <c r="G481" s="34"/>
      <c r="H481" s="34"/>
      <c r="I481" s="34"/>
      <c r="J481" s="34"/>
      <c r="K481" s="34"/>
      <c r="L481" s="34"/>
      <c r="M481" s="34"/>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c r="BF481" s="35"/>
      <c r="BG481" s="35"/>
      <c r="BH481" s="35"/>
      <c r="BI481" s="35"/>
      <c r="BJ481" s="35"/>
      <c r="BK481" s="35"/>
      <c r="BL481" s="35"/>
      <c r="BM481" s="35"/>
      <c r="BN481" s="35"/>
      <c r="BO481" s="35"/>
      <c r="BP481" s="35"/>
      <c r="BQ481" s="35"/>
      <c r="BR481" s="35"/>
      <c r="BS481" s="35"/>
      <c r="BT481" s="35"/>
      <c r="BU481" s="35"/>
      <c r="BV481" s="35"/>
      <c r="BW481" s="35"/>
      <c r="BX481" s="35"/>
      <c r="BY481" s="35"/>
      <c r="BZ481" s="35"/>
      <c r="CA481" s="35"/>
      <c r="CB481" s="35"/>
      <c r="CC481" s="35"/>
      <c r="CD481" s="35"/>
      <c r="CE481" s="35"/>
      <c r="CF481" s="35"/>
      <c r="CG481" s="35"/>
      <c r="CH481" s="35"/>
      <c r="CI481" s="35"/>
      <c r="CJ481" s="35"/>
      <c r="CK481" s="35"/>
      <c r="CL481" s="35"/>
      <c r="CM481" s="35"/>
      <c r="CN481" s="35"/>
      <c r="CO481" s="35"/>
      <c r="CP481" s="35"/>
      <c r="CQ481" s="35"/>
      <c r="CR481" s="35"/>
      <c r="CS481" s="35"/>
      <c r="CT481" s="35"/>
      <c r="CU481" s="35"/>
      <c r="CV481" s="35"/>
      <c r="CW481" s="35"/>
      <c r="CX481" s="35"/>
      <c r="CY481" s="35"/>
      <c r="CZ481" s="35"/>
      <c r="DA481" s="35"/>
      <c r="DB481" s="35"/>
      <c r="DC481" s="35"/>
      <c r="DD481" s="35"/>
      <c r="DE481" s="35"/>
      <c r="DF481" s="35"/>
      <c r="DG481" s="35"/>
      <c r="DH481" s="35"/>
      <c r="DI481" s="35"/>
      <c r="DJ481" s="35"/>
    </row>
    <row r="482" spans="1:114" x14ac:dyDescent="0.25">
      <c r="A482" s="34"/>
      <c r="B482" s="34"/>
      <c r="C482" s="34"/>
      <c r="D482" s="34"/>
      <c r="E482" s="34"/>
      <c r="F482" s="34"/>
      <c r="G482" s="34"/>
      <c r="H482" s="34"/>
      <c r="I482" s="34"/>
      <c r="J482" s="34"/>
      <c r="K482" s="34"/>
      <c r="L482" s="34"/>
      <c r="M482" s="34"/>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c r="BF482" s="35"/>
      <c r="BG482" s="35"/>
      <c r="BH482" s="35"/>
      <c r="BI482" s="35"/>
      <c r="BJ482" s="35"/>
      <c r="BK482" s="35"/>
      <c r="BL482" s="35"/>
      <c r="BM482" s="35"/>
      <c r="BN482" s="35"/>
      <c r="BO482" s="35"/>
      <c r="BP482" s="35"/>
      <c r="BQ482" s="35"/>
      <c r="BR482" s="35"/>
      <c r="BS482" s="35"/>
      <c r="BT482" s="35"/>
      <c r="BU482" s="35"/>
      <c r="BV482" s="35"/>
      <c r="BW482" s="35"/>
      <c r="BX482" s="35"/>
      <c r="BY482" s="35"/>
      <c r="BZ482" s="35"/>
      <c r="CA482" s="35"/>
      <c r="CB482" s="35"/>
      <c r="CC482" s="35"/>
      <c r="CD482" s="35"/>
      <c r="CE482" s="35"/>
      <c r="CF482" s="35"/>
      <c r="CG482" s="35"/>
      <c r="CH482" s="35"/>
      <c r="CI482" s="35"/>
      <c r="CJ482" s="35"/>
      <c r="CK482" s="35"/>
      <c r="CL482" s="35"/>
      <c r="CM482" s="35"/>
      <c r="CN482" s="35"/>
      <c r="CO482" s="35"/>
      <c r="CP482" s="35"/>
      <c r="CQ482" s="35"/>
      <c r="CR482" s="35"/>
      <c r="CS482" s="35"/>
      <c r="CT482" s="35"/>
      <c r="CU482" s="35"/>
      <c r="CV482" s="35"/>
      <c r="CW482" s="35"/>
      <c r="CX482" s="35"/>
      <c r="CY482" s="35"/>
      <c r="CZ482" s="35"/>
      <c r="DA482" s="35"/>
      <c r="DB482" s="35"/>
      <c r="DC482" s="35"/>
      <c r="DD482" s="35"/>
      <c r="DE482" s="35"/>
      <c r="DF482" s="35"/>
      <c r="DG482" s="35"/>
      <c r="DH482" s="35"/>
      <c r="DI482" s="35"/>
      <c r="DJ482" s="35"/>
    </row>
    <row r="483" spans="1:114" x14ac:dyDescent="0.25">
      <c r="A483" s="34"/>
      <c r="B483" s="34"/>
      <c r="C483" s="34"/>
      <c r="D483" s="34"/>
      <c r="E483" s="34"/>
      <c r="F483" s="34"/>
      <c r="G483" s="34"/>
      <c r="H483" s="34"/>
      <c r="I483" s="34"/>
      <c r="J483" s="34"/>
      <c r="K483" s="34"/>
      <c r="L483" s="34"/>
      <c r="M483" s="34"/>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5"/>
      <c r="CT483" s="35"/>
      <c r="CU483" s="35"/>
      <c r="CV483" s="35"/>
      <c r="CW483" s="35"/>
      <c r="CX483" s="35"/>
      <c r="CY483" s="35"/>
      <c r="CZ483" s="35"/>
      <c r="DA483" s="35"/>
      <c r="DB483" s="35"/>
      <c r="DC483" s="35"/>
      <c r="DD483" s="35"/>
      <c r="DE483" s="35"/>
      <c r="DF483" s="35"/>
      <c r="DG483" s="35"/>
      <c r="DH483" s="35"/>
      <c r="DI483" s="35"/>
      <c r="DJ483" s="35"/>
    </row>
    <row r="484" spans="1:114" x14ac:dyDescent="0.25">
      <c r="A484" s="34"/>
      <c r="B484" s="34"/>
      <c r="C484" s="34"/>
      <c r="D484" s="34"/>
      <c r="E484" s="34"/>
      <c r="F484" s="34"/>
      <c r="G484" s="34"/>
      <c r="H484" s="34"/>
      <c r="I484" s="34"/>
      <c r="J484" s="34"/>
      <c r="K484" s="34"/>
      <c r="L484" s="34"/>
      <c r="M484" s="34"/>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c r="DH484" s="35"/>
      <c r="DI484" s="35"/>
      <c r="DJ484" s="35"/>
    </row>
    <row r="485" spans="1:114" x14ac:dyDescent="0.25">
      <c r="A485" s="34"/>
      <c r="B485" s="34"/>
      <c r="C485" s="34"/>
      <c r="D485" s="34"/>
      <c r="E485" s="34"/>
      <c r="F485" s="34"/>
      <c r="G485" s="34"/>
      <c r="H485" s="34"/>
      <c r="I485" s="34"/>
      <c r="J485" s="34"/>
      <c r="K485" s="34"/>
      <c r="L485" s="34"/>
      <c r="M485" s="34"/>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row>
    <row r="486" spans="1:114" x14ac:dyDescent="0.25">
      <c r="A486" s="34"/>
      <c r="B486" s="34"/>
      <c r="C486" s="34"/>
      <c r="D486" s="34"/>
      <c r="E486" s="34"/>
      <c r="F486" s="34"/>
      <c r="G486" s="34"/>
      <c r="H486" s="34"/>
      <c r="I486" s="34"/>
      <c r="J486" s="34"/>
      <c r="K486" s="34"/>
      <c r="L486" s="34"/>
      <c r="M486" s="34"/>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5"/>
      <c r="CT486" s="35"/>
      <c r="CU486" s="35"/>
      <c r="CV486" s="35"/>
      <c r="CW486" s="35"/>
      <c r="CX486" s="35"/>
      <c r="CY486" s="35"/>
      <c r="CZ486" s="35"/>
      <c r="DA486" s="35"/>
      <c r="DB486" s="35"/>
      <c r="DC486" s="35"/>
      <c r="DD486" s="35"/>
      <c r="DE486" s="35"/>
      <c r="DF486" s="35"/>
      <c r="DG486" s="35"/>
      <c r="DH486" s="35"/>
      <c r="DI486" s="35"/>
      <c r="DJ486" s="35"/>
    </row>
    <row r="487" spans="1:114" x14ac:dyDescent="0.25">
      <c r="A487" s="34"/>
      <c r="B487" s="34"/>
      <c r="C487" s="34"/>
      <c r="D487" s="34"/>
      <c r="E487" s="34"/>
      <c r="F487" s="34"/>
      <c r="G487" s="34"/>
      <c r="H487" s="34"/>
      <c r="I487" s="34"/>
      <c r="J487" s="34"/>
      <c r="K487" s="34"/>
      <c r="L487" s="34"/>
      <c r="M487" s="34"/>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c r="BG487" s="35"/>
      <c r="BH487" s="35"/>
      <c r="BI487" s="35"/>
      <c r="BJ487" s="35"/>
      <c r="BK487" s="35"/>
      <c r="BL487" s="35"/>
      <c r="BM487" s="35"/>
      <c r="BN487" s="35"/>
      <c r="BO487" s="35"/>
      <c r="BP487" s="35"/>
      <c r="BQ487" s="35"/>
      <c r="BR487" s="35"/>
      <c r="BS487" s="35"/>
      <c r="BT487" s="35"/>
      <c r="BU487" s="35"/>
      <c r="BV487" s="35"/>
      <c r="BW487" s="35"/>
      <c r="BX487" s="35"/>
      <c r="BY487" s="35"/>
      <c r="BZ487" s="35"/>
      <c r="CA487" s="35"/>
      <c r="CB487" s="35"/>
      <c r="CC487" s="35"/>
      <c r="CD487" s="35"/>
      <c r="CE487" s="35"/>
      <c r="CF487" s="35"/>
      <c r="CG487" s="35"/>
      <c r="CH487" s="35"/>
      <c r="CI487" s="35"/>
      <c r="CJ487" s="35"/>
      <c r="CK487" s="35"/>
      <c r="CL487" s="35"/>
      <c r="CM487" s="35"/>
      <c r="CN487" s="35"/>
      <c r="CO487" s="35"/>
      <c r="CP487" s="35"/>
      <c r="CQ487" s="35"/>
      <c r="CR487" s="35"/>
      <c r="CS487" s="35"/>
      <c r="CT487" s="35"/>
      <c r="CU487" s="35"/>
      <c r="CV487" s="35"/>
      <c r="CW487" s="35"/>
      <c r="CX487" s="35"/>
      <c r="CY487" s="35"/>
      <c r="CZ487" s="35"/>
      <c r="DA487" s="35"/>
      <c r="DB487" s="35"/>
      <c r="DC487" s="35"/>
      <c r="DD487" s="35"/>
      <c r="DE487" s="35"/>
      <c r="DF487" s="35"/>
      <c r="DG487" s="35"/>
      <c r="DH487" s="35"/>
      <c r="DI487" s="35"/>
      <c r="DJ487" s="35"/>
    </row>
    <row r="488" spans="1:114" x14ac:dyDescent="0.25">
      <c r="A488" s="34"/>
      <c r="B488" s="34"/>
      <c r="C488" s="34"/>
      <c r="D488" s="34"/>
      <c r="E488" s="34"/>
      <c r="F488" s="34"/>
      <c r="G488" s="34"/>
      <c r="H488" s="34"/>
      <c r="I488" s="34"/>
      <c r="J488" s="34"/>
      <c r="K488" s="34"/>
      <c r="L488" s="34"/>
      <c r="M488" s="34"/>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row>
    <row r="489" spans="1:114" x14ac:dyDescent="0.25">
      <c r="A489" s="34"/>
      <c r="B489" s="34"/>
      <c r="C489" s="34"/>
      <c r="D489" s="34"/>
      <c r="E489" s="34"/>
      <c r="F489" s="34"/>
      <c r="G489" s="34"/>
      <c r="H489" s="34"/>
      <c r="I489" s="34"/>
      <c r="J489" s="34"/>
      <c r="K489" s="34"/>
      <c r="L489" s="34"/>
      <c r="M489" s="34"/>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row>
    <row r="490" spans="1:114" x14ac:dyDescent="0.25">
      <c r="A490" s="34"/>
      <c r="B490" s="34"/>
      <c r="C490" s="34"/>
      <c r="D490" s="34"/>
      <c r="E490" s="34"/>
      <c r="F490" s="34"/>
      <c r="G490" s="34"/>
      <c r="H490" s="34"/>
      <c r="I490" s="34"/>
      <c r="J490" s="34"/>
      <c r="K490" s="34"/>
      <c r="L490" s="34"/>
      <c r="M490" s="34"/>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c r="BL490" s="35"/>
      <c r="BM490" s="35"/>
      <c r="BN490" s="35"/>
      <c r="BO490" s="35"/>
      <c r="BP490" s="35"/>
      <c r="BQ490" s="35"/>
      <c r="BR490" s="35"/>
      <c r="BS490" s="35"/>
      <c r="BT490" s="35"/>
      <c r="BU490" s="35"/>
      <c r="BV490" s="35"/>
      <c r="BW490" s="35"/>
      <c r="BX490" s="35"/>
      <c r="BY490" s="35"/>
      <c r="BZ490" s="35"/>
      <c r="CA490" s="35"/>
      <c r="CB490" s="35"/>
      <c r="CC490" s="35"/>
      <c r="CD490" s="35"/>
      <c r="CE490" s="35"/>
      <c r="CF490" s="35"/>
      <c r="CG490" s="35"/>
      <c r="CH490" s="35"/>
      <c r="CI490" s="35"/>
      <c r="CJ490" s="35"/>
      <c r="CK490" s="35"/>
      <c r="CL490" s="35"/>
      <c r="CM490" s="35"/>
      <c r="CN490" s="35"/>
      <c r="CO490" s="35"/>
      <c r="CP490" s="35"/>
      <c r="CQ490" s="35"/>
      <c r="CR490" s="35"/>
      <c r="CS490" s="35"/>
      <c r="CT490" s="35"/>
      <c r="CU490" s="35"/>
      <c r="CV490" s="35"/>
      <c r="CW490" s="35"/>
      <c r="CX490" s="35"/>
      <c r="CY490" s="35"/>
      <c r="CZ490" s="35"/>
      <c r="DA490" s="35"/>
      <c r="DB490" s="35"/>
      <c r="DC490" s="35"/>
      <c r="DD490" s="35"/>
      <c r="DE490" s="35"/>
      <c r="DF490" s="35"/>
      <c r="DG490" s="35"/>
      <c r="DH490" s="35"/>
      <c r="DI490" s="35"/>
      <c r="DJ490" s="35"/>
    </row>
    <row r="491" spans="1:114" x14ac:dyDescent="0.25">
      <c r="A491" s="34"/>
      <c r="B491" s="34"/>
      <c r="C491" s="34"/>
      <c r="D491" s="34"/>
      <c r="E491" s="34"/>
      <c r="F491" s="34"/>
      <c r="G491" s="34"/>
      <c r="H491" s="34"/>
      <c r="I491" s="34"/>
      <c r="J491" s="34"/>
      <c r="K491" s="34"/>
      <c r="L491" s="34"/>
      <c r="M491" s="34"/>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c r="BF491" s="35"/>
      <c r="BG491" s="35"/>
      <c r="BH491" s="35"/>
      <c r="BI491" s="35"/>
      <c r="BJ491" s="35"/>
      <c r="BK491" s="35"/>
      <c r="BL491" s="35"/>
      <c r="BM491" s="35"/>
      <c r="BN491" s="35"/>
      <c r="BO491" s="35"/>
      <c r="BP491" s="35"/>
      <c r="BQ491" s="35"/>
      <c r="BR491" s="35"/>
      <c r="BS491" s="35"/>
      <c r="BT491" s="35"/>
      <c r="BU491" s="35"/>
      <c r="BV491" s="35"/>
      <c r="BW491" s="35"/>
      <c r="BX491" s="35"/>
      <c r="BY491" s="35"/>
      <c r="BZ491" s="35"/>
      <c r="CA491" s="35"/>
      <c r="CB491" s="35"/>
      <c r="CC491" s="35"/>
      <c r="CD491" s="35"/>
      <c r="CE491" s="35"/>
      <c r="CF491" s="35"/>
      <c r="CG491" s="35"/>
      <c r="CH491" s="35"/>
      <c r="CI491" s="35"/>
      <c r="CJ491" s="35"/>
      <c r="CK491" s="35"/>
      <c r="CL491" s="35"/>
      <c r="CM491" s="35"/>
      <c r="CN491" s="35"/>
      <c r="CO491" s="35"/>
      <c r="CP491" s="35"/>
      <c r="CQ491" s="35"/>
      <c r="CR491" s="35"/>
      <c r="CS491" s="35"/>
      <c r="CT491" s="35"/>
      <c r="CU491" s="35"/>
      <c r="CV491" s="35"/>
      <c r="CW491" s="35"/>
      <c r="CX491" s="35"/>
      <c r="CY491" s="35"/>
      <c r="CZ491" s="35"/>
      <c r="DA491" s="35"/>
      <c r="DB491" s="35"/>
      <c r="DC491" s="35"/>
      <c r="DD491" s="35"/>
      <c r="DE491" s="35"/>
      <c r="DF491" s="35"/>
      <c r="DG491" s="35"/>
      <c r="DH491" s="35"/>
      <c r="DI491" s="35"/>
      <c r="DJ491" s="35"/>
    </row>
    <row r="492" spans="1:114" x14ac:dyDescent="0.25">
      <c r="A492" s="34"/>
      <c r="B492" s="34"/>
      <c r="C492" s="34"/>
      <c r="D492" s="34"/>
      <c r="E492" s="34"/>
      <c r="F492" s="34"/>
      <c r="G492" s="34"/>
      <c r="H492" s="34"/>
      <c r="I492" s="34"/>
      <c r="J492" s="34"/>
      <c r="K492" s="34"/>
      <c r="L492" s="34"/>
      <c r="M492" s="34"/>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c r="BF492" s="35"/>
      <c r="BG492" s="35"/>
      <c r="BH492" s="35"/>
      <c r="BI492" s="35"/>
      <c r="BJ492" s="35"/>
      <c r="BK492" s="35"/>
      <c r="BL492" s="35"/>
      <c r="BM492" s="35"/>
      <c r="BN492" s="35"/>
      <c r="BO492" s="35"/>
      <c r="BP492" s="35"/>
      <c r="BQ492" s="35"/>
      <c r="BR492" s="35"/>
      <c r="BS492" s="35"/>
      <c r="BT492" s="35"/>
      <c r="BU492" s="35"/>
      <c r="BV492" s="35"/>
      <c r="BW492" s="35"/>
      <c r="BX492" s="35"/>
      <c r="BY492" s="35"/>
      <c r="BZ492" s="35"/>
      <c r="CA492" s="35"/>
      <c r="CB492" s="35"/>
      <c r="CC492" s="35"/>
      <c r="CD492" s="35"/>
      <c r="CE492" s="35"/>
      <c r="CF492" s="35"/>
      <c r="CG492" s="35"/>
      <c r="CH492" s="35"/>
      <c r="CI492" s="35"/>
      <c r="CJ492" s="35"/>
      <c r="CK492" s="35"/>
      <c r="CL492" s="35"/>
      <c r="CM492" s="35"/>
      <c r="CN492" s="35"/>
      <c r="CO492" s="35"/>
      <c r="CP492" s="35"/>
      <c r="CQ492" s="35"/>
      <c r="CR492" s="35"/>
      <c r="CS492" s="35"/>
      <c r="CT492" s="35"/>
      <c r="CU492" s="35"/>
      <c r="CV492" s="35"/>
      <c r="CW492" s="35"/>
      <c r="CX492" s="35"/>
      <c r="CY492" s="35"/>
      <c r="CZ492" s="35"/>
      <c r="DA492" s="35"/>
      <c r="DB492" s="35"/>
      <c r="DC492" s="35"/>
      <c r="DD492" s="35"/>
      <c r="DE492" s="35"/>
      <c r="DF492" s="35"/>
      <c r="DG492" s="35"/>
      <c r="DH492" s="35"/>
      <c r="DI492" s="35"/>
      <c r="DJ492" s="35"/>
    </row>
    <row r="493" spans="1:114" x14ac:dyDescent="0.25">
      <c r="A493" s="34"/>
      <c r="B493" s="34"/>
      <c r="C493" s="34"/>
      <c r="D493" s="34"/>
      <c r="E493" s="34"/>
      <c r="F493" s="34"/>
      <c r="G493" s="34"/>
      <c r="H493" s="34"/>
      <c r="I493" s="34"/>
      <c r="J493" s="34"/>
      <c r="K493" s="34"/>
      <c r="L493" s="34"/>
      <c r="M493" s="34"/>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c r="BF493" s="35"/>
      <c r="BG493" s="35"/>
      <c r="BH493" s="35"/>
      <c r="BI493" s="35"/>
      <c r="BJ493" s="35"/>
      <c r="BK493" s="35"/>
      <c r="BL493" s="35"/>
      <c r="BM493" s="35"/>
      <c r="BN493" s="35"/>
      <c r="BO493" s="35"/>
      <c r="BP493" s="35"/>
      <c r="BQ493" s="35"/>
      <c r="BR493" s="35"/>
      <c r="BS493" s="35"/>
      <c r="BT493" s="35"/>
      <c r="BU493" s="35"/>
      <c r="BV493" s="35"/>
      <c r="BW493" s="35"/>
      <c r="BX493" s="35"/>
      <c r="BY493" s="35"/>
      <c r="BZ493" s="35"/>
      <c r="CA493" s="35"/>
      <c r="CB493" s="35"/>
      <c r="CC493" s="35"/>
      <c r="CD493" s="35"/>
      <c r="CE493" s="35"/>
      <c r="CF493" s="35"/>
      <c r="CG493" s="35"/>
      <c r="CH493" s="35"/>
      <c r="CI493" s="35"/>
      <c r="CJ493" s="35"/>
      <c r="CK493" s="35"/>
      <c r="CL493" s="35"/>
      <c r="CM493" s="35"/>
      <c r="CN493" s="35"/>
      <c r="CO493" s="35"/>
      <c r="CP493" s="35"/>
      <c r="CQ493" s="35"/>
      <c r="CR493" s="35"/>
      <c r="CS493" s="35"/>
      <c r="CT493" s="35"/>
      <c r="CU493" s="35"/>
      <c r="CV493" s="35"/>
      <c r="CW493" s="35"/>
      <c r="CX493" s="35"/>
      <c r="CY493" s="35"/>
      <c r="CZ493" s="35"/>
      <c r="DA493" s="35"/>
      <c r="DB493" s="35"/>
      <c r="DC493" s="35"/>
      <c r="DD493" s="35"/>
      <c r="DE493" s="35"/>
      <c r="DF493" s="35"/>
      <c r="DG493" s="35"/>
      <c r="DH493" s="35"/>
      <c r="DI493" s="35"/>
      <c r="DJ493" s="35"/>
    </row>
    <row r="494" spans="1:114" x14ac:dyDescent="0.25">
      <c r="A494" s="34"/>
      <c r="B494" s="34"/>
      <c r="C494" s="34"/>
      <c r="D494" s="34"/>
      <c r="E494" s="34"/>
      <c r="F494" s="34"/>
      <c r="G494" s="34"/>
      <c r="H494" s="34"/>
      <c r="I494" s="34"/>
      <c r="J494" s="34"/>
      <c r="K494" s="34"/>
      <c r="L494" s="34"/>
      <c r="M494" s="34"/>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c r="BF494" s="35"/>
      <c r="BG494" s="35"/>
      <c r="BH494" s="35"/>
      <c r="BI494" s="35"/>
      <c r="BJ494" s="35"/>
      <c r="BK494" s="35"/>
      <c r="BL494" s="35"/>
      <c r="BM494" s="35"/>
      <c r="BN494" s="35"/>
      <c r="BO494" s="35"/>
      <c r="BP494" s="35"/>
      <c r="BQ494" s="35"/>
      <c r="BR494" s="35"/>
      <c r="BS494" s="35"/>
      <c r="BT494" s="35"/>
      <c r="BU494" s="35"/>
      <c r="BV494" s="35"/>
      <c r="BW494" s="35"/>
      <c r="BX494" s="35"/>
      <c r="BY494" s="35"/>
      <c r="BZ494" s="35"/>
      <c r="CA494" s="35"/>
      <c r="CB494" s="35"/>
      <c r="CC494" s="35"/>
      <c r="CD494" s="35"/>
      <c r="CE494" s="35"/>
      <c r="CF494" s="35"/>
      <c r="CG494" s="35"/>
      <c r="CH494" s="35"/>
      <c r="CI494" s="35"/>
      <c r="CJ494" s="35"/>
      <c r="CK494" s="35"/>
      <c r="CL494" s="35"/>
      <c r="CM494" s="35"/>
      <c r="CN494" s="35"/>
      <c r="CO494" s="35"/>
      <c r="CP494" s="35"/>
      <c r="CQ494" s="35"/>
      <c r="CR494" s="35"/>
      <c r="CS494" s="35"/>
      <c r="CT494" s="35"/>
      <c r="CU494" s="35"/>
      <c r="CV494" s="35"/>
      <c r="CW494" s="35"/>
      <c r="CX494" s="35"/>
      <c r="CY494" s="35"/>
      <c r="CZ494" s="35"/>
      <c r="DA494" s="35"/>
      <c r="DB494" s="35"/>
      <c r="DC494" s="35"/>
      <c r="DD494" s="35"/>
      <c r="DE494" s="35"/>
      <c r="DF494" s="35"/>
      <c r="DG494" s="35"/>
      <c r="DH494" s="35"/>
      <c r="DI494" s="35"/>
      <c r="DJ494" s="35"/>
    </row>
    <row r="495" spans="1:114" x14ac:dyDescent="0.25">
      <c r="A495" s="34"/>
      <c r="B495" s="34"/>
      <c r="C495" s="34"/>
      <c r="D495" s="34"/>
      <c r="E495" s="34"/>
      <c r="F495" s="34"/>
      <c r="G495" s="34"/>
      <c r="H495" s="34"/>
      <c r="I495" s="34"/>
      <c r="J495" s="34"/>
      <c r="K495" s="34"/>
      <c r="L495" s="34"/>
      <c r="M495" s="34"/>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c r="BF495" s="35"/>
      <c r="BG495" s="35"/>
      <c r="BH495" s="35"/>
      <c r="BI495" s="35"/>
      <c r="BJ495" s="35"/>
      <c r="BK495" s="35"/>
      <c r="BL495" s="35"/>
      <c r="BM495" s="35"/>
      <c r="BN495" s="35"/>
      <c r="BO495" s="35"/>
      <c r="BP495" s="35"/>
      <c r="BQ495" s="35"/>
      <c r="BR495" s="35"/>
      <c r="BS495" s="35"/>
      <c r="BT495" s="35"/>
      <c r="BU495" s="35"/>
      <c r="BV495" s="35"/>
      <c r="BW495" s="35"/>
      <c r="BX495" s="35"/>
      <c r="BY495" s="35"/>
      <c r="BZ495" s="35"/>
      <c r="CA495" s="35"/>
      <c r="CB495" s="35"/>
      <c r="CC495" s="35"/>
      <c r="CD495" s="35"/>
      <c r="CE495" s="35"/>
      <c r="CF495" s="35"/>
      <c r="CG495" s="35"/>
      <c r="CH495" s="35"/>
      <c r="CI495" s="35"/>
      <c r="CJ495" s="35"/>
      <c r="CK495" s="35"/>
      <c r="CL495" s="35"/>
      <c r="CM495" s="35"/>
      <c r="CN495" s="35"/>
      <c r="CO495" s="35"/>
      <c r="CP495" s="35"/>
      <c r="CQ495" s="35"/>
      <c r="CR495" s="35"/>
      <c r="CS495" s="35"/>
      <c r="CT495" s="35"/>
      <c r="CU495" s="35"/>
      <c r="CV495" s="35"/>
      <c r="CW495" s="35"/>
      <c r="CX495" s="35"/>
      <c r="CY495" s="35"/>
      <c r="CZ495" s="35"/>
      <c r="DA495" s="35"/>
      <c r="DB495" s="35"/>
      <c r="DC495" s="35"/>
      <c r="DD495" s="35"/>
      <c r="DE495" s="35"/>
      <c r="DF495" s="35"/>
      <c r="DG495" s="35"/>
      <c r="DH495" s="35"/>
      <c r="DI495" s="35"/>
      <c r="DJ495" s="35"/>
    </row>
    <row r="496" spans="1:114" x14ac:dyDescent="0.25">
      <c r="A496" s="34"/>
      <c r="B496" s="34"/>
      <c r="C496" s="34"/>
      <c r="D496" s="34"/>
      <c r="E496" s="34"/>
      <c r="F496" s="34"/>
      <c r="G496" s="34"/>
      <c r="H496" s="34"/>
      <c r="I496" s="34"/>
      <c r="J496" s="34"/>
      <c r="K496" s="34"/>
      <c r="L496" s="34"/>
      <c r="M496" s="34"/>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c r="BF496" s="35"/>
      <c r="BG496" s="35"/>
      <c r="BH496" s="35"/>
      <c r="BI496" s="35"/>
      <c r="BJ496" s="35"/>
      <c r="BK496" s="35"/>
      <c r="BL496" s="35"/>
      <c r="BM496" s="35"/>
      <c r="BN496" s="35"/>
      <c r="BO496" s="35"/>
      <c r="BP496" s="35"/>
      <c r="BQ496" s="35"/>
      <c r="BR496" s="35"/>
      <c r="BS496" s="35"/>
      <c r="BT496" s="35"/>
      <c r="BU496" s="35"/>
      <c r="BV496" s="35"/>
      <c r="BW496" s="35"/>
      <c r="BX496" s="35"/>
      <c r="BY496" s="35"/>
      <c r="BZ496" s="35"/>
      <c r="CA496" s="35"/>
      <c r="CB496" s="35"/>
      <c r="CC496" s="35"/>
      <c r="CD496" s="35"/>
      <c r="CE496" s="35"/>
      <c r="CF496" s="35"/>
      <c r="CG496" s="35"/>
      <c r="CH496" s="35"/>
      <c r="CI496" s="35"/>
      <c r="CJ496" s="35"/>
      <c r="CK496" s="35"/>
      <c r="CL496" s="35"/>
      <c r="CM496" s="35"/>
      <c r="CN496" s="35"/>
      <c r="CO496" s="35"/>
      <c r="CP496" s="35"/>
      <c r="CQ496" s="35"/>
      <c r="CR496" s="35"/>
      <c r="CS496" s="35"/>
      <c r="CT496" s="35"/>
      <c r="CU496" s="35"/>
      <c r="CV496" s="35"/>
      <c r="CW496" s="35"/>
      <c r="CX496" s="35"/>
      <c r="CY496" s="35"/>
      <c r="CZ496" s="35"/>
      <c r="DA496" s="35"/>
      <c r="DB496" s="35"/>
      <c r="DC496" s="35"/>
      <c r="DD496" s="35"/>
      <c r="DE496" s="35"/>
      <c r="DF496" s="35"/>
      <c r="DG496" s="35"/>
      <c r="DH496" s="35"/>
      <c r="DI496" s="35"/>
      <c r="DJ496" s="35"/>
    </row>
    <row r="497" spans="1:114" x14ac:dyDescent="0.25">
      <c r="A497" s="34"/>
      <c r="B497" s="34"/>
      <c r="C497" s="34"/>
      <c r="D497" s="34"/>
      <c r="E497" s="34"/>
      <c r="F497" s="34"/>
      <c r="G497" s="34"/>
      <c r="H497" s="34"/>
      <c r="I497" s="34"/>
      <c r="J497" s="34"/>
      <c r="K497" s="34"/>
      <c r="L497" s="34"/>
      <c r="M497" s="34"/>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c r="BF497" s="35"/>
      <c r="BG497" s="35"/>
      <c r="BH497" s="35"/>
      <c r="BI497" s="35"/>
      <c r="BJ497" s="35"/>
      <c r="BK497" s="35"/>
      <c r="BL497" s="35"/>
      <c r="BM497" s="35"/>
      <c r="BN497" s="35"/>
      <c r="BO497" s="35"/>
      <c r="BP497" s="35"/>
      <c r="BQ497" s="35"/>
      <c r="BR497" s="35"/>
      <c r="BS497" s="35"/>
      <c r="BT497" s="35"/>
      <c r="BU497" s="35"/>
      <c r="BV497" s="35"/>
      <c r="BW497" s="35"/>
      <c r="BX497" s="35"/>
      <c r="BY497" s="35"/>
      <c r="BZ497" s="35"/>
      <c r="CA497" s="35"/>
      <c r="CB497" s="35"/>
      <c r="CC497" s="35"/>
      <c r="CD497" s="35"/>
      <c r="CE497" s="35"/>
      <c r="CF497" s="35"/>
      <c r="CG497" s="35"/>
      <c r="CH497" s="35"/>
      <c r="CI497" s="35"/>
      <c r="CJ497" s="35"/>
      <c r="CK497" s="35"/>
      <c r="CL497" s="35"/>
      <c r="CM497" s="35"/>
      <c r="CN497" s="35"/>
      <c r="CO497" s="35"/>
      <c r="CP497" s="35"/>
      <c r="CQ497" s="35"/>
      <c r="CR497" s="35"/>
      <c r="CS497" s="35"/>
      <c r="CT497" s="35"/>
      <c r="CU497" s="35"/>
      <c r="CV497" s="35"/>
      <c r="CW497" s="35"/>
      <c r="CX497" s="35"/>
      <c r="CY497" s="35"/>
      <c r="CZ497" s="35"/>
      <c r="DA497" s="35"/>
      <c r="DB497" s="35"/>
      <c r="DC497" s="35"/>
      <c r="DD497" s="35"/>
      <c r="DE497" s="35"/>
      <c r="DF497" s="35"/>
      <c r="DG497" s="35"/>
      <c r="DH497" s="35"/>
      <c r="DI497" s="35"/>
      <c r="DJ497" s="35"/>
    </row>
    <row r="498" spans="1:114" x14ac:dyDescent="0.25">
      <c r="A498" s="34"/>
      <c r="B498" s="34"/>
      <c r="C498" s="34"/>
      <c r="D498" s="34"/>
      <c r="E498" s="34"/>
      <c r="F498" s="34"/>
      <c r="G498" s="34"/>
      <c r="H498" s="34"/>
      <c r="I498" s="34"/>
      <c r="J498" s="34"/>
      <c r="K498" s="34"/>
      <c r="L498" s="34"/>
      <c r="M498" s="34"/>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c r="BF498" s="35"/>
      <c r="BG498" s="35"/>
      <c r="BH498" s="35"/>
      <c r="BI498" s="35"/>
      <c r="BJ498" s="35"/>
      <c r="BK498" s="35"/>
      <c r="BL498" s="35"/>
      <c r="BM498" s="35"/>
      <c r="BN498" s="35"/>
      <c r="BO498" s="35"/>
      <c r="BP498" s="35"/>
      <c r="BQ498" s="35"/>
      <c r="BR498" s="35"/>
      <c r="BS498" s="35"/>
      <c r="BT498" s="35"/>
      <c r="BU498" s="35"/>
      <c r="BV498" s="35"/>
      <c r="BW498" s="35"/>
      <c r="BX498" s="35"/>
      <c r="BY498" s="35"/>
      <c r="BZ498" s="35"/>
      <c r="CA498" s="35"/>
      <c r="CB498" s="35"/>
      <c r="CC498" s="35"/>
      <c r="CD498" s="35"/>
      <c r="CE498" s="35"/>
      <c r="CF498" s="35"/>
      <c r="CG498" s="35"/>
      <c r="CH498" s="35"/>
      <c r="CI498" s="35"/>
      <c r="CJ498" s="35"/>
      <c r="CK498" s="35"/>
      <c r="CL498" s="35"/>
      <c r="CM498" s="35"/>
      <c r="CN498" s="35"/>
      <c r="CO498" s="35"/>
      <c r="CP498" s="35"/>
      <c r="CQ498" s="35"/>
      <c r="CR498" s="35"/>
      <c r="CS498" s="35"/>
      <c r="CT498" s="35"/>
      <c r="CU498" s="35"/>
      <c r="CV498" s="35"/>
      <c r="CW498" s="35"/>
      <c r="CX498" s="35"/>
      <c r="CY498" s="35"/>
      <c r="CZ498" s="35"/>
      <c r="DA498" s="35"/>
      <c r="DB498" s="35"/>
      <c r="DC498" s="35"/>
      <c r="DD498" s="35"/>
      <c r="DE498" s="35"/>
      <c r="DF498" s="35"/>
      <c r="DG498" s="35"/>
      <c r="DH498" s="35"/>
      <c r="DI498" s="35"/>
      <c r="DJ498" s="35"/>
    </row>
    <row r="499" spans="1:114" x14ac:dyDescent="0.25">
      <c r="A499" s="34"/>
      <c r="B499" s="34"/>
      <c r="C499" s="34"/>
      <c r="D499" s="34"/>
      <c r="E499" s="34"/>
      <c r="F499" s="34"/>
      <c r="G499" s="34"/>
      <c r="H499" s="34"/>
      <c r="I499" s="34"/>
      <c r="J499" s="34"/>
      <c r="K499" s="34"/>
      <c r="L499" s="34"/>
      <c r="M499" s="34"/>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c r="BG499" s="35"/>
      <c r="BH499" s="35"/>
      <c r="BI499" s="35"/>
      <c r="BJ499" s="35"/>
      <c r="BK499" s="35"/>
      <c r="BL499" s="35"/>
      <c r="BM499" s="35"/>
      <c r="BN499" s="35"/>
      <c r="BO499" s="35"/>
      <c r="BP499" s="35"/>
      <c r="BQ499" s="35"/>
      <c r="BR499" s="35"/>
      <c r="BS499" s="35"/>
      <c r="BT499" s="35"/>
      <c r="BU499" s="35"/>
      <c r="BV499" s="35"/>
      <c r="BW499" s="35"/>
      <c r="BX499" s="35"/>
      <c r="BY499" s="35"/>
      <c r="BZ499" s="35"/>
      <c r="CA499" s="35"/>
      <c r="CB499" s="35"/>
      <c r="CC499" s="35"/>
      <c r="CD499" s="35"/>
      <c r="CE499" s="35"/>
      <c r="CF499" s="35"/>
      <c r="CG499" s="35"/>
      <c r="CH499" s="35"/>
      <c r="CI499" s="35"/>
      <c r="CJ499" s="35"/>
      <c r="CK499" s="35"/>
      <c r="CL499" s="35"/>
      <c r="CM499" s="35"/>
      <c r="CN499" s="35"/>
      <c r="CO499" s="35"/>
      <c r="CP499" s="35"/>
      <c r="CQ499" s="35"/>
      <c r="CR499" s="35"/>
      <c r="CS499" s="35"/>
      <c r="CT499" s="35"/>
      <c r="CU499" s="35"/>
      <c r="CV499" s="35"/>
      <c r="CW499" s="35"/>
      <c r="CX499" s="35"/>
      <c r="CY499" s="35"/>
      <c r="CZ499" s="35"/>
      <c r="DA499" s="35"/>
      <c r="DB499" s="35"/>
      <c r="DC499" s="35"/>
      <c r="DD499" s="35"/>
      <c r="DE499" s="35"/>
      <c r="DF499" s="35"/>
      <c r="DG499" s="35"/>
      <c r="DH499" s="35"/>
      <c r="DI499" s="35"/>
      <c r="DJ499" s="35"/>
    </row>
    <row r="500" spans="1:114" x14ac:dyDescent="0.25">
      <c r="A500" s="34"/>
      <c r="B500" s="34"/>
      <c r="C500" s="34"/>
      <c r="D500" s="34"/>
      <c r="E500" s="34"/>
      <c r="F500" s="34"/>
      <c r="G500" s="34"/>
      <c r="H500" s="34"/>
      <c r="I500" s="34"/>
      <c r="J500" s="34"/>
      <c r="K500" s="34"/>
      <c r="L500" s="34"/>
      <c r="M500" s="34"/>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c r="BF500" s="35"/>
      <c r="BG500" s="35"/>
      <c r="BH500" s="35"/>
      <c r="BI500" s="35"/>
      <c r="BJ500" s="35"/>
      <c r="BK500" s="35"/>
      <c r="BL500" s="35"/>
      <c r="BM500" s="35"/>
      <c r="BN500" s="35"/>
      <c r="BO500" s="35"/>
      <c r="BP500" s="35"/>
      <c r="BQ500" s="35"/>
      <c r="BR500" s="35"/>
      <c r="BS500" s="35"/>
      <c r="BT500" s="35"/>
      <c r="BU500" s="35"/>
      <c r="BV500" s="35"/>
      <c r="BW500" s="35"/>
      <c r="BX500" s="35"/>
      <c r="BY500" s="35"/>
      <c r="BZ500" s="35"/>
      <c r="CA500" s="35"/>
      <c r="CB500" s="35"/>
      <c r="CC500" s="35"/>
      <c r="CD500" s="35"/>
      <c r="CE500" s="35"/>
      <c r="CF500" s="35"/>
      <c r="CG500" s="35"/>
      <c r="CH500" s="35"/>
      <c r="CI500" s="35"/>
      <c r="CJ500" s="35"/>
      <c r="CK500" s="35"/>
      <c r="CL500" s="35"/>
      <c r="CM500" s="35"/>
      <c r="CN500" s="35"/>
      <c r="CO500" s="35"/>
      <c r="CP500" s="35"/>
      <c r="CQ500" s="35"/>
      <c r="CR500" s="35"/>
      <c r="CS500" s="35"/>
      <c r="CT500" s="35"/>
      <c r="CU500" s="35"/>
      <c r="CV500" s="35"/>
      <c r="CW500" s="35"/>
      <c r="CX500" s="35"/>
      <c r="CY500" s="35"/>
      <c r="CZ500" s="35"/>
      <c r="DA500" s="35"/>
      <c r="DB500" s="35"/>
      <c r="DC500" s="35"/>
      <c r="DD500" s="35"/>
      <c r="DE500" s="35"/>
      <c r="DF500" s="35"/>
      <c r="DG500" s="35"/>
      <c r="DH500" s="35"/>
      <c r="DI500" s="35"/>
      <c r="DJ500" s="35"/>
    </row>
    <row r="501" spans="1:114" x14ac:dyDescent="0.25">
      <c r="A501" s="34"/>
      <c r="B501" s="34"/>
      <c r="C501" s="34"/>
      <c r="D501" s="34"/>
      <c r="E501" s="34"/>
      <c r="F501" s="34"/>
      <c r="G501" s="34"/>
      <c r="H501" s="34"/>
      <c r="I501" s="34"/>
      <c r="J501" s="34"/>
      <c r="K501" s="34"/>
      <c r="L501" s="34"/>
      <c r="M501" s="34"/>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35"/>
      <c r="BJ501" s="35"/>
      <c r="BK501" s="35"/>
      <c r="BL501" s="35"/>
      <c r="BM501" s="35"/>
      <c r="BN501" s="35"/>
      <c r="BO501" s="35"/>
      <c r="BP501" s="35"/>
      <c r="BQ501" s="35"/>
      <c r="BR501" s="35"/>
      <c r="BS501" s="35"/>
      <c r="BT501" s="35"/>
      <c r="BU501" s="35"/>
      <c r="BV501" s="35"/>
      <c r="BW501" s="35"/>
      <c r="BX501" s="35"/>
      <c r="BY501" s="35"/>
      <c r="BZ501" s="35"/>
      <c r="CA501" s="35"/>
      <c r="CB501" s="35"/>
      <c r="CC501" s="35"/>
      <c r="CD501" s="35"/>
      <c r="CE501" s="35"/>
      <c r="CF501" s="35"/>
      <c r="CG501" s="35"/>
      <c r="CH501" s="35"/>
      <c r="CI501" s="35"/>
      <c r="CJ501" s="35"/>
      <c r="CK501" s="35"/>
      <c r="CL501" s="35"/>
      <c r="CM501" s="35"/>
      <c r="CN501" s="35"/>
      <c r="CO501" s="35"/>
      <c r="CP501" s="35"/>
      <c r="CQ501" s="35"/>
      <c r="CR501" s="35"/>
      <c r="CS501" s="35"/>
      <c r="CT501" s="35"/>
      <c r="CU501" s="35"/>
      <c r="CV501" s="35"/>
      <c r="CW501" s="35"/>
      <c r="CX501" s="35"/>
      <c r="CY501" s="35"/>
      <c r="CZ501" s="35"/>
      <c r="DA501" s="35"/>
      <c r="DB501" s="35"/>
      <c r="DC501" s="35"/>
      <c r="DD501" s="35"/>
      <c r="DE501" s="35"/>
      <c r="DF501" s="35"/>
      <c r="DG501" s="35"/>
      <c r="DH501" s="35"/>
      <c r="DI501" s="35"/>
      <c r="DJ501" s="35"/>
    </row>
    <row r="502" spans="1:114" x14ac:dyDescent="0.25">
      <c r="A502" s="34"/>
      <c r="B502" s="34"/>
      <c r="C502" s="34"/>
      <c r="D502" s="34"/>
      <c r="E502" s="34"/>
      <c r="F502" s="34"/>
      <c r="G502" s="34"/>
      <c r="H502" s="34"/>
      <c r="I502" s="34"/>
      <c r="J502" s="34"/>
      <c r="K502" s="34"/>
      <c r="L502" s="34"/>
      <c r="M502" s="34"/>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c r="BF502" s="35"/>
      <c r="BG502" s="35"/>
      <c r="BH502" s="35"/>
      <c r="BI502" s="35"/>
      <c r="BJ502" s="35"/>
      <c r="BK502" s="35"/>
      <c r="BL502" s="35"/>
      <c r="BM502" s="35"/>
      <c r="BN502" s="35"/>
      <c r="BO502" s="35"/>
      <c r="BP502" s="35"/>
      <c r="BQ502" s="35"/>
      <c r="BR502" s="35"/>
      <c r="BS502" s="35"/>
      <c r="BT502" s="35"/>
      <c r="BU502" s="35"/>
      <c r="BV502" s="35"/>
      <c r="BW502" s="35"/>
      <c r="BX502" s="35"/>
      <c r="BY502" s="35"/>
      <c r="BZ502" s="35"/>
      <c r="CA502" s="35"/>
      <c r="CB502" s="35"/>
      <c r="CC502" s="35"/>
      <c r="CD502" s="35"/>
      <c r="CE502" s="35"/>
      <c r="CF502" s="35"/>
      <c r="CG502" s="35"/>
      <c r="CH502" s="35"/>
      <c r="CI502" s="35"/>
      <c r="CJ502" s="35"/>
      <c r="CK502" s="35"/>
      <c r="CL502" s="35"/>
      <c r="CM502" s="35"/>
      <c r="CN502" s="35"/>
      <c r="CO502" s="35"/>
      <c r="CP502" s="35"/>
      <c r="CQ502" s="35"/>
      <c r="CR502" s="35"/>
      <c r="CS502" s="35"/>
      <c r="CT502" s="35"/>
      <c r="CU502" s="35"/>
      <c r="CV502" s="35"/>
      <c r="CW502" s="35"/>
      <c r="CX502" s="35"/>
      <c r="CY502" s="35"/>
      <c r="CZ502" s="35"/>
      <c r="DA502" s="35"/>
      <c r="DB502" s="35"/>
      <c r="DC502" s="35"/>
      <c r="DD502" s="35"/>
      <c r="DE502" s="35"/>
      <c r="DF502" s="35"/>
      <c r="DG502" s="35"/>
      <c r="DH502" s="35"/>
      <c r="DI502" s="35"/>
      <c r="DJ502" s="35"/>
    </row>
    <row r="503" spans="1:114" x14ac:dyDescent="0.25">
      <c r="A503" s="34"/>
      <c r="B503" s="34"/>
      <c r="C503" s="34"/>
      <c r="D503" s="34"/>
      <c r="E503" s="34"/>
      <c r="F503" s="34"/>
      <c r="G503" s="34"/>
      <c r="H503" s="34"/>
      <c r="I503" s="34"/>
      <c r="J503" s="34"/>
      <c r="K503" s="34"/>
      <c r="L503" s="34"/>
      <c r="M503" s="34"/>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c r="BF503" s="35"/>
      <c r="BG503" s="35"/>
      <c r="BH503" s="35"/>
      <c r="BI503" s="35"/>
      <c r="BJ503" s="35"/>
      <c r="BK503" s="35"/>
      <c r="BL503" s="35"/>
      <c r="BM503" s="35"/>
      <c r="BN503" s="35"/>
      <c r="BO503" s="35"/>
      <c r="BP503" s="35"/>
      <c r="BQ503" s="35"/>
      <c r="BR503" s="35"/>
      <c r="BS503" s="35"/>
      <c r="BT503" s="35"/>
      <c r="BU503" s="35"/>
      <c r="BV503" s="35"/>
      <c r="BW503" s="35"/>
      <c r="BX503" s="35"/>
      <c r="BY503" s="35"/>
      <c r="BZ503" s="35"/>
      <c r="CA503" s="35"/>
      <c r="CB503" s="35"/>
      <c r="CC503" s="35"/>
      <c r="CD503" s="35"/>
      <c r="CE503" s="35"/>
      <c r="CF503" s="35"/>
      <c r="CG503" s="35"/>
      <c r="CH503" s="35"/>
      <c r="CI503" s="35"/>
      <c r="CJ503" s="35"/>
      <c r="CK503" s="35"/>
      <c r="CL503" s="35"/>
      <c r="CM503" s="35"/>
      <c r="CN503" s="35"/>
      <c r="CO503" s="35"/>
      <c r="CP503" s="35"/>
      <c r="CQ503" s="35"/>
      <c r="CR503" s="35"/>
      <c r="CS503" s="35"/>
      <c r="CT503" s="35"/>
      <c r="CU503" s="35"/>
      <c r="CV503" s="35"/>
      <c r="CW503" s="35"/>
      <c r="CX503" s="35"/>
      <c r="CY503" s="35"/>
      <c r="CZ503" s="35"/>
      <c r="DA503" s="35"/>
      <c r="DB503" s="35"/>
      <c r="DC503" s="35"/>
      <c r="DD503" s="35"/>
      <c r="DE503" s="35"/>
      <c r="DF503" s="35"/>
      <c r="DG503" s="35"/>
      <c r="DH503" s="35"/>
      <c r="DI503" s="35"/>
      <c r="DJ503" s="35"/>
    </row>
    <row r="504" spans="1:114" x14ac:dyDescent="0.25">
      <c r="A504" s="34"/>
      <c r="B504" s="34"/>
      <c r="C504" s="34"/>
      <c r="D504" s="34"/>
      <c r="E504" s="34"/>
      <c r="F504" s="34"/>
      <c r="G504" s="34"/>
      <c r="H504" s="34"/>
      <c r="I504" s="34"/>
      <c r="J504" s="34"/>
      <c r="K504" s="34"/>
      <c r="L504" s="34"/>
      <c r="M504" s="34"/>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c r="BF504" s="35"/>
      <c r="BG504" s="35"/>
      <c r="BH504" s="35"/>
      <c r="BI504" s="35"/>
      <c r="BJ504" s="35"/>
      <c r="BK504" s="35"/>
      <c r="BL504" s="35"/>
      <c r="BM504" s="35"/>
      <c r="BN504" s="35"/>
      <c r="BO504" s="35"/>
      <c r="BP504" s="35"/>
      <c r="BQ504" s="35"/>
      <c r="BR504" s="35"/>
      <c r="BS504" s="35"/>
      <c r="BT504" s="35"/>
      <c r="BU504" s="35"/>
      <c r="BV504" s="35"/>
      <c r="BW504" s="35"/>
      <c r="BX504" s="35"/>
      <c r="BY504" s="35"/>
      <c r="BZ504" s="35"/>
      <c r="CA504" s="35"/>
      <c r="CB504" s="35"/>
      <c r="CC504" s="35"/>
      <c r="CD504" s="35"/>
      <c r="CE504" s="35"/>
      <c r="CF504" s="35"/>
      <c r="CG504" s="35"/>
      <c r="CH504" s="35"/>
      <c r="CI504" s="35"/>
      <c r="CJ504" s="35"/>
      <c r="CK504" s="35"/>
      <c r="CL504" s="35"/>
      <c r="CM504" s="35"/>
      <c r="CN504" s="35"/>
      <c r="CO504" s="35"/>
      <c r="CP504" s="35"/>
      <c r="CQ504" s="35"/>
      <c r="CR504" s="35"/>
      <c r="CS504" s="35"/>
      <c r="CT504" s="35"/>
      <c r="CU504" s="35"/>
      <c r="CV504" s="35"/>
      <c r="CW504" s="35"/>
      <c r="CX504" s="35"/>
      <c r="CY504" s="35"/>
      <c r="CZ504" s="35"/>
      <c r="DA504" s="35"/>
      <c r="DB504" s="35"/>
      <c r="DC504" s="35"/>
      <c r="DD504" s="35"/>
      <c r="DE504" s="35"/>
      <c r="DF504" s="35"/>
      <c r="DG504" s="35"/>
      <c r="DH504" s="35"/>
      <c r="DI504" s="35"/>
      <c r="DJ504" s="35"/>
    </row>
    <row r="505" spans="1:114" x14ac:dyDescent="0.25">
      <c r="A505" s="34"/>
      <c r="B505" s="34"/>
      <c r="C505" s="34"/>
      <c r="D505" s="34"/>
      <c r="E505" s="34"/>
      <c r="F505" s="34"/>
      <c r="G505" s="34"/>
      <c r="H505" s="34"/>
      <c r="I505" s="34"/>
      <c r="J505" s="34"/>
      <c r="K505" s="34"/>
      <c r="L505" s="34"/>
      <c r="M505" s="34"/>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c r="BF505" s="35"/>
      <c r="BG505" s="35"/>
      <c r="BH505" s="35"/>
      <c r="BI505" s="35"/>
      <c r="BJ505" s="35"/>
      <c r="BK505" s="35"/>
      <c r="BL505" s="35"/>
      <c r="BM505" s="35"/>
      <c r="BN505" s="35"/>
      <c r="BO505" s="35"/>
      <c r="BP505" s="35"/>
      <c r="BQ505" s="35"/>
      <c r="BR505" s="35"/>
      <c r="BS505" s="35"/>
      <c r="BT505" s="35"/>
      <c r="BU505" s="35"/>
      <c r="BV505" s="35"/>
      <c r="BW505" s="35"/>
      <c r="BX505" s="35"/>
      <c r="BY505" s="35"/>
      <c r="BZ505" s="35"/>
      <c r="CA505" s="35"/>
      <c r="CB505" s="35"/>
      <c r="CC505" s="35"/>
      <c r="CD505" s="35"/>
      <c r="CE505" s="35"/>
      <c r="CF505" s="35"/>
      <c r="CG505" s="35"/>
      <c r="CH505" s="35"/>
      <c r="CI505" s="35"/>
      <c r="CJ505" s="35"/>
      <c r="CK505" s="35"/>
      <c r="CL505" s="35"/>
      <c r="CM505" s="35"/>
      <c r="CN505" s="35"/>
      <c r="CO505" s="35"/>
      <c r="CP505" s="35"/>
      <c r="CQ505" s="35"/>
      <c r="CR505" s="35"/>
      <c r="CS505" s="35"/>
      <c r="CT505" s="35"/>
      <c r="CU505" s="35"/>
      <c r="CV505" s="35"/>
      <c r="CW505" s="35"/>
      <c r="CX505" s="35"/>
      <c r="CY505" s="35"/>
      <c r="CZ505" s="35"/>
      <c r="DA505" s="35"/>
      <c r="DB505" s="35"/>
      <c r="DC505" s="35"/>
      <c r="DD505" s="35"/>
      <c r="DE505" s="35"/>
      <c r="DF505" s="35"/>
      <c r="DG505" s="35"/>
      <c r="DH505" s="35"/>
      <c r="DI505" s="35"/>
      <c r="DJ505" s="35"/>
    </row>
    <row r="506" spans="1:114" x14ac:dyDescent="0.25">
      <c r="A506" s="34"/>
      <c r="B506" s="34"/>
      <c r="C506" s="34"/>
      <c r="D506" s="34"/>
      <c r="E506" s="34"/>
      <c r="F506" s="34"/>
      <c r="G506" s="34"/>
      <c r="H506" s="34"/>
      <c r="I506" s="34"/>
      <c r="J506" s="34"/>
      <c r="K506" s="34"/>
      <c r="L506" s="34"/>
      <c r="M506" s="34"/>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c r="BF506" s="35"/>
      <c r="BG506" s="35"/>
      <c r="BH506" s="35"/>
      <c r="BI506" s="35"/>
      <c r="BJ506" s="35"/>
      <c r="BK506" s="35"/>
      <c r="BL506" s="35"/>
      <c r="BM506" s="35"/>
      <c r="BN506" s="35"/>
      <c r="BO506" s="35"/>
      <c r="BP506" s="35"/>
      <c r="BQ506" s="35"/>
      <c r="BR506" s="35"/>
      <c r="BS506" s="35"/>
      <c r="BT506" s="35"/>
      <c r="BU506" s="35"/>
      <c r="BV506" s="35"/>
      <c r="BW506" s="35"/>
      <c r="BX506" s="35"/>
      <c r="BY506" s="35"/>
      <c r="BZ506" s="35"/>
      <c r="CA506" s="35"/>
      <c r="CB506" s="35"/>
      <c r="CC506" s="35"/>
      <c r="CD506" s="35"/>
      <c r="CE506" s="35"/>
      <c r="CF506" s="35"/>
      <c r="CG506" s="35"/>
      <c r="CH506" s="35"/>
      <c r="CI506" s="35"/>
      <c r="CJ506" s="35"/>
      <c r="CK506" s="35"/>
      <c r="CL506" s="35"/>
      <c r="CM506" s="35"/>
      <c r="CN506" s="35"/>
      <c r="CO506" s="35"/>
      <c r="CP506" s="35"/>
      <c r="CQ506" s="35"/>
      <c r="CR506" s="35"/>
      <c r="CS506" s="35"/>
      <c r="CT506" s="35"/>
      <c r="CU506" s="35"/>
      <c r="CV506" s="35"/>
      <c r="CW506" s="35"/>
      <c r="CX506" s="35"/>
      <c r="CY506" s="35"/>
      <c r="CZ506" s="35"/>
      <c r="DA506" s="35"/>
      <c r="DB506" s="35"/>
      <c r="DC506" s="35"/>
      <c r="DD506" s="35"/>
      <c r="DE506" s="35"/>
      <c r="DF506" s="35"/>
      <c r="DG506" s="35"/>
      <c r="DH506" s="35"/>
      <c r="DI506" s="35"/>
      <c r="DJ506" s="35"/>
    </row>
    <row r="507" spans="1:114" x14ac:dyDescent="0.25">
      <c r="A507" s="34"/>
      <c r="B507" s="34"/>
      <c r="C507" s="34"/>
      <c r="D507" s="34"/>
      <c r="E507" s="34"/>
      <c r="F507" s="34"/>
      <c r="G507" s="34"/>
      <c r="H507" s="34"/>
      <c r="I507" s="34"/>
      <c r="J507" s="34"/>
      <c r="K507" s="34"/>
      <c r="L507" s="34"/>
      <c r="M507" s="34"/>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35"/>
      <c r="BN507" s="35"/>
      <c r="BO507" s="35"/>
      <c r="BP507" s="35"/>
      <c r="BQ507" s="35"/>
      <c r="BR507" s="35"/>
      <c r="BS507" s="35"/>
      <c r="BT507" s="35"/>
      <c r="BU507" s="35"/>
      <c r="BV507" s="35"/>
      <c r="BW507" s="35"/>
      <c r="BX507" s="35"/>
      <c r="BY507" s="35"/>
      <c r="BZ507" s="35"/>
      <c r="CA507" s="35"/>
      <c r="CB507" s="35"/>
      <c r="CC507" s="35"/>
      <c r="CD507" s="35"/>
      <c r="CE507" s="35"/>
      <c r="CF507" s="35"/>
      <c r="CG507" s="35"/>
      <c r="CH507" s="35"/>
      <c r="CI507" s="35"/>
      <c r="CJ507" s="35"/>
      <c r="CK507" s="35"/>
      <c r="CL507" s="35"/>
      <c r="CM507" s="35"/>
      <c r="CN507" s="35"/>
      <c r="CO507" s="35"/>
      <c r="CP507" s="35"/>
      <c r="CQ507" s="35"/>
      <c r="CR507" s="35"/>
      <c r="CS507" s="35"/>
      <c r="CT507" s="35"/>
      <c r="CU507" s="35"/>
      <c r="CV507" s="35"/>
      <c r="CW507" s="35"/>
      <c r="CX507" s="35"/>
      <c r="CY507" s="35"/>
      <c r="CZ507" s="35"/>
      <c r="DA507" s="35"/>
      <c r="DB507" s="35"/>
      <c r="DC507" s="35"/>
      <c r="DD507" s="35"/>
      <c r="DE507" s="35"/>
      <c r="DF507" s="35"/>
      <c r="DG507" s="35"/>
      <c r="DH507" s="35"/>
      <c r="DI507" s="35"/>
      <c r="DJ507" s="35"/>
    </row>
    <row r="508" spans="1:114" x14ac:dyDescent="0.25">
      <c r="A508" s="34"/>
      <c r="B508" s="34"/>
      <c r="C508" s="34"/>
      <c r="D508" s="34"/>
      <c r="E508" s="34"/>
      <c r="F508" s="34"/>
      <c r="G508" s="34"/>
      <c r="H508" s="34"/>
      <c r="I508" s="34"/>
      <c r="J508" s="34"/>
      <c r="K508" s="34"/>
      <c r="L508" s="34"/>
      <c r="M508" s="34"/>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c r="BF508" s="35"/>
      <c r="BG508" s="35"/>
      <c r="BH508" s="35"/>
      <c r="BI508" s="35"/>
      <c r="BJ508" s="35"/>
      <c r="BK508" s="35"/>
      <c r="BL508" s="35"/>
      <c r="BM508" s="35"/>
      <c r="BN508" s="35"/>
      <c r="BO508" s="35"/>
      <c r="BP508" s="35"/>
      <c r="BQ508" s="35"/>
      <c r="BR508" s="35"/>
      <c r="BS508" s="35"/>
      <c r="BT508" s="35"/>
      <c r="BU508" s="35"/>
      <c r="BV508" s="35"/>
      <c r="BW508" s="35"/>
      <c r="BX508" s="35"/>
      <c r="BY508" s="35"/>
      <c r="BZ508" s="35"/>
      <c r="CA508" s="35"/>
      <c r="CB508" s="35"/>
      <c r="CC508" s="35"/>
      <c r="CD508" s="35"/>
      <c r="CE508" s="35"/>
      <c r="CF508" s="35"/>
      <c r="CG508" s="35"/>
      <c r="CH508" s="35"/>
      <c r="CI508" s="35"/>
      <c r="CJ508" s="35"/>
      <c r="CK508" s="35"/>
      <c r="CL508" s="35"/>
      <c r="CM508" s="35"/>
      <c r="CN508" s="35"/>
      <c r="CO508" s="35"/>
      <c r="CP508" s="35"/>
      <c r="CQ508" s="35"/>
      <c r="CR508" s="35"/>
      <c r="CS508" s="35"/>
      <c r="CT508" s="35"/>
      <c r="CU508" s="35"/>
      <c r="CV508" s="35"/>
      <c r="CW508" s="35"/>
      <c r="CX508" s="35"/>
      <c r="CY508" s="35"/>
      <c r="CZ508" s="35"/>
      <c r="DA508" s="35"/>
      <c r="DB508" s="35"/>
      <c r="DC508" s="35"/>
      <c r="DD508" s="35"/>
      <c r="DE508" s="35"/>
      <c r="DF508" s="35"/>
      <c r="DG508" s="35"/>
      <c r="DH508" s="35"/>
      <c r="DI508" s="35"/>
      <c r="DJ508" s="35"/>
    </row>
    <row r="509" spans="1:114" x14ac:dyDescent="0.25">
      <c r="A509" s="34"/>
      <c r="B509" s="34"/>
      <c r="C509" s="34"/>
      <c r="D509" s="34"/>
      <c r="E509" s="34"/>
      <c r="F509" s="34"/>
      <c r="G509" s="34"/>
      <c r="H509" s="34"/>
      <c r="I509" s="34"/>
      <c r="J509" s="34"/>
      <c r="K509" s="34"/>
      <c r="L509" s="34"/>
      <c r="M509" s="34"/>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c r="BF509" s="35"/>
      <c r="BG509" s="35"/>
      <c r="BH509" s="35"/>
      <c r="BI509" s="35"/>
      <c r="BJ509" s="35"/>
      <c r="BK509" s="35"/>
      <c r="BL509" s="35"/>
      <c r="BM509" s="35"/>
      <c r="BN509" s="35"/>
      <c r="BO509" s="35"/>
      <c r="BP509" s="35"/>
      <c r="BQ509" s="35"/>
      <c r="BR509" s="35"/>
      <c r="BS509" s="35"/>
      <c r="BT509" s="35"/>
      <c r="BU509" s="35"/>
      <c r="BV509" s="35"/>
      <c r="BW509" s="35"/>
      <c r="BX509" s="35"/>
      <c r="BY509" s="35"/>
      <c r="BZ509" s="35"/>
      <c r="CA509" s="35"/>
      <c r="CB509" s="35"/>
      <c r="CC509" s="35"/>
      <c r="CD509" s="35"/>
      <c r="CE509" s="35"/>
      <c r="CF509" s="35"/>
      <c r="CG509" s="35"/>
      <c r="CH509" s="35"/>
      <c r="CI509" s="35"/>
      <c r="CJ509" s="35"/>
      <c r="CK509" s="35"/>
      <c r="CL509" s="35"/>
      <c r="CM509" s="35"/>
      <c r="CN509" s="35"/>
      <c r="CO509" s="35"/>
      <c r="CP509" s="35"/>
      <c r="CQ509" s="35"/>
      <c r="CR509" s="35"/>
      <c r="CS509" s="35"/>
      <c r="CT509" s="35"/>
      <c r="CU509" s="35"/>
      <c r="CV509" s="35"/>
      <c r="CW509" s="35"/>
      <c r="CX509" s="35"/>
      <c r="CY509" s="35"/>
      <c r="CZ509" s="35"/>
      <c r="DA509" s="35"/>
      <c r="DB509" s="35"/>
      <c r="DC509" s="35"/>
      <c r="DD509" s="35"/>
      <c r="DE509" s="35"/>
      <c r="DF509" s="35"/>
      <c r="DG509" s="35"/>
      <c r="DH509" s="35"/>
      <c r="DI509" s="35"/>
      <c r="DJ509" s="35"/>
    </row>
    <row r="510" spans="1:114" x14ac:dyDescent="0.25">
      <c r="A510" s="34"/>
      <c r="B510" s="34"/>
      <c r="C510" s="34"/>
      <c r="D510" s="34"/>
      <c r="E510" s="34"/>
      <c r="F510" s="34"/>
      <c r="G510" s="34"/>
      <c r="H510" s="34"/>
      <c r="I510" s="34"/>
      <c r="J510" s="34"/>
      <c r="K510" s="34"/>
      <c r="L510" s="34"/>
      <c r="M510" s="34"/>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c r="BF510" s="35"/>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c r="CC510" s="35"/>
      <c r="CD510" s="35"/>
      <c r="CE510" s="35"/>
      <c r="CF510" s="35"/>
      <c r="CG510" s="35"/>
      <c r="CH510" s="35"/>
      <c r="CI510" s="35"/>
      <c r="CJ510" s="35"/>
      <c r="CK510" s="35"/>
      <c r="CL510" s="35"/>
      <c r="CM510" s="35"/>
      <c r="CN510" s="35"/>
      <c r="CO510" s="35"/>
      <c r="CP510" s="35"/>
      <c r="CQ510" s="35"/>
      <c r="CR510" s="35"/>
      <c r="CS510" s="35"/>
      <c r="CT510" s="35"/>
      <c r="CU510" s="35"/>
      <c r="CV510" s="35"/>
      <c r="CW510" s="35"/>
      <c r="CX510" s="35"/>
      <c r="CY510" s="35"/>
      <c r="CZ510" s="35"/>
      <c r="DA510" s="35"/>
      <c r="DB510" s="35"/>
      <c r="DC510" s="35"/>
      <c r="DD510" s="35"/>
      <c r="DE510" s="35"/>
      <c r="DF510" s="35"/>
      <c r="DG510" s="35"/>
      <c r="DH510" s="35"/>
      <c r="DI510" s="35"/>
      <c r="DJ510" s="35"/>
    </row>
    <row r="511" spans="1:114" x14ac:dyDescent="0.25">
      <c r="A511" s="34"/>
      <c r="B511" s="34"/>
      <c r="C511" s="34"/>
      <c r="D511" s="34"/>
      <c r="E511" s="34"/>
      <c r="F511" s="34"/>
      <c r="G511" s="34"/>
      <c r="H511" s="34"/>
      <c r="I511" s="34"/>
      <c r="J511" s="34"/>
      <c r="K511" s="34"/>
      <c r="L511" s="34"/>
      <c r="M511" s="34"/>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c r="CZ511" s="35"/>
      <c r="DA511" s="35"/>
      <c r="DB511" s="35"/>
      <c r="DC511" s="35"/>
      <c r="DD511" s="35"/>
      <c r="DE511" s="35"/>
      <c r="DF511" s="35"/>
      <c r="DG511" s="35"/>
      <c r="DH511" s="35"/>
      <c r="DI511" s="35"/>
      <c r="DJ511" s="35"/>
    </row>
    <row r="512" spans="1:114" x14ac:dyDescent="0.25">
      <c r="A512" s="34"/>
      <c r="B512" s="34"/>
      <c r="C512" s="34"/>
      <c r="D512" s="34"/>
      <c r="E512" s="34"/>
      <c r="F512" s="34"/>
      <c r="G512" s="34"/>
      <c r="H512" s="34"/>
      <c r="I512" s="34"/>
      <c r="J512" s="34"/>
      <c r="K512" s="34"/>
      <c r="L512" s="34"/>
      <c r="M512" s="34"/>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c r="CG512" s="35"/>
      <c r="CH512" s="35"/>
      <c r="CI512" s="35"/>
      <c r="CJ512" s="35"/>
      <c r="CK512" s="35"/>
      <c r="CL512" s="35"/>
      <c r="CM512" s="35"/>
      <c r="CN512" s="35"/>
      <c r="CO512" s="35"/>
      <c r="CP512" s="35"/>
      <c r="CQ512" s="35"/>
      <c r="CR512" s="35"/>
      <c r="CS512" s="35"/>
      <c r="CT512" s="35"/>
      <c r="CU512" s="35"/>
      <c r="CV512" s="35"/>
      <c r="CW512" s="35"/>
      <c r="CX512" s="35"/>
      <c r="CY512" s="35"/>
      <c r="CZ512" s="35"/>
      <c r="DA512" s="35"/>
      <c r="DB512" s="35"/>
      <c r="DC512" s="35"/>
      <c r="DD512" s="35"/>
      <c r="DE512" s="35"/>
      <c r="DF512" s="35"/>
      <c r="DG512" s="35"/>
      <c r="DH512" s="35"/>
      <c r="DI512" s="35"/>
      <c r="DJ512" s="35"/>
    </row>
    <row r="513" spans="1:114" x14ac:dyDescent="0.25">
      <c r="A513" s="34"/>
      <c r="B513" s="34"/>
      <c r="C513" s="34"/>
      <c r="D513" s="34"/>
      <c r="E513" s="34"/>
      <c r="F513" s="34"/>
      <c r="G513" s="34"/>
      <c r="H513" s="34"/>
      <c r="I513" s="34"/>
      <c r="J513" s="34"/>
      <c r="K513" s="34"/>
      <c r="L513" s="34"/>
      <c r="M513" s="34"/>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c r="CC513" s="35"/>
      <c r="CD513" s="35"/>
      <c r="CE513" s="35"/>
      <c r="CF513" s="35"/>
      <c r="CG513" s="35"/>
      <c r="CH513" s="35"/>
      <c r="CI513" s="35"/>
      <c r="CJ513" s="35"/>
      <c r="CK513" s="35"/>
      <c r="CL513" s="35"/>
      <c r="CM513" s="35"/>
      <c r="CN513" s="35"/>
      <c r="CO513" s="35"/>
      <c r="CP513" s="35"/>
      <c r="CQ513" s="35"/>
      <c r="CR513" s="35"/>
      <c r="CS513" s="35"/>
      <c r="CT513" s="35"/>
      <c r="CU513" s="35"/>
      <c r="CV513" s="35"/>
      <c r="CW513" s="35"/>
      <c r="CX513" s="35"/>
      <c r="CY513" s="35"/>
      <c r="CZ513" s="35"/>
      <c r="DA513" s="35"/>
      <c r="DB513" s="35"/>
      <c r="DC513" s="35"/>
      <c r="DD513" s="35"/>
      <c r="DE513" s="35"/>
      <c r="DF513" s="35"/>
      <c r="DG513" s="35"/>
      <c r="DH513" s="35"/>
      <c r="DI513" s="35"/>
      <c r="DJ513" s="35"/>
    </row>
    <row r="514" spans="1:114" x14ac:dyDescent="0.25">
      <c r="A514" s="34"/>
      <c r="B514" s="34"/>
      <c r="C514" s="34"/>
      <c r="D514" s="34"/>
      <c r="E514" s="34"/>
      <c r="F514" s="34"/>
      <c r="G514" s="34"/>
      <c r="H514" s="34"/>
      <c r="I514" s="34"/>
      <c r="J514" s="34"/>
      <c r="K514" s="34"/>
      <c r="L514" s="34"/>
      <c r="M514" s="34"/>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c r="DH514" s="35"/>
      <c r="DI514" s="35"/>
      <c r="DJ514" s="35"/>
    </row>
    <row r="515" spans="1:114" x14ac:dyDescent="0.25">
      <c r="A515" s="34"/>
      <c r="B515" s="34"/>
      <c r="C515" s="34"/>
      <c r="D515" s="34"/>
      <c r="E515" s="34"/>
      <c r="F515" s="34"/>
      <c r="G515" s="34"/>
      <c r="H515" s="34"/>
      <c r="I515" s="34"/>
      <c r="J515" s="34"/>
      <c r="K515" s="34"/>
      <c r="L515" s="34"/>
      <c r="M515" s="34"/>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35"/>
      <c r="CQ515" s="35"/>
      <c r="CR515" s="35"/>
      <c r="CS515" s="35"/>
      <c r="CT515" s="35"/>
      <c r="CU515" s="35"/>
      <c r="CV515" s="35"/>
      <c r="CW515" s="35"/>
      <c r="CX515" s="35"/>
      <c r="CY515" s="35"/>
      <c r="CZ515" s="35"/>
      <c r="DA515" s="35"/>
      <c r="DB515" s="35"/>
      <c r="DC515" s="35"/>
      <c r="DD515" s="35"/>
      <c r="DE515" s="35"/>
      <c r="DF515" s="35"/>
      <c r="DG515" s="35"/>
      <c r="DH515" s="35"/>
      <c r="DI515" s="35"/>
      <c r="DJ515" s="35"/>
    </row>
    <row r="516" spans="1:114" x14ac:dyDescent="0.25">
      <c r="A516" s="34"/>
      <c r="B516" s="34"/>
      <c r="C516" s="34"/>
      <c r="D516" s="34"/>
      <c r="E516" s="34"/>
      <c r="F516" s="34"/>
      <c r="G516" s="34"/>
      <c r="H516" s="34"/>
      <c r="I516" s="34"/>
      <c r="J516" s="34"/>
      <c r="K516" s="34"/>
      <c r="L516" s="34"/>
      <c r="M516" s="34"/>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c r="BG516" s="35"/>
      <c r="BH516" s="35"/>
      <c r="BI516" s="35"/>
      <c r="BJ516" s="35"/>
      <c r="BK516" s="35"/>
      <c r="BL516" s="35"/>
      <c r="BM516" s="35"/>
      <c r="BN516" s="35"/>
      <c r="BO516" s="35"/>
      <c r="BP516" s="35"/>
      <c r="BQ516" s="35"/>
      <c r="BR516" s="35"/>
      <c r="BS516" s="35"/>
      <c r="BT516" s="35"/>
      <c r="BU516" s="35"/>
      <c r="BV516" s="35"/>
      <c r="BW516" s="35"/>
      <c r="BX516" s="35"/>
      <c r="BY516" s="35"/>
      <c r="BZ516" s="35"/>
      <c r="CA516" s="35"/>
      <c r="CB516" s="35"/>
      <c r="CC516" s="35"/>
      <c r="CD516" s="35"/>
      <c r="CE516" s="35"/>
      <c r="CF516" s="35"/>
      <c r="CG516" s="35"/>
      <c r="CH516" s="35"/>
      <c r="CI516" s="35"/>
      <c r="CJ516" s="35"/>
      <c r="CK516" s="35"/>
      <c r="CL516" s="35"/>
      <c r="CM516" s="35"/>
      <c r="CN516" s="35"/>
      <c r="CO516" s="35"/>
      <c r="CP516" s="35"/>
      <c r="CQ516" s="35"/>
      <c r="CR516" s="35"/>
      <c r="CS516" s="35"/>
      <c r="CT516" s="35"/>
      <c r="CU516" s="35"/>
      <c r="CV516" s="35"/>
      <c r="CW516" s="35"/>
      <c r="CX516" s="35"/>
      <c r="CY516" s="35"/>
      <c r="CZ516" s="35"/>
      <c r="DA516" s="35"/>
      <c r="DB516" s="35"/>
      <c r="DC516" s="35"/>
      <c r="DD516" s="35"/>
      <c r="DE516" s="35"/>
      <c r="DF516" s="35"/>
      <c r="DG516" s="35"/>
      <c r="DH516" s="35"/>
      <c r="DI516" s="35"/>
      <c r="DJ516" s="35"/>
    </row>
    <row r="517" spans="1:114" x14ac:dyDescent="0.25">
      <c r="A517" s="34"/>
      <c r="B517" s="34"/>
      <c r="C517" s="34"/>
      <c r="D517" s="34"/>
      <c r="E517" s="34"/>
      <c r="F517" s="34"/>
      <c r="G517" s="34"/>
      <c r="H517" s="34"/>
      <c r="I517" s="34"/>
      <c r="J517" s="34"/>
      <c r="K517" s="34"/>
      <c r="L517" s="34"/>
      <c r="M517" s="34"/>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c r="CC517" s="35"/>
      <c r="CD517" s="35"/>
      <c r="CE517" s="35"/>
      <c r="CF517" s="35"/>
      <c r="CG517" s="35"/>
      <c r="CH517" s="35"/>
      <c r="CI517" s="35"/>
      <c r="CJ517" s="35"/>
      <c r="CK517" s="35"/>
      <c r="CL517" s="35"/>
      <c r="CM517" s="35"/>
      <c r="CN517" s="35"/>
      <c r="CO517" s="35"/>
      <c r="CP517" s="35"/>
      <c r="CQ517" s="35"/>
      <c r="CR517" s="35"/>
      <c r="CS517" s="35"/>
      <c r="CT517" s="35"/>
      <c r="CU517" s="35"/>
      <c r="CV517" s="35"/>
      <c r="CW517" s="35"/>
      <c r="CX517" s="35"/>
      <c r="CY517" s="35"/>
      <c r="CZ517" s="35"/>
      <c r="DA517" s="35"/>
      <c r="DB517" s="35"/>
      <c r="DC517" s="35"/>
      <c r="DD517" s="35"/>
      <c r="DE517" s="35"/>
      <c r="DF517" s="35"/>
      <c r="DG517" s="35"/>
      <c r="DH517" s="35"/>
      <c r="DI517" s="35"/>
      <c r="DJ517" s="35"/>
    </row>
    <row r="518" spans="1:114" x14ac:dyDescent="0.25">
      <c r="A518" s="34"/>
      <c r="B518" s="34"/>
      <c r="C518" s="34"/>
      <c r="D518" s="34"/>
      <c r="E518" s="34"/>
      <c r="F518" s="34"/>
      <c r="G518" s="34"/>
      <c r="H518" s="34"/>
      <c r="I518" s="34"/>
      <c r="J518" s="34"/>
      <c r="K518" s="34"/>
      <c r="L518" s="34"/>
      <c r="M518" s="34"/>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c r="BF518" s="35"/>
      <c r="BG518" s="35"/>
      <c r="BH518" s="35"/>
      <c r="BI518" s="35"/>
      <c r="BJ518" s="35"/>
      <c r="BK518" s="35"/>
      <c r="BL518" s="35"/>
      <c r="BM518" s="35"/>
      <c r="BN518" s="35"/>
      <c r="BO518" s="35"/>
      <c r="BP518" s="35"/>
      <c r="BQ518" s="35"/>
      <c r="BR518" s="35"/>
      <c r="BS518" s="35"/>
      <c r="BT518" s="35"/>
      <c r="BU518" s="35"/>
      <c r="BV518" s="35"/>
      <c r="BW518" s="35"/>
      <c r="BX518" s="35"/>
      <c r="BY518" s="35"/>
      <c r="BZ518" s="35"/>
      <c r="CA518" s="35"/>
      <c r="CB518" s="35"/>
      <c r="CC518" s="35"/>
      <c r="CD518" s="35"/>
      <c r="CE518" s="35"/>
      <c r="CF518" s="35"/>
      <c r="CG518" s="35"/>
      <c r="CH518" s="35"/>
      <c r="CI518" s="35"/>
      <c r="CJ518" s="35"/>
      <c r="CK518" s="35"/>
      <c r="CL518" s="35"/>
      <c r="CM518" s="35"/>
      <c r="CN518" s="35"/>
      <c r="CO518" s="35"/>
      <c r="CP518" s="35"/>
      <c r="CQ518" s="35"/>
      <c r="CR518" s="35"/>
      <c r="CS518" s="35"/>
      <c r="CT518" s="35"/>
      <c r="CU518" s="35"/>
      <c r="CV518" s="35"/>
      <c r="CW518" s="35"/>
      <c r="CX518" s="35"/>
      <c r="CY518" s="35"/>
      <c r="CZ518" s="35"/>
      <c r="DA518" s="35"/>
      <c r="DB518" s="35"/>
      <c r="DC518" s="35"/>
      <c r="DD518" s="35"/>
      <c r="DE518" s="35"/>
      <c r="DF518" s="35"/>
      <c r="DG518" s="35"/>
      <c r="DH518" s="35"/>
      <c r="DI518" s="35"/>
      <c r="DJ518" s="35"/>
    </row>
    <row r="519" spans="1:114" x14ac:dyDescent="0.25">
      <c r="A519" s="34"/>
      <c r="B519" s="34"/>
      <c r="C519" s="34"/>
      <c r="D519" s="34"/>
      <c r="E519" s="34"/>
      <c r="F519" s="34"/>
      <c r="G519" s="34"/>
      <c r="H519" s="34"/>
      <c r="I519" s="34"/>
      <c r="J519" s="34"/>
      <c r="K519" s="34"/>
      <c r="L519" s="34"/>
      <c r="M519" s="34"/>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c r="BG519" s="35"/>
      <c r="BH519" s="35"/>
      <c r="BI519" s="35"/>
      <c r="BJ519" s="35"/>
      <c r="BK519" s="35"/>
      <c r="BL519" s="35"/>
      <c r="BM519" s="35"/>
      <c r="BN519" s="35"/>
      <c r="BO519" s="35"/>
      <c r="BP519" s="35"/>
      <c r="BQ519" s="35"/>
      <c r="BR519" s="35"/>
      <c r="BS519" s="35"/>
      <c r="BT519" s="35"/>
      <c r="BU519" s="35"/>
      <c r="BV519" s="35"/>
      <c r="BW519" s="35"/>
      <c r="BX519" s="35"/>
      <c r="BY519" s="35"/>
      <c r="BZ519" s="35"/>
      <c r="CA519" s="35"/>
      <c r="CB519" s="35"/>
      <c r="CC519" s="35"/>
      <c r="CD519" s="35"/>
      <c r="CE519" s="35"/>
      <c r="CF519" s="35"/>
      <c r="CG519" s="35"/>
      <c r="CH519" s="35"/>
      <c r="CI519" s="35"/>
      <c r="CJ519" s="35"/>
      <c r="CK519" s="35"/>
      <c r="CL519" s="35"/>
      <c r="CM519" s="35"/>
      <c r="CN519" s="35"/>
      <c r="CO519" s="35"/>
      <c r="CP519" s="35"/>
      <c r="CQ519" s="35"/>
      <c r="CR519" s="35"/>
      <c r="CS519" s="35"/>
      <c r="CT519" s="35"/>
      <c r="CU519" s="35"/>
      <c r="CV519" s="35"/>
      <c r="CW519" s="35"/>
      <c r="CX519" s="35"/>
      <c r="CY519" s="35"/>
      <c r="CZ519" s="35"/>
      <c r="DA519" s="35"/>
      <c r="DB519" s="35"/>
      <c r="DC519" s="35"/>
      <c r="DD519" s="35"/>
      <c r="DE519" s="35"/>
      <c r="DF519" s="35"/>
      <c r="DG519" s="35"/>
      <c r="DH519" s="35"/>
      <c r="DI519" s="35"/>
      <c r="DJ519" s="35"/>
    </row>
    <row r="520" spans="1:114" x14ac:dyDescent="0.25">
      <c r="A520" s="34"/>
      <c r="B520" s="34"/>
      <c r="C520" s="34"/>
      <c r="D520" s="34"/>
      <c r="E520" s="34"/>
      <c r="F520" s="34"/>
      <c r="G520" s="34"/>
      <c r="H520" s="34"/>
      <c r="I520" s="34"/>
      <c r="J520" s="34"/>
      <c r="K520" s="34"/>
      <c r="L520" s="34"/>
      <c r="M520" s="34"/>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c r="BN520" s="35"/>
      <c r="BO520" s="35"/>
      <c r="BP520" s="35"/>
      <c r="BQ520" s="35"/>
      <c r="BR520" s="35"/>
      <c r="BS520" s="35"/>
      <c r="BT520" s="35"/>
      <c r="BU520" s="35"/>
      <c r="BV520" s="35"/>
      <c r="BW520" s="35"/>
      <c r="BX520" s="35"/>
      <c r="BY520" s="35"/>
      <c r="BZ520" s="35"/>
      <c r="CA520" s="35"/>
      <c r="CB520" s="35"/>
      <c r="CC520" s="35"/>
      <c r="CD520" s="35"/>
      <c r="CE520" s="35"/>
      <c r="CF520" s="35"/>
      <c r="CG520" s="35"/>
      <c r="CH520" s="35"/>
      <c r="CI520" s="35"/>
      <c r="CJ520" s="35"/>
      <c r="CK520" s="35"/>
      <c r="CL520" s="35"/>
      <c r="CM520" s="35"/>
      <c r="CN520" s="35"/>
      <c r="CO520" s="35"/>
      <c r="CP520" s="35"/>
      <c r="CQ520" s="35"/>
      <c r="CR520" s="35"/>
      <c r="CS520" s="35"/>
      <c r="CT520" s="35"/>
      <c r="CU520" s="35"/>
      <c r="CV520" s="35"/>
      <c r="CW520" s="35"/>
      <c r="CX520" s="35"/>
      <c r="CY520" s="35"/>
      <c r="CZ520" s="35"/>
      <c r="DA520" s="35"/>
      <c r="DB520" s="35"/>
      <c r="DC520" s="35"/>
      <c r="DD520" s="35"/>
      <c r="DE520" s="35"/>
      <c r="DF520" s="35"/>
      <c r="DG520" s="35"/>
      <c r="DH520" s="35"/>
      <c r="DI520" s="35"/>
      <c r="DJ520" s="35"/>
    </row>
    <row r="521" spans="1:114" x14ac:dyDescent="0.25">
      <c r="A521" s="34"/>
      <c r="B521" s="34"/>
      <c r="C521" s="34"/>
      <c r="D521" s="34"/>
      <c r="E521" s="34"/>
      <c r="F521" s="34"/>
      <c r="G521" s="34"/>
      <c r="H521" s="34"/>
      <c r="I521" s="34"/>
      <c r="J521" s="34"/>
      <c r="K521" s="34"/>
      <c r="L521" s="34"/>
      <c r="M521" s="34"/>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c r="CC521" s="35"/>
      <c r="CD521" s="35"/>
      <c r="CE521" s="35"/>
      <c r="CF521" s="35"/>
      <c r="CG521" s="35"/>
      <c r="CH521" s="35"/>
      <c r="CI521" s="35"/>
      <c r="CJ521" s="35"/>
      <c r="CK521" s="35"/>
      <c r="CL521" s="35"/>
      <c r="CM521" s="35"/>
      <c r="CN521" s="35"/>
      <c r="CO521" s="35"/>
      <c r="CP521" s="35"/>
      <c r="CQ521" s="35"/>
      <c r="CR521" s="35"/>
      <c r="CS521" s="35"/>
      <c r="CT521" s="35"/>
      <c r="CU521" s="35"/>
      <c r="CV521" s="35"/>
      <c r="CW521" s="35"/>
      <c r="CX521" s="35"/>
      <c r="CY521" s="35"/>
      <c r="CZ521" s="35"/>
      <c r="DA521" s="35"/>
      <c r="DB521" s="35"/>
      <c r="DC521" s="35"/>
      <c r="DD521" s="35"/>
      <c r="DE521" s="35"/>
      <c r="DF521" s="35"/>
      <c r="DG521" s="35"/>
      <c r="DH521" s="35"/>
      <c r="DI521" s="35"/>
      <c r="DJ521" s="35"/>
    </row>
    <row r="522" spans="1:114" x14ac:dyDescent="0.25">
      <c r="A522" s="34"/>
      <c r="B522" s="34"/>
      <c r="C522" s="34"/>
      <c r="D522" s="34"/>
      <c r="E522" s="34"/>
      <c r="F522" s="34"/>
      <c r="G522" s="34"/>
      <c r="H522" s="34"/>
      <c r="I522" s="34"/>
      <c r="J522" s="34"/>
      <c r="K522" s="34"/>
      <c r="L522" s="34"/>
      <c r="M522" s="34"/>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c r="CC522" s="35"/>
      <c r="CD522" s="35"/>
      <c r="CE522" s="35"/>
      <c r="CF522" s="35"/>
      <c r="CG522" s="35"/>
      <c r="CH522" s="35"/>
      <c r="CI522" s="35"/>
      <c r="CJ522" s="35"/>
      <c r="CK522" s="35"/>
      <c r="CL522" s="35"/>
      <c r="CM522" s="35"/>
      <c r="CN522" s="35"/>
      <c r="CO522" s="35"/>
      <c r="CP522" s="35"/>
      <c r="CQ522" s="35"/>
      <c r="CR522" s="35"/>
      <c r="CS522" s="35"/>
      <c r="CT522" s="35"/>
      <c r="CU522" s="35"/>
      <c r="CV522" s="35"/>
      <c r="CW522" s="35"/>
      <c r="CX522" s="35"/>
      <c r="CY522" s="35"/>
      <c r="CZ522" s="35"/>
      <c r="DA522" s="35"/>
      <c r="DB522" s="35"/>
      <c r="DC522" s="35"/>
      <c r="DD522" s="35"/>
      <c r="DE522" s="35"/>
      <c r="DF522" s="35"/>
      <c r="DG522" s="35"/>
      <c r="DH522" s="35"/>
      <c r="DI522" s="35"/>
      <c r="DJ522" s="35"/>
    </row>
    <row r="523" spans="1:114" x14ac:dyDescent="0.25">
      <c r="A523" s="34"/>
      <c r="B523" s="34"/>
      <c r="C523" s="34"/>
      <c r="D523" s="34"/>
      <c r="E523" s="34"/>
      <c r="F523" s="34"/>
      <c r="G523" s="34"/>
      <c r="H523" s="34"/>
      <c r="I523" s="34"/>
      <c r="J523" s="34"/>
      <c r="K523" s="34"/>
      <c r="L523" s="34"/>
      <c r="M523" s="34"/>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c r="CC523" s="35"/>
      <c r="CD523" s="35"/>
      <c r="CE523" s="35"/>
      <c r="CF523" s="35"/>
      <c r="CG523" s="35"/>
      <c r="CH523" s="35"/>
      <c r="CI523" s="35"/>
      <c r="CJ523" s="35"/>
      <c r="CK523" s="35"/>
      <c r="CL523" s="35"/>
      <c r="CM523" s="35"/>
      <c r="CN523" s="35"/>
      <c r="CO523" s="35"/>
      <c r="CP523" s="35"/>
      <c r="CQ523" s="35"/>
      <c r="CR523" s="35"/>
      <c r="CS523" s="35"/>
      <c r="CT523" s="35"/>
      <c r="CU523" s="35"/>
      <c r="CV523" s="35"/>
      <c r="CW523" s="35"/>
      <c r="CX523" s="35"/>
      <c r="CY523" s="35"/>
      <c r="CZ523" s="35"/>
      <c r="DA523" s="35"/>
      <c r="DB523" s="35"/>
      <c r="DC523" s="35"/>
      <c r="DD523" s="35"/>
      <c r="DE523" s="35"/>
      <c r="DF523" s="35"/>
      <c r="DG523" s="35"/>
      <c r="DH523" s="35"/>
      <c r="DI523" s="35"/>
      <c r="DJ523" s="35"/>
    </row>
    <row r="524" spans="1:114" x14ac:dyDescent="0.25">
      <c r="A524" s="34"/>
      <c r="B524" s="34"/>
      <c r="C524" s="34"/>
      <c r="D524" s="34"/>
      <c r="E524" s="34"/>
      <c r="F524" s="34"/>
      <c r="G524" s="34"/>
      <c r="H524" s="34"/>
      <c r="I524" s="34"/>
      <c r="J524" s="34"/>
      <c r="K524" s="34"/>
      <c r="L524" s="34"/>
      <c r="M524" s="34"/>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c r="CG524" s="35"/>
      <c r="CH524" s="35"/>
      <c r="CI524" s="35"/>
      <c r="CJ524" s="35"/>
      <c r="CK524" s="35"/>
      <c r="CL524" s="35"/>
      <c r="CM524" s="35"/>
      <c r="CN524" s="35"/>
      <c r="CO524" s="35"/>
      <c r="CP524" s="35"/>
      <c r="CQ524" s="35"/>
      <c r="CR524" s="35"/>
      <c r="CS524" s="35"/>
      <c r="CT524" s="35"/>
      <c r="CU524" s="35"/>
      <c r="CV524" s="35"/>
      <c r="CW524" s="35"/>
      <c r="CX524" s="35"/>
      <c r="CY524" s="35"/>
      <c r="CZ524" s="35"/>
      <c r="DA524" s="35"/>
      <c r="DB524" s="35"/>
      <c r="DC524" s="35"/>
      <c r="DD524" s="35"/>
      <c r="DE524" s="35"/>
      <c r="DF524" s="35"/>
      <c r="DG524" s="35"/>
      <c r="DH524" s="35"/>
      <c r="DI524" s="35"/>
      <c r="DJ524" s="35"/>
    </row>
    <row r="525" spans="1:114" x14ac:dyDescent="0.25">
      <c r="A525" s="34"/>
      <c r="B525" s="34"/>
      <c r="C525" s="34"/>
      <c r="D525" s="34"/>
      <c r="E525" s="34"/>
      <c r="F525" s="34"/>
      <c r="G525" s="34"/>
      <c r="H525" s="34"/>
      <c r="I525" s="34"/>
      <c r="J525" s="34"/>
      <c r="K525" s="34"/>
      <c r="L525" s="34"/>
      <c r="M525" s="34"/>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c r="BN525" s="35"/>
      <c r="BO525" s="35"/>
      <c r="BP525" s="35"/>
      <c r="BQ525" s="35"/>
      <c r="BR525" s="35"/>
      <c r="BS525" s="35"/>
      <c r="BT525" s="35"/>
      <c r="BU525" s="35"/>
      <c r="BV525" s="35"/>
      <c r="BW525" s="35"/>
      <c r="BX525" s="35"/>
      <c r="BY525" s="35"/>
      <c r="BZ525" s="35"/>
      <c r="CA525" s="35"/>
      <c r="CB525" s="35"/>
      <c r="CC525" s="35"/>
      <c r="CD525" s="35"/>
      <c r="CE525" s="35"/>
      <c r="CF525" s="35"/>
      <c r="CG525" s="35"/>
      <c r="CH525" s="35"/>
      <c r="CI525" s="35"/>
      <c r="CJ525" s="35"/>
      <c r="CK525" s="35"/>
      <c r="CL525" s="35"/>
      <c r="CM525" s="35"/>
      <c r="CN525" s="35"/>
      <c r="CO525" s="35"/>
      <c r="CP525" s="35"/>
      <c r="CQ525" s="35"/>
      <c r="CR525" s="35"/>
      <c r="CS525" s="35"/>
      <c r="CT525" s="35"/>
      <c r="CU525" s="35"/>
      <c r="CV525" s="35"/>
      <c r="CW525" s="35"/>
      <c r="CX525" s="35"/>
      <c r="CY525" s="35"/>
      <c r="CZ525" s="35"/>
      <c r="DA525" s="35"/>
      <c r="DB525" s="35"/>
      <c r="DC525" s="35"/>
      <c r="DD525" s="35"/>
      <c r="DE525" s="35"/>
      <c r="DF525" s="35"/>
      <c r="DG525" s="35"/>
      <c r="DH525" s="35"/>
      <c r="DI525" s="35"/>
      <c r="DJ525" s="35"/>
    </row>
    <row r="526" spans="1:114" x14ac:dyDescent="0.25">
      <c r="A526" s="34"/>
      <c r="B526" s="34"/>
      <c r="C526" s="34"/>
      <c r="D526" s="34"/>
      <c r="E526" s="34"/>
      <c r="F526" s="34"/>
      <c r="G526" s="34"/>
      <c r="H526" s="34"/>
      <c r="I526" s="34"/>
      <c r="J526" s="34"/>
      <c r="K526" s="34"/>
      <c r="L526" s="34"/>
      <c r="M526" s="34"/>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c r="BG526" s="35"/>
      <c r="BH526" s="35"/>
      <c r="BI526" s="35"/>
      <c r="BJ526" s="35"/>
      <c r="BK526" s="35"/>
      <c r="BL526" s="35"/>
      <c r="BM526" s="35"/>
      <c r="BN526" s="35"/>
      <c r="BO526" s="35"/>
      <c r="BP526" s="35"/>
      <c r="BQ526" s="35"/>
      <c r="BR526" s="35"/>
      <c r="BS526" s="35"/>
      <c r="BT526" s="35"/>
      <c r="BU526" s="35"/>
      <c r="BV526" s="35"/>
      <c r="BW526" s="35"/>
      <c r="BX526" s="35"/>
      <c r="BY526" s="35"/>
      <c r="BZ526" s="35"/>
      <c r="CA526" s="35"/>
      <c r="CB526" s="35"/>
      <c r="CC526" s="35"/>
      <c r="CD526" s="35"/>
      <c r="CE526" s="35"/>
      <c r="CF526" s="35"/>
      <c r="CG526" s="35"/>
      <c r="CH526" s="35"/>
      <c r="CI526" s="35"/>
      <c r="CJ526" s="35"/>
      <c r="CK526" s="35"/>
      <c r="CL526" s="35"/>
      <c r="CM526" s="35"/>
      <c r="CN526" s="35"/>
      <c r="CO526" s="35"/>
      <c r="CP526" s="35"/>
      <c r="CQ526" s="35"/>
      <c r="CR526" s="35"/>
      <c r="CS526" s="35"/>
      <c r="CT526" s="35"/>
      <c r="CU526" s="35"/>
      <c r="CV526" s="35"/>
      <c r="CW526" s="35"/>
      <c r="CX526" s="35"/>
      <c r="CY526" s="35"/>
      <c r="CZ526" s="35"/>
      <c r="DA526" s="35"/>
      <c r="DB526" s="35"/>
      <c r="DC526" s="35"/>
      <c r="DD526" s="35"/>
      <c r="DE526" s="35"/>
      <c r="DF526" s="35"/>
      <c r="DG526" s="35"/>
      <c r="DH526" s="35"/>
      <c r="DI526" s="35"/>
      <c r="DJ526" s="35"/>
    </row>
    <row r="527" spans="1:114" x14ac:dyDescent="0.25">
      <c r="A527" s="34"/>
      <c r="B527" s="34"/>
      <c r="C527" s="34"/>
      <c r="D527" s="34"/>
      <c r="E527" s="34"/>
      <c r="F527" s="34"/>
      <c r="G527" s="34"/>
      <c r="H527" s="34"/>
      <c r="I527" s="34"/>
      <c r="J527" s="34"/>
      <c r="K527" s="34"/>
      <c r="L527" s="34"/>
      <c r="M527" s="34"/>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c r="BG527" s="35"/>
      <c r="BH527" s="35"/>
      <c r="BI527" s="35"/>
      <c r="BJ527" s="35"/>
      <c r="BK527" s="35"/>
      <c r="BL527" s="35"/>
      <c r="BM527" s="35"/>
      <c r="BN527" s="35"/>
      <c r="BO527" s="35"/>
      <c r="BP527" s="35"/>
      <c r="BQ527" s="35"/>
      <c r="BR527" s="35"/>
      <c r="BS527" s="35"/>
      <c r="BT527" s="35"/>
      <c r="BU527" s="35"/>
      <c r="BV527" s="35"/>
      <c r="BW527" s="35"/>
      <c r="BX527" s="35"/>
      <c r="BY527" s="35"/>
      <c r="BZ527" s="35"/>
      <c r="CA527" s="35"/>
      <c r="CB527" s="35"/>
      <c r="CC527" s="35"/>
      <c r="CD527" s="35"/>
      <c r="CE527" s="35"/>
      <c r="CF527" s="35"/>
      <c r="CG527" s="35"/>
      <c r="CH527" s="35"/>
      <c r="CI527" s="35"/>
      <c r="CJ527" s="35"/>
      <c r="CK527" s="35"/>
      <c r="CL527" s="35"/>
      <c r="CM527" s="35"/>
      <c r="CN527" s="35"/>
      <c r="CO527" s="35"/>
      <c r="CP527" s="35"/>
      <c r="CQ527" s="35"/>
      <c r="CR527" s="35"/>
      <c r="CS527" s="35"/>
      <c r="CT527" s="35"/>
      <c r="CU527" s="35"/>
      <c r="CV527" s="35"/>
      <c r="CW527" s="35"/>
      <c r="CX527" s="35"/>
      <c r="CY527" s="35"/>
      <c r="CZ527" s="35"/>
      <c r="DA527" s="35"/>
      <c r="DB527" s="35"/>
      <c r="DC527" s="35"/>
      <c r="DD527" s="35"/>
      <c r="DE527" s="35"/>
      <c r="DF527" s="35"/>
      <c r="DG527" s="35"/>
      <c r="DH527" s="35"/>
      <c r="DI527" s="35"/>
      <c r="DJ527" s="35"/>
    </row>
    <row r="528" spans="1:114" x14ac:dyDescent="0.25">
      <c r="A528" s="34"/>
      <c r="B528" s="34"/>
      <c r="C528" s="34"/>
      <c r="D528" s="34"/>
      <c r="E528" s="34"/>
      <c r="F528" s="34"/>
      <c r="G528" s="34"/>
      <c r="H528" s="34"/>
      <c r="I528" s="34"/>
      <c r="J528" s="34"/>
      <c r="K528" s="34"/>
      <c r="L528" s="34"/>
      <c r="M528" s="34"/>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c r="BF528" s="35"/>
      <c r="BG528" s="35"/>
      <c r="BH528" s="35"/>
      <c r="BI528" s="35"/>
      <c r="BJ528" s="35"/>
      <c r="BK528" s="35"/>
      <c r="BL528" s="35"/>
      <c r="BM528" s="35"/>
      <c r="BN528" s="35"/>
      <c r="BO528" s="35"/>
      <c r="BP528" s="35"/>
      <c r="BQ528" s="35"/>
      <c r="BR528" s="35"/>
      <c r="BS528" s="35"/>
      <c r="BT528" s="35"/>
      <c r="BU528" s="35"/>
      <c r="BV528" s="35"/>
      <c r="BW528" s="35"/>
      <c r="BX528" s="35"/>
      <c r="BY528" s="35"/>
      <c r="BZ528" s="35"/>
      <c r="CA528" s="35"/>
      <c r="CB528" s="35"/>
      <c r="CC528" s="35"/>
      <c r="CD528" s="35"/>
      <c r="CE528" s="35"/>
      <c r="CF528" s="35"/>
      <c r="CG528" s="35"/>
      <c r="CH528" s="35"/>
      <c r="CI528" s="35"/>
      <c r="CJ528" s="35"/>
      <c r="CK528" s="35"/>
      <c r="CL528" s="35"/>
      <c r="CM528" s="35"/>
      <c r="CN528" s="35"/>
      <c r="CO528" s="35"/>
      <c r="CP528" s="35"/>
      <c r="CQ528" s="35"/>
      <c r="CR528" s="35"/>
      <c r="CS528" s="35"/>
      <c r="CT528" s="35"/>
      <c r="CU528" s="35"/>
      <c r="CV528" s="35"/>
      <c r="CW528" s="35"/>
      <c r="CX528" s="35"/>
      <c r="CY528" s="35"/>
      <c r="CZ528" s="35"/>
      <c r="DA528" s="35"/>
      <c r="DB528" s="35"/>
      <c r="DC528" s="35"/>
      <c r="DD528" s="35"/>
      <c r="DE528" s="35"/>
      <c r="DF528" s="35"/>
      <c r="DG528" s="35"/>
      <c r="DH528" s="35"/>
      <c r="DI528" s="35"/>
      <c r="DJ528" s="35"/>
    </row>
    <row r="529" spans="1:114" x14ac:dyDescent="0.25">
      <c r="A529" s="34"/>
      <c r="B529" s="34"/>
      <c r="C529" s="34"/>
      <c r="D529" s="34"/>
      <c r="E529" s="34"/>
      <c r="F529" s="34"/>
      <c r="G529" s="34"/>
      <c r="H529" s="34"/>
      <c r="I529" s="34"/>
      <c r="J529" s="34"/>
      <c r="K529" s="34"/>
      <c r="L529" s="34"/>
      <c r="M529" s="34"/>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c r="BD529" s="35"/>
      <c r="BE529" s="35"/>
      <c r="BF529" s="35"/>
      <c r="BG529" s="35"/>
      <c r="BH529" s="35"/>
      <c r="BI529" s="35"/>
      <c r="BJ529" s="35"/>
      <c r="BK529" s="35"/>
      <c r="BL529" s="35"/>
      <c r="BM529" s="35"/>
      <c r="BN529" s="35"/>
      <c r="BO529" s="35"/>
      <c r="BP529" s="35"/>
      <c r="BQ529" s="35"/>
      <c r="BR529" s="35"/>
      <c r="BS529" s="35"/>
      <c r="BT529" s="35"/>
      <c r="BU529" s="35"/>
      <c r="BV529" s="35"/>
      <c r="BW529" s="35"/>
      <c r="BX529" s="35"/>
      <c r="BY529" s="35"/>
      <c r="BZ529" s="35"/>
      <c r="CA529" s="35"/>
      <c r="CB529" s="35"/>
      <c r="CC529" s="35"/>
      <c r="CD529" s="35"/>
      <c r="CE529" s="35"/>
      <c r="CF529" s="35"/>
      <c r="CG529" s="35"/>
      <c r="CH529" s="35"/>
      <c r="CI529" s="35"/>
      <c r="CJ529" s="35"/>
      <c r="CK529" s="35"/>
      <c r="CL529" s="35"/>
      <c r="CM529" s="35"/>
      <c r="CN529" s="35"/>
      <c r="CO529" s="35"/>
      <c r="CP529" s="35"/>
      <c r="CQ529" s="35"/>
      <c r="CR529" s="35"/>
      <c r="CS529" s="35"/>
      <c r="CT529" s="35"/>
      <c r="CU529" s="35"/>
      <c r="CV529" s="35"/>
      <c r="CW529" s="35"/>
      <c r="CX529" s="35"/>
      <c r="CY529" s="35"/>
      <c r="CZ529" s="35"/>
      <c r="DA529" s="35"/>
      <c r="DB529" s="35"/>
      <c r="DC529" s="35"/>
      <c r="DD529" s="35"/>
      <c r="DE529" s="35"/>
      <c r="DF529" s="35"/>
      <c r="DG529" s="35"/>
      <c r="DH529" s="35"/>
      <c r="DI529" s="35"/>
      <c r="DJ529" s="35"/>
    </row>
    <row r="530" spans="1:114" x14ac:dyDescent="0.25">
      <c r="A530" s="34"/>
      <c r="B530" s="34"/>
      <c r="C530" s="34"/>
      <c r="D530" s="34"/>
      <c r="E530" s="34"/>
      <c r="F530" s="34"/>
      <c r="G530" s="34"/>
      <c r="H530" s="34"/>
      <c r="I530" s="34"/>
      <c r="J530" s="34"/>
      <c r="K530" s="34"/>
      <c r="L530" s="34"/>
      <c r="M530" s="34"/>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c r="BD530" s="35"/>
      <c r="BE530" s="35"/>
      <c r="BF530" s="35"/>
      <c r="BG530" s="35"/>
      <c r="BH530" s="35"/>
      <c r="BI530" s="35"/>
      <c r="BJ530" s="35"/>
      <c r="BK530" s="35"/>
      <c r="BL530" s="35"/>
      <c r="BM530" s="35"/>
      <c r="BN530" s="35"/>
      <c r="BO530" s="35"/>
      <c r="BP530" s="35"/>
      <c r="BQ530" s="35"/>
      <c r="BR530" s="35"/>
      <c r="BS530" s="35"/>
      <c r="BT530" s="35"/>
      <c r="BU530" s="35"/>
      <c r="BV530" s="35"/>
      <c r="BW530" s="35"/>
      <c r="BX530" s="35"/>
      <c r="BY530" s="35"/>
      <c r="BZ530" s="35"/>
      <c r="CA530" s="35"/>
      <c r="CB530" s="35"/>
      <c r="CC530" s="35"/>
      <c r="CD530" s="35"/>
      <c r="CE530" s="35"/>
      <c r="CF530" s="35"/>
      <c r="CG530" s="35"/>
      <c r="CH530" s="35"/>
      <c r="CI530" s="35"/>
      <c r="CJ530" s="35"/>
      <c r="CK530" s="35"/>
      <c r="CL530" s="35"/>
      <c r="CM530" s="35"/>
      <c r="CN530" s="35"/>
      <c r="CO530" s="35"/>
      <c r="CP530" s="35"/>
      <c r="CQ530" s="35"/>
      <c r="CR530" s="35"/>
      <c r="CS530" s="35"/>
      <c r="CT530" s="35"/>
      <c r="CU530" s="35"/>
      <c r="CV530" s="35"/>
      <c r="CW530" s="35"/>
      <c r="CX530" s="35"/>
      <c r="CY530" s="35"/>
      <c r="CZ530" s="35"/>
      <c r="DA530" s="35"/>
      <c r="DB530" s="35"/>
      <c r="DC530" s="35"/>
      <c r="DD530" s="35"/>
      <c r="DE530" s="35"/>
      <c r="DF530" s="35"/>
      <c r="DG530" s="35"/>
      <c r="DH530" s="35"/>
      <c r="DI530" s="35"/>
      <c r="DJ530" s="35"/>
    </row>
    <row r="531" spans="1:114" x14ac:dyDescent="0.25">
      <c r="A531" s="34"/>
      <c r="B531" s="34"/>
      <c r="C531" s="34"/>
      <c r="D531" s="34"/>
      <c r="E531" s="34"/>
      <c r="F531" s="34"/>
      <c r="G531" s="34"/>
      <c r="H531" s="34"/>
      <c r="I531" s="34"/>
      <c r="J531" s="34"/>
      <c r="K531" s="34"/>
      <c r="L531" s="34"/>
      <c r="M531" s="34"/>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c r="BD531" s="35"/>
      <c r="BE531" s="35"/>
      <c r="BF531" s="35"/>
      <c r="BG531" s="35"/>
      <c r="BH531" s="35"/>
      <c r="BI531" s="35"/>
      <c r="BJ531" s="35"/>
      <c r="BK531" s="35"/>
      <c r="BL531" s="35"/>
      <c r="BM531" s="35"/>
      <c r="BN531" s="35"/>
      <c r="BO531" s="35"/>
      <c r="BP531" s="35"/>
      <c r="BQ531" s="35"/>
      <c r="BR531" s="35"/>
      <c r="BS531" s="35"/>
      <c r="BT531" s="35"/>
      <c r="BU531" s="35"/>
      <c r="BV531" s="35"/>
      <c r="BW531" s="35"/>
      <c r="BX531" s="35"/>
      <c r="BY531" s="35"/>
      <c r="BZ531" s="35"/>
      <c r="CA531" s="35"/>
      <c r="CB531" s="35"/>
      <c r="CC531" s="35"/>
      <c r="CD531" s="35"/>
      <c r="CE531" s="35"/>
      <c r="CF531" s="35"/>
      <c r="CG531" s="35"/>
      <c r="CH531" s="35"/>
      <c r="CI531" s="35"/>
      <c r="CJ531" s="35"/>
      <c r="CK531" s="35"/>
      <c r="CL531" s="35"/>
      <c r="CM531" s="35"/>
      <c r="CN531" s="35"/>
      <c r="CO531" s="35"/>
      <c r="CP531" s="35"/>
      <c r="CQ531" s="35"/>
      <c r="CR531" s="35"/>
      <c r="CS531" s="35"/>
      <c r="CT531" s="35"/>
      <c r="CU531" s="35"/>
      <c r="CV531" s="35"/>
      <c r="CW531" s="35"/>
      <c r="CX531" s="35"/>
      <c r="CY531" s="35"/>
      <c r="CZ531" s="35"/>
      <c r="DA531" s="35"/>
      <c r="DB531" s="35"/>
      <c r="DC531" s="35"/>
      <c r="DD531" s="35"/>
      <c r="DE531" s="35"/>
      <c r="DF531" s="35"/>
      <c r="DG531" s="35"/>
      <c r="DH531" s="35"/>
      <c r="DI531" s="35"/>
      <c r="DJ531" s="35"/>
    </row>
    <row r="532" spans="1:114" x14ac:dyDescent="0.25">
      <c r="A532" s="34"/>
      <c r="B532" s="34"/>
      <c r="C532" s="34"/>
      <c r="D532" s="34"/>
      <c r="E532" s="34"/>
      <c r="F532" s="34"/>
      <c r="G532" s="34"/>
      <c r="H532" s="34"/>
      <c r="I532" s="34"/>
      <c r="J532" s="34"/>
      <c r="K532" s="34"/>
      <c r="L532" s="34"/>
      <c r="M532" s="34"/>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c r="BD532" s="35"/>
      <c r="BE532" s="35"/>
      <c r="BF532" s="35"/>
      <c r="BG532" s="35"/>
      <c r="BH532" s="35"/>
      <c r="BI532" s="35"/>
      <c r="BJ532" s="35"/>
      <c r="BK532" s="35"/>
      <c r="BL532" s="35"/>
      <c r="BM532" s="35"/>
      <c r="BN532" s="35"/>
      <c r="BO532" s="35"/>
      <c r="BP532" s="35"/>
      <c r="BQ532" s="35"/>
      <c r="BR532" s="35"/>
      <c r="BS532" s="35"/>
      <c r="BT532" s="35"/>
      <c r="BU532" s="35"/>
      <c r="BV532" s="35"/>
      <c r="BW532" s="35"/>
      <c r="BX532" s="35"/>
      <c r="BY532" s="35"/>
      <c r="BZ532" s="35"/>
      <c r="CA532" s="35"/>
      <c r="CB532" s="35"/>
      <c r="CC532" s="35"/>
      <c r="CD532" s="35"/>
      <c r="CE532" s="35"/>
      <c r="CF532" s="35"/>
      <c r="CG532" s="35"/>
      <c r="CH532" s="35"/>
      <c r="CI532" s="35"/>
      <c r="CJ532" s="35"/>
      <c r="CK532" s="35"/>
      <c r="CL532" s="35"/>
      <c r="CM532" s="35"/>
      <c r="CN532" s="35"/>
      <c r="CO532" s="35"/>
      <c r="CP532" s="35"/>
      <c r="CQ532" s="35"/>
      <c r="CR532" s="35"/>
      <c r="CS532" s="35"/>
      <c r="CT532" s="35"/>
      <c r="CU532" s="35"/>
      <c r="CV532" s="35"/>
      <c r="CW532" s="35"/>
      <c r="CX532" s="35"/>
      <c r="CY532" s="35"/>
      <c r="CZ532" s="35"/>
      <c r="DA532" s="35"/>
      <c r="DB532" s="35"/>
      <c r="DC532" s="35"/>
      <c r="DD532" s="35"/>
      <c r="DE532" s="35"/>
      <c r="DF532" s="35"/>
      <c r="DG532" s="35"/>
      <c r="DH532" s="35"/>
      <c r="DI532" s="35"/>
      <c r="DJ532" s="35"/>
    </row>
    <row r="533" spans="1:114" x14ac:dyDescent="0.25">
      <c r="A533" s="34"/>
      <c r="B533" s="34"/>
      <c r="C533" s="34"/>
      <c r="D533" s="34"/>
      <c r="E533" s="34"/>
      <c r="F533" s="34"/>
      <c r="G533" s="34"/>
      <c r="H533" s="34"/>
      <c r="I533" s="34"/>
      <c r="J533" s="34"/>
      <c r="K533" s="34"/>
      <c r="L533" s="34"/>
      <c r="M533" s="34"/>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c r="BD533" s="35"/>
      <c r="BE533" s="35"/>
      <c r="BF533" s="35"/>
      <c r="BG533" s="35"/>
      <c r="BH533" s="35"/>
      <c r="BI533" s="35"/>
      <c r="BJ533" s="35"/>
      <c r="BK533" s="35"/>
      <c r="BL533" s="35"/>
      <c r="BM533" s="35"/>
      <c r="BN533" s="35"/>
      <c r="BO533" s="35"/>
      <c r="BP533" s="35"/>
      <c r="BQ533" s="35"/>
      <c r="BR533" s="35"/>
      <c r="BS533" s="35"/>
      <c r="BT533" s="35"/>
      <c r="BU533" s="35"/>
      <c r="BV533" s="35"/>
      <c r="BW533" s="35"/>
      <c r="BX533" s="35"/>
      <c r="BY533" s="35"/>
      <c r="BZ533" s="35"/>
      <c r="CA533" s="35"/>
      <c r="CB533" s="35"/>
      <c r="CC533" s="35"/>
      <c r="CD533" s="35"/>
      <c r="CE533" s="35"/>
      <c r="CF533" s="35"/>
      <c r="CG533" s="35"/>
      <c r="CH533" s="35"/>
      <c r="CI533" s="35"/>
      <c r="CJ533" s="35"/>
      <c r="CK533" s="35"/>
      <c r="CL533" s="35"/>
      <c r="CM533" s="35"/>
      <c r="CN533" s="35"/>
      <c r="CO533" s="35"/>
      <c r="CP533" s="35"/>
      <c r="CQ533" s="35"/>
      <c r="CR533" s="35"/>
      <c r="CS533" s="35"/>
      <c r="CT533" s="35"/>
      <c r="CU533" s="35"/>
      <c r="CV533" s="35"/>
      <c r="CW533" s="35"/>
      <c r="CX533" s="35"/>
      <c r="CY533" s="35"/>
      <c r="CZ533" s="35"/>
      <c r="DA533" s="35"/>
      <c r="DB533" s="35"/>
      <c r="DC533" s="35"/>
      <c r="DD533" s="35"/>
      <c r="DE533" s="35"/>
      <c r="DF533" s="35"/>
      <c r="DG533" s="35"/>
      <c r="DH533" s="35"/>
      <c r="DI533" s="35"/>
      <c r="DJ533" s="35"/>
    </row>
    <row r="534" spans="1:114" x14ac:dyDescent="0.25">
      <c r="A534" s="34"/>
      <c r="B534" s="34"/>
      <c r="C534" s="34"/>
      <c r="D534" s="34"/>
      <c r="E534" s="34"/>
      <c r="F534" s="34"/>
      <c r="G534" s="34"/>
      <c r="H534" s="34"/>
      <c r="I534" s="34"/>
      <c r="J534" s="34"/>
      <c r="K534" s="34"/>
      <c r="L534" s="34"/>
      <c r="M534" s="34"/>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c r="BD534" s="35"/>
      <c r="BE534" s="35"/>
      <c r="BF534" s="35"/>
      <c r="BG534" s="35"/>
      <c r="BH534" s="35"/>
      <c r="BI534" s="35"/>
      <c r="BJ534" s="35"/>
      <c r="BK534" s="35"/>
      <c r="BL534" s="35"/>
      <c r="BM534" s="35"/>
      <c r="BN534" s="35"/>
      <c r="BO534" s="35"/>
      <c r="BP534" s="35"/>
      <c r="BQ534" s="35"/>
      <c r="BR534" s="35"/>
      <c r="BS534" s="35"/>
      <c r="BT534" s="35"/>
      <c r="BU534" s="35"/>
      <c r="BV534" s="35"/>
      <c r="BW534" s="35"/>
      <c r="BX534" s="35"/>
      <c r="BY534" s="35"/>
      <c r="BZ534" s="35"/>
      <c r="CA534" s="35"/>
      <c r="CB534" s="35"/>
      <c r="CC534" s="35"/>
      <c r="CD534" s="35"/>
      <c r="CE534" s="35"/>
      <c r="CF534" s="35"/>
      <c r="CG534" s="35"/>
      <c r="CH534" s="35"/>
      <c r="CI534" s="35"/>
      <c r="CJ534" s="35"/>
      <c r="CK534" s="35"/>
      <c r="CL534" s="35"/>
      <c r="CM534" s="35"/>
      <c r="CN534" s="35"/>
      <c r="CO534" s="35"/>
      <c r="CP534" s="35"/>
      <c r="CQ534" s="35"/>
      <c r="CR534" s="35"/>
      <c r="CS534" s="35"/>
      <c r="CT534" s="35"/>
      <c r="CU534" s="35"/>
      <c r="CV534" s="35"/>
      <c r="CW534" s="35"/>
      <c r="CX534" s="35"/>
      <c r="CY534" s="35"/>
      <c r="CZ534" s="35"/>
      <c r="DA534" s="35"/>
      <c r="DB534" s="35"/>
      <c r="DC534" s="35"/>
      <c r="DD534" s="35"/>
      <c r="DE534" s="35"/>
      <c r="DF534" s="35"/>
      <c r="DG534" s="35"/>
      <c r="DH534" s="35"/>
      <c r="DI534" s="35"/>
      <c r="DJ534" s="35"/>
    </row>
    <row r="535" spans="1:114" x14ac:dyDescent="0.25">
      <c r="A535" s="34"/>
      <c r="B535" s="34"/>
      <c r="C535" s="34"/>
      <c r="D535" s="34"/>
      <c r="E535" s="34"/>
      <c r="F535" s="34"/>
      <c r="G535" s="34"/>
      <c r="H535" s="34"/>
      <c r="I535" s="34"/>
      <c r="J535" s="34"/>
      <c r="K535" s="34"/>
      <c r="L535" s="34"/>
      <c r="M535" s="34"/>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c r="BD535" s="35"/>
      <c r="BE535" s="35"/>
      <c r="BF535" s="35"/>
      <c r="BG535" s="35"/>
      <c r="BH535" s="35"/>
      <c r="BI535" s="35"/>
      <c r="BJ535" s="35"/>
      <c r="BK535" s="35"/>
      <c r="BL535" s="35"/>
      <c r="BM535" s="35"/>
      <c r="BN535" s="35"/>
      <c r="BO535" s="35"/>
      <c r="BP535" s="35"/>
      <c r="BQ535" s="35"/>
      <c r="BR535" s="35"/>
      <c r="BS535" s="35"/>
      <c r="BT535" s="35"/>
      <c r="BU535" s="35"/>
      <c r="BV535" s="35"/>
      <c r="BW535" s="35"/>
      <c r="BX535" s="35"/>
      <c r="BY535" s="35"/>
      <c r="BZ535" s="35"/>
      <c r="CA535" s="35"/>
      <c r="CB535" s="35"/>
      <c r="CC535" s="35"/>
      <c r="CD535" s="35"/>
      <c r="CE535" s="35"/>
      <c r="CF535" s="35"/>
      <c r="CG535" s="35"/>
      <c r="CH535" s="35"/>
      <c r="CI535" s="35"/>
      <c r="CJ535" s="35"/>
      <c r="CK535" s="35"/>
      <c r="CL535" s="35"/>
      <c r="CM535" s="35"/>
      <c r="CN535" s="35"/>
      <c r="CO535" s="35"/>
      <c r="CP535" s="35"/>
      <c r="CQ535" s="35"/>
      <c r="CR535" s="35"/>
      <c r="CS535" s="35"/>
      <c r="CT535" s="35"/>
      <c r="CU535" s="35"/>
      <c r="CV535" s="35"/>
      <c r="CW535" s="35"/>
      <c r="CX535" s="35"/>
      <c r="CY535" s="35"/>
      <c r="CZ535" s="35"/>
      <c r="DA535" s="35"/>
      <c r="DB535" s="35"/>
      <c r="DC535" s="35"/>
      <c r="DD535" s="35"/>
      <c r="DE535" s="35"/>
      <c r="DF535" s="35"/>
      <c r="DG535" s="35"/>
      <c r="DH535" s="35"/>
      <c r="DI535" s="35"/>
      <c r="DJ535" s="35"/>
    </row>
    <row r="536" spans="1:114" x14ac:dyDescent="0.25">
      <c r="A536" s="34"/>
      <c r="B536" s="34"/>
      <c r="C536" s="34"/>
      <c r="D536" s="34"/>
      <c r="E536" s="34"/>
      <c r="F536" s="34"/>
      <c r="G536" s="34"/>
      <c r="H536" s="34"/>
      <c r="I536" s="34"/>
      <c r="J536" s="34"/>
      <c r="K536" s="34"/>
      <c r="L536" s="34"/>
      <c r="M536" s="34"/>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c r="BG536" s="35"/>
      <c r="BH536" s="35"/>
      <c r="BI536" s="35"/>
      <c r="BJ536" s="35"/>
      <c r="BK536" s="35"/>
      <c r="BL536" s="35"/>
      <c r="BM536" s="35"/>
      <c r="BN536" s="35"/>
      <c r="BO536" s="35"/>
      <c r="BP536" s="35"/>
      <c r="BQ536" s="35"/>
      <c r="BR536" s="35"/>
      <c r="BS536" s="35"/>
      <c r="BT536" s="35"/>
      <c r="BU536" s="35"/>
      <c r="BV536" s="35"/>
      <c r="BW536" s="35"/>
      <c r="BX536" s="35"/>
      <c r="BY536" s="35"/>
      <c r="BZ536" s="35"/>
      <c r="CA536" s="35"/>
      <c r="CB536" s="35"/>
      <c r="CC536" s="35"/>
      <c r="CD536" s="35"/>
      <c r="CE536" s="35"/>
      <c r="CF536" s="35"/>
      <c r="CG536" s="35"/>
      <c r="CH536" s="35"/>
      <c r="CI536" s="35"/>
      <c r="CJ536" s="35"/>
      <c r="CK536" s="35"/>
      <c r="CL536" s="35"/>
      <c r="CM536" s="35"/>
      <c r="CN536" s="35"/>
      <c r="CO536" s="35"/>
      <c r="CP536" s="35"/>
      <c r="CQ536" s="35"/>
      <c r="CR536" s="35"/>
      <c r="CS536" s="35"/>
      <c r="CT536" s="35"/>
      <c r="CU536" s="35"/>
      <c r="CV536" s="35"/>
      <c r="CW536" s="35"/>
      <c r="CX536" s="35"/>
      <c r="CY536" s="35"/>
      <c r="CZ536" s="35"/>
      <c r="DA536" s="35"/>
      <c r="DB536" s="35"/>
      <c r="DC536" s="35"/>
      <c r="DD536" s="35"/>
      <c r="DE536" s="35"/>
      <c r="DF536" s="35"/>
      <c r="DG536" s="35"/>
      <c r="DH536" s="35"/>
      <c r="DI536" s="35"/>
      <c r="DJ536" s="35"/>
    </row>
    <row r="537" spans="1:114" x14ac:dyDescent="0.25">
      <c r="A537" s="34"/>
      <c r="B537" s="34"/>
      <c r="C537" s="34"/>
      <c r="D537" s="34"/>
      <c r="E537" s="34"/>
      <c r="F537" s="34"/>
      <c r="G537" s="34"/>
      <c r="H537" s="34"/>
      <c r="I537" s="34"/>
      <c r="J537" s="34"/>
      <c r="K537" s="34"/>
      <c r="L537" s="34"/>
      <c r="M537" s="34"/>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c r="BD537" s="35"/>
      <c r="BE537" s="35"/>
      <c r="BF537" s="35"/>
      <c r="BG537" s="35"/>
      <c r="BH537" s="35"/>
      <c r="BI537" s="35"/>
      <c r="BJ537" s="35"/>
      <c r="BK537" s="35"/>
      <c r="BL537" s="35"/>
      <c r="BM537" s="35"/>
      <c r="BN537" s="35"/>
      <c r="BO537" s="35"/>
      <c r="BP537" s="35"/>
      <c r="BQ537" s="35"/>
      <c r="BR537" s="35"/>
      <c r="BS537" s="35"/>
      <c r="BT537" s="35"/>
      <c r="BU537" s="35"/>
      <c r="BV537" s="35"/>
      <c r="BW537" s="35"/>
      <c r="BX537" s="35"/>
      <c r="BY537" s="35"/>
      <c r="BZ537" s="35"/>
      <c r="CA537" s="35"/>
      <c r="CB537" s="35"/>
      <c r="CC537" s="35"/>
      <c r="CD537" s="35"/>
      <c r="CE537" s="35"/>
      <c r="CF537" s="35"/>
      <c r="CG537" s="35"/>
      <c r="CH537" s="35"/>
      <c r="CI537" s="35"/>
      <c r="CJ537" s="35"/>
      <c r="CK537" s="35"/>
      <c r="CL537" s="35"/>
      <c r="CM537" s="35"/>
      <c r="CN537" s="35"/>
      <c r="CO537" s="35"/>
      <c r="CP537" s="35"/>
      <c r="CQ537" s="35"/>
      <c r="CR537" s="35"/>
      <c r="CS537" s="35"/>
      <c r="CT537" s="35"/>
      <c r="CU537" s="35"/>
      <c r="CV537" s="35"/>
      <c r="CW537" s="35"/>
      <c r="CX537" s="35"/>
      <c r="CY537" s="35"/>
      <c r="CZ537" s="35"/>
      <c r="DA537" s="35"/>
      <c r="DB537" s="35"/>
      <c r="DC537" s="35"/>
      <c r="DD537" s="35"/>
      <c r="DE537" s="35"/>
      <c r="DF537" s="35"/>
      <c r="DG537" s="35"/>
      <c r="DH537" s="35"/>
      <c r="DI537" s="35"/>
      <c r="DJ537" s="35"/>
    </row>
    <row r="538" spans="1:114" x14ac:dyDescent="0.25">
      <c r="A538" s="34"/>
      <c r="B538" s="34"/>
      <c r="C538" s="34"/>
      <c r="D538" s="34"/>
      <c r="E538" s="34"/>
      <c r="F538" s="34"/>
      <c r="G538" s="34"/>
      <c r="H538" s="34"/>
      <c r="I538" s="34"/>
      <c r="J538" s="34"/>
      <c r="K538" s="34"/>
      <c r="L538" s="34"/>
      <c r="M538" s="34"/>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c r="BD538" s="35"/>
      <c r="BE538" s="35"/>
      <c r="BF538" s="35"/>
      <c r="BG538" s="35"/>
      <c r="BH538" s="35"/>
      <c r="BI538" s="35"/>
      <c r="BJ538" s="35"/>
      <c r="BK538" s="35"/>
      <c r="BL538" s="35"/>
      <c r="BM538" s="35"/>
      <c r="BN538" s="35"/>
      <c r="BO538" s="35"/>
      <c r="BP538" s="35"/>
      <c r="BQ538" s="35"/>
      <c r="BR538" s="35"/>
      <c r="BS538" s="35"/>
      <c r="BT538" s="35"/>
      <c r="BU538" s="35"/>
      <c r="BV538" s="35"/>
      <c r="BW538" s="35"/>
      <c r="BX538" s="35"/>
      <c r="BY538" s="35"/>
      <c r="BZ538" s="35"/>
      <c r="CA538" s="35"/>
      <c r="CB538" s="35"/>
      <c r="CC538" s="35"/>
      <c r="CD538" s="35"/>
      <c r="CE538" s="35"/>
      <c r="CF538" s="35"/>
      <c r="CG538" s="35"/>
      <c r="CH538" s="35"/>
      <c r="CI538" s="35"/>
      <c r="CJ538" s="35"/>
      <c r="CK538" s="35"/>
      <c r="CL538" s="35"/>
      <c r="CM538" s="35"/>
      <c r="CN538" s="35"/>
      <c r="CO538" s="35"/>
      <c r="CP538" s="35"/>
      <c r="CQ538" s="35"/>
      <c r="CR538" s="35"/>
      <c r="CS538" s="35"/>
      <c r="CT538" s="35"/>
      <c r="CU538" s="35"/>
      <c r="CV538" s="35"/>
      <c r="CW538" s="35"/>
      <c r="CX538" s="35"/>
      <c r="CY538" s="35"/>
      <c r="CZ538" s="35"/>
      <c r="DA538" s="35"/>
      <c r="DB538" s="35"/>
      <c r="DC538" s="35"/>
      <c r="DD538" s="35"/>
      <c r="DE538" s="35"/>
      <c r="DF538" s="35"/>
      <c r="DG538" s="35"/>
      <c r="DH538" s="35"/>
      <c r="DI538" s="35"/>
      <c r="DJ538" s="35"/>
    </row>
    <row r="539" spans="1:114" x14ac:dyDescent="0.25">
      <c r="A539" s="34"/>
      <c r="B539" s="34"/>
      <c r="C539" s="34"/>
      <c r="D539" s="34"/>
      <c r="E539" s="34"/>
      <c r="F539" s="34"/>
      <c r="G539" s="34"/>
      <c r="H539" s="34"/>
      <c r="I539" s="34"/>
      <c r="J539" s="34"/>
      <c r="K539" s="34"/>
      <c r="L539" s="34"/>
      <c r="M539" s="34"/>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c r="BD539" s="35"/>
      <c r="BE539" s="35"/>
      <c r="BF539" s="35"/>
      <c r="BG539" s="35"/>
      <c r="BH539" s="35"/>
      <c r="BI539" s="35"/>
      <c r="BJ539" s="35"/>
      <c r="BK539" s="35"/>
      <c r="BL539" s="35"/>
      <c r="BM539" s="35"/>
      <c r="BN539" s="35"/>
      <c r="BO539" s="35"/>
      <c r="BP539" s="35"/>
      <c r="BQ539" s="35"/>
      <c r="BR539" s="35"/>
      <c r="BS539" s="35"/>
      <c r="BT539" s="35"/>
      <c r="BU539" s="35"/>
      <c r="BV539" s="35"/>
      <c r="BW539" s="35"/>
      <c r="BX539" s="35"/>
      <c r="BY539" s="35"/>
      <c r="BZ539" s="35"/>
      <c r="CA539" s="35"/>
      <c r="CB539" s="35"/>
      <c r="CC539" s="35"/>
      <c r="CD539" s="35"/>
      <c r="CE539" s="35"/>
      <c r="CF539" s="35"/>
      <c r="CG539" s="35"/>
      <c r="CH539" s="35"/>
      <c r="CI539" s="35"/>
      <c r="CJ539" s="35"/>
      <c r="CK539" s="35"/>
      <c r="CL539" s="35"/>
      <c r="CM539" s="35"/>
      <c r="CN539" s="35"/>
      <c r="CO539" s="35"/>
      <c r="CP539" s="35"/>
      <c r="CQ539" s="35"/>
      <c r="CR539" s="35"/>
      <c r="CS539" s="35"/>
      <c r="CT539" s="35"/>
      <c r="CU539" s="35"/>
      <c r="CV539" s="35"/>
      <c r="CW539" s="35"/>
      <c r="CX539" s="35"/>
      <c r="CY539" s="35"/>
      <c r="CZ539" s="35"/>
      <c r="DA539" s="35"/>
      <c r="DB539" s="35"/>
      <c r="DC539" s="35"/>
      <c r="DD539" s="35"/>
      <c r="DE539" s="35"/>
      <c r="DF539" s="35"/>
      <c r="DG539" s="35"/>
      <c r="DH539" s="35"/>
      <c r="DI539" s="35"/>
      <c r="DJ539" s="35"/>
    </row>
    <row r="540" spans="1:114" x14ac:dyDescent="0.25">
      <c r="A540" s="34"/>
      <c r="B540" s="34"/>
      <c r="C540" s="34"/>
      <c r="D540" s="34"/>
      <c r="E540" s="34"/>
      <c r="F540" s="34"/>
      <c r="G540" s="34"/>
      <c r="H540" s="34"/>
      <c r="I540" s="34"/>
      <c r="J540" s="34"/>
      <c r="K540" s="34"/>
      <c r="L540" s="34"/>
      <c r="M540" s="34"/>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c r="BD540" s="35"/>
      <c r="BE540" s="35"/>
      <c r="BF540" s="35"/>
      <c r="BG540" s="35"/>
      <c r="BH540" s="35"/>
      <c r="BI540" s="35"/>
      <c r="BJ540" s="35"/>
      <c r="BK540" s="35"/>
      <c r="BL540" s="35"/>
      <c r="BM540" s="35"/>
      <c r="BN540" s="35"/>
      <c r="BO540" s="35"/>
      <c r="BP540" s="35"/>
      <c r="BQ540" s="35"/>
      <c r="BR540" s="35"/>
      <c r="BS540" s="35"/>
      <c r="BT540" s="35"/>
      <c r="BU540" s="35"/>
      <c r="BV540" s="35"/>
      <c r="BW540" s="35"/>
      <c r="BX540" s="35"/>
      <c r="BY540" s="35"/>
      <c r="BZ540" s="35"/>
      <c r="CA540" s="35"/>
      <c r="CB540" s="35"/>
      <c r="CC540" s="35"/>
      <c r="CD540" s="35"/>
      <c r="CE540" s="35"/>
      <c r="CF540" s="35"/>
      <c r="CG540" s="35"/>
      <c r="CH540" s="35"/>
      <c r="CI540" s="35"/>
      <c r="CJ540" s="35"/>
      <c r="CK540" s="35"/>
      <c r="CL540" s="35"/>
      <c r="CM540" s="35"/>
      <c r="CN540" s="35"/>
      <c r="CO540" s="35"/>
      <c r="CP540" s="35"/>
      <c r="CQ540" s="35"/>
      <c r="CR540" s="35"/>
      <c r="CS540" s="35"/>
      <c r="CT540" s="35"/>
      <c r="CU540" s="35"/>
      <c r="CV540" s="35"/>
      <c r="CW540" s="35"/>
      <c r="CX540" s="35"/>
      <c r="CY540" s="35"/>
      <c r="CZ540" s="35"/>
      <c r="DA540" s="35"/>
      <c r="DB540" s="35"/>
      <c r="DC540" s="35"/>
      <c r="DD540" s="35"/>
      <c r="DE540" s="35"/>
      <c r="DF540" s="35"/>
      <c r="DG540" s="35"/>
      <c r="DH540" s="35"/>
      <c r="DI540" s="35"/>
      <c r="DJ540" s="35"/>
    </row>
    <row r="541" spans="1:114" x14ac:dyDescent="0.25">
      <c r="A541" s="34"/>
      <c r="B541" s="34"/>
      <c r="C541" s="34"/>
      <c r="D541" s="34"/>
      <c r="E541" s="34"/>
      <c r="F541" s="34"/>
      <c r="G541" s="34"/>
      <c r="H541" s="34"/>
      <c r="I541" s="34"/>
      <c r="J541" s="34"/>
      <c r="K541" s="34"/>
      <c r="L541" s="34"/>
      <c r="M541" s="34"/>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c r="BF541" s="35"/>
      <c r="BG541" s="35"/>
      <c r="BH541" s="35"/>
      <c r="BI541" s="35"/>
      <c r="BJ541" s="35"/>
      <c r="BK541" s="35"/>
      <c r="BL541" s="35"/>
      <c r="BM541" s="35"/>
      <c r="BN541" s="35"/>
      <c r="BO541" s="35"/>
      <c r="BP541" s="35"/>
      <c r="BQ541" s="35"/>
      <c r="BR541" s="35"/>
      <c r="BS541" s="35"/>
      <c r="BT541" s="35"/>
      <c r="BU541" s="35"/>
      <c r="BV541" s="35"/>
      <c r="BW541" s="35"/>
      <c r="BX541" s="35"/>
      <c r="BY541" s="35"/>
      <c r="BZ541" s="35"/>
      <c r="CA541" s="35"/>
      <c r="CB541" s="35"/>
      <c r="CC541" s="35"/>
      <c r="CD541" s="35"/>
      <c r="CE541" s="35"/>
      <c r="CF541" s="35"/>
      <c r="CG541" s="35"/>
      <c r="CH541" s="35"/>
      <c r="CI541" s="35"/>
      <c r="CJ541" s="35"/>
      <c r="CK541" s="35"/>
      <c r="CL541" s="35"/>
      <c r="CM541" s="35"/>
      <c r="CN541" s="35"/>
      <c r="CO541" s="35"/>
      <c r="CP541" s="35"/>
      <c r="CQ541" s="35"/>
      <c r="CR541" s="35"/>
      <c r="CS541" s="35"/>
      <c r="CT541" s="35"/>
      <c r="CU541" s="35"/>
      <c r="CV541" s="35"/>
      <c r="CW541" s="35"/>
      <c r="CX541" s="35"/>
      <c r="CY541" s="35"/>
      <c r="CZ541" s="35"/>
      <c r="DA541" s="35"/>
      <c r="DB541" s="35"/>
      <c r="DC541" s="35"/>
      <c r="DD541" s="35"/>
      <c r="DE541" s="35"/>
      <c r="DF541" s="35"/>
      <c r="DG541" s="35"/>
      <c r="DH541" s="35"/>
      <c r="DI541" s="35"/>
      <c r="DJ541" s="35"/>
    </row>
    <row r="542" spans="1:114" x14ac:dyDescent="0.25">
      <c r="A542" s="34"/>
      <c r="B542" s="34"/>
      <c r="C542" s="34"/>
      <c r="D542" s="34"/>
      <c r="E542" s="34"/>
      <c r="F542" s="34"/>
      <c r="G542" s="34"/>
      <c r="H542" s="34"/>
      <c r="I542" s="34"/>
      <c r="J542" s="34"/>
      <c r="K542" s="34"/>
      <c r="L542" s="34"/>
      <c r="M542" s="34"/>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c r="BD542" s="35"/>
      <c r="BE542" s="35"/>
      <c r="BF542" s="35"/>
      <c r="BG542" s="35"/>
      <c r="BH542" s="35"/>
      <c r="BI542" s="35"/>
      <c r="BJ542" s="35"/>
      <c r="BK542" s="35"/>
      <c r="BL542" s="35"/>
      <c r="BM542" s="35"/>
      <c r="BN542" s="35"/>
      <c r="BO542" s="35"/>
      <c r="BP542" s="35"/>
      <c r="BQ542" s="35"/>
      <c r="BR542" s="35"/>
      <c r="BS542" s="35"/>
      <c r="BT542" s="35"/>
      <c r="BU542" s="35"/>
      <c r="BV542" s="35"/>
      <c r="BW542" s="35"/>
      <c r="BX542" s="35"/>
      <c r="BY542" s="35"/>
      <c r="BZ542" s="35"/>
      <c r="CA542" s="35"/>
      <c r="CB542" s="35"/>
      <c r="CC542" s="35"/>
      <c r="CD542" s="35"/>
      <c r="CE542" s="35"/>
      <c r="CF542" s="35"/>
      <c r="CG542" s="35"/>
      <c r="CH542" s="35"/>
      <c r="CI542" s="35"/>
      <c r="CJ542" s="35"/>
      <c r="CK542" s="35"/>
      <c r="CL542" s="35"/>
      <c r="CM542" s="35"/>
      <c r="CN542" s="35"/>
      <c r="CO542" s="35"/>
      <c r="CP542" s="35"/>
      <c r="CQ542" s="35"/>
      <c r="CR542" s="35"/>
      <c r="CS542" s="35"/>
      <c r="CT542" s="35"/>
      <c r="CU542" s="35"/>
      <c r="CV542" s="35"/>
      <c r="CW542" s="35"/>
      <c r="CX542" s="35"/>
      <c r="CY542" s="35"/>
      <c r="CZ542" s="35"/>
      <c r="DA542" s="35"/>
      <c r="DB542" s="35"/>
      <c r="DC542" s="35"/>
      <c r="DD542" s="35"/>
      <c r="DE542" s="35"/>
      <c r="DF542" s="35"/>
      <c r="DG542" s="35"/>
      <c r="DH542" s="35"/>
      <c r="DI542" s="35"/>
      <c r="DJ542" s="35"/>
    </row>
    <row r="543" spans="1:114" x14ac:dyDescent="0.25">
      <c r="A543" s="34"/>
      <c r="B543" s="34"/>
      <c r="C543" s="34"/>
      <c r="D543" s="34"/>
      <c r="E543" s="34"/>
      <c r="F543" s="34"/>
      <c r="G543" s="34"/>
      <c r="H543" s="34"/>
      <c r="I543" s="34"/>
      <c r="J543" s="34"/>
      <c r="K543" s="34"/>
      <c r="L543" s="34"/>
      <c r="M543" s="34"/>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c r="BD543" s="35"/>
      <c r="BE543" s="35"/>
      <c r="BF543" s="35"/>
      <c r="BG543" s="35"/>
      <c r="BH543" s="35"/>
      <c r="BI543" s="35"/>
      <c r="BJ543" s="35"/>
      <c r="BK543" s="35"/>
      <c r="BL543" s="35"/>
      <c r="BM543" s="35"/>
      <c r="BN543" s="35"/>
      <c r="BO543" s="35"/>
      <c r="BP543" s="35"/>
      <c r="BQ543" s="35"/>
      <c r="BR543" s="35"/>
      <c r="BS543" s="35"/>
      <c r="BT543" s="35"/>
      <c r="BU543" s="35"/>
      <c r="BV543" s="35"/>
      <c r="BW543" s="35"/>
      <c r="BX543" s="35"/>
      <c r="BY543" s="35"/>
      <c r="BZ543" s="35"/>
      <c r="CA543" s="35"/>
      <c r="CB543" s="35"/>
      <c r="CC543" s="35"/>
      <c r="CD543" s="35"/>
      <c r="CE543" s="35"/>
      <c r="CF543" s="35"/>
      <c r="CG543" s="35"/>
      <c r="CH543" s="35"/>
      <c r="CI543" s="35"/>
      <c r="CJ543" s="35"/>
      <c r="CK543" s="35"/>
      <c r="CL543" s="35"/>
      <c r="CM543" s="35"/>
      <c r="CN543" s="35"/>
      <c r="CO543" s="35"/>
      <c r="CP543" s="35"/>
      <c r="CQ543" s="35"/>
      <c r="CR543" s="35"/>
      <c r="CS543" s="35"/>
      <c r="CT543" s="35"/>
      <c r="CU543" s="35"/>
      <c r="CV543" s="35"/>
      <c r="CW543" s="35"/>
      <c r="CX543" s="35"/>
      <c r="CY543" s="35"/>
      <c r="CZ543" s="35"/>
      <c r="DA543" s="35"/>
      <c r="DB543" s="35"/>
      <c r="DC543" s="35"/>
      <c r="DD543" s="35"/>
      <c r="DE543" s="35"/>
      <c r="DF543" s="35"/>
      <c r="DG543" s="35"/>
      <c r="DH543" s="35"/>
      <c r="DI543" s="35"/>
      <c r="DJ543" s="35"/>
    </row>
    <row r="544" spans="1:114" x14ac:dyDescent="0.25">
      <c r="A544" s="34"/>
      <c r="B544" s="34"/>
      <c r="C544" s="34"/>
      <c r="D544" s="34"/>
      <c r="E544" s="34"/>
      <c r="F544" s="34"/>
      <c r="G544" s="34"/>
      <c r="H544" s="34"/>
      <c r="I544" s="34"/>
      <c r="J544" s="34"/>
      <c r="K544" s="34"/>
      <c r="L544" s="34"/>
      <c r="M544" s="34"/>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c r="BD544" s="35"/>
      <c r="BE544" s="35"/>
      <c r="BF544" s="35"/>
      <c r="BG544" s="35"/>
      <c r="BH544" s="35"/>
      <c r="BI544" s="35"/>
      <c r="BJ544" s="35"/>
      <c r="BK544" s="35"/>
      <c r="BL544" s="35"/>
      <c r="BM544" s="35"/>
      <c r="BN544" s="35"/>
      <c r="BO544" s="35"/>
      <c r="BP544" s="35"/>
      <c r="BQ544" s="35"/>
      <c r="BR544" s="35"/>
      <c r="BS544" s="35"/>
      <c r="BT544" s="35"/>
      <c r="BU544" s="35"/>
      <c r="BV544" s="35"/>
      <c r="BW544" s="35"/>
      <c r="BX544" s="35"/>
      <c r="BY544" s="35"/>
      <c r="BZ544" s="35"/>
      <c r="CA544" s="35"/>
      <c r="CB544" s="35"/>
      <c r="CC544" s="35"/>
      <c r="CD544" s="35"/>
      <c r="CE544" s="35"/>
      <c r="CF544" s="35"/>
      <c r="CG544" s="35"/>
      <c r="CH544" s="35"/>
      <c r="CI544" s="35"/>
      <c r="CJ544" s="35"/>
      <c r="CK544" s="35"/>
      <c r="CL544" s="35"/>
      <c r="CM544" s="35"/>
      <c r="CN544" s="35"/>
      <c r="CO544" s="35"/>
      <c r="CP544" s="35"/>
      <c r="CQ544" s="35"/>
      <c r="CR544" s="35"/>
      <c r="CS544" s="35"/>
      <c r="CT544" s="35"/>
      <c r="CU544" s="35"/>
      <c r="CV544" s="35"/>
      <c r="CW544" s="35"/>
      <c r="CX544" s="35"/>
      <c r="CY544" s="35"/>
      <c r="CZ544" s="35"/>
      <c r="DA544" s="35"/>
      <c r="DB544" s="35"/>
      <c r="DC544" s="35"/>
      <c r="DD544" s="35"/>
      <c r="DE544" s="35"/>
      <c r="DF544" s="35"/>
      <c r="DG544" s="35"/>
      <c r="DH544" s="35"/>
      <c r="DI544" s="35"/>
      <c r="DJ544" s="35"/>
    </row>
    <row r="545" spans="1:114" x14ac:dyDescent="0.25">
      <c r="A545" s="34"/>
      <c r="B545" s="34"/>
      <c r="C545" s="34"/>
      <c r="D545" s="34"/>
      <c r="E545" s="34"/>
      <c r="F545" s="34"/>
      <c r="G545" s="34"/>
      <c r="H545" s="34"/>
      <c r="I545" s="34"/>
      <c r="J545" s="34"/>
      <c r="K545" s="34"/>
      <c r="L545" s="34"/>
      <c r="M545" s="34"/>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c r="BD545" s="35"/>
      <c r="BE545" s="35"/>
      <c r="BF545" s="35"/>
      <c r="BG545" s="35"/>
      <c r="BH545" s="35"/>
      <c r="BI545" s="35"/>
      <c r="BJ545" s="35"/>
      <c r="BK545" s="35"/>
      <c r="BL545" s="35"/>
      <c r="BM545" s="35"/>
      <c r="BN545" s="35"/>
      <c r="BO545" s="35"/>
      <c r="BP545" s="35"/>
      <c r="BQ545" s="35"/>
      <c r="BR545" s="35"/>
      <c r="BS545" s="35"/>
      <c r="BT545" s="35"/>
      <c r="BU545" s="35"/>
      <c r="BV545" s="35"/>
      <c r="BW545" s="35"/>
      <c r="BX545" s="35"/>
      <c r="BY545" s="35"/>
      <c r="BZ545" s="35"/>
      <c r="CA545" s="35"/>
      <c r="CB545" s="35"/>
      <c r="CC545" s="35"/>
      <c r="CD545" s="35"/>
      <c r="CE545" s="35"/>
      <c r="CF545" s="35"/>
      <c r="CG545" s="35"/>
      <c r="CH545" s="35"/>
      <c r="CI545" s="35"/>
      <c r="CJ545" s="35"/>
      <c r="CK545" s="35"/>
      <c r="CL545" s="35"/>
      <c r="CM545" s="35"/>
      <c r="CN545" s="35"/>
      <c r="CO545" s="35"/>
      <c r="CP545" s="35"/>
      <c r="CQ545" s="35"/>
      <c r="CR545" s="35"/>
      <c r="CS545" s="35"/>
      <c r="CT545" s="35"/>
      <c r="CU545" s="35"/>
      <c r="CV545" s="35"/>
      <c r="CW545" s="35"/>
      <c r="CX545" s="35"/>
      <c r="CY545" s="35"/>
      <c r="CZ545" s="35"/>
      <c r="DA545" s="35"/>
      <c r="DB545" s="35"/>
      <c r="DC545" s="35"/>
      <c r="DD545" s="35"/>
      <c r="DE545" s="35"/>
      <c r="DF545" s="35"/>
      <c r="DG545" s="35"/>
      <c r="DH545" s="35"/>
      <c r="DI545" s="35"/>
      <c r="DJ545" s="35"/>
    </row>
    <row r="546" spans="1:114" x14ac:dyDescent="0.25">
      <c r="A546" s="34"/>
      <c r="B546" s="34"/>
      <c r="C546" s="34"/>
      <c r="D546" s="34"/>
      <c r="E546" s="34"/>
      <c r="F546" s="34"/>
      <c r="G546" s="34"/>
      <c r="H546" s="34"/>
      <c r="I546" s="34"/>
      <c r="J546" s="34"/>
      <c r="K546" s="34"/>
      <c r="L546" s="34"/>
      <c r="M546" s="34"/>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c r="BF546" s="35"/>
      <c r="BG546" s="35"/>
      <c r="BH546" s="35"/>
      <c r="BI546" s="35"/>
      <c r="BJ546" s="35"/>
      <c r="BK546" s="35"/>
      <c r="BL546" s="35"/>
      <c r="BM546" s="35"/>
      <c r="BN546" s="35"/>
      <c r="BO546" s="35"/>
      <c r="BP546" s="35"/>
      <c r="BQ546" s="35"/>
      <c r="BR546" s="35"/>
      <c r="BS546" s="35"/>
      <c r="BT546" s="35"/>
      <c r="BU546" s="35"/>
      <c r="BV546" s="35"/>
      <c r="BW546" s="35"/>
      <c r="BX546" s="35"/>
      <c r="BY546" s="35"/>
      <c r="BZ546" s="35"/>
      <c r="CA546" s="35"/>
      <c r="CB546" s="35"/>
      <c r="CC546" s="35"/>
      <c r="CD546" s="35"/>
      <c r="CE546" s="35"/>
      <c r="CF546" s="35"/>
      <c r="CG546" s="35"/>
      <c r="CH546" s="35"/>
      <c r="CI546" s="35"/>
      <c r="CJ546" s="35"/>
      <c r="CK546" s="35"/>
      <c r="CL546" s="35"/>
      <c r="CM546" s="35"/>
      <c r="CN546" s="35"/>
      <c r="CO546" s="35"/>
      <c r="CP546" s="35"/>
      <c r="CQ546" s="35"/>
      <c r="CR546" s="35"/>
      <c r="CS546" s="35"/>
      <c r="CT546" s="35"/>
      <c r="CU546" s="35"/>
      <c r="CV546" s="35"/>
      <c r="CW546" s="35"/>
      <c r="CX546" s="35"/>
      <c r="CY546" s="35"/>
      <c r="CZ546" s="35"/>
      <c r="DA546" s="35"/>
      <c r="DB546" s="35"/>
      <c r="DC546" s="35"/>
      <c r="DD546" s="35"/>
      <c r="DE546" s="35"/>
      <c r="DF546" s="35"/>
      <c r="DG546" s="35"/>
      <c r="DH546" s="35"/>
      <c r="DI546" s="35"/>
      <c r="DJ546" s="35"/>
    </row>
    <row r="547" spans="1:114" x14ac:dyDescent="0.25">
      <c r="A547" s="34"/>
      <c r="B547" s="34"/>
      <c r="C547" s="34"/>
      <c r="D547" s="34"/>
      <c r="E547" s="34"/>
      <c r="F547" s="34"/>
      <c r="G547" s="34"/>
      <c r="H547" s="34"/>
      <c r="I547" s="34"/>
      <c r="J547" s="34"/>
      <c r="K547" s="34"/>
      <c r="L547" s="34"/>
      <c r="M547" s="34"/>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c r="BF547" s="35"/>
      <c r="BG547" s="35"/>
      <c r="BH547" s="35"/>
      <c r="BI547" s="35"/>
      <c r="BJ547" s="35"/>
      <c r="BK547" s="35"/>
      <c r="BL547" s="35"/>
      <c r="BM547" s="35"/>
      <c r="BN547" s="35"/>
      <c r="BO547" s="35"/>
      <c r="BP547" s="35"/>
      <c r="BQ547" s="35"/>
      <c r="BR547" s="35"/>
      <c r="BS547" s="35"/>
      <c r="BT547" s="35"/>
      <c r="BU547" s="35"/>
      <c r="BV547" s="35"/>
      <c r="BW547" s="35"/>
      <c r="BX547" s="35"/>
      <c r="BY547" s="35"/>
      <c r="BZ547" s="35"/>
      <c r="CA547" s="35"/>
      <c r="CB547" s="35"/>
      <c r="CC547" s="35"/>
      <c r="CD547" s="35"/>
      <c r="CE547" s="35"/>
      <c r="CF547" s="35"/>
      <c r="CG547" s="35"/>
      <c r="CH547" s="35"/>
      <c r="CI547" s="35"/>
      <c r="CJ547" s="35"/>
      <c r="CK547" s="35"/>
      <c r="CL547" s="35"/>
      <c r="CM547" s="35"/>
      <c r="CN547" s="35"/>
      <c r="CO547" s="35"/>
      <c r="CP547" s="35"/>
      <c r="CQ547" s="35"/>
      <c r="CR547" s="35"/>
      <c r="CS547" s="35"/>
      <c r="CT547" s="35"/>
      <c r="CU547" s="35"/>
      <c r="CV547" s="35"/>
      <c r="CW547" s="35"/>
      <c r="CX547" s="35"/>
      <c r="CY547" s="35"/>
      <c r="CZ547" s="35"/>
      <c r="DA547" s="35"/>
      <c r="DB547" s="35"/>
      <c r="DC547" s="35"/>
      <c r="DD547" s="35"/>
      <c r="DE547" s="35"/>
      <c r="DF547" s="35"/>
      <c r="DG547" s="35"/>
      <c r="DH547" s="35"/>
      <c r="DI547" s="35"/>
      <c r="DJ547" s="35"/>
    </row>
    <row r="548" spans="1:114" x14ac:dyDescent="0.25">
      <c r="A548" s="34"/>
      <c r="B548" s="34"/>
      <c r="C548" s="34"/>
      <c r="D548" s="34"/>
      <c r="E548" s="34"/>
      <c r="F548" s="34"/>
      <c r="G548" s="34"/>
      <c r="H548" s="34"/>
      <c r="I548" s="34"/>
      <c r="J548" s="34"/>
      <c r="K548" s="34"/>
      <c r="L548" s="34"/>
      <c r="M548" s="34"/>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c r="BF548" s="35"/>
      <c r="BG548" s="35"/>
      <c r="BH548" s="35"/>
      <c r="BI548" s="35"/>
      <c r="BJ548" s="35"/>
      <c r="BK548" s="35"/>
      <c r="BL548" s="35"/>
      <c r="BM548" s="35"/>
      <c r="BN548" s="35"/>
      <c r="BO548" s="35"/>
      <c r="BP548" s="35"/>
      <c r="BQ548" s="35"/>
      <c r="BR548" s="35"/>
      <c r="BS548" s="35"/>
      <c r="BT548" s="35"/>
      <c r="BU548" s="35"/>
      <c r="BV548" s="35"/>
      <c r="BW548" s="35"/>
      <c r="BX548" s="35"/>
      <c r="BY548" s="35"/>
      <c r="BZ548" s="35"/>
      <c r="CA548" s="35"/>
      <c r="CB548" s="35"/>
      <c r="CC548" s="35"/>
      <c r="CD548" s="35"/>
      <c r="CE548" s="35"/>
      <c r="CF548" s="35"/>
      <c r="CG548" s="35"/>
      <c r="CH548" s="35"/>
      <c r="CI548" s="35"/>
      <c r="CJ548" s="35"/>
      <c r="CK548" s="35"/>
      <c r="CL548" s="35"/>
      <c r="CM548" s="35"/>
      <c r="CN548" s="35"/>
      <c r="CO548" s="35"/>
      <c r="CP548" s="35"/>
      <c r="CQ548" s="35"/>
      <c r="CR548" s="35"/>
      <c r="CS548" s="35"/>
      <c r="CT548" s="35"/>
      <c r="CU548" s="35"/>
      <c r="CV548" s="35"/>
      <c r="CW548" s="35"/>
      <c r="CX548" s="35"/>
      <c r="CY548" s="35"/>
      <c r="CZ548" s="35"/>
      <c r="DA548" s="35"/>
      <c r="DB548" s="35"/>
      <c r="DC548" s="35"/>
      <c r="DD548" s="35"/>
      <c r="DE548" s="35"/>
      <c r="DF548" s="35"/>
      <c r="DG548" s="35"/>
      <c r="DH548" s="35"/>
      <c r="DI548" s="35"/>
      <c r="DJ548" s="35"/>
    </row>
    <row r="549" spans="1:114" x14ac:dyDescent="0.25">
      <c r="A549" s="34"/>
      <c r="B549" s="34"/>
      <c r="C549" s="34"/>
      <c r="D549" s="34"/>
      <c r="E549" s="34"/>
      <c r="F549" s="34"/>
      <c r="G549" s="34"/>
      <c r="H549" s="34"/>
      <c r="I549" s="34"/>
      <c r="J549" s="34"/>
      <c r="K549" s="34"/>
      <c r="L549" s="34"/>
      <c r="M549" s="34"/>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c r="BF549" s="35"/>
      <c r="BG549" s="35"/>
      <c r="BH549" s="35"/>
      <c r="BI549" s="35"/>
      <c r="BJ549" s="35"/>
      <c r="BK549" s="35"/>
      <c r="BL549" s="35"/>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row>
    <row r="550" spans="1:114" x14ac:dyDescent="0.25">
      <c r="A550" s="34"/>
      <c r="B550" s="34"/>
      <c r="C550" s="34"/>
      <c r="D550" s="34"/>
      <c r="E550" s="34"/>
      <c r="F550" s="34"/>
      <c r="G550" s="34"/>
      <c r="H550" s="34"/>
      <c r="I550" s="34"/>
      <c r="J550" s="34"/>
      <c r="K550" s="34"/>
      <c r="L550" s="34"/>
      <c r="M550" s="34"/>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row>
    <row r="551" spans="1:114" x14ac:dyDescent="0.25">
      <c r="A551" s="34"/>
      <c r="B551" s="34"/>
      <c r="C551" s="34"/>
      <c r="D551" s="34"/>
      <c r="E551" s="34"/>
      <c r="F551" s="34"/>
      <c r="G551" s="34"/>
      <c r="H551" s="34"/>
      <c r="I551" s="34"/>
      <c r="J551" s="34"/>
      <c r="K551" s="34"/>
      <c r="L551" s="34"/>
      <c r="M551" s="34"/>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row>
    <row r="552" spans="1:114" x14ac:dyDescent="0.25">
      <c r="A552" s="34"/>
      <c r="B552" s="34"/>
      <c r="C552" s="34"/>
      <c r="D552" s="34"/>
      <c r="E552" s="34"/>
      <c r="F552" s="34"/>
      <c r="G552" s="34"/>
      <c r="H552" s="34"/>
      <c r="I552" s="34"/>
      <c r="J552" s="34"/>
      <c r="K552" s="34"/>
      <c r="L552" s="34"/>
      <c r="M552" s="34"/>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row>
    <row r="553" spans="1:114" x14ac:dyDescent="0.25">
      <c r="A553" s="34"/>
      <c r="B553" s="34"/>
      <c r="C553" s="34"/>
      <c r="D553" s="34"/>
      <c r="E553" s="34"/>
      <c r="F553" s="34"/>
      <c r="G553" s="34"/>
      <c r="H553" s="34"/>
      <c r="I553" s="34"/>
      <c r="J553" s="34"/>
      <c r="K553" s="34"/>
      <c r="L553" s="34"/>
      <c r="M553" s="34"/>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row>
    <row r="554" spans="1:114" x14ac:dyDescent="0.25">
      <c r="A554" s="34"/>
      <c r="B554" s="34"/>
      <c r="C554" s="34"/>
      <c r="D554" s="34"/>
      <c r="E554" s="34"/>
      <c r="F554" s="34"/>
      <c r="G554" s="34"/>
      <c r="H554" s="34"/>
      <c r="I554" s="34"/>
      <c r="J554" s="34"/>
      <c r="K554" s="34"/>
      <c r="L554" s="34"/>
      <c r="M554" s="34"/>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row>
    <row r="555" spans="1:114" x14ac:dyDescent="0.25">
      <c r="A555" s="34"/>
      <c r="B555" s="34"/>
      <c r="C555" s="34"/>
      <c r="D555" s="34"/>
      <c r="E555" s="34"/>
      <c r="F555" s="34"/>
      <c r="G555" s="34"/>
      <c r="H555" s="34"/>
      <c r="I555" s="34"/>
      <c r="J555" s="34"/>
      <c r="K555" s="34"/>
      <c r="L555" s="34"/>
      <c r="M555" s="34"/>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row>
    <row r="556" spans="1:114" x14ac:dyDescent="0.25">
      <c r="A556" s="34"/>
      <c r="B556" s="34"/>
      <c r="C556" s="34"/>
      <c r="D556" s="34"/>
      <c r="E556" s="34"/>
      <c r="F556" s="34"/>
      <c r="G556" s="34"/>
      <c r="H556" s="34"/>
      <c r="I556" s="34"/>
      <c r="J556" s="34"/>
      <c r="K556" s="34"/>
      <c r="L556" s="34"/>
      <c r="M556" s="34"/>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row>
    <row r="557" spans="1:114" x14ac:dyDescent="0.25">
      <c r="A557" s="34"/>
      <c r="B557" s="34"/>
      <c r="C557" s="34"/>
      <c r="D557" s="34"/>
      <c r="E557" s="34"/>
      <c r="F557" s="34"/>
      <c r="G557" s="34"/>
      <c r="H557" s="34"/>
      <c r="I557" s="34"/>
      <c r="J557" s="34"/>
      <c r="K557" s="34"/>
      <c r="L557" s="34"/>
      <c r="M557" s="34"/>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c r="BD557" s="35"/>
      <c r="BE557" s="35"/>
      <c r="BF557" s="35"/>
      <c r="BG557" s="35"/>
      <c r="BH557" s="35"/>
      <c r="BI557" s="35"/>
      <c r="BJ557" s="35"/>
      <c r="BK557" s="35"/>
      <c r="BL557" s="35"/>
      <c r="BM557" s="35"/>
      <c r="BN557" s="35"/>
      <c r="BO557" s="35"/>
      <c r="BP557" s="35"/>
      <c r="BQ557" s="35"/>
      <c r="BR557" s="35"/>
      <c r="BS557" s="35"/>
      <c r="BT557" s="35"/>
      <c r="BU557" s="35"/>
      <c r="BV557" s="35"/>
      <c r="BW557" s="35"/>
      <c r="BX557" s="35"/>
      <c r="BY557" s="35"/>
      <c r="BZ557" s="35"/>
      <c r="CA557" s="35"/>
      <c r="CB557" s="35"/>
      <c r="CC557" s="35"/>
      <c r="CD557" s="35"/>
      <c r="CE557" s="35"/>
      <c r="CF557" s="35"/>
      <c r="CG557" s="35"/>
      <c r="CH557" s="35"/>
      <c r="CI557" s="35"/>
      <c r="CJ557" s="35"/>
      <c r="CK557" s="35"/>
      <c r="CL557" s="35"/>
      <c r="CM557" s="35"/>
      <c r="CN557" s="35"/>
      <c r="CO557" s="35"/>
      <c r="CP557" s="35"/>
      <c r="CQ557" s="35"/>
      <c r="CR557" s="35"/>
      <c r="CS557" s="35"/>
      <c r="CT557" s="35"/>
      <c r="CU557" s="35"/>
      <c r="CV557" s="35"/>
      <c r="CW557" s="35"/>
      <c r="CX557" s="35"/>
      <c r="CY557" s="35"/>
      <c r="CZ557" s="35"/>
      <c r="DA557" s="35"/>
      <c r="DB557" s="35"/>
      <c r="DC557" s="35"/>
      <c r="DD557" s="35"/>
      <c r="DE557" s="35"/>
      <c r="DF557" s="35"/>
      <c r="DG557" s="35"/>
      <c r="DH557" s="35"/>
      <c r="DI557" s="35"/>
      <c r="DJ557" s="35"/>
    </row>
    <row r="558" spans="1:114" x14ac:dyDescent="0.25">
      <c r="A558" s="34"/>
      <c r="B558" s="34"/>
      <c r="C558" s="34"/>
      <c r="D558" s="34"/>
      <c r="E558" s="34"/>
      <c r="F558" s="34"/>
      <c r="G558" s="34"/>
      <c r="H558" s="34"/>
      <c r="I558" s="34"/>
      <c r="J558" s="34"/>
      <c r="K558" s="34"/>
      <c r="L558" s="34"/>
      <c r="M558" s="34"/>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c r="BD558" s="35"/>
      <c r="BE558" s="35"/>
      <c r="BF558" s="35"/>
      <c r="BG558" s="35"/>
      <c r="BH558" s="35"/>
      <c r="BI558" s="35"/>
      <c r="BJ558" s="35"/>
      <c r="BK558" s="35"/>
      <c r="BL558" s="35"/>
      <c r="BM558" s="35"/>
      <c r="BN558" s="35"/>
      <c r="BO558" s="35"/>
      <c r="BP558" s="35"/>
      <c r="BQ558" s="35"/>
      <c r="BR558" s="35"/>
      <c r="BS558" s="35"/>
      <c r="BT558" s="35"/>
      <c r="BU558" s="35"/>
      <c r="BV558" s="35"/>
      <c r="BW558" s="35"/>
      <c r="BX558" s="35"/>
      <c r="BY558" s="35"/>
      <c r="BZ558" s="35"/>
      <c r="CA558" s="35"/>
      <c r="CB558" s="35"/>
      <c r="CC558" s="35"/>
      <c r="CD558" s="35"/>
      <c r="CE558" s="35"/>
      <c r="CF558" s="35"/>
      <c r="CG558" s="35"/>
      <c r="CH558" s="35"/>
      <c r="CI558" s="35"/>
      <c r="CJ558" s="35"/>
      <c r="CK558" s="35"/>
      <c r="CL558" s="35"/>
      <c r="CM558" s="35"/>
      <c r="CN558" s="35"/>
      <c r="CO558" s="35"/>
      <c r="CP558" s="35"/>
      <c r="CQ558" s="35"/>
      <c r="CR558" s="35"/>
      <c r="CS558" s="35"/>
      <c r="CT558" s="35"/>
      <c r="CU558" s="35"/>
      <c r="CV558" s="35"/>
      <c r="CW558" s="35"/>
      <c r="CX558" s="35"/>
      <c r="CY558" s="35"/>
      <c r="CZ558" s="35"/>
      <c r="DA558" s="35"/>
      <c r="DB558" s="35"/>
      <c r="DC558" s="35"/>
      <c r="DD558" s="35"/>
      <c r="DE558" s="35"/>
      <c r="DF558" s="35"/>
      <c r="DG558" s="35"/>
      <c r="DH558" s="35"/>
      <c r="DI558" s="35"/>
      <c r="DJ558" s="35"/>
    </row>
    <row r="559" spans="1:114" x14ac:dyDescent="0.25">
      <c r="A559" s="34"/>
      <c r="B559" s="34"/>
      <c r="C559" s="34"/>
      <c r="D559" s="34"/>
      <c r="E559" s="34"/>
      <c r="F559" s="34"/>
      <c r="G559" s="34"/>
      <c r="H559" s="34"/>
      <c r="I559" s="34"/>
      <c r="J559" s="34"/>
      <c r="K559" s="34"/>
      <c r="L559" s="34"/>
      <c r="M559" s="34"/>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c r="BD559" s="35"/>
      <c r="BE559" s="35"/>
      <c r="BF559" s="35"/>
      <c r="BG559" s="35"/>
      <c r="BH559" s="35"/>
      <c r="BI559" s="35"/>
      <c r="BJ559" s="35"/>
      <c r="BK559" s="35"/>
      <c r="BL559" s="35"/>
      <c r="BM559" s="35"/>
      <c r="BN559" s="35"/>
      <c r="BO559" s="35"/>
      <c r="BP559" s="35"/>
      <c r="BQ559" s="35"/>
      <c r="BR559" s="35"/>
      <c r="BS559" s="35"/>
      <c r="BT559" s="35"/>
      <c r="BU559" s="35"/>
      <c r="BV559" s="35"/>
      <c r="BW559" s="35"/>
      <c r="BX559" s="35"/>
      <c r="BY559" s="35"/>
      <c r="BZ559" s="35"/>
      <c r="CA559" s="35"/>
      <c r="CB559" s="35"/>
      <c r="CC559" s="35"/>
      <c r="CD559" s="35"/>
      <c r="CE559" s="35"/>
      <c r="CF559" s="35"/>
      <c r="CG559" s="35"/>
      <c r="CH559" s="35"/>
      <c r="CI559" s="35"/>
      <c r="CJ559" s="35"/>
      <c r="CK559" s="35"/>
      <c r="CL559" s="35"/>
      <c r="CM559" s="35"/>
      <c r="CN559" s="35"/>
      <c r="CO559" s="35"/>
      <c r="CP559" s="35"/>
      <c r="CQ559" s="35"/>
      <c r="CR559" s="35"/>
      <c r="CS559" s="35"/>
      <c r="CT559" s="35"/>
      <c r="CU559" s="35"/>
      <c r="CV559" s="35"/>
      <c r="CW559" s="35"/>
      <c r="CX559" s="35"/>
      <c r="CY559" s="35"/>
      <c r="CZ559" s="35"/>
      <c r="DA559" s="35"/>
      <c r="DB559" s="35"/>
      <c r="DC559" s="35"/>
      <c r="DD559" s="35"/>
      <c r="DE559" s="35"/>
      <c r="DF559" s="35"/>
      <c r="DG559" s="35"/>
      <c r="DH559" s="35"/>
      <c r="DI559" s="35"/>
      <c r="DJ559" s="35"/>
    </row>
    <row r="560" spans="1:114" x14ac:dyDescent="0.25">
      <c r="A560" s="34"/>
      <c r="B560" s="34"/>
      <c r="C560" s="34"/>
      <c r="D560" s="34"/>
      <c r="E560" s="34"/>
      <c r="F560" s="34"/>
      <c r="G560" s="34"/>
      <c r="H560" s="34"/>
      <c r="I560" s="34"/>
      <c r="J560" s="34"/>
      <c r="K560" s="34"/>
      <c r="L560" s="34"/>
      <c r="M560" s="34"/>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c r="BD560" s="35"/>
      <c r="BE560" s="35"/>
      <c r="BF560" s="35"/>
      <c r="BG560" s="35"/>
      <c r="BH560" s="35"/>
      <c r="BI560" s="35"/>
      <c r="BJ560" s="35"/>
      <c r="BK560" s="35"/>
      <c r="BL560" s="35"/>
      <c r="BM560" s="35"/>
      <c r="BN560" s="35"/>
      <c r="BO560" s="35"/>
      <c r="BP560" s="35"/>
      <c r="BQ560" s="35"/>
      <c r="BR560" s="35"/>
      <c r="BS560" s="35"/>
      <c r="BT560" s="35"/>
      <c r="BU560" s="35"/>
      <c r="BV560" s="35"/>
      <c r="BW560" s="35"/>
      <c r="BX560" s="35"/>
      <c r="BY560" s="35"/>
      <c r="BZ560" s="35"/>
      <c r="CA560" s="35"/>
      <c r="CB560" s="35"/>
      <c r="CC560" s="35"/>
      <c r="CD560" s="35"/>
      <c r="CE560" s="35"/>
      <c r="CF560" s="35"/>
      <c r="CG560" s="35"/>
      <c r="CH560" s="35"/>
      <c r="CI560" s="35"/>
      <c r="CJ560" s="35"/>
      <c r="CK560" s="35"/>
      <c r="CL560" s="35"/>
      <c r="CM560" s="35"/>
      <c r="CN560" s="35"/>
      <c r="CO560" s="35"/>
      <c r="CP560" s="35"/>
      <c r="CQ560" s="35"/>
      <c r="CR560" s="35"/>
      <c r="CS560" s="35"/>
      <c r="CT560" s="35"/>
      <c r="CU560" s="35"/>
      <c r="CV560" s="35"/>
      <c r="CW560" s="35"/>
      <c r="CX560" s="35"/>
      <c r="CY560" s="35"/>
      <c r="CZ560" s="35"/>
      <c r="DA560" s="35"/>
      <c r="DB560" s="35"/>
      <c r="DC560" s="35"/>
      <c r="DD560" s="35"/>
      <c r="DE560" s="35"/>
      <c r="DF560" s="35"/>
      <c r="DG560" s="35"/>
      <c r="DH560" s="35"/>
      <c r="DI560" s="35"/>
      <c r="DJ560" s="35"/>
    </row>
    <row r="561" spans="1:114" x14ac:dyDescent="0.25">
      <c r="A561" s="34"/>
      <c r="B561" s="34"/>
      <c r="C561" s="34"/>
      <c r="D561" s="34"/>
      <c r="E561" s="34"/>
      <c r="F561" s="34"/>
      <c r="G561" s="34"/>
      <c r="H561" s="34"/>
      <c r="I561" s="34"/>
      <c r="J561" s="34"/>
      <c r="K561" s="34"/>
      <c r="L561" s="34"/>
      <c r="M561" s="34"/>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c r="CC561" s="35"/>
      <c r="CD561" s="35"/>
      <c r="CE561" s="35"/>
      <c r="CF561" s="35"/>
      <c r="CG561" s="35"/>
      <c r="CH561" s="35"/>
      <c r="CI561" s="35"/>
      <c r="CJ561" s="35"/>
      <c r="CK561" s="35"/>
      <c r="CL561" s="35"/>
      <c r="CM561" s="35"/>
      <c r="CN561" s="35"/>
      <c r="CO561" s="35"/>
      <c r="CP561" s="35"/>
      <c r="CQ561" s="35"/>
      <c r="CR561" s="35"/>
      <c r="CS561" s="35"/>
      <c r="CT561" s="35"/>
      <c r="CU561" s="35"/>
      <c r="CV561" s="35"/>
      <c r="CW561" s="35"/>
      <c r="CX561" s="35"/>
      <c r="CY561" s="35"/>
      <c r="CZ561" s="35"/>
      <c r="DA561" s="35"/>
      <c r="DB561" s="35"/>
      <c r="DC561" s="35"/>
      <c r="DD561" s="35"/>
      <c r="DE561" s="35"/>
      <c r="DF561" s="35"/>
      <c r="DG561" s="35"/>
      <c r="DH561" s="35"/>
      <c r="DI561" s="35"/>
      <c r="DJ561" s="35"/>
    </row>
    <row r="562" spans="1:114" x14ac:dyDescent="0.25">
      <c r="A562" s="34"/>
      <c r="B562" s="34"/>
      <c r="C562" s="34"/>
      <c r="D562" s="34"/>
      <c r="E562" s="34"/>
      <c r="F562" s="34"/>
      <c r="G562" s="34"/>
      <c r="H562" s="34"/>
      <c r="I562" s="34"/>
      <c r="J562" s="34"/>
      <c r="K562" s="34"/>
      <c r="L562" s="34"/>
      <c r="M562" s="34"/>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c r="BN562" s="35"/>
      <c r="BO562" s="35"/>
      <c r="BP562" s="35"/>
      <c r="BQ562" s="35"/>
      <c r="BR562" s="35"/>
      <c r="BS562" s="35"/>
      <c r="BT562" s="35"/>
      <c r="BU562" s="35"/>
      <c r="BV562" s="35"/>
      <c r="BW562" s="35"/>
      <c r="BX562" s="35"/>
      <c r="BY562" s="35"/>
      <c r="BZ562" s="35"/>
      <c r="CA562" s="35"/>
      <c r="CB562" s="35"/>
      <c r="CC562" s="35"/>
      <c r="CD562" s="35"/>
      <c r="CE562" s="35"/>
      <c r="CF562" s="35"/>
      <c r="CG562" s="35"/>
      <c r="CH562" s="35"/>
      <c r="CI562" s="35"/>
      <c r="CJ562" s="35"/>
      <c r="CK562" s="35"/>
      <c r="CL562" s="35"/>
      <c r="CM562" s="35"/>
      <c r="CN562" s="35"/>
      <c r="CO562" s="35"/>
      <c r="CP562" s="35"/>
      <c r="CQ562" s="35"/>
      <c r="CR562" s="35"/>
      <c r="CS562" s="35"/>
      <c r="CT562" s="35"/>
      <c r="CU562" s="35"/>
      <c r="CV562" s="35"/>
      <c r="CW562" s="35"/>
      <c r="CX562" s="35"/>
      <c r="CY562" s="35"/>
      <c r="CZ562" s="35"/>
      <c r="DA562" s="35"/>
      <c r="DB562" s="35"/>
      <c r="DC562" s="35"/>
      <c r="DD562" s="35"/>
      <c r="DE562" s="35"/>
      <c r="DF562" s="35"/>
      <c r="DG562" s="35"/>
      <c r="DH562" s="35"/>
      <c r="DI562" s="35"/>
      <c r="DJ562" s="35"/>
    </row>
    <row r="563" spans="1:114" x14ac:dyDescent="0.25">
      <c r="A563" s="34"/>
      <c r="B563" s="34"/>
      <c r="C563" s="34"/>
      <c r="D563" s="34"/>
      <c r="E563" s="34"/>
      <c r="F563" s="34"/>
      <c r="G563" s="34"/>
      <c r="H563" s="34"/>
      <c r="I563" s="34"/>
      <c r="J563" s="34"/>
      <c r="K563" s="34"/>
      <c r="L563" s="34"/>
      <c r="M563" s="34"/>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c r="BN563" s="35"/>
      <c r="BO563" s="35"/>
      <c r="BP563" s="35"/>
      <c r="BQ563" s="35"/>
      <c r="BR563" s="35"/>
      <c r="BS563" s="35"/>
      <c r="BT563" s="35"/>
      <c r="BU563" s="35"/>
      <c r="BV563" s="35"/>
      <c r="BW563" s="35"/>
      <c r="BX563" s="35"/>
      <c r="BY563" s="35"/>
      <c r="BZ563" s="35"/>
      <c r="CA563" s="35"/>
      <c r="CB563" s="35"/>
      <c r="CC563" s="35"/>
      <c r="CD563" s="35"/>
      <c r="CE563" s="35"/>
      <c r="CF563" s="35"/>
      <c r="CG563" s="35"/>
      <c r="CH563" s="35"/>
      <c r="CI563" s="35"/>
      <c r="CJ563" s="35"/>
      <c r="CK563" s="35"/>
      <c r="CL563" s="35"/>
      <c r="CM563" s="35"/>
      <c r="CN563" s="35"/>
      <c r="CO563" s="35"/>
      <c r="CP563" s="35"/>
      <c r="CQ563" s="35"/>
      <c r="CR563" s="35"/>
      <c r="CS563" s="35"/>
      <c r="CT563" s="35"/>
      <c r="CU563" s="35"/>
      <c r="CV563" s="35"/>
      <c r="CW563" s="35"/>
      <c r="CX563" s="35"/>
      <c r="CY563" s="35"/>
      <c r="CZ563" s="35"/>
      <c r="DA563" s="35"/>
      <c r="DB563" s="35"/>
      <c r="DC563" s="35"/>
      <c r="DD563" s="35"/>
      <c r="DE563" s="35"/>
      <c r="DF563" s="35"/>
      <c r="DG563" s="35"/>
      <c r="DH563" s="35"/>
      <c r="DI563" s="35"/>
      <c r="DJ563" s="35"/>
    </row>
    <row r="564" spans="1:114" x14ac:dyDescent="0.25">
      <c r="A564" s="34"/>
      <c r="B564" s="34"/>
      <c r="C564" s="34"/>
      <c r="D564" s="34"/>
      <c r="E564" s="34"/>
      <c r="F564" s="34"/>
      <c r="G564" s="34"/>
      <c r="H564" s="34"/>
      <c r="I564" s="34"/>
      <c r="J564" s="34"/>
      <c r="K564" s="34"/>
      <c r="L564" s="34"/>
      <c r="M564" s="34"/>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c r="BF564" s="35"/>
      <c r="BG564" s="35"/>
      <c r="BH564" s="35"/>
      <c r="BI564" s="35"/>
      <c r="BJ564" s="35"/>
      <c r="BK564" s="35"/>
      <c r="BL564" s="35"/>
      <c r="BM564" s="35"/>
      <c r="BN564" s="35"/>
      <c r="BO564" s="35"/>
      <c r="BP564" s="35"/>
      <c r="BQ564" s="35"/>
      <c r="BR564" s="35"/>
      <c r="BS564" s="35"/>
      <c r="BT564" s="35"/>
      <c r="BU564" s="35"/>
      <c r="BV564" s="35"/>
      <c r="BW564" s="35"/>
      <c r="BX564" s="35"/>
      <c r="BY564" s="35"/>
      <c r="BZ564" s="35"/>
      <c r="CA564" s="35"/>
      <c r="CB564" s="35"/>
      <c r="CC564" s="35"/>
      <c r="CD564" s="35"/>
      <c r="CE564" s="35"/>
      <c r="CF564" s="35"/>
      <c r="CG564" s="35"/>
      <c r="CH564" s="35"/>
      <c r="CI564" s="35"/>
      <c r="CJ564" s="35"/>
      <c r="CK564" s="35"/>
      <c r="CL564" s="35"/>
      <c r="CM564" s="35"/>
      <c r="CN564" s="35"/>
      <c r="CO564" s="35"/>
      <c r="CP564" s="35"/>
      <c r="CQ564" s="35"/>
      <c r="CR564" s="35"/>
      <c r="CS564" s="35"/>
      <c r="CT564" s="35"/>
      <c r="CU564" s="35"/>
      <c r="CV564" s="35"/>
      <c r="CW564" s="35"/>
      <c r="CX564" s="35"/>
      <c r="CY564" s="35"/>
      <c r="CZ564" s="35"/>
      <c r="DA564" s="35"/>
      <c r="DB564" s="35"/>
      <c r="DC564" s="35"/>
      <c r="DD564" s="35"/>
      <c r="DE564" s="35"/>
      <c r="DF564" s="35"/>
      <c r="DG564" s="35"/>
      <c r="DH564" s="35"/>
      <c r="DI564" s="35"/>
      <c r="DJ564" s="35"/>
    </row>
    <row r="565" spans="1:114" x14ac:dyDescent="0.25">
      <c r="A565" s="34"/>
      <c r="B565" s="34"/>
      <c r="C565" s="34"/>
      <c r="D565" s="34"/>
      <c r="E565" s="34"/>
      <c r="F565" s="34"/>
      <c r="G565" s="34"/>
      <c r="H565" s="34"/>
      <c r="I565" s="34"/>
      <c r="J565" s="34"/>
      <c r="K565" s="34"/>
      <c r="L565" s="34"/>
      <c r="M565" s="34"/>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c r="BN565" s="35"/>
      <c r="BO565" s="35"/>
      <c r="BP565" s="35"/>
      <c r="BQ565" s="35"/>
      <c r="BR565" s="35"/>
      <c r="BS565" s="35"/>
      <c r="BT565" s="35"/>
      <c r="BU565" s="35"/>
      <c r="BV565" s="35"/>
      <c r="BW565" s="35"/>
      <c r="BX565" s="35"/>
      <c r="BY565" s="35"/>
      <c r="BZ565" s="35"/>
      <c r="CA565" s="35"/>
      <c r="CB565" s="35"/>
      <c r="CC565" s="35"/>
      <c r="CD565" s="35"/>
      <c r="CE565" s="35"/>
      <c r="CF565" s="35"/>
      <c r="CG565" s="35"/>
      <c r="CH565" s="35"/>
      <c r="CI565" s="35"/>
      <c r="CJ565" s="35"/>
      <c r="CK565" s="35"/>
      <c r="CL565" s="35"/>
      <c r="CM565" s="35"/>
      <c r="CN565" s="35"/>
      <c r="CO565" s="35"/>
      <c r="CP565" s="35"/>
      <c r="CQ565" s="35"/>
      <c r="CR565" s="35"/>
      <c r="CS565" s="35"/>
      <c r="CT565" s="35"/>
      <c r="CU565" s="35"/>
      <c r="CV565" s="35"/>
      <c r="CW565" s="35"/>
      <c r="CX565" s="35"/>
      <c r="CY565" s="35"/>
      <c r="CZ565" s="35"/>
      <c r="DA565" s="35"/>
      <c r="DB565" s="35"/>
      <c r="DC565" s="35"/>
      <c r="DD565" s="35"/>
      <c r="DE565" s="35"/>
      <c r="DF565" s="35"/>
      <c r="DG565" s="35"/>
      <c r="DH565" s="35"/>
      <c r="DI565" s="35"/>
      <c r="DJ565" s="35"/>
    </row>
    <row r="566" spans="1:114" x14ac:dyDescent="0.25">
      <c r="A566" s="34"/>
      <c r="B566" s="34"/>
      <c r="C566" s="34"/>
      <c r="D566" s="34"/>
      <c r="E566" s="34"/>
      <c r="F566" s="34"/>
      <c r="G566" s="34"/>
      <c r="H566" s="34"/>
      <c r="I566" s="34"/>
      <c r="J566" s="34"/>
      <c r="K566" s="34"/>
      <c r="L566" s="34"/>
      <c r="M566" s="34"/>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c r="BN566" s="35"/>
      <c r="BO566" s="35"/>
      <c r="BP566" s="35"/>
      <c r="BQ566" s="35"/>
      <c r="BR566" s="35"/>
      <c r="BS566" s="35"/>
      <c r="BT566" s="35"/>
      <c r="BU566" s="35"/>
      <c r="BV566" s="35"/>
      <c r="BW566" s="35"/>
      <c r="BX566" s="35"/>
      <c r="BY566" s="35"/>
      <c r="BZ566" s="35"/>
      <c r="CA566" s="35"/>
      <c r="CB566" s="35"/>
      <c r="CC566" s="35"/>
      <c r="CD566" s="35"/>
      <c r="CE566" s="35"/>
      <c r="CF566" s="35"/>
      <c r="CG566" s="35"/>
      <c r="CH566" s="35"/>
      <c r="CI566" s="35"/>
      <c r="CJ566" s="35"/>
      <c r="CK566" s="35"/>
      <c r="CL566" s="35"/>
      <c r="CM566" s="35"/>
      <c r="CN566" s="35"/>
      <c r="CO566" s="35"/>
      <c r="CP566" s="35"/>
      <c r="CQ566" s="35"/>
      <c r="CR566" s="35"/>
      <c r="CS566" s="35"/>
      <c r="CT566" s="35"/>
      <c r="CU566" s="35"/>
      <c r="CV566" s="35"/>
      <c r="CW566" s="35"/>
      <c r="CX566" s="35"/>
      <c r="CY566" s="35"/>
      <c r="CZ566" s="35"/>
      <c r="DA566" s="35"/>
      <c r="DB566" s="35"/>
      <c r="DC566" s="35"/>
      <c r="DD566" s="35"/>
      <c r="DE566" s="35"/>
      <c r="DF566" s="35"/>
      <c r="DG566" s="35"/>
      <c r="DH566" s="35"/>
      <c r="DI566" s="35"/>
      <c r="DJ566" s="35"/>
    </row>
    <row r="567" spans="1:114" x14ac:dyDescent="0.25">
      <c r="A567" s="34"/>
      <c r="B567" s="34"/>
      <c r="C567" s="34"/>
      <c r="D567" s="34"/>
      <c r="E567" s="34"/>
      <c r="F567" s="34"/>
      <c r="G567" s="34"/>
      <c r="H567" s="34"/>
      <c r="I567" s="34"/>
      <c r="J567" s="34"/>
      <c r="K567" s="34"/>
      <c r="L567" s="34"/>
      <c r="M567" s="34"/>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c r="BO567" s="35"/>
      <c r="BP567" s="35"/>
      <c r="BQ567" s="35"/>
      <c r="BR567" s="35"/>
      <c r="BS567" s="35"/>
      <c r="BT567" s="35"/>
      <c r="BU567" s="35"/>
      <c r="BV567" s="35"/>
      <c r="BW567" s="35"/>
      <c r="BX567" s="35"/>
      <c r="BY567" s="35"/>
      <c r="BZ567" s="35"/>
      <c r="CA567" s="35"/>
      <c r="CB567" s="35"/>
      <c r="CC567" s="35"/>
      <c r="CD567" s="35"/>
      <c r="CE567" s="35"/>
      <c r="CF567" s="35"/>
      <c r="CG567" s="35"/>
      <c r="CH567" s="35"/>
      <c r="CI567" s="35"/>
      <c r="CJ567" s="35"/>
      <c r="CK567" s="35"/>
      <c r="CL567" s="35"/>
      <c r="CM567" s="35"/>
      <c r="CN567" s="35"/>
      <c r="CO567" s="35"/>
      <c r="CP567" s="35"/>
      <c r="CQ567" s="35"/>
      <c r="CR567" s="35"/>
      <c r="CS567" s="35"/>
      <c r="CT567" s="35"/>
      <c r="CU567" s="35"/>
      <c r="CV567" s="35"/>
      <c r="CW567" s="35"/>
      <c r="CX567" s="35"/>
      <c r="CY567" s="35"/>
      <c r="CZ567" s="35"/>
      <c r="DA567" s="35"/>
      <c r="DB567" s="35"/>
      <c r="DC567" s="35"/>
      <c r="DD567" s="35"/>
      <c r="DE567" s="35"/>
      <c r="DF567" s="35"/>
      <c r="DG567" s="35"/>
      <c r="DH567" s="35"/>
      <c r="DI567" s="35"/>
      <c r="DJ567" s="35"/>
    </row>
    <row r="568" spans="1:114" x14ac:dyDescent="0.25">
      <c r="A568" s="34"/>
      <c r="B568" s="34"/>
      <c r="C568" s="34"/>
      <c r="D568" s="34"/>
      <c r="E568" s="34"/>
      <c r="F568" s="34"/>
      <c r="G568" s="34"/>
      <c r="H568" s="34"/>
      <c r="I568" s="34"/>
      <c r="J568" s="34"/>
      <c r="K568" s="34"/>
      <c r="L568" s="34"/>
      <c r="M568" s="34"/>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c r="CC568" s="35"/>
      <c r="CD568" s="35"/>
      <c r="CE568" s="35"/>
      <c r="CF568" s="35"/>
      <c r="CG568" s="35"/>
      <c r="CH568" s="35"/>
      <c r="CI568" s="35"/>
      <c r="CJ568" s="35"/>
      <c r="CK568" s="35"/>
      <c r="CL568" s="35"/>
      <c r="CM568" s="35"/>
      <c r="CN568" s="35"/>
      <c r="CO568" s="35"/>
      <c r="CP568" s="35"/>
      <c r="CQ568" s="35"/>
      <c r="CR568" s="35"/>
      <c r="CS568" s="35"/>
      <c r="CT568" s="35"/>
      <c r="CU568" s="35"/>
      <c r="CV568" s="35"/>
      <c r="CW568" s="35"/>
      <c r="CX568" s="35"/>
      <c r="CY568" s="35"/>
      <c r="CZ568" s="35"/>
      <c r="DA568" s="35"/>
      <c r="DB568" s="35"/>
      <c r="DC568" s="35"/>
      <c r="DD568" s="35"/>
      <c r="DE568" s="35"/>
      <c r="DF568" s="35"/>
      <c r="DG568" s="35"/>
      <c r="DH568" s="35"/>
      <c r="DI568" s="35"/>
      <c r="DJ568" s="35"/>
    </row>
    <row r="569" spans="1:114" x14ac:dyDescent="0.25">
      <c r="A569" s="34"/>
      <c r="B569" s="34"/>
      <c r="C569" s="34"/>
      <c r="D569" s="34"/>
      <c r="E569" s="34"/>
      <c r="F569" s="34"/>
      <c r="G569" s="34"/>
      <c r="H569" s="34"/>
      <c r="I569" s="34"/>
      <c r="J569" s="34"/>
      <c r="K569" s="34"/>
      <c r="L569" s="34"/>
      <c r="M569" s="34"/>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c r="BO569" s="35"/>
      <c r="BP569" s="35"/>
      <c r="BQ569" s="35"/>
      <c r="BR569" s="35"/>
      <c r="BS569" s="35"/>
      <c r="BT569" s="35"/>
      <c r="BU569" s="35"/>
      <c r="BV569" s="35"/>
      <c r="BW569" s="35"/>
      <c r="BX569" s="35"/>
      <c r="BY569" s="35"/>
      <c r="BZ569" s="35"/>
      <c r="CA569" s="35"/>
      <c r="CB569" s="35"/>
      <c r="CC569" s="35"/>
      <c r="CD569" s="35"/>
      <c r="CE569" s="35"/>
      <c r="CF569" s="35"/>
      <c r="CG569" s="35"/>
      <c r="CH569" s="35"/>
      <c r="CI569" s="35"/>
      <c r="CJ569" s="35"/>
      <c r="CK569" s="35"/>
      <c r="CL569" s="35"/>
      <c r="CM569" s="35"/>
      <c r="CN569" s="35"/>
      <c r="CO569" s="35"/>
      <c r="CP569" s="35"/>
      <c r="CQ569" s="35"/>
      <c r="CR569" s="35"/>
      <c r="CS569" s="35"/>
      <c r="CT569" s="35"/>
      <c r="CU569" s="35"/>
      <c r="CV569" s="35"/>
      <c r="CW569" s="35"/>
      <c r="CX569" s="35"/>
      <c r="CY569" s="35"/>
      <c r="CZ569" s="35"/>
      <c r="DA569" s="35"/>
      <c r="DB569" s="35"/>
      <c r="DC569" s="35"/>
      <c r="DD569" s="35"/>
      <c r="DE569" s="35"/>
      <c r="DF569" s="35"/>
      <c r="DG569" s="35"/>
      <c r="DH569" s="35"/>
      <c r="DI569" s="35"/>
      <c r="DJ569" s="35"/>
    </row>
    <row r="570" spans="1:114" x14ac:dyDescent="0.25">
      <c r="A570" s="34"/>
      <c r="B570" s="34"/>
      <c r="C570" s="34"/>
      <c r="D570" s="34"/>
      <c r="E570" s="34"/>
      <c r="F570" s="34"/>
      <c r="G570" s="34"/>
      <c r="H570" s="34"/>
      <c r="I570" s="34"/>
      <c r="J570" s="34"/>
      <c r="K570" s="34"/>
      <c r="L570" s="34"/>
      <c r="M570" s="34"/>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c r="BN570" s="35"/>
      <c r="BO570" s="35"/>
      <c r="BP570" s="35"/>
      <c r="BQ570" s="35"/>
      <c r="BR570" s="35"/>
      <c r="BS570" s="35"/>
      <c r="BT570" s="35"/>
      <c r="BU570" s="35"/>
      <c r="BV570" s="35"/>
      <c r="BW570" s="35"/>
      <c r="BX570" s="35"/>
      <c r="BY570" s="35"/>
      <c r="BZ570" s="35"/>
      <c r="CA570" s="35"/>
      <c r="CB570" s="35"/>
      <c r="CC570" s="35"/>
      <c r="CD570" s="35"/>
      <c r="CE570" s="35"/>
      <c r="CF570" s="35"/>
      <c r="CG570" s="35"/>
      <c r="CH570" s="35"/>
      <c r="CI570" s="35"/>
      <c r="CJ570" s="35"/>
      <c r="CK570" s="35"/>
      <c r="CL570" s="35"/>
      <c r="CM570" s="35"/>
      <c r="CN570" s="35"/>
      <c r="CO570" s="35"/>
      <c r="CP570" s="35"/>
      <c r="CQ570" s="35"/>
      <c r="CR570" s="35"/>
      <c r="CS570" s="35"/>
      <c r="CT570" s="35"/>
      <c r="CU570" s="35"/>
      <c r="CV570" s="35"/>
      <c r="CW570" s="35"/>
      <c r="CX570" s="35"/>
      <c r="CY570" s="35"/>
      <c r="CZ570" s="35"/>
      <c r="DA570" s="35"/>
      <c r="DB570" s="35"/>
      <c r="DC570" s="35"/>
      <c r="DD570" s="35"/>
      <c r="DE570" s="35"/>
      <c r="DF570" s="35"/>
      <c r="DG570" s="35"/>
      <c r="DH570" s="35"/>
      <c r="DI570" s="35"/>
      <c r="DJ570" s="35"/>
    </row>
    <row r="571" spans="1:114" x14ac:dyDescent="0.25">
      <c r="A571" s="34"/>
      <c r="B571" s="34"/>
      <c r="C571" s="34"/>
      <c r="D571" s="34"/>
      <c r="E571" s="34"/>
      <c r="F571" s="34"/>
      <c r="G571" s="34"/>
      <c r="H571" s="34"/>
      <c r="I571" s="34"/>
      <c r="J571" s="34"/>
      <c r="K571" s="34"/>
      <c r="L571" s="34"/>
      <c r="M571" s="34"/>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c r="BN571" s="35"/>
      <c r="BO571" s="35"/>
      <c r="BP571" s="35"/>
      <c r="BQ571" s="35"/>
      <c r="BR571" s="35"/>
      <c r="BS571" s="35"/>
      <c r="BT571" s="35"/>
      <c r="BU571" s="35"/>
      <c r="BV571" s="35"/>
      <c r="BW571" s="35"/>
      <c r="BX571" s="35"/>
      <c r="BY571" s="35"/>
      <c r="BZ571" s="35"/>
      <c r="CA571" s="35"/>
      <c r="CB571" s="35"/>
      <c r="CC571" s="35"/>
      <c r="CD571" s="35"/>
      <c r="CE571" s="35"/>
      <c r="CF571" s="35"/>
      <c r="CG571" s="35"/>
      <c r="CH571" s="35"/>
      <c r="CI571" s="35"/>
      <c r="CJ571" s="35"/>
      <c r="CK571" s="35"/>
      <c r="CL571" s="35"/>
      <c r="CM571" s="35"/>
      <c r="CN571" s="35"/>
      <c r="CO571" s="35"/>
      <c r="CP571" s="35"/>
      <c r="CQ571" s="35"/>
      <c r="CR571" s="35"/>
      <c r="CS571" s="35"/>
      <c r="CT571" s="35"/>
      <c r="CU571" s="35"/>
      <c r="CV571" s="35"/>
      <c r="CW571" s="35"/>
      <c r="CX571" s="35"/>
      <c r="CY571" s="35"/>
      <c r="CZ571" s="35"/>
      <c r="DA571" s="35"/>
      <c r="DB571" s="35"/>
      <c r="DC571" s="35"/>
      <c r="DD571" s="35"/>
      <c r="DE571" s="35"/>
      <c r="DF571" s="35"/>
      <c r="DG571" s="35"/>
      <c r="DH571" s="35"/>
      <c r="DI571" s="35"/>
      <c r="DJ571" s="35"/>
    </row>
    <row r="572" spans="1:114" x14ac:dyDescent="0.25">
      <c r="A572" s="34"/>
      <c r="B572" s="34"/>
      <c r="C572" s="34"/>
      <c r="D572" s="34"/>
      <c r="E572" s="34"/>
      <c r="F572" s="34"/>
      <c r="G572" s="34"/>
      <c r="H572" s="34"/>
      <c r="I572" s="34"/>
      <c r="J572" s="34"/>
      <c r="K572" s="34"/>
      <c r="L572" s="34"/>
      <c r="M572" s="34"/>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row>
    <row r="573" spans="1:114" x14ac:dyDescent="0.25">
      <c r="A573" s="34"/>
      <c r="B573" s="34"/>
      <c r="C573" s="34"/>
      <c r="D573" s="34"/>
      <c r="E573" s="34"/>
      <c r="F573" s="34"/>
      <c r="G573" s="34"/>
      <c r="H573" s="34"/>
      <c r="I573" s="34"/>
      <c r="J573" s="34"/>
      <c r="K573" s="34"/>
      <c r="L573" s="34"/>
      <c r="M573" s="34"/>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row>
    <row r="574" spans="1:114" x14ac:dyDescent="0.25">
      <c r="A574" s="34"/>
      <c r="B574" s="34"/>
      <c r="C574" s="34"/>
      <c r="D574" s="34"/>
      <c r="E574" s="34"/>
      <c r="F574" s="34"/>
      <c r="G574" s="34"/>
      <c r="H574" s="34"/>
      <c r="I574" s="34"/>
      <c r="J574" s="34"/>
      <c r="K574" s="34"/>
      <c r="L574" s="34"/>
      <c r="M574" s="34"/>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row>
    <row r="575" spans="1:114" x14ac:dyDescent="0.25">
      <c r="A575" s="34"/>
      <c r="B575" s="34"/>
      <c r="C575" s="34"/>
      <c r="D575" s="34"/>
      <c r="E575" s="34"/>
      <c r="F575" s="34"/>
      <c r="G575" s="34"/>
      <c r="H575" s="34"/>
      <c r="I575" s="34"/>
      <c r="J575" s="34"/>
      <c r="K575" s="34"/>
      <c r="L575" s="34"/>
      <c r="M575" s="34"/>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row>
    <row r="576" spans="1:114" x14ac:dyDescent="0.25">
      <c r="A576" s="34"/>
      <c r="B576" s="34"/>
      <c r="C576" s="34"/>
      <c r="D576" s="34"/>
      <c r="E576" s="34"/>
      <c r="F576" s="34"/>
      <c r="G576" s="34"/>
      <c r="H576" s="34"/>
      <c r="I576" s="34"/>
      <c r="J576" s="34"/>
      <c r="K576" s="34"/>
      <c r="L576" s="34"/>
      <c r="M576" s="34"/>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row>
    <row r="577" spans="1:114" x14ac:dyDescent="0.25">
      <c r="A577" s="34"/>
      <c r="B577" s="34"/>
      <c r="C577" s="34"/>
      <c r="D577" s="34"/>
      <c r="E577" s="34"/>
      <c r="F577" s="34"/>
      <c r="G577" s="34"/>
      <c r="H577" s="34"/>
      <c r="I577" s="34"/>
      <c r="J577" s="34"/>
      <c r="K577" s="34"/>
      <c r="L577" s="34"/>
      <c r="M577" s="34"/>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35"/>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35"/>
      <c r="CP577" s="35"/>
      <c r="CQ577" s="35"/>
      <c r="CR577" s="35"/>
      <c r="CS577" s="35"/>
      <c r="CT577" s="35"/>
      <c r="CU577" s="35"/>
      <c r="CV577" s="35"/>
      <c r="CW577" s="35"/>
      <c r="CX577" s="35"/>
      <c r="CY577" s="35"/>
      <c r="CZ577" s="35"/>
      <c r="DA577" s="35"/>
      <c r="DB577" s="35"/>
      <c r="DC577" s="35"/>
      <c r="DD577" s="35"/>
      <c r="DE577" s="35"/>
      <c r="DF577" s="35"/>
      <c r="DG577" s="35"/>
      <c r="DH577" s="35"/>
      <c r="DI577" s="35"/>
      <c r="DJ577" s="35"/>
    </row>
    <row r="578" spans="1:114" x14ac:dyDescent="0.25">
      <c r="A578" s="34"/>
      <c r="B578" s="34"/>
      <c r="C578" s="34"/>
      <c r="D578" s="34"/>
      <c r="E578" s="34"/>
      <c r="F578" s="34"/>
      <c r="G578" s="34"/>
      <c r="H578" s="34"/>
      <c r="I578" s="34"/>
      <c r="J578" s="34"/>
      <c r="K578" s="34"/>
      <c r="L578" s="34"/>
      <c r="M578" s="34"/>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row>
    <row r="579" spans="1:114" x14ac:dyDescent="0.25">
      <c r="A579" s="34"/>
      <c r="B579" s="34"/>
      <c r="C579" s="34"/>
      <c r="D579" s="34"/>
      <c r="E579" s="34"/>
      <c r="F579" s="34"/>
      <c r="G579" s="34"/>
      <c r="H579" s="34"/>
      <c r="I579" s="34"/>
      <c r="J579" s="34"/>
      <c r="K579" s="34"/>
      <c r="L579" s="34"/>
      <c r="M579" s="34"/>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BQ579" s="35"/>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row>
    <row r="580" spans="1:114" x14ac:dyDescent="0.25">
      <c r="A580" s="34"/>
      <c r="B580" s="34"/>
      <c r="C580" s="34"/>
      <c r="D580" s="34"/>
      <c r="E580" s="34"/>
      <c r="F580" s="34"/>
      <c r="G580" s="34"/>
      <c r="H580" s="34"/>
      <c r="I580" s="34"/>
      <c r="J580" s="34"/>
      <c r="K580" s="34"/>
      <c r="L580" s="34"/>
      <c r="M580" s="34"/>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35"/>
      <c r="BO580" s="35"/>
      <c r="BP580" s="35"/>
      <c r="BQ580" s="35"/>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row>
    <row r="581" spans="1:114" x14ac:dyDescent="0.25">
      <c r="A581" s="34"/>
      <c r="B581" s="34"/>
      <c r="C581" s="34"/>
      <c r="D581" s="34"/>
      <c r="E581" s="34"/>
      <c r="F581" s="34"/>
      <c r="G581" s="34"/>
      <c r="H581" s="34"/>
      <c r="I581" s="34"/>
      <c r="J581" s="34"/>
      <c r="K581" s="34"/>
      <c r="L581" s="34"/>
      <c r="M581" s="34"/>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35"/>
      <c r="BO581" s="35"/>
      <c r="BP581" s="35"/>
      <c r="BQ581" s="35"/>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row>
    <row r="582" spans="1:114" x14ac:dyDescent="0.25">
      <c r="A582" s="34"/>
      <c r="B582" s="34"/>
      <c r="C582" s="34"/>
      <c r="D582" s="34"/>
      <c r="E582" s="34"/>
      <c r="F582" s="34"/>
      <c r="G582" s="34"/>
      <c r="H582" s="34"/>
      <c r="I582" s="34"/>
      <c r="J582" s="34"/>
      <c r="K582" s="34"/>
      <c r="L582" s="34"/>
      <c r="M582" s="34"/>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c r="BN582" s="35"/>
      <c r="BO582" s="35"/>
      <c r="BP582" s="35"/>
      <c r="BQ582" s="35"/>
      <c r="BR582" s="35"/>
      <c r="BS582" s="35"/>
      <c r="BT582" s="35"/>
      <c r="BU582" s="35"/>
      <c r="BV582" s="35"/>
      <c r="BW582" s="35"/>
      <c r="BX582" s="35"/>
      <c r="BY582" s="35"/>
      <c r="BZ582" s="35"/>
      <c r="CA582" s="35"/>
      <c r="CB582" s="35"/>
      <c r="CC582" s="35"/>
      <c r="CD582" s="35"/>
      <c r="CE582" s="35"/>
      <c r="CF582" s="35"/>
      <c r="CG582" s="35"/>
      <c r="CH582" s="35"/>
      <c r="CI582" s="35"/>
      <c r="CJ582" s="35"/>
      <c r="CK582" s="35"/>
      <c r="CL582" s="35"/>
      <c r="CM582" s="35"/>
      <c r="CN582" s="35"/>
      <c r="CO582" s="35"/>
      <c r="CP582" s="35"/>
      <c r="CQ582" s="35"/>
      <c r="CR582" s="35"/>
      <c r="CS582" s="35"/>
      <c r="CT582" s="35"/>
      <c r="CU582" s="35"/>
      <c r="CV582" s="35"/>
      <c r="CW582" s="35"/>
      <c r="CX582" s="35"/>
      <c r="CY582" s="35"/>
      <c r="CZ582" s="35"/>
      <c r="DA582" s="35"/>
      <c r="DB582" s="35"/>
      <c r="DC582" s="35"/>
      <c r="DD582" s="35"/>
      <c r="DE582" s="35"/>
      <c r="DF582" s="35"/>
      <c r="DG582" s="35"/>
      <c r="DH582" s="35"/>
      <c r="DI582" s="35"/>
      <c r="DJ582" s="35"/>
    </row>
    <row r="583" spans="1:114" x14ac:dyDescent="0.25">
      <c r="A583" s="34"/>
      <c r="B583" s="34"/>
      <c r="C583" s="34"/>
      <c r="D583" s="34"/>
      <c r="E583" s="34"/>
      <c r="F583" s="34"/>
      <c r="G583" s="34"/>
      <c r="H583" s="34"/>
      <c r="I583" s="34"/>
      <c r="J583" s="34"/>
      <c r="K583" s="34"/>
      <c r="L583" s="34"/>
      <c r="M583" s="34"/>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c r="BN583" s="35"/>
      <c r="BO583" s="35"/>
      <c r="BP583" s="35"/>
      <c r="BQ583" s="35"/>
      <c r="BR583" s="35"/>
      <c r="BS583" s="35"/>
      <c r="BT583" s="35"/>
      <c r="BU583" s="35"/>
      <c r="BV583" s="35"/>
      <c r="BW583" s="35"/>
      <c r="BX583" s="35"/>
      <c r="BY583" s="35"/>
      <c r="BZ583" s="35"/>
      <c r="CA583" s="35"/>
      <c r="CB583" s="35"/>
      <c r="CC583" s="35"/>
      <c r="CD583" s="35"/>
      <c r="CE583" s="35"/>
      <c r="CF583" s="35"/>
      <c r="CG583" s="35"/>
      <c r="CH583" s="35"/>
      <c r="CI583" s="35"/>
      <c r="CJ583" s="35"/>
      <c r="CK583" s="35"/>
      <c r="CL583" s="35"/>
      <c r="CM583" s="35"/>
      <c r="CN583" s="35"/>
      <c r="CO583" s="35"/>
      <c r="CP583" s="35"/>
      <c r="CQ583" s="35"/>
      <c r="CR583" s="35"/>
      <c r="CS583" s="35"/>
      <c r="CT583" s="35"/>
      <c r="CU583" s="35"/>
      <c r="CV583" s="35"/>
      <c r="CW583" s="35"/>
      <c r="CX583" s="35"/>
      <c r="CY583" s="35"/>
      <c r="CZ583" s="35"/>
      <c r="DA583" s="35"/>
      <c r="DB583" s="35"/>
      <c r="DC583" s="35"/>
      <c r="DD583" s="35"/>
      <c r="DE583" s="35"/>
      <c r="DF583" s="35"/>
      <c r="DG583" s="35"/>
      <c r="DH583" s="35"/>
      <c r="DI583" s="35"/>
      <c r="DJ583" s="35"/>
    </row>
    <row r="584" spans="1:114" x14ac:dyDescent="0.25">
      <c r="A584" s="34"/>
      <c r="B584" s="34"/>
      <c r="C584" s="34"/>
      <c r="D584" s="34"/>
      <c r="E584" s="34"/>
      <c r="F584" s="34"/>
      <c r="G584" s="34"/>
      <c r="H584" s="34"/>
      <c r="I584" s="34"/>
      <c r="J584" s="34"/>
      <c r="K584" s="34"/>
      <c r="L584" s="34"/>
      <c r="M584" s="34"/>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c r="AU584" s="35"/>
      <c r="AV584" s="35"/>
      <c r="AW584" s="35"/>
      <c r="AX584" s="35"/>
      <c r="AY584" s="35"/>
      <c r="AZ584" s="35"/>
      <c r="BA584" s="35"/>
      <c r="BB584" s="35"/>
      <c r="BC584" s="35"/>
      <c r="BD584" s="35"/>
      <c r="BE584" s="35"/>
      <c r="BF584" s="35"/>
      <c r="BG584" s="35"/>
      <c r="BH584" s="35"/>
      <c r="BI584" s="35"/>
      <c r="BJ584" s="35"/>
      <c r="BK584" s="35"/>
      <c r="BL584" s="35"/>
      <c r="BM584" s="35"/>
      <c r="BN584" s="35"/>
      <c r="BO584" s="35"/>
      <c r="BP584" s="35"/>
      <c r="BQ584" s="35"/>
      <c r="BR584" s="35"/>
      <c r="BS584" s="35"/>
      <c r="BT584" s="35"/>
      <c r="BU584" s="35"/>
      <c r="BV584" s="35"/>
      <c r="BW584" s="35"/>
      <c r="BX584" s="35"/>
      <c r="BY584" s="35"/>
      <c r="BZ584" s="35"/>
      <c r="CA584" s="35"/>
      <c r="CB584" s="35"/>
      <c r="CC584" s="35"/>
      <c r="CD584" s="35"/>
      <c r="CE584" s="35"/>
      <c r="CF584" s="35"/>
      <c r="CG584" s="35"/>
      <c r="CH584" s="35"/>
      <c r="CI584" s="35"/>
      <c r="CJ584" s="35"/>
      <c r="CK584" s="35"/>
      <c r="CL584" s="35"/>
      <c r="CM584" s="35"/>
      <c r="CN584" s="35"/>
      <c r="CO584" s="35"/>
      <c r="CP584" s="35"/>
      <c r="CQ584" s="35"/>
      <c r="CR584" s="35"/>
      <c r="CS584" s="35"/>
      <c r="CT584" s="35"/>
      <c r="CU584" s="35"/>
      <c r="CV584" s="35"/>
      <c r="CW584" s="35"/>
      <c r="CX584" s="35"/>
      <c r="CY584" s="35"/>
      <c r="CZ584" s="35"/>
      <c r="DA584" s="35"/>
      <c r="DB584" s="35"/>
      <c r="DC584" s="35"/>
      <c r="DD584" s="35"/>
      <c r="DE584" s="35"/>
      <c r="DF584" s="35"/>
      <c r="DG584" s="35"/>
      <c r="DH584" s="35"/>
      <c r="DI584" s="35"/>
      <c r="DJ584" s="35"/>
    </row>
    <row r="585" spans="1:114" x14ac:dyDescent="0.25">
      <c r="A585" s="34"/>
      <c r="B585" s="34"/>
      <c r="C585" s="34"/>
      <c r="D585" s="34"/>
      <c r="E585" s="34"/>
      <c r="F585" s="34"/>
      <c r="G585" s="34"/>
      <c r="H585" s="34"/>
      <c r="I585" s="34"/>
      <c r="J585" s="34"/>
      <c r="K585" s="34"/>
      <c r="L585" s="34"/>
      <c r="M585" s="34"/>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row>
    <row r="586" spans="1:114" x14ac:dyDescent="0.25">
      <c r="A586" s="34"/>
      <c r="B586" s="34"/>
      <c r="C586" s="34"/>
      <c r="D586" s="34"/>
      <c r="E586" s="34"/>
      <c r="F586" s="34"/>
      <c r="G586" s="34"/>
      <c r="H586" s="34"/>
      <c r="I586" s="34"/>
      <c r="J586" s="34"/>
      <c r="K586" s="34"/>
      <c r="L586" s="34"/>
      <c r="M586" s="34"/>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35"/>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35"/>
      <c r="CP586" s="35"/>
      <c r="CQ586" s="35"/>
      <c r="CR586" s="35"/>
      <c r="CS586" s="35"/>
      <c r="CT586" s="35"/>
      <c r="CU586" s="35"/>
      <c r="CV586" s="35"/>
      <c r="CW586" s="35"/>
      <c r="CX586" s="35"/>
      <c r="CY586" s="35"/>
      <c r="CZ586" s="35"/>
      <c r="DA586" s="35"/>
      <c r="DB586" s="35"/>
      <c r="DC586" s="35"/>
      <c r="DD586" s="35"/>
      <c r="DE586" s="35"/>
      <c r="DF586" s="35"/>
      <c r="DG586" s="35"/>
      <c r="DH586" s="35"/>
      <c r="DI586" s="35"/>
      <c r="DJ586" s="35"/>
    </row>
    <row r="587" spans="1:114" x14ac:dyDescent="0.25">
      <c r="A587" s="34"/>
      <c r="B587" s="34"/>
      <c r="C587" s="34"/>
      <c r="D587" s="34"/>
      <c r="E587" s="34"/>
      <c r="F587" s="34"/>
      <c r="G587" s="34"/>
      <c r="H587" s="34"/>
      <c r="I587" s="34"/>
      <c r="J587" s="34"/>
      <c r="K587" s="34"/>
      <c r="L587" s="34"/>
      <c r="M587" s="34"/>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c r="AU587" s="35"/>
      <c r="AV587" s="35"/>
      <c r="AW587" s="35"/>
      <c r="AX587" s="35"/>
      <c r="AY587" s="35"/>
      <c r="AZ587" s="35"/>
      <c r="BA587" s="35"/>
      <c r="BB587" s="35"/>
      <c r="BC587" s="35"/>
      <c r="BD587" s="35"/>
      <c r="BE587" s="35"/>
      <c r="BF587" s="35"/>
      <c r="BG587" s="35"/>
      <c r="BH587" s="35"/>
      <c r="BI587" s="35"/>
      <c r="BJ587" s="35"/>
      <c r="BK587" s="35"/>
      <c r="BL587" s="35"/>
      <c r="BM587" s="35"/>
      <c r="BN587" s="35"/>
      <c r="BO587" s="35"/>
      <c r="BP587" s="35"/>
      <c r="BQ587" s="35"/>
      <c r="BR587" s="35"/>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35"/>
      <c r="CP587" s="35"/>
      <c r="CQ587" s="35"/>
      <c r="CR587" s="35"/>
      <c r="CS587" s="35"/>
      <c r="CT587" s="35"/>
      <c r="CU587" s="35"/>
      <c r="CV587" s="35"/>
      <c r="CW587" s="35"/>
      <c r="CX587" s="35"/>
      <c r="CY587" s="35"/>
      <c r="CZ587" s="35"/>
      <c r="DA587" s="35"/>
      <c r="DB587" s="35"/>
      <c r="DC587" s="35"/>
      <c r="DD587" s="35"/>
      <c r="DE587" s="35"/>
      <c r="DF587" s="35"/>
      <c r="DG587" s="35"/>
      <c r="DH587" s="35"/>
      <c r="DI587" s="35"/>
      <c r="DJ587" s="35"/>
    </row>
    <row r="588" spans="1:114" x14ac:dyDescent="0.25">
      <c r="A588" s="34"/>
      <c r="B588" s="34"/>
      <c r="C588" s="34"/>
      <c r="D588" s="34"/>
      <c r="E588" s="34"/>
      <c r="F588" s="34"/>
      <c r="G588" s="34"/>
      <c r="H588" s="34"/>
      <c r="I588" s="34"/>
      <c r="J588" s="34"/>
      <c r="K588" s="34"/>
      <c r="L588" s="34"/>
      <c r="M588" s="34"/>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row>
    <row r="589" spans="1:114" x14ac:dyDescent="0.25">
      <c r="A589" s="34"/>
      <c r="B589" s="34"/>
      <c r="C589" s="34"/>
      <c r="D589" s="34"/>
      <c r="E589" s="34"/>
      <c r="F589" s="34"/>
      <c r="G589" s="34"/>
      <c r="H589" s="34"/>
      <c r="I589" s="34"/>
      <c r="J589" s="34"/>
      <c r="K589" s="34"/>
      <c r="L589" s="34"/>
      <c r="M589" s="34"/>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c r="AU589" s="35"/>
      <c r="AV589" s="35"/>
      <c r="AW589" s="35"/>
      <c r="AX589" s="35"/>
      <c r="AY589" s="35"/>
      <c r="AZ589" s="35"/>
      <c r="BA589" s="35"/>
      <c r="BB589" s="35"/>
      <c r="BC589" s="35"/>
      <c r="BD589" s="35"/>
      <c r="BE589" s="35"/>
      <c r="BF589" s="35"/>
      <c r="BG589" s="35"/>
      <c r="BH589" s="35"/>
      <c r="BI589" s="35"/>
      <c r="BJ589" s="35"/>
      <c r="BK589" s="35"/>
      <c r="BL589" s="35"/>
      <c r="BM589" s="35"/>
      <c r="BN589" s="35"/>
      <c r="BO589" s="35"/>
      <c r="BP589" s="35"/>
      <c r="BQ589" s="35"/>
      <c r="BR589" s="35"/>
      <c r="BS589" s="35"/>
      <c r="BT589" s="35"/>
      <c r="BU589" s="35"/>
      <c r="BV589" s="35"/>
      <c r="BW589" s="35"/>
      <c r="BX589" s="35"/>
      <c r="BY589" s="35"/>
      <c r="BZ589" s="35"/>
      <c r="CA589" s="35"/>
      <c r="CB589" s="35"/>
      <c r="CC589" s="35"/>
      <c r="CD589" s="35"/>
      <c r="CE589" s="35"/>
      <c r="CF589" s="35"/>
      <c r="CG589" s="35"/>
      <c r="CH589" s="35"/>
      <c r="CI589" s="35"/>
      <c r="CJ589" s="35"/>
      <c r="CK589" s="35"/>
      <c r="CL589" s="35"/>
      <c r="CM589" s="35"/>
      <c r="CN589" s="35"/>
      <c r="CO589" s="35"/>
      <c r="CP589" s="35"/>
      <c r="CQ589" s="35"/>
      <c r="CR589" s="35"/>
      <c r="CS589" s="35"/>
      <c r="CT589" s="35"/>
      <c r="CU589" s="35"/>
      <c r="CV589" s="35"/>
      <c r="CW589" s="35"/>
      <c r="CX589" s="35"/>
      <c r="CY589" s="35"/>
      <c r="CZ589" s="35"/>
      <c r="DA589" s="35"/>
      <c r="DB589" s="35"/>
      <c r="DC589" s="35"/>
      <c r="DD589" s="35"/>
      <c r="DE589" s="35"/>
      <c r="DF589" s="35"/>
      <c r="DG589" s="35"/>
      <c r="DH589" s="35"/>
      <c r="DI589" s="35"/>
      <c r="DJ589" s="35"/>
    </row>
    <row r="590" spans="1:114" x14ac:dyDescent="0.25">
      <c r="A590" s="34"/>
      <c r="B590" s="34"/>
      <c r="C590" s="34"/>
      <c r="D590" s="34"/>
      <c r="E590" s="34"/>
      <c r="F590" s="34"/>
      <c r="G590" s="34"/>
      <c r="H590" s="34"/>
      <c r="I590" s="34"/>
      <c r="J590" s="34"/>
      <c r="K590" s="34"/>
      <c r="L590" s="34"/>
      <c r="M590" s="34"/>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c r="AU590" s="35"/>
      <c r="AV590" s="35"/>
      <c r="AW590" s="35"/>
      <c r="AX590" s="35"/>
      <c r="AY590" s="35"/>
      <c r="AZ590" s="35"/>
      <c r="BA590" s="35"/>
      <c r="BB590" s="35"/>
      <c r="BC590" s="35"/>
      <c r="BD590" s="35"/>
      <c r="BE590" s="35"/>
      <c r="BF590" s="35"/>
      <c r="BG590" s="35"/>
      <c r="BH590" s="35"/>
      <c r="BI590" s="35"/>
      <c r="BJ590" s="35"/>
      <c r="BK590" s="35"/>
      <c r="BL590" s="35"/>
      <c r="BM590" s="35"/>
      <c r="BN590" s="35"/>
      <c r="BO590" s="35"/>
      <c r="BP590" s="35"/>
      <c r="BQ590" s="35"/>
      <c r="BR590" s="35"/>
      <c r="BS590" s="35"/>
      <c r="BT590" s="35"/>
      <c r="BU590" s="35"/>
      <c r="BV590" s="35"/>
      <c r="BW590" s="35"/>
      <c r="BX590" s="35"/>
      <c r="BY590" s="35"/>
      <c r="BZ590" s="35"/>
      <c r="CA590" s="35"/>
      <c r="CB590" s="35"/>
      <c r="CC590" s="35"/>
      <c r="CD590" s="35"/>
      <c r="CE590" s="35"/>
      <c r="CF590" s="35"/>
      <c r="CG590" s="35"/>
      <c r="CH590" s="35"/>
      <c r="CI590" s="35"/>
      <c r="CJ590" s="35"/>
      <c r="CK590" s="35"/>
      <c r="CL590" s="35"/>
      <c r="CM590" s="35"/>
      <c r="CN590" s="35"/>
      <c r="CO590" s="35"/>
      <c r="CP590" s="35"/>
      <c r="CQ590" s="35"/>
      <c r="CR590" s="35"/>
      <c r="CS590" s="35"/>
      <c r="CT590" s="35"/>
      <c r="CU590" s="35"/>
      <c r="CV590" s="35"/>
      <c r="CW590" s="35"/>
      <c r="CX590" s="35"/>
      <c r="CY590" s="35"/>
      <c r="CZ590" s="35"/>
      <c r="DA590" s="35"/>
      <c r="DB590" s="35"/>
      <c r="DC590" s="35"/>
      <c r="DD590" s="35"/>
      <c r="DE590" s="35"/>
      <c r="DF590" s="35"/>
      <c r="DG590" s="35"/>
      <c r="DH590" s="35"/>
      <c r="DI590" s="35"/>
      <c r="DJ590" s="35"/>
    </row>
    <row r="591" spans="1:114" x14ac:dyDescent="0.25">
      <c r="A591" s="34"/>
      <c r="B591" s="34"/>
      <c r="C591" s="34"/>
      <c r="D591" s="34"/>
      <c r="E591" s="34"/>
      <c r="F591" s="34"/>
      <c r="G591" s="34"/>
      <c r="H591" s="34"/>
      <c r="I591" s="34"/>
      <c r="J591" s="34"/>
      <c r="K591" s="34"/>
      <c r="L591" s="34"/>
      <c r="M591" s="34"/>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5"/>
      <c r="BC591" s="35"/>
      <c r="BD591" s="35"/>
      <c r="BE591" s="35"/>
      <c r="BF591" s="35"/>
      <c r="BG591" s="35"/>
      <c r="BH591" s="35"/>
      <c r="BI591" s="35"/>
      <c r="BJ591" s="35"/>
      <c r="BK591" s="35"/>
      <c r="BL591" s="35"/>
      <c r="BM591" s="35"/>
      <c r="BN591" s="35"/>
      <c r="BO591" s="35"/>
      <c r="BP591" s="35"/>
      <c r="BQ591" s="35"/>
      <c r="BR591" s="35"/>
      <c r="BS591" s="35"/>
      <c r="BT591" s="35"/>
      <c r="BU591" s="35"/>
      <c r="BV591" s="35"/>
      <c r="BW591" s="35"/>
      <c r="BX591" s="35"/>
      <c r="BY591" s="35"/>
      <c r="BZ591" s="35"/>
      <c r="CA591" s="35"/>
      <c r="CB591" s="35"/>
      <c r="CC591" s="35"/>
      <c r="CD591" s="35"/>
      <c r="CE591" s="35"/>
      <c r="CF591" s="35"/>
      <c r="CG591" s="35"/>
      <c r="CH591" s="35"/>
      <c r="CI591" s="35"/>
      <c r="CJ591" s="35"/>
      <c r="CK591" s="35"/>
      <c r="CL591" s="35"/>
      <c r="CM591" s="35"/>
      <c r="CN591" s="35"/>
      <c r="CO591" s="35"/>
      <c r="CP591" s="35"/>
      <c r="CQ591" s="35"/>
      <c r="CR591" s="35"/>
      <c r="CS591" s="35"/>
      <c r="CT591" s="35"/>
      <c r="CU591" s="35"/>
      <c r="CV591" s="35"/>
      <c r="CW591" s="35"/>
      <c r="CX591" s="35"/>
      <c r="CY591" s="35"/>
      <c r="CZ591" s="35"/>
      <c r="DA591" s="35"/>
      <c r="DB591" s="35"/>
      <c r="DC591" s="35"/>
      <c r="DD591" s="35"/>
      <c r="DE591" s="35"/>
      <c r="DF591" s="35"/>
      <c r="DG591" s="35"/>
      <c r="DH591" s="35"/>
      <c r="DI591" s="35"/>
      <c r="DJ591" s="35"/>
    </row>
    <row r="592" spans="1:114" x14ac:dyDescent="0.25">
      <c r="A592" s="34"/>
      <c r="B592" s="34"/>
      <c r="C592" s="34"/>
      <c r="D592" s="34"/>
      <c r="E592" s="34"/>
      <c r="F592" s="34"/>
      <c r="G592" s="34"/>
      <c r="H592" s="34"/>
      <c r="I592" s="34"/>
      <c r="J592" s="34"/>
      <c r="K592" s="34"/>
      <c r="L592" s="34"/>
      <c r="M592" s="34"/>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c r="AU592" s="35"/>
      <c r="AV592" s="35"/>
      <c r="AW592" s="35"/>
      <c r="AX592" s="35"/>
      <c r="AY592" s="35"/>
      <c r="AZ592" s="35"/>
      <c r="BA592" s="35"/>
      <c r="BB592" s="35"/>
      <c r="BC592" s="35"/>
      <c r="BD592" s="35"/>
      <c r="BE592" s="35"/>
      <c r="BF592" s="35"/>
      <c r="BG592" s="35"/>
      <c r="BH592" s="35"/>
      <c r="BI592" s="35"/>
      <c r="BJ592" s="35"/>
      <c r="BK592" s="35"/>
      <c r="BL592" s="35"/>
      <c r="BM592" s="35"/>
      <c r="BN592" s="35"/>
      <c r="BO592" s="35"/>
      <c r="BP592" s="35"/>
      <c r="BQ592" s="35"/>
      <c r="BR592" s="35"/>
      <c r="BS592" s="35"/>
      <c r="BT592" s="35"/>
      <c r="BU592" s="35"/>
      <c r="BV592" s="35"/>
      <c r="BW592" s="35"/>
      <c r="BX592" s="35"/>
      <c r="BY592" s="35"/>
      <c r="BZ592" s="35"/>
      <c r="CA592" s="35"/>
      <c r="CB592" s="35"/>
      <c r="CC592" s="35"/>
      <c r="CD592" s="35"/>
      <c r="CE592" s="35"/>
      <c r="CF592" s="35"/>
      <c r="CG592" s="35"/>
      <c r="CH592" s="35"/>
      <c r="CI592" s="35"/>
      <c r="CJ592" s="35"/>
      <c r="CK592" s="35"/>
      <c r="CL592" s="35"/>
      <c r="CM592" s="35"/>
      <c r="CN592" s="35"/>
      <c r="CO592" s="35"/>
      <c r="CP592" s="35"/>
      <c r="CQ592" s="35"/>
      <c r="CR592" s="35"/>
      <c r="CS592" s="35"/>
      <c r="CT592" s="35"/>
      <c r="CU592" s="35"/>
      <c r="CV592" s="35"/>
      <c r="CW592" s="35"/>
      <c r="CX592" s="35"/>
      <c r="CY592" s="35"/>
      <c r="CZ592" s="35"/>
      <c r="DA592" s="35"/>
      <c r="DB592" s="35"/>
      <c r="DC592" s="35"/>
      <c r="DD592" s="35"/>
      <c r="DE592" s="35"/>
      <c r="DF592" s="35"/>
      <c r="DG592" s="35"/>
      <c r="DH592" s="35"/>
      <c r="DI592" s="35"/>
      <c r="DJ592" s="35"/>
    </row>
    <row r="593" spans="1:114" x14ac:dyDescent="0.25">
      <c r="A593" s="34"/>
      <c r="B593" s="34"/>
      <c r="C593" s="34"/>
      <c r="D593" s="34"/>
      <c r="E593" s="34"/>
      <c r="F593" s="34"/>
      <c r="G593" s="34"/>
      <c r="H593" s="34"/>
      <c r="I593" s="34"/>
      <c r="J593" s="34"/>
      <c r="K593" s="34"/>
      <c r="L593" s="34"/>
      <c r="M593" s="34"/>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c r="AU593" s="35"/>
      <c r="AV593" s="35"/>
      <c r="AW593" s="35"/>
      <c r="AX593" s="35"/>
      <c r="AY593" s="35"/>
      <c r="AZ593" s="35"/>
      <c r="BA593" s="35"/>
      <c r="BB593" s="35"/>
      <c r="BC593" s="35"/>
      <c r="BD593" s="35"/>
      <c r="BE593" s="35"/>
      <c r="BF593" s="35"/>
      <c r="BG593" s="35"/>
      <c r="BH593" s="35"/>
      <c r="BI593" s="35"/>
      <c r="BJ593" s="35"/>
      <c r="BK593" s="35"/>
      <c r="BL593" s="35"/>
      <c r="BM593" s="35"/>
      <c r="BN593" s="35"/>
      <c r="BO593" s="35"/>
      <c r="BP593" s="35"/>
      <c r="BQ593" s="35"/>
      <c r="BR593" s="35"/>
      <c r="BS593" s="35"/>
      <c r="BT593" s="35"/>
      <c r="BU593" s="35"/>
      <c r="BV593" s="35"/>
      <c r="BW593" s="35"/>
      <c r="BX593" s="35"/>
      <c r="BY593" s="35"/>
      <c r="BZ593" s="35"/>
      <c r="CA593" s="35"/>
      <c r="CB593" s="35"/>
      <c r="CC593" s="35"/>
      <c r="CD593" s="35"/>
      <c r="CE593" s="35"/>
      <c r="CF593" s="35"/>
      <c r="CG593" s="35"/>
      <c r="CH593" s="35"/>
      <c r="CI593" s="35"/>
      <c r="CJ593" s="35"/>
      <c r="CK593" s="35"/>
      <c r="CL593" s="35"/>
      <c r="CM593" s="35"/>
      <c r="CN593" s="35"/>
      <c r="CO593" s="35"/>
      <c r="CP593" s="35"/>
      <c r="CQ593" s="35"/>
      <c r="CR593" s="35"/>
      <c r="CS593" s="35"/>
      <c r="CT593" s="35"/>
      <c r="CU593" s="35"/>
      <c r="CV593" s="35"/>
      <c r="CW593" s="35"/>
      <c r="CX593" s="35"/>
      <c r="CY593" s="35"/>
      <c r="CZ593" s="35"/>
      <c r="DA593" s="35"/>
      <c r="DB593" s="35"/>
      <c r="DC593" s="35"/>
      <c r="DD593" s="35"/>
      <c r="DE593" s="35"/>
      <c r="DF593" s="35"/>
      <c r="DG593" s="35"/>
      <c r="DH593" s="35"/>
      <c r="DI593" s="35"/>
      <c r="DJ593" s="35"/>
    </row>
    <row r="594" spans="1:114" x14ac:dyDescent="0.25">
      <c r="A594" s="34"/>
      <c r="B594" s="34"/>
      <c r="C594" s="34"/>
      <c r="D594" s="34"/>
      <c r="E594" s="34"/>
      <c r="F594" s="34"/>
      <c r="G594" s="34"/>
      <c r="H594" s="34"/>
      <c r="I594" s="34"/>
      <c r="J594" s="34"/>
      <c r="K594" s="34"/>
      <c r="L594" s="34"/>
      <c r="M594" s="34"/>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c r="AU594" s="35"/>
      <c r="AV594" s="35"/>
      <c r="AW594" s="35"/>
      <c r="AX594" s="35"/>
      <c r="AY594" s="35"/>
      <c r="AZ594" s="35"/>
      <c r="BA594" s="35"/>
      <c r="BB594" s="35"/>
      <c r="BC594" s="35"/>
      <c r="BD594" s="35"/>
      <c r="BE594" s="35"/>
      <c r="BF594" s="35"/>
      <c r="BG594" s="35"/>
      <c r="BH594" s="35"/>
      <c r="BI594" s="35"/>
      <c r="BJ594" s="35"/>
      <c r="BK594" s="35"/>
      <c r="BL594" s="35"/>
      <c r="BM594" s="35"/>
      <c r="BN594" s="35"/>
      <c r="BO594" s="35"/>
      <c r="BP594" s="35"/>
      <c r="BQ594" s="35"/>
      <c r="BR594" s="35"/>
      <c r="BS594" s="35"/>
      <c r="BT594" s="35"/>
      <c r="BU594" s="35"/>
      <c r="BV594" s="35"/>
      <c r="BW594" s="35"/>
      <c r="BX594" s="35"/>
      <c r="BY594" s="35"/>
      <c r="BZ594" s="35"/>
      <c r="CA594" s="35"/>
      <c r="CB594" s="35"/>
      <c r="CC594" s="35"/>
      <c r="CD594" s="35"/>
      <c r="CE594" s="35"/>
      <c r="CF594" s="35"/>
      <c r="CG594" s="35"/>
      <c r="CH594" s="35"/>
      <c r="CI594" s="35"/>
      <c r="CJ594" s="35"/>
      <c r="CK594" s="35"/>
      <c r="CL594" s="35"/>
      <c r="CM594" s="35"/>
      <c r="CN594" s="35"/>
      <c r="CO594" s="35"/>
      <c r="CP594" s="35"/>
      <c r="CQ594" s="35"/>
      <c r="CR594" s="35"/>
      <c r="CS594" s="35"/>
      <c r="CT594" s="35"/>
      <c r="CU594" s="35"/>
      <c r="CV594" s="35"/>
      <c r="CW594" s="35"/>
      <c r="CX594" s="35"/>
      <c r="CY594" s="35"/>
      <c r="CZ594" s="35"/>
      <c r="DA594" s="35"/>
      <c r="DB594" s="35"/>
      <c r="DC594" s="35"/>
      <c r="DD594" s="35"/>
      <c r="DE594" s="35"/>
      <c r="DF594" s="35"/>
      <c r="DG594" s="35"/>
      <c r="DH594" s="35"/>
      <c r="DI594" s="35"/>
      <c r="DJ594" s="35"/>
    </row>
    <row r="595" spans="1:114" x14ac:dyDescent="0.25">
      <c r="A595" s="34"/>
      <c r="B595" s="34"/>
      <c r="C595" s="34"/>
      <c r="D595" s="34"/>
      <c r="E595" s="34"/>
      <c r="F595" s="34"/>
      <c r="G595" s="34"/>
      <c r="H595" s="34"/>
      <c r="I595" s="34"/>
      <c r="J595" s="34"/>
      <c r="K595" s="34"/>
      <c r="L595" s="34"/>
      <c r="M595" s="34"/>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c r="AU595" s="35"/>
      <c r="AV595" s="35"/>
      <c r="AW595" s="35"/>
      <c r="AX595" s="35"/>
      <c r="AY595" s="35"/>
      <c r="AZ595" s="35"/>
      <c r="BA595" s="35"/>
      <c r="BB595" s="35"/>
      <c r="BC595" s="35"/>
      <c r="BD595" s="35"/>
      <c r="BE595" s="35"/>
      <c r="BF595" s="35"/>
      <c r="BG595" s="35"/>
      <c r="BH595" s="35"/>
      <c r="BI595" s="35"/>
      <c r="BJ595" s="35"/>
      <c r="BK595" s="35"/>
      <c r="BL595" s="35"/>
      <c r="BM595" s="35"/>
      <c r="BN595" s="35"/>
      <c r="BO595" s="35"/>
      <c r="BP595" s="35"/>
      <c r="BQ595" s="35"/>
      <c r="BR595" s="35"/>
      <c r="BS595" s="35"/>
      <c r="BT595" s="35"/>
      <c r="BU595" s="35"/>
      <c r="BV595" s="35"/>
      <c r="BW595" s="35"/>
      <c r="BX595" s="35"/>
      <c r="BY595" s="35"/>
      <c r="BZ595" s="35"/>
      <c r="CA595" s="35"/>
      <c r="CB595" s="35"/>
      <c r="CC595" s="35"/>
      <c r="CD595" s="35"/>
      <c r="CE595" s="35"/>
      <c r="CF595" s="35"/>
      <c r="CG595" s="35"/>
      <c r="CH595" s="35"/>
      <c r="CI595" s="35"/>
      <c r="CJ595" s="35"/>
      <c r="CK595" s="35"/>
      <c r="CL595" s="35"/>
      <c r="CM595" s="35"/>
      <c r="CN595" s="35"/>
      <c r="CO595" s="35"/>
      <c r="CP595" s="35"/>
      <c r="CQ595" s="35"/>
      <c r="CR595" s="35"/>
      <c r="CS595" s="35"/>
      <c r="CT595" s="35"/>
      <c r="CU595" s="35"/>
      <c r="CV595" s="35"/>
      <c r="CW595" s="35"/>
      <c r="CX595" s="35"/>
      <c r="CY595" s="35"/>
      <c r="CZ595" s="35"/>
      <c r="DA595" s="35"/>
      <c r="DB595" s="35"/>
      <c r="DC595" s="35"/>
      <c r="DD595" s="35"/>
      <c r="DE595" s="35"/>
      <c r="DF595" s="35"/>
      <c r="DG595" s="35"/>
      <c r="DH595" s="35"/>
      <c r="DI595" s="35"/>
      <c r="DJ595" s="35"/>
    </row>
    <row r="596" spans="1:114" x14ac:dyDescent="0.25">
      <c r="A596" s="34"/>
      <c r="B596" s="34"/>
      <c r="C596" s="34"/>
      <c r="D596" s="34"/>
      <c r="E596" s="34"/>
      <c r="F596" s="34"/>
      <c r="G596" s="34"/>
      <c r="H596" s="34"/>
      <c r="I596" s="34"/>
      <c r="J596" s="34"/>
      <c r="K596" s="34"/>
      <c r="L596" s="34"/>
      <c r="M596" s="34"/>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c r="AU596" s="35"/>
      <c r="AV596" s="35"/>
      <c r="AW596" s="35"/>
      <c r="AX596" s="35"/>
      <c r="AY596" s="35"/>
      <c r="AZ596" s="35"/>
      <c r="BA596" s="35"/>
      <c r="BB596" s="35"/>
      <c r="BC596" s="35"/>
      <c r="BD596" s="35"/>
      <c r="BE596" s="35"/>
      <c r="BF596" s="35"/>
      <c r="BG596" s="35"/>
      <c r="BH596" s="35"/>
      <c r="BI596" s="35"/>
      <c r="BJ596" s="35"/>
      <c r="BK596" s="35"/>
      <c r="BL596" s="35"/>
      <c r="BM596" s="35"/>
      <c r="BN596" s="35"/>
      <c r="BO596" s="35"/>
      <c r="BP596" s="35"/>
      <c r="BQ596" s="35"/>
      <c r="BR596" s="35"/>
      <c r="BS596" s="35"/>
      <c r="BT596" s="35"/>
      <c r="BU596" s="35"/>
      <c r="BV596" s="35"/>
      <c r="BW596" s="35"/>
      <c r="BX596" s="35"/>
      <c r="BY596" s="35"/>
      <c r="BZ596" s="35"/>
      <c r="CA596" s="35"/>
      <c r="CB596" s="35"/>
      <c r="CC596" s="35"/>
      <c r="CD596" s="35"/>
      <c r="CE596" s="35"/>
      <c r="CF596" s="35"/>
      <c r="CG596" s="35"/>
      <c r="CH596" s="35"/>
      <c r="CI596" s="35"/>
      <c r="CJ596" s="35"/>
      <c r="CK596" s="35"/>
      <c r="CL596" s="35"/>
      <c r="CM596" s="35"/>
      <c r="CN596" s="35"/>
      <c r="CO596" s="35"/>
      <c r="CP596" s="35"/>
      <c r="CQ596" s="35"/>
      <c r="CR596" s="35"/>
      <c r="CS596" s="35"/>
      <c r="CT596" s="35"/>
      <c r="CU596" s="35"/>
      <c r="CV596" s="35"/>
      <c r="CW596" s="35"/>
      <c r="CX596" s="35"/>
      <c r="CY596" s="35"/>
      <c r="CZ596" s="35"/>
      <c r="DA596" s="35"/>
      <c r="DB596" s="35"/>
      <c r="DC596" s="35"/>
      <c r="DD596" s="35"/>
      <c r="DE596" s="35"/>
      <c r="DF596" s="35"/>
      <c r="DG596" s="35"/>
      <c r="DH596" s="35"/>
      <c r="DI596" s="35"/>
      <c r="DJ596" s="35"/>
    </row>
    <row r="597" spans="1:114" x14ac:dyDescent="0.25">
      <c r="A597" s="34"/>
      <c r="B597" s="34"/>
      <c r="C597" s="34"/>
      <c r="D597" s="34"/>
      <c r="E597" s="34"/>
      <c r="F597" s="34"/>
      <c r="G597" s="34"/>
      <c r="H597" s="34"/>
      <c r="I597" s="34"/>
      <c r="J597" s="34"/>
      <c r="K597" s="34"/>
      <c r="L597" s="34"/>
      <c r="M597" s="34"/>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c r="BN597" s="35"/>
      <c r="BO597" s="35"/>
      <c r="BP597" s="35"/>
      <c r="BQ597" s="35"/>
      <c r="BR597" s="35"/>
      <c r="BS597" s="35"/>
      <c r="BT597" s="35"/>
      <c r="BU597" s="35"/>
      <c r="BV597" s="35"/>
      <c r="BW597" s="35"/>
      <c r="BX597" s="35"/>
      <c r="BY597" s="35"/>
      <c r="BZ597" s="35"/>
      <c r="CA597" s="35"/>
      <c r="CB597" s="35"/>
      <c r="CC597" s="35"/>
      <c r="CD597" s="35"/>
      <c r="CE597" s="35"/>
      <c r="CF597" s="35"/>
      <c r="CG597" s="35"/>
      <c r="CH597" s="35"/>
      <c r="CI597" s="35"/>
      <c r="CJ597" s="35"/>
      <c r="CK597" s="35"/>
      <c r="CL597" s="35"/>
      <c r="CM597" s="35"/>
      <c r="CN597" s="35"/>
      <c r="CO597" s="35"/>
      <c r="CP597" s="35"/>
      <c r="CQ597" s="35"/>
      <c r="CR597" s="35"/>
      <c r="CS597" s="35"/>
      <c r="CT597" s="35"/>
      <c r="CU597" s="35"/>
      <c r="CV597" s="35"/>
      <c r="CW597" s="35"/>
      <c r="CX597" s="35"/>
      <c r="CY597" s="35"/>
      <c r="CZ597" s="35"/>
      <c r="DA597" s="35"/>
      <c r="DB597" s="35"/>
      <c r="DC597" s="35"/>
      <c r="DD597" s="35"/>
      <c r="DE597" s="35"/>
      <c r="DF597" s="35"/>
      <c r="DG597" s="35"/>
      <c r="DH597" s="35"/>
      <c r="DI597" s="35"/>
      <c r="DJ597" s="35"/>
    </row>
    <row r="598" spans="1:114" x14ac:dyDescent="0.25">
      <c r="A598" s="34"/>
      <c r="B598" s="34"/>
      <c r="C598" s="34"/>
      <c r="D598" s="34"/>
      <c r="E598" s="34"/>
      <c r="F598" s="34"/>
      <c r="G598" s="34"/>
      <c r="H598" s="34"/>
      <c r="I598" s="34"/>
      <c r="J598" s="34"/>
      <c r="K598" s="34"/>
      <c r="L598" s="34"/>
      <c r="M598" s="34"/>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c r="BN598" s="35"/>
      <c r="BO598" s="35"/>
      <c r="BP598" s="35"/>
      <c r="BQ598" s="35"/>
      <c r="BR598" s="35"/>
      <c r="BS598" s="35"/>
      <c r="BT598" s="35"/>
      <c r="BU598" s="35"/>
      <c r="BV598" s="35"/>
      <c r="BW598" s="35"/>
      <c r="BX598" s="35"/>
      <c r="BY598" s="35"/>
      <c r="BZ598" s="35"/>
      <c r="CA598" s="35"/>
      <c r="CB598" s="35"/>
      <c r="CC598" s="35"/>
      <c r="CD598" s="35"/>
      <c r="CE598" s="35"/>
      <c r="CF598" s="35"/>
      <c r="CG598" s="35"/>
      <c r="CH598" s="35"/>
      <c r="CI598" s="35"/>
      <c r="CJ598" s="35"/>
      <c r="CK598" s="35"/>
      <c r="CL598" s="35"/>
      <c r="CM598" s="35"/>
      <c r="CN598" s="35"/>
      <c r="CO598" s="35"/>
      <c r="CP598" s="35"/>
      <c r="CQ598" s="35"/>
      <c r="CR598" s="35"/>
      <c r="CS598" s="35"/>
      <c r="CT598" s="35"/>
      <c r="CU598" s="35"/>
      <c r="CV598" s="35"/>
      <c r="CW598" s="35"/>
      <c r="CX598" s="35"/>
      <c r="CY598" s="35"/>
      <c r="CZ598" s="35"/>
      <c r="DA598" s="35"/>
      <c r="DB598" s="35"/>
      <c r="DC598" s="35"/>
      <c r="DD598" s="35"/>
      <c r="DE598" s="35"/>
      <c r="DF598" s="35"/>
      <c r="DG598" s="35"/>
      <c r="DH598" s="35"/>
      <c r="DI598" s="35"/>
      <c r="DJ598" s="35"/>
    </row>
    <row r="599" spans="1:114" x14ac:dyDescent="0.25">
      <c r="A599" s="34"/>
      <c r="B599" s="34"/>
      <c r="C599" s="34"/>
      <c r="D599" s="34"/>
      <c r="E599" s="34"/>
      <c r="F599" s="34"/>
      <c r="G599" s="34"/>
      <c r="H599" s="34"/>
      <c r="I599" s="34"/>
      <c r="J599" s="34"/>
      <c r="K599" s="34"/>
      <c r="L599" s="34"/>
      <c r="M599" s="34"/>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5"/>
      <c r="BD599" s="35"/>
      <c r="BE599" s="35"/>
      <c r="BF599" s="35"/>
      <c r="BG599" s="35"/>
      <c r="BH599" s="35"/>
      <c r="BI599" s="35"/>
      <c r="BJ599" s="35"/>
      <c r="BK599" s="35"/>
      <c r="BL599" s="35"/>
      <c r="BM599" s="35"/>
      <c r="BN599" s="35"/>
      <c r="BO599" s="35"/>
      <c r="BP599" s="35"/>
      <c r="BQ599" s="35"/>
      <c r="BR599" s="35"/>
      <c r="BS599" s="35"/>
      <c r="BT599" s="35"/>
      <c r="BU599" s="35"/>
      <c r="BV599" s="35"/>
      <c r="BW599" s="35"/>
      <c r="BX599" s="35"/>
      <c r="BY599" s="35"/>
      <c r="BZ599" s="35"/>
      <c r="CA599" s="35"/>
      <c r="CB599" s="35"/>
      <c r="CC599" s="35"/>
      <c r="CD599" s="35"/>
      <c r="CE599" s="35"/>
      <c r="CF599" s="35"/>
      <c r="CG599" s="35"/>
      <c r="CH599" s="35"/>
      <c r="CI599" s="35"/>
      <c r="CJ599" s="35"/>
      <c r="CK599" s="35"/>
      <c r="CL599" s="35"/>
      <c r="CM599" s="35"/>
      <c r="CN599" s="35"/>
      <c r="CO599" s="35"/>
      <c r="CP599" s="35"/>
      <c r="CQ599" s="35"/>
      <c r="CR599" s="35"/>
      <c r="CS599" s="35"/>
      <c r="CT599" s="35"/>
      <c r="CU599" s="35"/>
      <c r="CV599" s="35"/>
      <c r="CW599" s="35"/>
      <c r="CX599" s="35"/>
      <c r="CY599" s="35"/>
      <c r="CZ599" s="35"/>
      <c r="DA599" s="35"/>
      <c r="DB599" s="35"/>
      <c r="DC599" s="35"/>
      <c r="DD599" s="35"/>
      <c r="DE599" s="35"/>
      <c r="DF599" s="35"/>
      <c r="DG599" s="35"/>
      <c r="DH599" s="35"/>
      <c r="DI599" s="35"/>
      <c r="DJ599" s="35"/>
    </row>
    <row r="600" spans="1:114" x14ac:dyDescent="0.25">
      <c r="A600" s="34"/>
      <c r="B600" s="34"/>
      <c r="C600" s="34"/>
      <c r="D600" s="34"/>
      <c r="E600" s="34"/>
      <c r="F600" s="34"/>
      <c r="G600" s="34"/>
      <c r="H600" s="34"/>
      <c r="I600" s="34"/>
      <c r="J600" s="34"/>
      <c r="K600" s="34"/>
      <c r="L600" s="34"/>
      <c r="M600" s="34"/>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c r="BD600" s="35"/>
      <c r="BE600" s="35"/>
      <c r="BF600" s="35"/>
      <c r="BG600" s="35"/>
      <c r="BH600" s="35"/>
      <c r="BI600" s="35"/>
      <c r="BJ600" s="35"/>
      <c r="BK600" s="35"/>
      <c r="BL600" s="35"/>
      <c r="BM600" s="35"/>
      <c r="BN600" s="35"/>
      <c r="BO600" s="35"/>
      <c r="BP600" s="35"/>
      <c r="BQ600" s="35"/>
      <c r="BR600" s="35"/>
      <c r="BS600" s="35"/>
      <c r="BT600" s="35"/>
      <c r="BU600" s="35"/>
      <c r="BV600" s="35"/>
      <c r="BW600" s="35"/>
      <c r="BX600" s="35"/>
      <c r="BY600" s="35"/>
      <c r="BZ600" s="35"/>
      <c r="CA600" s="35"/>
      <c r="CB600" s="35"/>
      <c r="CC600" s="35"/>
      <c r="CD600" s="35"/>
      <c r="CE600" s="35"/>
      <c r="CF600" s="35"/>
      <c r="CG600" s="35"/>
      <c r="CH600" s="35"/>
      <c r="CI600" s="35"/>
      <c r="CJ600" s="35"/>
      <c r="CK600" s="35"/>
      <c r="CL600" s="35"/>
      <c r="CM600" s="35"/>
      <c r="CN600" s="35"/>
      <c r="CO600" s="35"/>
      <c r="CP600" s="35"/>
      <c r="CQ600" s="35"/>
      <c r="CR600" s="35"/>
      <c r="CS600" s="35"/>
      <c r="CT600" s="35"/>
      <c r="CU600" s="35"/>
      <c r="CV600" s="35"/>
      <c r="CW600" s="35"/>
      <c r="CX600" s="35"/>
      <c r="CY600" s="35"/>
      <c r="CZ600" s="35"/>
      <c r="DA600" s="35"/>
      <c r="DB600" s="35"/>
      <c r="DC600" s="35"/>
      <c r="DD600" s="35"/>
      <c r="DE600" s="35"/>
      <c r="DF600" s="35"/>
      <c r="DG600" s="35"/>
      <c r="DH600" s="35"/>
      <c r="DI600" s="35"/>
      <c r="DJ600" s="35"/>
    </row>
    <row r="601" spans="1:114" x14ac:dyDescent="0.25">
      <c r="A601" s="34"/>
      <c r="B601" s="34"/>
      <c r="C601" s="34"/>
      <c r="D601" s="34"/>
      <c r="E601" s="34"/>
      <c r="F601" s="34"/>
      <c r="G601" s="34"/>
      <c r="H601" s="34"/>
      <c r="I601" s="34"/>
      <c r="J601" s="34"/>
      <c r="K601" s="34"/>
      <c r="L601" s="34"/>
      <c r="M601" s="34"/>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5"/>
      <c r="BD601" s="35"/>
      <c r="BE601" s="35"/>
      <c r="BF601" s="35"/>
      <c r="BG601" s="35"/>
      <c r="BH601" s="35"/>
      <c r="BI601" s="35"/>
      <c r="BJ601" s="35"/>
      <c r="BK601" s="35"/>
      <c r="BL601" s="35"/>
      <c r="BM601" s="35"/>
      <c r="BN601" s="35"/>
      <c r="BO601" s="35"/>
      <c r="BP601" s="35"/>
      <c r="BQ601" s="35"/>
      <c r="BR601" s="35"/>
      <c r="BS601" s="35"/>
      <c r="BT601" s="35"/>
      <c r="BU601" s="35"/>
      <c r="BV601" s="35"/>
      <c r="BW601" s="35"/>
      <c r="BX601" s="35"/>
      <c r="BY601" s="35"/>
      <c r="BZ601" s="35"/>
      <c r="CA601" s="35"/>
      <c r="CB601" s="35"/>
      <c r="CC601" s="35"/>
      <c r="CD601" s="35"/>
      <c r="CE601" s="35"/>
      <c r="CF601" s="35"/>
      <c r="CG601" s="35"/>
      <c r="CH601" s="35"/>
      <c r="CI601" s="35"/>
      <c r="CJ601" s="35"/>
      <c r="CK601" s="35"/>
      <c r="CL601" s="35"/>
      <c r="CM601" s="35"/>
      <c r="CN601" s="35"/>
      <c r="CO601" s="35"/>
      <c r="CP601" s="35"/>
      <c r="CQ601" s="35"/>
      <c r="CR601" s="35"/>
      <c r="CS601" s="35"/>
      <c r="CT601" s="35"/>
      <c r="CU601" s="35"/>
      <c r="CV601" s="35"/>
      <c r="CW601" s="35"/>
      <c r="CX601" s="35"/>
      <c r="CY601" s="35"/>
      <c r="CZ601" s="35"/>
      <c r="DA601" s="35"/>
      <c r="DB601" s="35"/>
      <c r="DC601" s="35"/>
      <c r="DD601" s="35"/>
      <c r="DE601" s="35"/>
      <c r="DF601" s="35"/>
      <c r="DG601" s="35"/>
      <c r="DH601" s="35"/>
      <c r="DI601" s="35"/>
      <c r="DJ601" s="35"/>
    </row>
    <row r="602" spans="1:114" x14ac:dyDescent="0.25">
      <c r="A602" s="34"/>
      <c r="B602" s="34"/>
      <c r="C602" s="34"/>
      <c r="D602" s="34"/>
      <c r="E602" s="34"/>
      <c r="F602" s="34"/>
      <c r="G602" s="34"/>
      <c r="H602" s="34"/>
      <c r="I602" s="34"/>
      <c r="J602" s="34"/>
      <c r="K602" s="34"/>
      <c r="L602" s="34"/>
      <c r="M602" s="34"/>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c r="AU602" s="35"/>
      <c r="AV602" s="35"/>
      <c r="AW602" s="35"/>
      <c r="AX602" s="35"/>
      <c r="AY602" s="35"/>
      <c r="AZ602" s="35"/>
      <c r="BA602" s="35"/>
      <c r="BB602" s="35"/>
      <c r="BC602" s="35"/>
      <c r="BD602" s="35"/>
      <c r="BE602" s="35"/>
      <c r="BF602" s="35"/>
      <c r="BG602" s="35"/>
      <c r="BH602" s="35"/>
      <c r="BI602" s="35"/>
      <c r="BJ602" s="35"/>
      <c r="BK602" s="35"/>
      <c r="BL602" s="35"/>
      <c r="BM602" s="35"/>
      <c r="BN602" s="35"/>
      <c r="BO602" s="35"/>
      <c r="BP602" s="35"/>
      <c r="BQ602" s="35"/>
      <c r="BR602" s="35"/>
      <c r="BS602" s="35"/>
      <c r="BT602" s="35"/>
      <c r="BU602" s="35"/>
      <c r="BV602" s="35"/>
      <c r="BW602" s="35"/>
      <c r="BX602" s="35"/>
      <c r="BY602" s="35"/>
      <c r="BZ602" s="35"/>
      <c r="CA602" s="35"/>
      <c r="CB602" s="35"/>
      <c r="CC602" s="35"/>
      <c r="CD602" s="35"/>
      <c r="CE602" s="35"/>
      <c r="CF602" s="35"/>
      <c r="CG602" s="35"/>
      <c r="CH602" s="35"/>
      <c r="CI602" s="35"/>
      <c r="CJ602" s="35"/>
      <c r="CK602" s="35"/>
      <c r="CL602" s="35"/>
      <c r="CM602" s="35"/>
      <c r="CN602" s="35"/>
      <c r="CO602" s="35"/>
      <c r="CP602" s="35"/>
      <c r="CQ602" s="35"/>
      <c r="CR602" s="35"/>
      <c r="CS602" s="35"/>
      <c r="CT602" s="35"/>
      <c r="CU602" s="35"/>
      <c r="CV602" s="35"/>
      <c r="CW602" s="35"/>
      <c r="CX602" s="35"/>
      <c r="CY602" s="35"/>
      <c r="CZ602" s="35"/>
      <c r="DA602" s="35"/>
      <c r="DB602" s="35"/>
      <c r="DC602" s="35"/>
      <c r="DD602" s="35"/>
      <c r="DE602" s="35"/>
      <c r="DF602" s="35"/>
      <c r="DG602" s="35"/>
      <c r="DH602" s="35"/>
      <c r="DI602" s="35"/>
      <c r="DJ602" s="35"/>
    </row>
    <row r="603" spans="1:114" x14ac:dyDescent="0.25">
      <c r="A603" s="34"/>
      <c r="B603" s="34"/>
      <c r="C603" s="34"/>
      <c r="D603" s="34"/>
      <c r="E603" s="34"/>
      <c r="F603" s="34"/>
      <c r="G603" s="34"/>
      <c r="H603" s="34"/>
      <c r="I603" s="34"/>
      <c r="J603" s="34"/>
      <c r="K603" s="34"/>
      <c r="L603" s="34"/>
      <c r="M603" s="34"/>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5"/>
      <c r="BD603" s="35"/>
      <c r="BE603" s="35"/>
      <c r="BF603" s="35"/>
      <c r="BG603" s="35"/>
      <c r="BH603" s="35"/>
      <c r="BI603" s="35"/>
      <c r="BJ603" s="35"/>
      <c r="BK603" s="35"/>
      <c r="BL603" s="35"/>
      <c r="BM603" s="35"/>
      <c r="BN603" s="35"/>
      <c r="BO603" s="35"/>
      <c r="BP603" s="35"/>
      <c r="BQ603" s="35"/>
      <c r="BR603" s="35"/>
      <c r="BS603" s="35"/>
      <c r="BT603" s="35"/>
      <c r="BU603" s="35"/>
      <c r="BV603" s="35"/>
      <c r="BW603" s="35"/>
      <c r="BX603" s="35"/>
      <c r="BY603" s="35"/>
      <c r="BZ603" s="35"/>
      <c r="CA603" s="35"/>
      <c r="CB603" s="35"/>
      <c r="CC603" s="35"/>
      <c r="CD603" s="35"/>
      <c r="CE603" s="35"/>
      <c r="CF603" s="35"/>
      <c r="CG603" s="35"/>
      <c r="CH603" s="35"/>
      <c r="CI603" s="35"/>
      <c r="CJ603" s="35"/>
      <c r="CK603" s="35"/>
      <c r="CL603" s="35"/>
      <c r="CM603" s="35"/>
      <c r="CN603" s="35"/>
      <c r="CO603" s="35"/>
      <c r="CP603" s="35"/>
      <c r="CQ603" s="35"/>
      <c r="CR603" s="35"/>
      <c r="CS603" s="35"/>
      <c r="CT603" s="35"/>
      <c r="CU603" s="35"/>
      <c r="CV603" s="35"/>
      <c r="CW603" s="35"/>
      <c r="CX603" s="35"/>
      <c r="CY603" s="35"/>
      <c r="CZ603" s="35"/>
      <c r="DA603" s="35"/>
      <c r="DB603" s="35"/>
      <c r="DC603" s="35"/>
      <c r="DD603" s="35"/>
      <c r="DE603" s="35"/>
      <c r="DF603" s="35"/>
      <c r="DG603" s="35"/>
      <c r="DH603" s="35"/>
      <c r="DI603" s="35"/>
      <c r="DJ603" s="35"/>
    </row>
    <row r="604" spans="1:114" x14ac:dyDescent="0.25">
      <c r="A604" s="34"/>
      <c r="B604" s="34"/>
      <c r="C604" s="34"/>
      <c r="D604" s="34"/>
      <c r="E604" s="34"/>
      <c r="F604" s="34"/>
      <c r="G604" s="34"/>
      <c r="H604" s="34"/>
      <c r="I604" s="34"/>
      <c r="J604" s="34"/>
      <c r="K604" s="34"/>
      <c r="L604" s="34"/>
      <c r="M604" s="34"/>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5"/>
      <c r="BD604" s="35"/>
      <c r="BE604" s="35"/>
      <c r="BF604" s="35"/>
      <c r="BG604" s="35"/>
      <c r="BH604" s="35"/>
      <c r="BI604" s="35"/>
      <c r="BJ604" s="35"/>
      <c r="BK604" s="35"/>
      <c r="BL604" s="35"/>
      <c r="BM604" s="35"/>
      <c r="BN604" s="35"/>
      <c r="BO604" s="35"/>
      <c r="BP604" s="35"/>
      <c r="BQ604" s="35"/>
      <c r="BR604" s="35"/>
      <c r="BS604" s="35"/>
      <c r="BT604" s="35"/>
      <c r="BU604" s="35"/>
      <c r="BV604" s="35"/>
      <c r="BW604" s="35"/>
      <c r="BX604" s="35"/>
      <c r="BY604" s="35"/>
      <c r="BZ604" s="35"/>
      <c r="CA604" s="35"/>
      <c r="CB604" s="35"/>
      <c r="CC604" s="35"/>
      <c r="CD604" s="35"/>
      <c r="CE604" s="35"/>
      <c r="CF604" s="35"/>
      <c r="CG604" s="35"/>
      <c r="CH604" s="35"/>
      <c r="CI604" s="35"/>
      <c r="CJ604" s="35"/>
      <c r="CK604" s="35"/>
      <c r="CL604" s="35"/>
      <c r="CM604" s="35"/>
      <c r="CN604" s="35"/>
      <c r="CO604" s="35"/>
      <c r="CP604" s="35"/>
      <c r="CQ604" s="35"/>
      <c r="CR604" s="35"/>
      <c r="CS604" s="35"/>
      <c r="CT604" s="35"/>
      <c r="CU604" s="35"/>
      <c r="CV604" s="35"/>
      <c r="CW604" s="35"/>
      <c r="CX604" s="35"/>
      <c r="CY604" s="35"/>
      <c r="CZ604" s="35"/>
      <c r="DA604" s="35"/>
      <c r="DB604" s="35"/>
      <c r="DC604" s="35"/>
      <c r="DD604" s="35"/>
      <c r="DE604" s="35"/>
      <c r="DF604" s="35"/>
      <c r="DG604" s="35"/>
      <c r="DH604" s="35"/>
      <c r="DI604" s="35"/>
      <c r="DJ604" s="35"/>
    </row>
    <row r="605" spans="1:114" x14ac:dyDescent="0.25">
      <c r="A605" s="34"/>
      <c r="B605" s="34"/>
      <c r="C605" s="34"/>
      <c r="D605" s="34"/>
      <c r="E605" s="34"/>
      <c r="F605" s="34"/>
      <c r="G605" s="34"/>
      <c r="H605" s="34"/>
      <c r="I605" s="34"/>
      <c r="J605" s="34"/>
      <c r="K605" s="34"/>
      <c r="L605" s="34"/>
      <c r="M605" s="34"/>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c r="AU605" s="35"/>
      <c r="AV605" s="35"/>
      <c r="AW605" s="35"/>
      <c r="AX605" s="35"/>
      <c r="AY605" s="35"/>
      <c r="AZ605" s="35"/>
      <c r="BA605" s="35"/>
      <c r="BB605" s="35"/>
      <c r="BC605" s="35"/>
      <c r="BD605" s="35"/>
      <c r="BE605" s="35"/>
      <c r="BF605" s="35"/>
      <c r="BG605" s="35"/>
      <c r="BH605" s="35"/>
      <c r="BI605" s="35"/>
      <c r="BJ605" s="35"/>
      <c r="BK605" s="35"/>
      <c r="BL605" s="35"/>
      <c r="BM605" s="35"/>
      <c r="BN605" s="35"/>
      <c r="BO605" s="35"/>
      <c r="BP605" s="35"/>
      <c r="BQ605" s="35"/>
      <c r="BR605" s="35"/>
      <c r="BS605" s="35"/>
      <c r="BT605" s="35"/>
      <c r="BU605" s="35"/>
      <c r="BV605" s="35"/>
      <c r="BW605" s="35"/>
      <c r="BX605" s="35"/>
      <c r="BY605" s="35"/>
      <c r="BZ605" s="35"/>
      <c r="CA605" s="35"/>
      <c r="CB605" s="35"/>
      <c r="CC605" s="35"/>
      <c r="CD605" s="35"/>
      <c r="CE605" s="35"/>
      <c r="CF605" s="35"/>
      <c r="CG605" s="35"/>
      <c r="CH605" s="35"/>
      <c r="CI605" s="35"/>
      <c r="CJ605" s="35"/>
      <c r="CK605" s="35"/>
      <c r="CL605" s="35"/>
      <c r="CM605" s="35"/>
      <c r="CN605" s="35"/>
      <c r="CO605" s="35"/>
      <c r="CP605" s="35"/>
      <c r="CQ605" s="35"/>
      <c r="CR605" s="35"/>
      <c r="CS605" s="35"/>
      <c r="CT605" s="35"/>
      <c r="CU605" s="35"/>
      <c r="CV605" s="35"/>
      <c r="CW605" s="35"/>
      <c r="CX605" s="35"/>
      <c r="CY605" s="35"/>
      <c r="CZ605" s="35"/>
      <c r="DA605" s="35"/>
      <c r="DB605" s="35"/>
      <c r="DC605" s="35"/>
      <c r="DD605" s="35"/>
      <c r="DE605" s="35"/>
      <c r="DF605" s="35"/>
      <c r="DG605" s="35"/>
      <c r="DH605" s="35"/>
      <c r="DI605" s="35"/>
      <c r="DJ605" s="35"/>
    </row>
    <row r="606" spans="1:114" x14ac:dyDescent="0.25">
      <c r="A606" s="34"/>
      <c r="B606" s="34"/>
      <c r="C606" s="34"/>
      <c r="D606" s="34"/>
      <c r="E606" s="34"/>
      <c r="F606" s="34"/>
      <c r="G606" s="34"/>
      <c r="H606" s="34"/>
      <c r="I606" s="34"/>
      <c r="J606" s="34"/>
      <c r="K606" s="34"/>
      <c r="L606" s="34"/>
      <c r="M606" s="34"/>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c r="AU606" s="35"/>
      <c r="AV606" s="35"/>
      <c r="AW606" s="35"/>
      <c r="AX606" s="35"/>
      <c r="AY606" s="35"/>
      <c r="AZ606" s="35"/>
      <c r="BA606" s="35"/>
      <c r="BB606" s="35"/>
      <c r="BC606" s="35"/>
      <c r="BD606" s="35"/>
      <c r="BE606" s="35"/>
      <c r="BF606" s="35"/>
      <c r="BG606" s="35"/>
      <c r="BH606" s="35"/>
      <c r="BI606" s="35"/>
      <c r="BJ606" s="35"/>
      <c r="BK606" s="35"/>
      <c r="BL606" s="35"/>
      <c r="BM606" s="35"/>
      <c r="BN606" s="35"/>
      <c r="BO606" s="35"/>
      <c r="BP606" s="35"/>
      <c r="BQ606" s="35"/>
      <c r="BR606" s="35"/>
      <c r="BS606" s="35"/>
      <c r="BT606" s="35"/>
      <c r="BU606" s="35"/>
      <c r="BV606" s="35"/>
      <c r="BW606" s="35"/>
      <c r="BX606" s="35"/>
      <c r="BY606" s="35"/>
      <c r="BZ606" s="35"/>
      <c r="CA606" s="35"/>
      <c r="CB606" s="35"/>
      <c r="CC606" s="35"/>
      <c r="CD606" s="35"/>
      <c r="CE606" s="35"/>
      <c r="CF606" s="35"/>
      <c r="CG606" s="35"/>
      <c r="CH606" s="35"/>
      <c r="CI606" s="35"/>
      <c r="CJ606" s="35"/>
      <c r="CK606" s="35"/>
      <c r="CL606" s="35"/>
      <c r="CM606" s="35"/>
      <c r="CN606" s="35"/>
      <c r="CO606" s="35"/>
      <c r="CP606" s="35"/>
      <c r="CQ606" s="35"/>
      <c r="CR606" s="35"/>
      <c r="CS606" s="35"/>
      <c r="CT606" s="35"/>
      <c r="CU606" s="35"/>
      <c r="CV606" s="35"/>
      <c r="CW606" s="35"/>
      <c r="CX606" s="35"/>
      <c r="CY606" s="35"/>
      <c r="CZ606" s="35"/>
      <c r="DA606" s="35"/>
      <c r="DB606" s="35"/>
      <c r="DC606" s="35"/>
      <c r="DD606" s="35"/>
      <c r="DE606" s="35"/>
      <c r="DF606" s="35"/>
      <c r="DG606" s="35"/>
      <c r="DH606" s="35"/>
      <c r="DI606" s="35"/>
      <c r="DJ606" s="35"/>
    </row>
    <row r="607" spans="1:114" x14ac:dyDescent="0.25">
      <c r="A607" s="34"/>
      <c r="B607" s="34"/>
      <c r="C607" s="34"/>
      <c r="D607" s="34"/>
      <c r="E607" s="34"/>
      <c r="F607" s="34"/>
      <c r="G607" s="34"/>
      <c r="H607" s="34"/>
      <c r="I607" s="34"/>
      <c r="J607" s="34"/>
      <c r="K607" s="34"/>
      <c r="L607" s="34"/>
      <c r="M607" s="34"/>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c r="AU607" s="35"/>
      <c r="AV607" s="35"/>
      <c r="AW607" s="35"/>
      <c r="AX607" s="35"/>
      <c r="AY607" s="35"/>
      <c r="AZ607" s="35"/>
      <c r="BA607" s="35"/>
      <c r="BB607" s="35"/>
      <c r="BC607" s="35"/>
      <c r="BD607" s="35"/>
      <c r="BE607" s="35"/>
      <c r="BF607" s="35"/>
      <c r="BG607" s="35"/>
      <c r="BH607" s="35"/>
      <c r="BI607" s="35"/>
      <c r="BJ607" s="35"/>
      <c r="BK607" s="35"/>
      <c r="BL607" s="35"/>
      <c r="BM607" s="35"/>
      <c r="BN607" s="35"/>
      <c r="BO607" s="35"/>
      <c r="BP607" s="35"/>
      <c r="BQ607" s="35"/>
      <c r="BR607" s="35"/>
      <c r="BS607" s="35"/>
      <c r="BT607" s="35"/>
      <c r="BU607" s="35"/>
      <c r="BV607" s="35"/>
      <c r="BW607" s="35"/>
      <c r="BX607" s="35"/>
      <c r="BY607" s="35"/>
      <c r="BZ607" s="35"/>
      <c r="CA607" s="35"/>
      <c r="CB607" s="35"/>
      <c r="CC607" s="35"/>
      <c r="CD607" s="35"/>
      <c r="CE607" s="35"/>
      <c r="CF607" s="35"/>
      <c r="CG607" s="35"/>
      <c r="CH607" s="35"/>
      <c r="CI607" s="35"/>
      <c r="CJ607" s="35"/>
      <c r="CK607" s="35"/>
      <c r="CL607" s="35"/>
      <c r="CM607" s="35"/>
      <c r="CN607" s="35"/>
      <c r="CO607" s="35"/>
      <c r="CP607" s="35"/>
      <c r="CQ607" s="35"/>
      <c r="CR607" s="35"/>
      <c r="CS607" s="35"/>
      <c r="CT607" s="35"/>
      <c r="CU607" s="35"/>
      <c r="CV607" s="35"/>
      <c r="CW607" s="35"/>
      <c r="CX607" s="35"/>
      <c r="CY607" s="35"/>
      <c r="CZ607" s="35"/>
      <c r="DA607" s="35"/>
      <c r="DB607" s="35"/>
      <c r="DC607" s="35"/>
      <c r="DD607" s="35"/>
      <c r="DE607" s="35"/>
      <c r="DF607" s="35"/>
      <c r="DG607" s="35"/>
      <c r="DH607" s="35"/>
      <c r="DI607" s="35"/>
      <c r="DJ607" s="35"/>
    </row>
    <row r="608" spans="1:114" x14ac:dyDescent="0.25">
      <c r="A608" s="34"/>
      <c r="B608" s="34"/>
      <c r="C608" s="34"/>
      <c r="D608" s="34"/>
      <c r="E608" s="34"/>
      <c r="F608" s="34"/>
      <c r="G608" s="34"/>
      <c r="H608" s="34"/>
      <c r="I608" s="34"/>
      <c r="J608" s="34"/>
      <c r="K608" s="34"/>
      <c r="L608" s="34"/>
      <c r="M608" s="34"/>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AY608" s="35"/>
      <c r="AZ608" s="35"/>
      <c r="BA608" s="35"/>
      <c r="BB608" s="35"/>
      <c r="BC608" s="35"/>
      <c r="BD608" s="35"/>
      <c r="BE608" s="35"/>
      <c r="BF608" s="35"/>
      <c r="BG608" s="35"/>
      <c r="BH608" s="35"/>
      <c r="BI608" s="35"/>
      <c r="BJ608" s="35"/>
      <c r="BK608" s="35"/>
      <c r="BL608" s="35"/>
      <c r="BM608" s="35"/>
      <c r="BN608" s="35"/>
      <c r="BO608" s="35"/>
      <c r="BP608" s="35"/>
      <c r="BQ608" s="35"/>
      <c r="BR608" s="35"/>
      <c r="BS608" s="35"/>
      <c r="BT608" s="35"/>
      <c r="BU608" s="35"/>
      <c r="BV608" s="35"/>
      <c r="BW608" s="35"/>
      <c r="BX608" s="35"/>
      <c r="BY608" s="35"/>
      <c r="BZ608" s="35"/>
      <c r="CA608" s="35"/>
      <c r="CB608" s="35"/>
      <c r="CC608" s="35"/>
      <c r="CD608" s="35"/>
      <c r="CE608" s="35"/>
      <c r="CF608" s="35"/>
      <c r="CG608" s="35"/>
      <c r="CH608" s="35"/>
      <c r="CI608" s="35"/>
      <c r="CJ608" s="35"/>
      <c r="CK608" s="35"/>
      <c r="CL608" s="35"/>
      <c r="CM608" s="35"/>
      <c r="CN608" s="35"/>
      <c r="CO608" s="35"/>
      <c r="CP608" s="35"/>
      <c r="CQ608" s="35"/>
      <c r="CR608" s="35"/>
      <c r="CS608" s="35"/>
      <c r="CT608" s="35"/>
      <c r="CU608" s="35"/>
      <c r="CV608" s="35"/>
      <c r="CW608" s="35"/>
      <c r="CX608" s="35"/>
      <c r="CY608" s="35"/>
      <c r="CZ608" s="35"/>
      <c r="DA608" s="35"/>
      <c r="DB608" s="35"/>
      <c r="DC608" s="35"/>
      <c r="DD608" s="35"/>
      <c r="DE608" s="35"/>
      <c r="DF608" s="35"/>
      <c r="DG608" s="35"/>
      <c r="DH608" s="35"/>
      <c r="DI608" s="35"/>
      <c r="DJ608" s="35"/>
    </row>
    <row r="609" spans="1:114" x14ac:dyDescent="0.25">
      <c r="A609" s="34"/>
      <c r="B609" s="34"/>
      <c r="C609" s="34"/>
      <c r="D609" s="34"/>
      <c r="E609" s="34"/>
      <c r="F609" s="34"/>
      <c r="G609" s="34"/>
      <c r="H609" s="34"/>
      <c r="I609" s="34"/>
      <c r="J609" s="34"/>
      <c r="K609" s="34"/>
      <c r="L609" s="34"/>
      <c r="M609" s="34"/>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AY609" s="35"/>
      <c r="AZ609" s="35"/>
      <c r="BA609" s="35"/>
      <c r="BB609" s="35"/>
      <c r="BC609" s="35"/>
      <c r="BD609" s="35"/>
      <c r="BE609" s="35"/>
      <c r="BF609" s="35"/>
      <c r="BG609" s="35"/>
      <c r="BH609" s="35"/>
      <c r="BI609" s="35"/>
      <c r="BJ609" s="35"/>
      <c r="BK609" s="35"/>
      <c r="BL609" s="35"/>
      <c r="BM609" s="35"/>
      <c r="BN609" s="35"/>
      <c r="BO609" s="35"/>
      <c r="BP609" s="35"/>
      <c r="BQ609" s="35"/>
      <c r="BR609" s="35"/>
      <c r="BS609" s="35"/>
      <c r="BT609" s="35"/>
      <c r="BU609" s="35"/>
      <c r="BV609" s="35"/>
      <c r="BW609" s="35"/>
      <c r="BX609" s="35"/>
      <c r="BY609" s="35"/>
      <c r="BZ609" s="35"/>
      <c r="CA609" s="35"/>
      <c r="CB609" s="35"/>
      <c r="CC609" s="35"/>
      <c r="CD609" s="35"/>
      <c r="CE609" s="35"/>
      <c r="CF609" s="35"/>
      <c r="CG609" s="35"/>
      <c r="CH609" s="35"/>
      <c r="CI609" s="35"/>
      <c r="CJ609" s="35"/>
      <c r="CK609" s="35"/>
      <c r="CL609" s="35"/>
      <c r="CM609" s="35"/>
      <c r="CN609" s="35"/>
      <c r="CO609" s="35"/>
      <c r="CP609" s="35"/>
      <c r="CQ609" s="35"/>
      <c r="CR609" s="35"/>
      <c r="CS609" s="35"/>
      <c r="CT609" s="35"/>
      <c r="CU609" s="35"/>
      <c r="CV609" s="35"/>
      <c r="CW609" s="35"/>
      <c r="CX609" s="35"/>
      <c r="CY609" s="35"/>
      <c r="CZ609" s="35"/>
      <c r="DA609" s="35"/>
      <c r="DB609" s="35"/>
      <c r="DC609" s="35"/>
      <c r="DD609" s="35"/>
      <c r="DE609" s="35"/>
      <c r="DF609" s="35"/>
      <c r="DG609" s="35"/>
      <c r="DH609" s="35"/>
      <c r="DI609" s="35"/>
      <c r="DJ609" s="35"/>
    </row>
    <row r="610" spans="1:114" x14ac:dyDescent="0.25">
      <c r="A610" s="34"/>
      <c r="B610" s="34"/>
      <c r="C610" s="34"/>
      <c r="D610" s="34"/>
      <c r="E610" s="34"/>
      <c r="F610" s="34"/>
      <c r="G610" s="34"/>
      <c r="H610" s="34"/>
      <c r="I610" s="34"/>
      <c r="J610" s="34"/>
      <c r="K610" s="34"/>
      <c r="L610" s="34"/>
      <c r="M610" s="34"/>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AY610" s="35"/>
      <c r="AZ610" s="35"/>
      <c r="BA610" s="35"/>
      <c r="BB610" s="35"/>
      <c r="BC610" s="35"/>
      <c r="BD610" s="35"/>
      <c r="BE610" s="35"/>
      <c r="BF610" s="35"/>
      <c r="BG610" s="35"/>
      <c r="BH610" s="35"/>
      <c r="BI610" s="35"/>
      <c r="BJ610" s="35"/>
      <c r="BK610" s="35"/>
      <c r="BL610" s="35"/>
      <c r="BM610" s="35"/>
      <c r="BN610" s="35"/>
      <c r="BO610" s="35"/>
      <c r="BP610" s="35"/>
      <c r="BQ610" s="35"/>
      <c r="BR610" s="35"/>
      <c r="BS610" s="35"/>
      <c r="BT610" s="35"/>
      <c r="BU610" s="35"/>
      <c r="BV610" s="35"/>
      <c r="BW610" s="35"/>
      <c r="BX610" s="35"/>
      <c r="BY610" s="35"/>
      <c r="BZ610" s="35"/>
      <c r="CA610" s="35"/>
      <c r="CB610" s="35"/>
      <c r="CC610" s="35"/>
      <c r="CD610" s="35"/>
      <c r="CE610" s="35"/>
      <c r="CF610" s="35"/>
      <c r="CG610" s="35"/>
      <c r="CH610" s="35"/>
      <c r="CI610" s="35"/>
      <c r="CJ610" s="35"/>
      <c r="CK610" s="35"/>
      <c r="CL610" s="35"/>
      <c r="CM610" s="35"/>
      <c r="CN610" s="35"/>
      <c r="CO610" s="35"/>
      <c r="CP610" s="35"/>
      <c r="CQ610" s="35"/>
      <c r="CR610" s="35"/>
      <c r="CS610" s="35"/>
      <c r="CT610" s="35"/>
      <c r="CU610" s="35"/>
      <c r="CV610" s="35"/>
      <c r="CW610" s="35"/>
      <c r="CX610" s="35"/>
      <c r="CY610" s="35"/>
      <c r="CZ610" s="35"/>
      <c r="DA610" s="35"/>
      <c r="DB610" s="35"/>
      <c r="DC610" s="35"/>
      <c r="DD610" s="35"/>
      <c r="DE610" s="35"/>
      <c r="DF610" s="35"/>
      <c r="DG610" s="35"/>
      <c r="DH610" s="35"/>
      <c r="DI610" s="35"/>
      <c r="DJ610" s="35"/>
    </row>
    <row r="611" spans="1:114" x14ac:dyDescent="0.25">
      <c r="A611" s="34"/>
      <c r="B611" s="34"/>
      <c r="C611" s="34"/>
      <c r="D611" s="34"/>
      <c r="E611" s="34"/>
      <c r="F611" s="34"/>
      <c r="G611" s="34"/>
      <c r="H611" s="34"/>
      <c r="I611" s="34"/>
      <c r="J611" s="34"/>
      <c r="K611" s="34"/>
      <c r="L611" s="34"/>
      <c r="M611" s="34"/>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c r="BO611" s="35"/>
      <c r="BP611" s="35"/>
      <c r="BQ611" s="35"/>
      <c r="BR611" s="35"/>
      <c r="BS611" s="35"/>
      <c r="BT611" s="35"/>
      <c r="BU611" s="35"/>
      <c r="BV611" s="35"/>
      <c r="BW611" s="35"/>
      <c r="BX611" s="35"/>
      <c r="BY611" s="35"/>
      <c r="BZ611" s="35"/>
      <c r="CA611" s="35"/>
      <c r="CB611" s="35"/>
      <c r="CC611" s="35"/>
      <c r="CD611" s="35"/>
      <c r="CE611" s="35"/>
      <c r="CF611" s="35"/>
      <c r="CG611" s="35"/>
      <c r="CH611" s="35"/>
      <c r="CI611" s="35"/>
      <c r="CJ611" s="35"/>
      <c r="CK611" s="35"/>
      <c r="CL611" s="35"/>
      <c r="CM611" s="35"/>
      <c r="CN611" s="35"/>
      <c r="CO611" s="35"/>
      <c r="CP611" s="35"/>
      <c r="CQ611" s="35"/>
      <c r="CR611" s="35"/>
      <c r="CS611" s="35"/>
      <c r="CT611" s="35"/>
      <c r="CU611" s="35"/>
      <c r="CV611" s="35"/>
      <c r="CW611" s="35"/>
      <c r="CX611" s="35"/>
      <c r="CY611" s="35"/>
      <c r="CZ611" s="35"/>
      <c r="DA611" s="35"/>
      <c r="DB611" s="35"/>
      <c r="DC611" s="35"/>
      <c r="DD611" s="35"/>
      <c r="DE611" s="35"/>
      <c r="DF611" s="35"/>
      <c r="DG611" s="35"/>
      <c r="DH611" s="35"/>
      <c r="DI611" s="35"/>
      <c r="DJ611" s="35"/>
    </row>
    <row r="612" spans="1:114" x14ac:dyDescent="0.25">
      <c r="A612" s="34"/>
      <c r="B612" s="34"/>
      <c r="C612" s="34"/>
      <c r="D612" s="34"/>
      <c r="E612" s="34"/>
      <c r="F612" s="34"/>
      <c r="G612" s="34"/>
      <c r="H612" s="34"/>
      <c r="I612" s="34"/>
      <c r="J612" s="34"/>
      <c r="K612" s="34"/>
      <c r="L612" s="34"/>
      <c r="M612" s="34"/>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c r="CG612" s="35"/>
      <c r="CH612" s="35"/>
      <c r="CI612" s="35"/>
      <c r="CJ612" s="35"/>
      <c r="CK612" s="35"/>
      <c r="CL612" s="35"/>
      <c r="CM612" s="35"/>
      <c r="CN612" s="35"/>
      <c r="CO612" s="35"/>
      <c r="CP612" s="35"/>
      <c r="CQ612" s="35"/>
      <c r="CR612" s="35"/>
      <c r="CS612" s="35"/>
      <c r="CT612" s="35"/>
      <c r="CU612" s="35"/>
      <c r="CV612" s="35"/>
      <c r="CW612" s="35"/>
      <c r="CX612" s="35"/>
      <c r="CY612" s="35"/>
      <c r="CZ612" s="35"/>
      <c r="DA612" s="35"/>
      <c r="DB612" s="35"/>
      <c r="DC612" s="35"/>
      <c r="DD612" s="35"/>
      <c r="DE612" s="35"/>
      <c r="DF612" s="35"/>
      <c r="DG612" s="35"/>
      <c r="DH612" s="35"/>
      <c r="DI612" s="35"/>
      <c r="DJ612" s="35"/>
    </row>
    <row r="613" spans="1:114" x14ac:dyDescent="0.25">
      <c r="A613" s="34"/>
      <c r="B613" s="34"/>
      <c r="C613" s="34"/>
      <c r="D613" s="34"/>
      <c r="E613" s="34"/>
      <c r="F613" s="34"/>
      <c r="G613" s="34"/>
      <c r="H613" s="34"/>
      <c r="I613" s="34"/>
      <c r="J613" s="34"/>
      <c r="K613" s="34"/>
      <c r="L613" s="34"/>
      <c r="M613" s="34"/>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c r="CG613" s="35"/>
      <c r="CH613" s="35"/>
      <c r="CI613" s="35"/>
      <c r="CJ613" s="35"/>
      <c r="CK613" s="35"/>
      <c r="CL613" s="35"/>
      <c r="CM613" s="35"/>
      <c r="CN613" s="35"/>
      <c r="CO613" s="35"/>
      <c r="CP613" s="35"/>
      <c r="CQ613" s="35"/>
      <c r="CR613" s="35"/>
      <c r="CS613" s="35"/>
      <c r="CT613" s="35"/>
      <c r="CU613" s="35"/>
      <c r="CV613" s="35"/>
      <c r="CW613" s="35"/>
      <c r="CX613" s="35"/>
      <c r="CY613" s="35"/>
      <c r="CZ613" s="35"/>
      <c r="DA613" s="35"/>
      <c r="DB613" s="35"/>
      <c r="DC613" s="35"/>
      <c r="DD613" s="35"/>
      <c r="DE613" s="35"/>
      <c r="DF613" s="35"/>
      <c r="DG613" s="35"/>
      <c r="DH613" s="35"/>
      <c r="DI613" s="35"/>
      <c r="DJ613" s="35"/>
    </row>
    <row r="614" spans="1:114" x14ac:dyDescent="0.25">
      <c r="A614" s="34"/>
      <c r="B614" s="34"/>
      <c r="C614" s="34"/>
      <c r="D614" s="34"/>
      <c r="E614" s="34"/>
      <c r="F614" s="34"/>
      <c r="G614" s="34"/>
      <c r="H614" s="34"/>
      <c r="I614" s="34"/>
      <c r="J614" s="34"/>
      <c r="K614" s="34"/>
      <c r="L614" s="34"/>
      <c r="M614" s="34"/>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J614" s="35"/>
      <c r="CK614" s="35"/>
      <c r="CL614" s="35"/>
      <c r="CM614" s="35"/>
      <c r="CN614" s="35"/>
      <c r="CO614" s="35"/>
      <c r="CP614" s="35"/>
      <c r="CQ614" s="35"/>
      <c r="CR614" s="35"/>
      <c r="CS614" s="35"/>
      <c r="CT614" s="35"/>
      <c r="CU614" s="35"/>
      <c r="CV614" s="35"/>
      <c r="CW614" s="35"/>
      <c r="CX614" s="35"/>
      <c r="CY614" s="35"/>
      <c r="CZ614" s="35"/>
      <c r="DA614" s="35"/>
      <c r="DB614" s="35"/>
      <c r="DC614" s="35"/>
      <c r="DD614" s="35"/>
      <c r="DE614" s="35"/>
      <c r="DF614" s="35"/>
      <c r="DG614" s="35"/>
      <c r="DH614" s="35"/>
      <c r="DI614" s="35"/>
      <c r="DJ614" s="35"/>
    </row>
    <row r="615" spans="1:114" x14ac:dyDescent="0.25">
      <c r="A615" s="34"/>
      <c r="B615" s="34"/>
      <c r="C615" s="34"/>
      <c r="D615" s="34"/>
      <c r="E615" s="34"/>
      <c r="F615" s="34"/>
      <c r="G615" s="34"/>
      <c r="H615" s="34"/>
      <c r="I615" s="34"/>
      <c r="J615" s="34"/>
      <c r="K615" s="34"/>
      <c r="L615" s="34"/>
      <c r="M615" s="34"/>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J615" s="35"/>
      <c r="CK615" s="35"/>
      <c r="CL615" s="35"/>
      <c r="CM615" s="35"/>
      <c r="CN615" s="35"/>
      <c r="CO615" s="35"/>
      <c r="CP615" s="35"/>
      <c r="CQ615" s="35"/>
      <c r="CR615" s="35"/>
      <c r="CS615" s="35"/>
      <c r="CT615" s="35"/>
      <c r="CU615" s="35"/>
      <c r="CV615" s="35"/>
      <c r="CW615" s="35"/>
      <c r="CX615" s="35"/>
      <c r="CY615" s="35"/>
      <c r="CZ615" s="35"/>
      <c r="DA615" s="35"/>
      <c r="DB615" s="35"/>
      <c r="DC615" s="35"/>
      <c r="DD615" s="35"/>
      <c r="DE615" s="35"/>
      <c r="DF615" s="35"/>
      <c r="DG615" s="35"/>
      <c r="DH615" s="35"/>
      <c r="DI615" s="35"/>
      <c r="DJ615" s="35"/>
    </row>
    <row r="616" spans="1:114" x14ac:dyDescent="0.25">
      <c r="A616" s="34"/>
      <c r="B616" s="34"/>
      <c r="C616" s="34"/>
      <c r="D616" s="34"/>
      <c r="E616" s="34"/>
      <c r="F616" s="34"/>
      <c r="G616" s="34"/>
      <c r="H616" s="34"/>
      <c r="I616" s="34"/>
      <c r="J616" s="34"/>
      <c r="K616" s="34"/>
      <c r="L616" s="34"/>
      <c r="M616" s="34"/>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J616" s="35"/>
      <c r="CK616" s="35"/>
      <c r="CL616" s="35"/>
      <c r="CM616" s="35"/>
      <c r="CN616" s="35"/>
      <c r="CO616" s="35"/>
      <c r="CP616" s="35"/>
      <c r="CQ616" s="35"/>
      <c r="CR616" s="35"/>
      <c r="CS616" s="35"/>
      <c r="CT616" s="35"/>
      <c r="CU616" s="35"/>
      <c r="CV616" s="35"/>
      <c r="CW616" s="35"/>
      <c r="CX616" s="35"/>
      <c r="CY616" s="35"/>
      <c r="CZ616" s="35"/>
      <c r="DA616" s="35"/>
      <c r="DB616" s="35"/>
      <c r="DC616" s="35"/>
      <c r="DD616" s="35"/>
      <c r="DE616" s="35"/>
      <c r="DF616" s="35"/>
      <c r="DG616" s="35"/>
      <c r="DH616" s="35"/>
      <c r="DI616" s="35"/>
      <c r="DJ616" s="35"/>
    </row>
    <row r="617" spans="1:114" x14ac:dyDescent="0.25">
      <c r="A617" s="34"/>
      <c r="B617" s="34"/>
      <c r="C617" s="34"/>
      <c r="D617" s="34"/>
      <c r="E617" s="34"/>
      <c r="F617" s="34"/>
      <c r="G617" s="34"/>
      <c r="H617" s="34"/>
      <c r="I617" s="34"/>
      <c r="J617" s="34"/>
      <c r="K617" s="34"/>
      <c r="L617" s="34"/>
      <c r="M617" s="34"/>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5"/>
      <c r="CT617" s="35"/>
      <c r="CU617" s="35"/>
      <c r="CV617" s="35"/>
      <c r="CW617" s="35"/>
      <c r="CX617" s="35"/>
      <c r="CY617" s="35"/>
      <c r="CZ617" s="35"/>
      <c r="DA617" s="35"/>
      <c r="DB617" s="35"/>
      <c r="DC617" s="35"/>
      <c r="DD617" s="35"/>
      <c r="DE617" s="35"/>
      <c r="DF617" s="35"/>
      <c r="DG617" s="35"/>
      <c r="DH617" s="35"/>
      <c r="DI617" s="35"/>
      <c r="DJ617" s="35"/>
    </row>
    <row r="618" spans="1:114" x14ac:dyDescent="0.25">
      <c r="A618" s="34"/>
      <c r="B618" s="34"/>
      <c r="C618" s="34"/>
      <c r="D618" s="34"/>
      <c r="E618" s="34"/>
      <c r="F618" s="34"/>
      <c r="G618" s="34"/>
      <c r="H618" s="34"/>
      <c r="I618" s="34"/>
      <c r="J618" s="34"/>
      <c r="K618" s="34"/>
      <c r="L618" s="34"/>
      <c r="M618" s="34"/>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5"/>
      <c r="CT618" s="35"/>
      <c r="CU618" s="35"/>
      <c r="CV618" s="35"/>
      <c r="CW618" s="35"/>
      <c r="CX618" s="35"/>
      <c r="CY618" s="35"/>
      <c r="CZ618" s="35"/>
      <c r="DA618" s="35"/>
      <c r="DB618" s="35"/>
      <c r="DC618" s="35"/>
      <c r="DD618" s="35"/>
      <c r="DE618" s="35"/>
      <c r="DF618" s="35"/>
      <c r="DG618" s="35"/>
      <c r="DH618" s="35"/>
      <c r="DI618" s="35"/>
      <c r="DJ618" s="35"/>
    </row>
    <row r="619" spans="1:114" x14ac:dyDescent="0.25">
      <c r="A619" s="34"/>
      <c r="B619" s="34"/>
      <c r="C619" s="34"/>
      <c r="D619" s="34"/>
      <c r="E619" s="34"/>
      <c r="F619" s="34"/>
      <c r="G619" s="34"/>
      <c r="H619" s="34"/>
      <c r="I619" s="34"/>
      <c r="J619" s="34"/>
      <c r="K619" s="34"/>
      <c r="L619" s="34"/>
      <c r="M619" s="34"/>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35"/>
      <c r="CT619" s="35"/>
      <c r="CU619" s="35"/>
      <c r="CV619" s="35"/>
      <c r="CW619" s="35"/>
      <c r="CX619" s="35"/>
      <c r="CY619" s="35"/>
      <c r="CZ619" s="35"/>
      <c r="DA619" s="35"/>
      <c r="DB619" s="35"/>
      <c r="DC619" s="35"/>
      <c r="DD619" s="35"/>
      <c r="DE619" s="35"/>
      <c r="DF619" s="35"/>
      <c r="DG619" s="35"/>
      <c r="DH619" s="35"/>
      <c r="DI619" s="35"/>
      <c r="DJ619" s="35"/>
    </row>
    <row r="620" spans="1:114" x14ac:dyDescent="0.25">
      <c r="A620" s="34"/>
      <c r="B620" s="34"/>
      <c r="C620" s="34"/>
      <c r="D620" s="34"/>
      <c r="E620" s="34"/>
      <c r="F620" s="34"/>
      <c r="G620" s="34"/>
      <c r="H620" s="34"/>
      <c r="I620" s="34"/>
      <c r="J620" s="34"/>
      <c r="K620" s="34"/>
      <c r="L620" s="34"/>
      <c r="M620" s="34"/>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35"/>
      <c r="CT620" s="35"/>
      <c r="CU620" s="35"/>
      <c r="CV620" s="35"/>
      <c r="CW620" s="35"/>
      <c r="CX620" s="35"/>
      <c r="CY620" s="35"/>
      <c r="CZ620" s="35"/>
      <c r="DA620" s="35"/>
      <c r="DB620" s="35"/>
      <c r="DC620" s="35"/>
      <c r="DD620" s="35"/>
      <c r="DE620" s="35"/>
      <c r="DF620" s="35"/>
      <c r="DG620" s="35"/>
      <c r="DH620" s="35"/>
      <c r="DI620" s="35"/>
      <c r="DJ620" s="35"/>
    </row>
    <row r="621" spans="1:114" x14ac:dyDescent="0.25">
      <c r="A621" s="34"/>
      <c r="B621" s="34"/>
      <c r="C621" s="34"/>
      <c r="D621" s="34"/>
      <c r="E621" s="34"/>
      <c r="F621" s="34"/>
      <c r="G621" s="34"/>
      <c r="H621" s="34"/>
      <c r="I621" s="34"/>
      <c r="J621" s="34"/>
      <c r="K621" s="34"/>
      <c r="L621" s="34"/>
      <c r="M621" s="34"/>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5"/>
      <c r="BD621" s="35"/>
      <c r="BE621" s="35"/>
      <c r="BF621" s="35"/>
      <c r="BG621" s="35"/>
      <c r="BH621" s="35"/>
      <c r="BI621" s="35"/>
      <c r="BJ621" s="35"/>
      <c r="BK621" s="35"/>
      <c r="BL621" s="35"/>
      <c r="BM621" s="35"/>
      <c r="BN621" s="35"/>
      <c r="BO621" s="35"/>
      <c r="BP621" s="35"/>
      <c r="BQ621" s="35"/>
      <c r="BR621" s="35"/>
      <c r="BS621" s="35"/>
      <c r="BT621" s="35"/>
      <c r="BU621" s="35"/>
      <c r="BV621" s="35"/>
      <c r="BW621" s="35"/>
      <c r="BX621" s="35"/>
      <c r="BY621" s="35"/>
      <c r="BZ621" s="35"/>
      <c r="CA621" s="35"/>
      <c r="CB621" s="35"/>
      <c r="CC621" s="35"/>
      <c r="CD621" s="35"/>
      <c r="CE621" s="35"/>
      <c r="CF621" s="35"/>
      <c r="CG621" s="35"/>
      <c r="CH621" s="35"/>
      <c r="CI621" s="35"/>
      <c r="CJ621" s="35"/>
      <c r="CK621" s="35"/>
      <c r="CL621" s="35"/>
      <c r="CM621" s="35"/>
      <c r="CN621" s="35"/>
      <c r="CO621" s="35"/>
      <c r="CP621" s="35"/>
      <c r="CQ621" s="35"/>
      <c r="CR621" s="35"/>
      <c r="CS621" s="35"/>
      <c r="CT621" s="35"/>
      <c r="CU621" s="35"/>
      <c r="CV621" s="35"/>
      <c r="CW621" s="35"/>
      <c r="CX621" s="35"/>
      <c r="CY621" s="35"/>
      <c r="CZ621" s="35"/>
      <c r="DA621" s="35"/>
      <c r="DB621" s="35"/>
      <c r="DC621" s="35"/>
      <c r="DD621" s="35"/>
      <c r="DE621" s="35"/>
      <c r="DF621" s="35"/>
      <c r="DG621" s="35"/>
      <c r="DH621" s="35"/>
      <c r="DI621" s="35"/>
      <c r="DJ621" s="35"/>
    </row>
    <row r="622" spans="1:114" x14ac:dyDescent="0.25">
      <c r="A622" s="34"/>
      <c r="B622" s="34"/>
      <c r="C622" s="34"/>
      <c r="D622" s="34"/>
      <c r="E622" s="34"/>
      <c r="F622" s="34"/>
      <c r="G622" s="34"/>
      <c r="H622" s="34"/>
      <c r="I622" s="34"/>
      <c r="J622" s="34"/>
      <c r="K622" s="34"/>
      <c r="L622" s="34"/>
      <c r="M622" s="34"/>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35"/>
      <c r="AY622" s="35"/>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row>
    <row r="623" spans="1:114" x14ac:dyDescent="0.25">
      <c r="A623" s="34"/>
      <c r="B623" s="34"/>
      <c r="C623" s="34"/>
      <c r="D623" s="34"/>
      <c r="E623" s="34"/>
      <c r="F623" s="34"/>
      <c r="G623" s="34"/>
      <c r="H623" s="34"/>
      <c r="I623" s="34"/>
      <c r="J623" s="34"/>
      <c r="K623" s="34"/>
      <c r="L623" s="34"/>
      <c r="M623" s="34"/>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row>
    <row r="624" spans="1:114" x14ac:dyDescent="0.25">
      <c r="A624" s="34"/>
      <c r="B624" s="34"/>
      <c r="C624" s="34"/>
      <c r="D624" s="34"/>
      <c r="E624" s="34"/>
      <c r="F624" s="34"/>
      <c r="G624" s="34"/>
      <c r="H624" s="34"/>
      <c r="I624" s="34"/>
      <c r="J624" s="34"/>
      <c r="K624" s="34"/>
      <c r="L624" s="34"/>
      <c r="M624" s="34"/>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c r="AU624" s="35"/>
      <c r="AV624" s="35"/>
      <c r="AW624" s="35"/>
      <c r="AX624" s="35"/>
      <c r="AY624" s="35"/>
      <c r="AZ624" s="35"/>
      <c r="BA624" s="35"/>
      <c r="BB624" s="35"/>
      <c r="BC624" s="35"/>
      <c r="BD624" s="35"/>
      <c r="BE624" s="35"/>
      <c r="BF624" s="35"/>
      <c r="BG624" s="35"/>
      <c r="BH624" s="35"/>
      <c r="BI624" s="35"/>
      <c r="BJ624" s="35"/>
      <c r="BK624" s="35"/>
      <c r="BL624" s="35"/>
      <c r="BM624" s="35"/>
      <c r="BN624" s="35"/>
      <c r="BO624" s="35"/>
      <c r="BP624" s="35"/>
      <c r="BQ624" s="35"/>
      <c r="BR624" s="35"/>
      <c r="BS624" s="35"/>
      <c r="BT624" s="35"/>
      <c r="BU624" s="35"/>
      <c r="BV624" s="35"/>
      <c r="BW624" s="35"/>
      <c r="BX624" s="35"/>
      <c r="BY624" s="35"/>
      <c r="BZ624" s="35"/>
      <c r="CA624" s="35"/>
      <c r="CB624" s="35"/>
      <c r="CC624" s="35"/>
      <c r="CD624" s="35"/>
      <c r="CE624" s="35"/>
      <c r="CF624" s="35"/>
      <c r="CG624" s="35"/>
      <c r="CH624" s="35"/>
      <c r="CI624" s="35"/>
      <c r="CJ624" s="35"/>
      <c r="CK624" s="35"/>
      <c r="CL624" s="35"/>
      <c r="CM624" s="35"/>
      <c r="CN624" s="35"/>
      <c r="CO624" s="35"/>
      <c r="CP624" s="35"/>
      <c r="CQ624" s="35"/>
      <c r="CR624" s="35"/>
      <c r="CS624" s="35"/>
      <c r="CT624" s="35"/>
      <c r="CU624" s="35"/>
      <c r="CV624" s="35"/>
      <c r="CW624" s="35"/>
      <c r="CX624" s="35"/>
      <c r="CY624" s="35"/>
      <c r="CZ624" s="35"/>
      <c r="DA624" s="35"/>
      <c r="DB624" s="35"/>
      <c r="DC624" s="35"/>
      <c r="DD624" s="35"/>
      <c r="DE624" s="35"/>
      <c r="DF624" s="35"/>
      <c r="DG624" s="35"/>
      <c r="DH624" s="35"/>
      <c r="DI624" s="35"/>
      <c r="DJ624" s="35"/>
    </row>
    <row r="625" spans="1:114" x14ac:dyDescent="0.25">
      <c r="A625" s="34"/>
      <c r="B625" s="34"/>
      <c r="C625" s="34"/>
      <c r="D625" s="34"/>
      <c r="E625" s="34"/>
      <c r="F625" s="34"/>
      <c r="G625" s="34"/>
      <c r="H625" s="34"/>
      <c r="I625" s="34"/>
      <c r="J625" s="34"/>
      <c r="K625" s="34"/>
      <c r="L625" s="34"/>
      <c r="M625" s="34"/>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c r="AU625" s="35"/>
      <c r="AV625" s="35"/>
      <c r="AW625" s="35"/>
      <c r="AX625" s="35"/>
      <c r="AY625" s="35"/>
      <c r="AZ625" s="35"/>
      <c r="BA625" s="35"/>
      <c r="BB625" s="35"/>
      <c r="BC625" s="35"/>
      <c r="BD625" s="35"/>
      <c r="BE625" s="35"/>
      <c r="BF625" s="35"/>
      <c r="BG625" s="35"/>
      <c r="BH625" s="35"/>
      <c r="BI625" s="35"/>
      <c r="BJ625" s="35"/>
      <c r="BK625" s="35"/>
      <c r="BL625" s="35"/>
      <c r="BM625" s="35"/>
      <c r="BN625" s="35"/>
      <c r="BO625" s="35"/>
      <c r="BP625" s="35"/>
      <c r="BQ625" s="35"/>
      <c r="BR625" s="35"/>
      <c r="BS625" s="35"/>
      <c r="BT625" s="35"/>
      <c r="BU625" s="35"/>
      <c r="BV625" s="35"/>
      <c r="BW625" s="35"/>
      <c r="BX625" s="35"/>
      <c r="BY625" s="35"/>
      <c r="BZ625" s="35"/>
      <c r="CA625" s="35"/>
      <c r="CB625" s="35"/>
      <c r="CC625" s="35"/>
      <c r="CD625" s="35"/>
      <c r="CE625" s="35"/>
      <c r="CF625" s="35"/>
      <c r="CG625" s="35"/>
      <c r="CH625" s="35"/>
      <c r="CI625" s="35"/>
      <c r="CJ625" s="35"/>
      <c r="CK625" s="35"/>
      <c r="CL625" s="35"/>
      <c r="CM625" s="35"/>
      <c r="CN625" s="35"/>
      <c r="CO625" s="35"/>
      <c r="CP625" s="35"/>
      <c r="CQ625" s="35"/>
      <c r="CR625" s="35"/>
      <c r="CS625" s="35"/>
      <c r="CT625" s="35"/>
      <c r="CU625" s="35"/>
      <c r="CV625" s="35"/>
      <c r="CW625" s="35"/>
      <c r="CX625" s="35"/>
      <c r="CY625" s="35"/>
      <c r="CZ625" s="35"/>
      <c r="DA625" s="35"/>
      <c r="DB625" s="35"/>
      <c r="DC625" s="35"/>
      <c r="DD625" s="35"/>
      <c r="DE625" s="35"/>
      <c r="DF625" s="35"/>
      <c r="DG625" s="35"/>
      <c r="DH625" s="35"/>
      <c r="DI625" s="35"/>
      <c r="DJ625" s="35"/>
    </row>
    <row r="626" spans="1:114" x14ac:dyDescent="0.25">
      <c r="A626" s="34"/>
      <c r="B626" s="34"/>
      <c r="C626" s="34"/>
      <c r="D626" s="34"/>
      <c r="E626" s="34"/>
      <c r="F626" s="34"/>
      <c r="G626" s="34"/>
      <c r="H626" s="34"/>
      <c r="I626" s="34"/>
      <c r="J626" s="34"/>
      <c r="K626" s="34"/>
      <c r="L626" s="34"/>
      <c r="M626" s="34"/>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c r="AU626" s="35"/>
      <c r="AV626" s="35"/>
      <c r="AW626" s="35"/>
      <c r="AX626" s="35"/>
      <c r="AY626" s="35"/>
      <c r="AZ626" s="35"/>
      <c r="BA626" s="35"/>
      <c r="BB626" s="35"/>
      <c r="BC626" s="35"/>
      <c r="BD626" s="35"/>
      <c r="BE626" s="35"/>
      <c r="BF626" s="35"/>
      <c r="BG626" s="35"/>
      <c r="BH626" s="35"/>
      <c r="BI626" s="35"/>
      <c r="BJ626" s="35"/>
      <c r="BK626" s="35"/>
      <c r="BL626" s="35"/>
      <c r="BM626" s="35"/>
      <c r="BN626" s="35"/>
      <c r="BO626" s="35"/>
      <c r="BP626" s="35"/>
      <c r="BQ626" s="35"/>
      <c r="BR626" s="35"/>
      <c r="BS626" s="35"/>
      <c r="BT626" s="35"/>
      <c r="BU626" s="35"/>
      <c r="BV626" s="35"/>
      <c r="BW626" s="35"/>
      <c r="BX626" s="35"/>
      <c r="BY626" s="35"/>
      <c r="BZ626" s="35"/>
      <c r="CA626" s="35"/>
      <c r="CB626" s="35"/>
      <c r="CC626" s="35"/>
      <c r="CD626" s="35"/>
      <c r="CE626" s="35"/>
      <c r="CF626" s="35"/>
      <c r="CG626" s="35"/>
      <c r="CH626" s="35"/>
      <c r="CI626" s="35"/>
      <c r="CJ626" s="35"/>
      <c r="CK626" s="35"/>
      <c r="CL626" s="35"/>
      <c r="CM626" s="35"/>
      <c r="CN626" s="35"/>
      <c r="CO626" s="35"/>
      <c r="CP626" s="35"/>
      <c r="CQ626" s="35"/>
      <c r="CR626" s="35"/>
      <c r="CS626" s="35"/>
      <c r="CT626" s="35"/>
      <c r="CU626" s="35"/>
      <c r="CV626" s="35"/>
      <c r="CW626" s="35"/>
      <c r="CX626" s="35"/>
      <c r="CY626" s="35"/>
      <c r="CZ626" s="35"/>
      <c r="DA626" s="35"/>
      <c r="DB626" s="35"/>
      <c r="DC626" s="35"/>
      <c r="DD626" s="35"/>
      <c r="DE626" s="35"/>
      <c r="DF626" s="35"/>
      <c r="DG626" s="35"/>
      <c r="DH626" s="35"/>
      <c r="DI626" s="35"/>
      <c r="DJ626" s="35"/>
    </row>
    <row r="627" spans="1:114" x14ac:dyDescent="0.25">
      <c r="A627" s="34"/>
      <c r="B627" s="34"/>
      <c r="C627" s="34"/>
      <c r="D627" s="34"/>
      <c r="E627" s="34"/>
      <c r="F627" s="34"/>
      <c r="G627" s="34"/>
      <c r="H627" s="34"/>
      <c r="I627" s="34"/>
      <c r="J627" s="34"/>
      <c r="K627" s="34"/>
      <c r="L627" s="34"/>
      <c r="M627" s="34"/>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c r="AU627" s="35"/>
      <c r="AV627" s="35"/>
      <c r="AW627" s="35"/>
      <c r="AX627" s="35"/>
      <c r="AY627" s="35"/>
      <c r="AZ627" s="35"/>
      <c r="BA627" s="35"/>
      <c r="BB627" s="35"/>
      <c r="BC627" s="35"/>
      <c r="BD627" s="35"/>
      <c r="BE627" s="35"/>
      <c r="BF627" s="35"/>
      <c r="BG627" s="35"/>
      <c r="BH627" s="35"/>
      <c r="BI627" s="35"/>
      <c r="BJ627" s="35"/>
      <c r="BK627" s="35"/>
      <c r="BL627" s="35"/>
      <c r="BM627" s="35"/>
      <c r="BN627" s="35"/>
      <c r="BO627" s="35"/>
      <c r="BP627" s="35"/>
      <c r="BQ627" s="35"/>
      <c r="BR627" s="35"/>
      <c r="BS627" s="35"/>
      <c r="BT627" s="35"/>
      <c r="BU627" s="35"/>
      <c r="BV627" s="35"/>
      <c r="BW627" s="35"/>
      <c r="BX627" s="35"/>
      <c r="BY627" s="35"/>
      <c r="BZ627" s="35"/>
      <c r="CA627" s="35"/>
      <c r="CB627" s="35"/>
      <c r="CC627" s="35"/>
      <c r="CD627" s="35"/>
      <c r="CE627" s="35"/>
      <c r="CF627" s="35"/>
      <c r="CG627" s="35"/>
      <c r="CH627" s="35"/>
      <c r="CI627" s="35"/>
      <c r="CJ627" s="35"/>
      <c r="CK627" s="35"/>
      <c r="CL627" s="35"/>
      <c r="CM627" s="35"/>
      <c r="CN627" s="35"/>
      <c r="CO627" s="35"/>
      <c r="CP627" s="35"/>
      <c r="CQ627" s="35"/>
      <c r="CR627" s="35"/>
      <c r="CS627" s="35"/>
      <c r="CT627" s="35"/>
      <c r="CU627" s="35"/>
      <c r="CV627" s="35"/>
      <c r="CW627" s="35"/>
      <c r="CX627" s="35"/>
      <c r="CY627" s="35"/>
      <c r="CZ627" s="35"/>
      <c r="DA627" s="35"/>
      <c r="DB627" s="35"/>
      <c r="DC627" s="35"/>
      <c r="DD627" s="35"/>
      <c r="DE627" s="35"/>
      <c r="DF627" s="35"/>
      <c r="DG627" s="35"/>
      <c r="DH627" s="35"/>
      <c r="DI627" s="35"/>
      <c r="DJ627" s="35"/>
    </row>
    <row r="628" spans="1:114" x14ac:dyDescent="0.25">
      <c r="A628" s="34"/>
      <c r="B628" s="34"/>
      <c r="C628" s="34"/>
      <c r="D628" s="34"/>
      <c r="E628" s="34"/>
      <c r="F628" s="34"/>
      <c r="G628" s="34"/>
      <c r="H628" s="34"/>
      <c r="I628" s="34"/>
      <c r="J628" s="34"/>
      <c r="K628" s="34"/>
      <c r="L628" s="34"/>
      <c r="M628" s="34"/>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c r="AU628" s="35"/>
      <c r="AV628" s="35"/>
      <c r="AW628" s="35"/>
      <c r="AX628" s="35"/>
      <c r="AY628" s="35"/>
      <c r="AZ628" s="35"/>
      <c r="BA628" s="35"/>
      <c r="BB628" s="35"/>
      <c r="BC628" s="35"/>
      <c r="BD628" s="35"/>
      <c r="BE628" s="35"/>
      <c r="BF628" s="35"/>
      <c r="BG628" s="35"/>
      <c r="BH628" s="35"/>
      <c r="BI628" s="35"/>
      <c r="BJ628" s="35"/>
      <c r="BK628" s="35"/>
      <c r="BL628" s="35"/>
      <c r="BM628" s="35"/>
      <c r="BN628" s="35"/>
      <c r="BO628" s="35"/>
      <c r="BP628" s="35"/>
      <c r="BQ628" s="35"/>
      <c r="BR628" s="35"/>
      <c r="BS628" s="35"/>
      <c r="BT628" s="35"/>
      <c r="BU628" s="35"/>
      <c r="BV628" s="35"/>
      <c r="BW628" s="35"/>
      <c r="BX628" s="35"/>
      <c r="BY628" s="35"/>
      <c r="BZ628" s="35"/>
      <c r="CA628" s="35"/>
      <c r="CB628" s="35"/>
      <c r="CC628" s="35"/>
      <c r="CD628" s="35"/>
      <c r="CE628" s="35"/>
      <c r="CF628" s="35"/>
      <c r="CG628" s="35"/>
      <c r="CH628" s="35"/>
      <c r="CI628" s="35"/>
      <c r="CJ628" s="35"/>
      <c r="CK628" s="35"/>
      <c r="CL628" s="35"/>
      <c r="CM628" s="35"/>
      <c r="CN628" s="35"/>
      <c r="CO628" s="35"/>
      <c r="CP628" s="35"/>
      <c r="CQ628" s="35"/>
      <c r="CR628" s="35"/>
      <c r="CS628" s="35"/>
      <c r="CT628" s="35"/>
      <c r="CU628" s="35"/>
      <c r="CV628" s="35"/>
      <c r="CW628" s="35"/>
      <c r="CX628" s="35"/>
      <c r="CY628" s="35"/>
      <c r="CZ628" s="35"/>
      <c r="DA628" s="35"/>
      <c r="DB628" s="35"/>
      <c r="DC628" s="35"/>
      <c r="DD628" s="35"/>
      <c r="DE628" s="35"/>
      <c r="DF628" s="35"/>
      <c r="DG628" s="35"/>
      <c r="DH628" s="35"/>
      <c r="DI628" s="35"/>
      <c r="DJ628" s="35"/>
    </row>
    <row r="629" spans="1:114" x14ac:dyDescent="0.25">
      <c r="A629" s="34"/>
      <c r="B629" s="34"/>
      <c r="C629" s="34"/>
      <c r="D629" s="34"/>
      <c r="E629" s="34"/>
      <c r="F629" s="34"/>
      <c r="G629" s="34"/>
      <c r="H629" s="34"/>
      <c r="I629" s="34"/>
      <c r="J629" s="34"/>
      <c r="K629" s="34"/>
      <c r="L629" s="34"/>
      <c r="M629" s="34"/>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c r="AU629" s="35"/>
      <c r="AV629" s="35"/>
      <c r="AW629" s="35"/>
      <c r="AX629" s="35"/>
      <c r="AY629" s="35"/>
      <c r="AZ629" s="35"/>
      <c r="BA629" s="35"/>
      <c r="BB629" s="35"/>
      <c r="BC629" s="35"/>
      <c r="BD629" s="35"/>
      <c r="BE629" s="35"/>
      <c r="BF629" s="35"/>
      <c r="BG629" s="35"/>
      <c r="BH629" s="35"/>
      <c r="BI629" s="35"/>
      <c r="BJ629" s="35"/>
      <c r="BK629" s="35"/>
      <c r="BL629" s="35"/>
      <c r="BM629" s="35"/>
      <c r="BN629" s="35"/>
      <c r="BO629" s="35"/>
      <c r="BP629" s="35"/>
      <c r="BQ629" s="35"/>
      <c r="BR629" s="35"/>
      <c r="BS629" s="35"/>
      <c r="BT629" s="35"/>
      <c r="BU629" s="35"/>
      <c r="BV629" s="35"/>
      <c r="BW629" s="35"/>
      <c r="BX629" s="35"/>
      <c r="BY629" s="35"/>
      <c r="BZ629" s="35"/>
      <c r="CA629" s="35"/>
      <c r="CB629" s="35"/>
      <c r="CC629" s="35"/>
      <c r="CD629" s="35"/>
      <c r="CE629" s="35"/>
      <c r="CF629" s="35"/>
      <c r="CG629" s="35"/>
      <c r="CH629" s="35"/>
      <c r="CI629" s="35"/>
      <c r="CJ629" s="35"/>
      <c r="CK629" s="35"/>
      <c r="CL629" s="35"/>
      <c r="CM629" s="35"/>
      <c r="CN629" s="35"/>
      <c r="CO629" s="35"/>
      <c r="CP629" s="35"/>
      <c r="CQ629" s="35"/>
      <c r="CR629" s="35"/>
      <c r="CS629" s="35"/>
      <c r="CT629" s="35"/>
      <c r="CU629" s="35"/>
      <c r="CV629" s="35"/>
      <c r="CW629" s="35"/>
      <c r="CX629" s="35"/>
      <c r="CY629" s="35"/>
      <c r="CZ629" s="35"/>
      <c r="DA629" s="35"/>
      <c r="DB629" s="35"/>
      <c r="DC629" s="35"/>
      <c r="DD629" s="35"/>
      <c r="DE629" s="35"/>
      <c r="DF629" s="35"/>
      <c r="DG629" s="35"/>
      <c r="DH629" s="35"/>
      <c r="DI629" s="35"/>
      <c r="DJ629" s="35"/>
    </row>
    <row r="630" spans="1:114" x14ac:dyDescent="0.25">
      <c r="A630" s="34"/>
      <c r="B630" s="34"/>
      <c r="C630" s="34"/>
      <c r="D630" s="34"/>
      <c r="E630" s="34"/>
      <c r="F630" s="34"/>
      <c r="G630" s="34"/>
      <c r="H630" s="34"/>
      <c r="I630" s="34"/>
      <c r="J630" s="34"/>
      <c r="K630" s="34"/>
      <c r="L630" s="34"/>
      <c r="M630" s="34"/>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c r="AU630" s="35"/>
      <c r="AV630" s="35"/>
      <c r="AW630" s="35"/>
      <c r="AX630" s="35"/>
      <c r="AY630" s="35"/>
      <c r="AZ630" s="35"/>
      <c r="BA630" s="35"/>
      <c r="BB630" s="35"/>
      <c r="BC630" s="35"/>
      <c r="BD630" s="35"/>
      <c r="BE630" s="35"/>
      <c r="BF630" s="35"/>
      <c r="BG630" s="35"/>
      <c r="BH630" s="35"/>
      <c r="BI630" s="35"/>
      <c r="BJ630" s="35"/>
      <c r="BK630" s="35"/>
      <c r="BL630" s="35"/>
      <c r="BM630" s="35"/>
      <c r="BN630" s="35"/>
      <c r="BO630" s="35"/>
      <c r="BP630" s="35"/>
      <c r="BQ630" s="35"/>
      <c r="BR630" s="35"/>
      <c r="BS630" s="35"/>
      <c r="BT630" s="35"/>
      <c r="BU630" s="35"/>
      <c r="BV630" s="35"/>
      <c r="BW630" s="35"/>
      <c r="BX630" s="35"/>
      <c r="BY630" s="35"/>
      <c r="BZ630" s="35"/>
      <c r="CA630" s="35"/>
      <c r="CB630" s="35"/>
      <c r="CC630" s="35"/>
      <c r="CD630" s="35"/>
      <c r="CE630" s="35"/>
      <c r="CF630" s="35"/>
      <c r="CG630" s="35"/>
      <c r="CH630" s="35"/>
      <c r="CI630" s="35"/>
      <c r="CJ630" s="35"/>
      <c r="CK630" s="35"/>
      <c r="CL630" s="35"/>
      <c r="CM630" s="35"/>
      <c r="CN630" s="35"/>
      <c r="CO630" s="35"/>
      <c r="CP630" s="35"/>
      <c r="CQ630" s="35"/>
      <c r="CR630" s="35"/>
      <c r="CS630" s="35"/>
      <c r="CT630" s="35"/>
      <c r="CU630" s="35"/>
      <c r="CV630" s="35"/>
      <c r="CW630" s="35"/>
      <c r="CX630" s="35"/>
      <c r="CY630" s="35"/>
      <c r="CZ630" s="35"/>
      <c r="DA630" s="35"/>
      <c r="DB630" s="35"/>
      <c r="DC630" s="35"/>
      <c r="DD630" s="35"/>
      <c r="DE630" s="35"/>
      <c r="DF630" s="35"/>
      <c r="DG630" s="35"/>
      <c r="DH630" s="35"/>
      <c r="DI630" s="35"/>
      <c r="DJ630" s="35"/>
    </row>
    <row r="631" spans="1:114" x14ac:dyDescent="0.25">
      <c r="A631" s="34"/>
      <c r="B631" s="34"/>
      <c r="C631" s="34"/>
      <c r="D631" s="34"/>
      <c r="E631" s="34"/>
      <c r="F631" s="34"/>
      <c r="G631" s="34"/>
      <c r="H631" s="34"/>
      <c r="I631" s="34"/>
      <c r="J631" s="34"/>
      <c r="K631" s="34"/>
      <c r="L631" s="34"/>
      <c r="M631" s="34"/>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c r="AU631" s="35"/>
      <c r="AV631" s="35"/>
      <c r="AW631" s="35"/>
      <c r="AX631" s="35"/>
      <c r="AY631" s="35"/>
      <c r="AZ631" s="35"/>
      <c r="BA631" s="35"/>
      <c r="BB631" s="35"/>
      <c r="BC631" s="35"/>
      <c r="BD631" s="35"/>
      <c r="BE631" s="35"/>
      <c r="BF631" s="35"/>
      <c r="BG631" s="35"/>
      <c r="BH631" s="35"/>
      <c r="BI631" s="35"/>
      <c r="BJ631" s="35"/>
      <c r="BK631" s="35"/>
      <c r="BL631" s="35"/>
      <c r="BM631" s="35"/>
      <c r="BN631" s="35"/>
      <c r="BO631" s="35"/>
      <c r="BP631" s="35"/>
      <c r="BQ631" s="35"/>
      <c r="BR631" s="35"/>
      <c r="BS631" s="35"/>
      <c r="BT631" s="35"/>
      <c r="BU631" s="35"/>
      <c r="BV631" s="35"/>
      <c r="BW631" s="35"/>
      <c r="BX631" s="35"/>
      <c r="BY631" s="35"/>
      <c r="BZ631" s="35"/>
      <c r="CA631" s="35"/>
      <c r="CB631" s="35"/>
      <c r="CC631" s="35"/>
      <c r="CD631" s="35"/>
      <c r="CE631" s="35"/>
      <c r="CF631" s="35"/>
      <c r="CG631" s="35"/>
      <c r="CH631" s="35"/>
      <c r="CI631" s="35"/>
      <c r="CJ631" s="35"/>
      <c r="CK631" s="35"/>
      <c r="CL631" s="35"/>
      <c r="CM631" s="35"/>
      <c r="CN631" s="35"/>
      <c r="CO631" s="35"/>
      <c r="CP631" s="35"/>
      <c r="CQ631" s="35"/>
      <c r="CR631" s="35"/>
      <c r="CS631" s="35"/>
      <c r="CT631" s="35"/>
      <c r="CU631" s="35"/>
      <c r="CV631" s="35"/>
      <c r="CW631" s="35"/>
      <c r="CX631" s="35"/>
      <c r="CY631" s="35"/>
      <c r="CZ631" s="35"/>
      <c r="DA631" s="35"/>
      <c r="DB631" s="35"/>
      <c r="DC631" s="35"/>
      <c r="DD631" s="35"/>
      <c r="DE631" s="35"/>
      <c r="DF631" s="35"/>
      <c r="DG631" s="35"/>
      <c r="DH631" s="35"/>
      <c r="DI631" s="35"/>
      <c r="DJ631" s="35"/>
    </row>
    <row r="632" spans="1:114" x14ac:dyDescent="0.25">
      <c r="A632" s="34"/>
      <c r="B632" s="34"/>
      <c r="C632" s="34"/>
      <c r="D632" s="34"/>
      <c r="E632" s="34"/>
      <c r="F632" s="34"/>
      <c r="G632" s="34"/>
      <c r="H632" s="34"/>
      <c r="I632" s="34"/>
      <c r="J632" s="34"/>
      <c r="K632" s="34"/>
      <c r="L632" s="34"/>
      <c r="M632" s="34"/>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c r="AU632" s="35"/>
      <c r="AV632" s="35"/>
      <c r="AW632" s="35"/>
      <c r="AX632" s="35"/>
      <c r="AY632" s="35"/>
      <c r="AZ632" s="35"/>
      <c r="BA632" s="35"/>
      <c r="BB632" s="35"/>
      <c r="BC632" s="35"/>
      <c r="BD632" s="35"/>
      <c r="BE632" s="35"/>
      <c r="BF632" s="35"/>
      <c r="BG632" s="35"/>
      <c r="BH632" s="35"/>
      <c r="BI632" s="35"/>
      <c r="BJ632" s="35"/>
      <c r="BK632" s="35"/>
      <c r="BL632" s="35"/>
      <c r="BM632" s="35"/>
      <c r="BN632" s="35"/>
      <c r="BO632" s="35"/>
      <c r="BP632" s="35"/>
      <c r="BQ632" s="35"/>
      <c r="BR632" s="35"/>
      <c r="BS632" s="35"/>
      <c r="BT632" s="35"/>
      <c r="BU632" s="35"/>
      <c r="BV632" s="35"/>
      <c r="BW632" s="35"/>
      <c r="BX632" s="35"/>
      <c r="BY632" s="35"/>
      <c r="BZ632" s="35"/>
      <c r="CA632" s="35"/>
      <c r="CB632" s="35"/>
      <c r="CC632" s="35"/>
      <c r="CD632" s="35"/>
      <c r="CE632" s="35"/>
      <c r="CF632" s="35"/>
      <c r="CG632" s="35"/>
      <c r="CH632" s="35"/>
      <c r="CI632" s="35"/>
      <c r="CJ632" s="35"/>
      <c r="CK632" s="35"/>
      <c r="CL632" s="35"/>
      <c r="CM632" s="35"/>
      <c r="CN632" s="35"/>
      <c r="CO632" s="35"/>
      <c r="CP632" s="35"/>
      <c r="CQ632" s="35"/>
      <c r="CR632" s="35"/>
      <c r="CS632" s="35"/>
      <c r="CT632" s="35"/>
      <c r="CU632" s="35"/>
      <c r="CV632" s="35"/>
      <c r="CW632" s="35"/>
      <c r="CX632" s="35"/>
      <c r="CY632" s="35"/>
      <c r="CZ632" s="35"/>
      <c r="DA632" s="35"/>
      <c r="DB632" s="35"/>
      <c r="DC632" s="35"/>
      <c r="DD632" s="35"/>
      <c r="DE632" s="35"/>
      <c r="DF632" s="35"/>
      <c r="DG632" s="35"/>
      <c r="DH632" s="35"/>
      <c r="DI632" s="35"/>
      <c r="DJ632" s="35"/>
    </row>
    <row r="633" spans="1:114" x14ac:dyDescent="0.25">
      <c r="A633" s="34"/>
      <c r="B633" s="34"/>
      <c r="C633" s="34"/>
      <c r="D633" s="34"/>
      <c r="E633" s="34"/>
      <c r="F633" s="34"/>
      <c r="G633" s="34"/>
      <c r="H633" s="34"/>
      <c r="I633" s="34"/>
      <c r="J633" s="34"/>
      <c r="K633" s="34"/>
      <c r="L633" s="34"/>
      <c r="M633" s="34"/>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c r="AU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Q633" s="35"/>
      <c r="BR633" s="35"/>
      <c r="BS633" s="35"/>
      <c r="BT633" s="35"/>
      <c r="BU633" s="35"/>
      <c r="BV633" s="35"/>
      <c r="BW633" s="35"/>
      <c r="BX633" s="35"/>
      <c r="BY633" s="35"/>
      <c r="BZ633" s="35"/>
      <c r="CA633" s="35"/>
      <c r="CB633" s="35"/>
      <c r="CC633" s="35"/>
      <c r="CD633" s="35"/>
      <c r="CE633" s="35"/>
      <c r="CF633" s="35"/>
      <c r="CG633" s="35"/>
      <c r="CH633" s="35"/>
      <c r="CI633" s="35"/>
      <c r="CJ633" s="35"/>
      <c r="CK633" s="35"/>
      <c r="CL633" s="35"/>
      <c r="CM633" s="35"/>
      <c r="CN633" s="35"/>
      <c r="CO633" s="35"/>
      <c r="CP633" s="35"/>
      <c r="CQ633" s="35"/>
      <c r="CR633" s="35"/>
      <c r="CS633" s="35"/>
      <c r="CT633" s="35"/>
      <c r="CU633" s="35"/>
      <c r="CV633" s="35"/>
      <c r="CW633" s="35"/>
      <c r="CX633" s="35"/>
      <c r="CY633" s="35"/>
      <c r="CZ633" s="35"/>
      <c r="DA633" s="35"/>
      <c r="DB633" s="35"/>
      <c r="DC633" s="35"/>
      <c r="DD633" s="35"/>
      <c r="DE633" s="35"/>
      <c r="DF633" s="35"/>
      <c r="DG633" s="35"/>
      <c r="DH633" s="35"/>
      <c r="DI633" s="35"/>
      <c r="DJ633" s="35"/>
    </row>
    <row r="634" spans="1:114" x14ac:dyDescent="0.25">
      <c r="A634" s="34"/>
      <c r="B634" s="34"/>
      <c r="C634" s="34"/>
      <c r="D634" s="34"/>
      <c r="E634" s="34"/>
      <c r="F634" s="34"/>
      <c r="G634" s="34"/>
      <c r="H634" s="34"/>
      <c r="I634" s="34"/>
      <c r="J634" s="34"/>
      <c r="K634" s="34"/>
      <c r="L634" s="34"/>
      <c r="M634" s="34"/>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c r="AU634" s="35"/>
      <c r="AV634" s="35"/>
      <c r="AW634" s="35"/>
      <c r="AX634" s="35"/>
      <c r="AY634" s="35"/>
      <c r="AZ634" s="35"/>
      <c r="BA634" s="35"/>
      <c r="BB634" s="35"/>
      <c r="BC634" s="35"/>
      <c r="BD634" s="35"/>
      <c r="BE634" s="35"/>
      <c r="BF634" s="35"/>
      <c r="BG634" s="35"/>
      <c r="BH634" s="35"/>
      <c r="BI634" s="35"/>
      <c r="BJ634" s="35"/>
      <c r="BK634" s="35"/>
      <c r="BL634" s="35"/>
      <c r="BM634" s="35"/>
      <c r="BN634" s="35"/>
      <c r="BO634" s="35"/>
      <c r="BP634" s="35"/>
      <c r="BQ634" s="35"/>
      <c r="BR634" s="35"/>
      <c r="BS634" s="35"/>
      <c r="BT634" s="35"/>
      <c r="BU634" s="35"/>
      <c r="BV634" s="35"/>
      <c r="BW634" s="35"/>
      <c r="BX634" s="35"/>
      <c r="BY634" s="35"/>
      <c r="BZ634" s="35"/>
      <c r="CA634" s="35"/>
      <c r="CB634" s="35"/>
      <c r="CC634" s="35"/>
      <c r="CD634" s="35"/>
      <c r="CE634" s="35"/>
      <c r="CF634" s="35"/>
      <c r="CG634" s="35"/>
      <c r="CH634" s="35"/>
      <c r="CI634" s="35"/>
      <c r="CJ634" s="35"/>
      <c r="CK634" s="35"/>
      <c r="CL634" s="35"/>
      <c r="CM634" s="35"/>
      <c r="CN634" s="35"/>
      <c r="CO634" s="35"/>
      <c r="CP634" s="35"/>
      <c r="CQ634" s="35"/>
      <c r="CR634" s="35"/>
      <c r="CS634" s="35"/>
      <c r="CT634" s="35"/>
      <c r="CU634" s="35"/>
      <c r="CV634" s="35"/>
      <c r="CW634" s="35"/>
      <c r="CX634" s="35"/>
      <c r="CY634" s="35"/>
      <c r="CZ634" s="35"/>
      <c r="DA634" s="35"/>
      <c r="DB634" s="35"/>
      <c r="DC634" s="35"/>
      <c r="DD634" s="35"/>
      <c r="DE634" s="35"/>
      <c r="DF634" s="35"/>
      <c r="DG634" s="35"/>
      <c r="DH634" s="35"/>
      <c r="DI634" s="35"/>
      <c r="DJ634" s="35"/>
    </row>
    <row r="635" spans="1:114" x14ac:dyDescent="0.25">
      <c r="A635" s="34"/>
      <c r="B635" s="34"/>
      <c r="C635" s="34"/>
      <c r="D635" s="34"/>
      <c r="E635" s="34"/>
      <c r="F635" s="34"/>
      <c r="G635" s="34"/>
      <c r="H635" s="34"/>
      <c r="I635" s="34"/>
      <c r="J635" s="34"/>
      <c r="K635" s="34"/>
      <c r="L635" s="34"/>
      <c r="M635" s="34"/>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c r="AU635" s="35"/>
      <c r="AV635" s="35"/>
      <c r="AW635" s="35"/>
      <c r="AX635" s="35"/>
      <c r="AY635" s="35"/>
      <c r="AZ635" s="35"/>
      <c r="BA635" s="35"/>
      <c r="BB635" s="35"/>
      <c r="BC635" s="35"/>
      <c r="BD635" s="35"/>
      <c r="BE635" s="35"/>
      <c r="BF635" s="35"/>
      <c r="BG635" s="35"/>
      <c r="BH635" s="35"/>
      <c r="BI635" s="35"/>
      <c r="BJ635" s="35"/>
      <c r="BK635" s="35"/>
      <c r="BL635" s="35"/>
      <c r="BM635" s="35"/>
      <c r="BN635" s="35"/>
      <c r="BO635" s="35"/>
      <c r="BP635" s="35"/>
      <c r="BQ635" s="35"/>
      <c r="BR635" s="35"/>
      <c r="BS635" s="35"/>
      <c r="BT635" s="35"/>
      <c r="BU635" s="35"/>
      <c r="BV635" s="35"/>
      <c r="BW635" s="35"/>
      <c r="BX635" s="35"/>
      <c r="BY635" s="35"/>
      <c r="BZ635" s="35"/>
      <c r="CA635" s="35"/>
      <c r="CB635" s="35"/>
      <c r="CC635" s="35"/>
      <c r="CD635" s="35"/>
      <c r="CE635" s="35"/>
      <c r="CF635" s="35"/>
      <c r="CG635" s="35"/>
      <c r="CH635" s="35"/>
      <c r="CI635" s="35"/>
      <c r="CJ635" s="35"/>
      <c r="CK635" s="35"/>
      <c r="CL635" s="35"/>
      <c r="CM635" s="35"/>
      <c r="CN635" s="35"/>
      <c r="CO635" s="35"/>
      <c r="CP635" s="35"/>
      <c r="CQ635" s="35"/>
      <c r="CR635" s="35"/>
      <c r="CS635" s="35"/>
      <c r="CT635" s="35"/>
      <c r="CU635" s="35"/>
      <c r="CV635" s="35"/>
      <c r="CW635" s="35"/>
      <c r="CX635" s="35"/>
      <c r="CY635" s="35"/>
      <c r="CZ635" s="35"/>
      <c r="DA635" s="35"/>
      <c r="DB635" s="35"/>
      <c r="DC635" s="35"/>
      <c r="DD635" s="35"/>
      <c r="DE635" s="35"/>
      <c r="DF635" s="35"/>
      <c r="DG635" s="35"/>
      <c r="DH635" s="35"/>
      <c r="DI635" s="35"/>
      <c r="DJ635" s="35"/>
    </row>
    <row r="636" spans="1:114" x14ac:dyDescent="0.25">
      <c r="A636" s="34"/>
      <c r="B636" s="34"/>
      <c r="C636" s="34"/>
      <c r="D636" s="34"/>
      <c r="E636" s="34"/>
      <c r="F636" s="34"/>
      <c r="G636" s="34"/>
      <c r="H636" s="34"/>
      <c r="I636" s="34"/>
      <c r="J636" s="34"/>
      <c r="K636" s="34"/>
      <c r="L636" s="34"/>
      <c r="M636" s="34"/>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c r="AU636" s="35"/>
      <c r="AV636" s="35"/>
      <c r="AW636" s="35"/>
      <c r="AX636" s="35"/>
      <c r="AY636" s="35"/>
      <c r="AZ636" s="35"/>
      <c r="BA636" s="35"/>
      <c r="BB636" s="35"/>
      <c r="BC636" s="35"/>
      <c r="BD636" s="35"/>
      <c r="BE636" s="35"/>
      <c r="BF636" s="35"/>
      <c r="BG636" s="35"/>
      <c r="BH636" s="35"/>
      <c r="BI636" s="35"/>
      <c r="BJ636" s="35"/>
      <c r="BK636" s="35"/>
      <c r="BL636" s="35"/>
      <c r="BM636" s="35"/>
      <c r="BN636" s="35"/>
      <c r="BO636" s="35"/>
      <c r="BP636" s="35"/>
      <c r="BQ636" s="35"/>
      <c r="BR636" s="35"/>
      <c r="BS636" s="35"/>
      <c r="BT636" s="35"/>
      <c r="BU636" s="35"/>
      <c r="BV636" s="35"/>
      <c r="BW636" s="35"/>
      <c r="BX636" s="35"/>
      <c r="BY636" s="35"/>
      <c r="BZ636" s="35"/>
      <c r="CA636" s="35"/>
      <c r="CB636" s="35"/>
      <c r="CC636" s="35"/>
      <c r="CD636" s="35"/>
      <c r="CE636" s="35"/>
      <c r="CF636" s="35"/>
      <c r="CG636" s="35"/>
      <c r="CH636" s="35"/>
      <c r="CI636" s="35"/>
      <c r="CJ636" s="35"/>
      <c r="CK636" s="35"/>
      <c r="CL636" s="35"/>
      <c r="CM636" s="35"/>
      <c r="CN636" s="35"/>
      <c r="CO636" s="35"/>
      <c r="CP636" s="35"/>
      <c r="CQ636" s="35"/>
      <c r="CR636" s="35"/>
      <c r="CS636" s="35"/>
      <c r="CT636" s="35"/>
      <c r="CU636" s="35"/>
      <c r="CV636" s="35"/>
      <c r="CW636" s="35"/>
      <c r="CX636" s="35"/>
      <c r="CY636" s="35"/>
      <c r="CZ636" s="35"/>
      <c r="DA636" s="35"/>
      <c r="DB636" s="35"/>
      <c r="DC636" s="35"/>
      <c r="DD636" s="35"/>
      <c r="DE636" s="35"/>
      <c r="DF636" s="35"/>
      <c r="DG636" s="35"/>
      <c r="DH636" s="35"/>
      <c r="DI636" s="35"/>
      <c r="DJ636" s="35"/>
    </row>
    <row r="637" spans="1:114" x14ac:dyDescent="0.25">
      <c r="A637" s="34"/>
      <c r="B637" s="34"/>
      <c r="C637" s="34"/>
      <c r="D637" s="34"/>
      <c r="E637" s="34"/>
      <c r="F637" s="34"/>
      <c r="G637" s="34"/>
      <c r="H637" s="34"/>
      <c r="I637" s="34"/>
      <c r="J637" s="34"/>
      <c r="K637" s="34"/>
      <c r="L637" s="34"/>
      <c r="M637" s="34"/>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c r="AW637" s="35"/>
      <c r="AX637" s="35"/>
      <c r="AY637" s="35"/>
      <c r="AZ637" s="35"/>
      <c r="BA637" s="35"/>
      <c r="BB637" s="35"/>
      <c r="BC637" s="35"/>
      <c r="BD637" s="35"/>
      <c r="BE637" s="35"/>
      <c r="BF637" s="35"/>
      <c r="BG637" s="35"/>
      <c r="BH637" s="35"/>
      <c r="BI637" s="35"/>
      <c r="BJ637" s="35"/>
      <c r="BK637" s="35"/>
      <c r="BL637" s="35"/>
      <c r="BM637" s="35"/>
      <c r="BN637" s="35"/>
      <c r="BO637" s="35"/>
      <c r="BP637" s="35"/>
      <c r="BQ637" s="35"/>
      <c r="BR637" s="35"/>
      <c r="BS637" s="35"/>
      <c r="BT637" s="35"/>
      <c r="BU637" s="35"/>
      <c r="BV637" s="35"/>
      <c r="BW637" s="35"/>
      <c r="BX637" s="35"/>
      <c r="BY637" s="35"/>
      <c r="BZ637" s="35"/>
      <c r="CA637" s="35"/>
      <c r="CB637" s="35"/>
      <c r="CC637" s="35"/>
      <c r="CD637" s="35"/>
      <c r="CE637" s="35"/>
      <c r="CF637" s="35"/>
      <c r="CG637" s="35"/>
      <c r="CH637" s="35"/>
      <c r="CI637" s="35"/>
      <c r="CJ637" s="35"/>
      <c r="CK637" s="35"/>
      <c r="CL637" s="35"/>
      <c r="CM637" s="35"/>
      <c r="CN637" s="35"/>
      <c r="CO637" s="35"/>
      <c r="CP637" s="35"/>
      <c r="CQ637" s="35"/>
      <c r="CR637" s="35"/>
      <c r="CS637" s="35"/>
      <c r="CT637" s="35"/>
      <c r="CU637" s="35"/>
      <c r="CV637" s="35"/>
      <c r="CW637" s="35"/>
      <c r="CX637" s="35"/>
      <c r="CY637" s="35"/>
      <c r="CZ637" s="35"/>
      <c r="DA637" s="35"/>
      <c r="DB637" s="35"/>
      <c r="DC637" s="35"/>
      <c r="DD637" s="35"/>
      <c r="DE637" s="35"/>
      <c r="DF637" s="35"/>
      <c r="DG637" s="35"/>
      <c r="DH637" s="35"/>
      <c r="DI637" s="35"/>
      <c r="DJ637" s="35"/>
    </row>
    <row r="638" spans="1:114" x14ac:dyDescent="0.25">
      <c r="A638" s="34"/>
      <c r="B638" s="34"/>
      <c r="C638" s="34"/>
      <c r="D638" s="34"/>
      <c r="E638" s="34"/>
      <c r="F638" s="34"/>
      <c r="G638" s="34"/>
      <c r="H638" s="34"/>
      <c r="I638" s="34"/>
      <c r="J638" s="34"/>
      <c r="K638" s="34"/>
      <c r="L638" s="34"/>
      <c r="M638" s="34"/>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c r="AU638" s="35"/>
      <c r="AV638" s="35"/>
      <c r="AW638" s="35"/>
      <c r="AX638" s="35"/>
      <c r="AY638" s="35"/>
      <c r="AZ638" s="35"/>
      <c r="BA638" s="35"/>
      <c r="BB638" s="35"/>
      <c r="BC638" s="35"/>
      <c r="BD638" s="35"/>
      <c r="BE638" s="35"/>
      <c r="BF638" s="35"/>
      <c r="BG638" s="35"/>
      <c r="BH638" s="35"/>
      <c r="BI638" s="35"/>
      <c r="BJ638" s="35"/>
      <c r="BK638" s="35"/>
      <c r="BL638" s="35"/>
      <c r="BM638" s="35"/>
      <c r="BN638" s="35"/>
      <c r="BO638" s="35"/>
      <c r="BP638" s="35"/>
      <c r="BQ638" s="35"/>
      <c r="BR638" s="35"/>
      <c r="BS638" s="35"/>
      <c r="BT638" s="35"/>
      <c r="BU638" s="35"/>
      <c r="BV638" s="35"/>
      <c r="BW638" s="35"/>
      <c r="BX638" s="35"/>
      <c r="BY638" s="35"/>
      <c r="BZ638" s="35"/>
      <c r="CA638" s="35"/>
      <c r="CB638" s="35"/>
      <c r="CC638" s="35"/>
      <c r="CD638" s="35"/>
      <c r="CE638" s="35"/>
      <c r="CF638" s="35"/>
      <c r="CG638" s="35"/>
      <c r="CH638" s="35"/>
      <c r="CI638" s="35"/>
      <c r="CJ638" s="35"/>
      <c r="CK638" s="35"/>
      <c r="CL638" s="35"/>
      <c r="CM638" s="35"/>
      <c r="CN638" s="35"/>
      <c r="CO638" s="35"/>
      <c r="CP638" s="35"/>
      <c r="CQ638" s="35"/>
      <c r="CR638" s="35"/>
      <c r="CS638" s="35"/>
      <c r="CT638" s="35"/>
      <c r="CU638" s="35"/>
      <c r="CV638" s="35"/>
      <c r="CW638" s="35"/>
      <c r="CX638" s="35"/>
      <c r="CY638" s="35"/>
      <c r="CZ638" s="35"/>
      <c r="DA638" s="35"/>
      <c r="DB638" s="35"/>
      <c r="DC638" s="35"/>
      <c r="DD638" s="35"/>
      <c r="DE638" s="35"/>
      <c r="DF638" s="35"/>
      <c r="DG638" s="35"/>
      <c r="DH638" s="35"/>
      <c r="DI638" s="35"/>
      <c r="DJ638" s="35"/>
    </row>
    <row r="639" spans="1:114" x14ac:dyDescent="0.25">
      <c r="A639" s="34"/>
      <c r="B639" s="34"/>
      <c r="C639" s="34"/>
      <c r="D639" s="34"/>
      <c r="E639" s="34"/>
      <c r="F639" s="34"/>
      <c r="G639" s="34"/>
      <c r="H639" s="34"/>
      <c r="I639" s="34"/>
      <c r="J639" s="34"/>
      <c r="K639" s="34"/>
      <c r="L639" s="34"/>
      <c r="M639" s="34"/>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AY639" s="35"/>
      <c r="AZ639" s="35"/>
      <c r="BA639" s="35"/>
      <c r="BB639" s="35"/>
      <c r="BC639" s="35"/>
      <c r="BD639" s="35"/>
      <c r="BE639" s="35"/>
      <c r="BF639" s="35"/>
      <c r="BG639" s="35"/>
      <c r="BH639" s="35"/>
      <c r="BI639" s="35"/>
      <c r="BJ639" s="35"/>
      <c r="BK639" s="35"/>
      <c r="BL639" s="35"/>
      <c r="BM639" s="35"/>
      <c r="BN639" s="35"/>
      <c r="BO639" s="35"/>
      <c r="BP639" s="35"/>
      <c r="BQ639" s="35"/>
      <c r="BR639" s="35"/>
      <c r="BS639" s="35"/>
      <c r="BT639" s="35"/>
      <c r="BU639" s="35"/>
      <c r="BV639" s="35"/>
      <c r="BW639" s="35"/>
      <c r="BX639" s="35"/>
      <c r="BY639" s="35"/>
      <c r="BZ639" s="35"/>
      <c r="CA639" s="35"/>
      <c r="CB639" s="35"/>
      <c r="CC639" s="35"/>
      <c r="CD639" s="35"/>
      <c r="CE639" s="35"/>
      <c r="CF639" s="35"/>
      <c r="CG639" s="35"/>
      <c r="CH639" s="35"/>
      <c r="CI639" s="35"/>
      <c r="CJ639" s="35"/>
      <c r="CK639" s="35"/>
      <c r="CL639" s="35"/>
      <c r="CM639" s="35"/>
      <c r="CN639" s="35"/>
      <c r="CO639" s="35"/>
      <c r="CP639" s="35"/>
      <c r="CQ639" s="35"/>
      <c r="CR639" s="35"/>
      <c r="CS639" s="35"/>
      <c r="CT639" s="35"/>
      <c r="CU639" s="35"/>
      <c r="CV639" s="35"/>
      <c r="CW639" s="35"/>
      <c r="CX639" s="35"/>
      <c r="CY639" s="35"/>
      <c r="CZ639" s="35"/>
      <c r="DA639" s="35"/>
      <c r="DB639" s="35"/>
      <c r="DC639" s="35"/>
      <c r="DD639" s="35"/>
      <c r="DE639" s="35"/>
      <c r="DF639" s="35"/>
      <c r="DG639" s="35"/>
      <c r="DH639" s="35"/>
      <c r="DI639" s="35"/>
      <c r="DJ639" s="35"/>
    </row>
    <row r="640" spans="1:114" x14ac:dyDescent="0.25">
      <c r="A640" s="34"/>
      <c r="B640" s="34"/>
      <c r="C640" s="34"/>
      <c r="D640" s="34"/>
      <c r="E640" s="34"/>
      <c r="F640" s="34"/>
      <c r="G640" s="34"/>
      <c r="H640" s="34"/>
      <c r="I640" s="34"/>
      <c r="J640" s="34"/>
      <c r="K640" s="34"/>
      <c r="L640" s="34"/>
      <c r="M640" s="34"/>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c r="AW640" s="35"/>
      <c r="AX640" s="35"/>
      <c r="AY640" s="35"/>
      <c r="AZ640" s="35"/>
      <c r="BA640" s="35"/>
      <c r="BB640" s="35"/>
      <c r="BC640" s="35"/>
      <c r="BD640" s="35"/>
      <c r="BE640" s="35"/>
      <c r="BF640" s="35"/>
      <c r="BG640" s="35"/>
      <c r="BH640" s="35"/>
      <c r="BI640" s="35"/>
      <c r="BJ640" s="35"/>
      <c r="BK640" s="35"/>
      <c r="BL640" s="35"/>
      <c r="BM640" s="35"/>
      <c r="BN640" s="35"/>
      <c r="BO640" s="35"/>
      <c r="BP640" s="35"/>
      <c r="BQ640" s="35"/>
      <c r="BR640" s="35"/>
      <c r="BS640" s="35"/>
      <c r="BT640" s="35"/>
      <c r="BU640" s="35"/>
      <c r="BV640" s="35"/>
      <c r="BW640" s="35"/>
      <c r="BX640" s="35"/>
      <c r="BY640" s="35"/>
      <c r="BZ640" s="35"/>
      <c r="CA640" s="35"/>
      <c r="CB640" s="35"/>
      <c r="CC640" s="35"/>
      <c r="CD640" s="35"/>
      <c r="CE640" s="35"/>
      <c r="CF640" s="35"/>
      <c r="CG640" s="35"/>
      <c r="CH640" s="35"/>
      <c r="CI640" s="35"/>
      <c r="CJ640" s="35"/>
      <c r="CK640" s="35"/>
      <c r="CL640" s="35"/>
      <c r="CM640" s="35"/>
      <c r="CN640" s="35"/>
      <c r="CO640" s="35"/>
      <c r="CP640" s="35"/>
      <c r="CQ640" s="35"/>
      <c r="CR640" s="35"/>
      <c r="CS640" s="35"/>
      <c r="CT640" s="35"/>
      <c r="CU640" s="35"/>
      <c r="CV640" s="35"/>
      <c r="CW640" s="35"/>
      <c r="CX640" s="35"/>
      <c r="CY640" s="35"/>
      <c r="CZ640" s="35"/>
      <c r="DA640" s="35"/>
      <c r="DB640" s="35"/>
      <c r="DC640" s="35"/>
      <c r="DD640" s="35"/>
      <c r="DE640" s="35"/>
      <c r="DF640" s="35"/>
      <c r="DG640" s="35"/>
      <c r="DH640" s="35"/>
      <c r="DI640" s="35"/>
      <c r="DJ640" s="35"/>
    </row>
    <row r="641" spans="1:114" x14ac:dyDescent="0.25">
      <c r="A641" s="34"/>
      <c r="B641" s="34"/>
      <c r="C641" s="34"/>
      <c r="D641" s="34"/>
      <c r="E641" s="34"/>
      <c r="F641" s="34"/>
      <c r="G641" s="34"/>
      <c r="H641" s="34"/>
      <c r="I641" s="34"/>
      <c r="J641" s="34"/>
      <c r="K641" s="34"/>
      <c r="L641" s="34"/>
      <c r="M641" s="34"/>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c r="AW641" s="35"/>
      <c r="AX641" s="35"/>
      <c r="AY641" s="35"/>
      <c r="AZ641" s="35"/>
      <c r="BA641" s="35"/>
      <c r="BB641" s="35"/>
      <c r="BC641" s="35"/>
      <c r="BD641" s="35"/>
      <c r="BE641" s="35"/>
      <c r="BF641" s="35"/>
      <c r="BG641" s="35"/>
      <c r="BH641" s="35"/>
      <c r="BI641" s="35"/>
      <c r="BJ641" s="35"/>
      <c r="BK641" s="35"/>
      <c r="BL641" s="35"/>
      <c r="BM641" s="35"/>
      <c r="BN641" s="35"/>
      <c r="BO641" s="35"/>
      <c r="BP641" s="35"/>
      <c r="BQ641" s="35"/>
      <c r="BR641" s="35"/>
      <c r="BS641" s="35"/>
      <c r="BT641" s="35"/>
      <c r="BU641" s="35"/>
      <c r="BV641" s="35"/>
      <c r="BW641" s="35"/>
      <c r="BX641" s="35"/>
      <c r="BY641" s="35"/>
      <c r="BZ641" s="35"/>
      <c r="CA641" s="35"/>
      <c r="CB641" s="35"/>
      <c r="CC641" s="35"/>
      <c r="CD641" s="35"/>
      <c r="CE641" s="35"/>
      <c r="CF641" s="35"/>
      <c r="CG641" s="35"/>
      <c r="CH641" s="35"/>
      <c r="CI641" s="35"/>
      <c r="CJ641" s="35"/>
      <c r="CK641" s="35"/>
      <c r="CL641" s="35"/>
      <c r="CM641" s="35"/>
      <c r="CN641" s="35"/>
      <c r="CO641" s="35"/>
      <c r="CP641" s="35"/>
      <c r="CQ641" s="35"/>
      <c r="CR641" s="35"/>
      <c r="CS641" s="35"/>
      <c r="CT641" s="35"/>
      <c r="CU641" s="35"/>
      <c r="CV641" s="35"/>
      <c r="CW641" s="35"/>
      <c r="CX641" s="35"/>
      <c r="CY641" s="35"/>
      <c r="CZ641" s="35"/>
      <c r="DA641" s="35"/>
      <c r="DB641" s="35"/>
      <c r="DC641" s="35"/>
      <c r="DD641" s="35"/>
      <c r="DE641" s="35"/>
      <c r="DF641" s="35"/>
      <c r="DG641" s="35"/>
      <c r="DH641" s="35"/>
      <c r="DI641" s="35"/>
      <c r="DJ641" s="35"/>
    </row>
    <row r="642" spans="1:114" x14ac:dyDescent="0.25">
      <c r="A642" s="34"/>
      <c r="B642" s="34"/>
      <c r="C642" s="34"/>
      <c r="D642" s="34"/>
      <c r="E642" s="34"/>
      <c r="F642" s="34"/>
      <c r="G642" s="34"/>
      <c r="H642" s="34"/>
      <c r="I642" s="34"/>
      <c r="J642" s="34"/>
      <c r="K642" s="34"/>
      <c r="L642" s="34"/>
      <c r="M642" s="34"/>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35"/>
      <c r="BN642" s="35"/>
      <c r="BO642" s="35"/>
      <c r="BP642" s="35"/>
      <c r="BQ642" s="35"/>
      <c r="BR642" s="35"/>
      <c r="BS642" s="35"/>
      <c r="BT642" s="35"/>
      <c r="BU642" s="35"/>
      <c r="BV642" s="35"/>
      <c r="BW642" s="35"/>
      <c r="BX642" s="35"/>
      <c r="BY642" s="35"/>
      <c r="BZ642" s="35"/>
      <c r="CA642" s="35"/>
      <c r="CB642" s="35"/>
      <c r="CC642" s="35"/>
      <c r="CD642" s="35"/>
      <c r="CE642" s="35"/>
      <c r="CF642" s="35"/>
      <c r="CG642" s="35"/>
      <c r="CH642" s="35"/>
      <c r="CI642" s="35"/>
      <c r="CJ642" s="35"/>
      <c r="CK642" s="35"/>
      <c r="CL642" s="35"/>
      <c r="CM642" s="35"/>
      <c r="CN642" s="35"/>
      <c r="CO642" s="35"/>
      <c r="CP642" s="35"/>
      <c r="CQ642" s="35"/>
      <c r="CR642" s="35"/>
      <c r="CS642" s="35"/>
      <c r="CT642" s="35"/>
      <c r="CU642" s="35"/>
      <c r="CV642" s="35"/>
      <c r="CW642" s="35"/>
      <c r="CX642" s="35"/>
      <c r="CY642" s="35"/>
      <c r="CZ642" s="35"/>
      <c r="DA642" s="35"/>
      <c r="DB642" s="35"/>
      <c r="DC642" s="35"/>
      <c r="DD642" s="35"/>
      <c r="DE642" s="35"/>
      <c r="DF642" s="35"/>
      <c r="DG642" s="35"/>
      <c r="DH642" s="35"/>
      <c r="DI642" s="35"/>
      <c r="DJ642" s="35"/>
    </row>
    <row r="643" spans="1:114" x14ac:dyDescent="0.25">
      <c r="A643" s="34"/>
      <c r="B643" s="34"/>
      <c r="C643" s="34"/>
      <c r="D643" s="34"/>
      <c r="E643" s="34"/>
      <c r="F643" s="34"/>
      <c r="G643" s="34"/>
      <c r="H643" s="34"/>
      <c r="I643" s="34"/>
      <c r="J643" s="34"/>
      <c r="K643" s="34"/>
      <c r="L643" s="34"/>
      <c r="M643" s="34"/>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c r="BO643" s="35"/>
      <c r="BP643" s="35"/>
      <c r="BQ643" s="35"/>
      <c r="BR643" s="35"/>
      <c r="BS643" s="35"/>
      <c r="BT643" s="35"/>
      <c r="BU643" s="35"/>
      <c r="BV643" s="35"/>
      <c r="BW643" s="35"/>
      <c r="BX643" s="35"/>
      <c r="BY643" s="35"/>
      <c r="BZ643" s="35"/>
      <c r="CA643" s="35"/>
      <c r="CB643" s="35"/>
      <c r="CC643" s="35"/>
      <c r="CD643" s="35"/>
      <c r="CE643" s="35"/>
      <c r="CF643" s="35"/>
      <c r="CG643" s="35"/>
      <c r="CH643" s="35"/>
      <c r="CI643" s="35"/>
      <c r="CJ643" s="35"/>
      <c r="CK643" s="35"/>
      <c r="CL643" s="35"/>
      <c r="CM643" s="35"/>
      <c r="CN643" s="35"/>
      <c r="CO643" s="35"/>
      <c r="CP643" s="35"/>
      <c r="CQ643" s="35"/>
      <c r="CR643" s="35"/>
      <c r="CS643" s="35"/>
      <c r="CT643" s="35"/>
      <c r="CU643" s="35"/>
      <c r="CV643" s="35"/>
      <c r="CW643" s="35"/>
      <c r="CX643" s="35"/>
      <c r="CY643" s="35"/>
      <c r="CZ643" s="35"/>
      <c r="DA643" s="35"/>
      <c r="DB643" s="35"/>
      <c r="DC643" s="35"/>
      <c r="DD643" s="35"/>
      <c r="DE643" s="35"/>
      <c r="DF643" s="35"/>
      <c r="DG643" s="35"/>
      <c r="DH643" s="35"/>
      <c r="DI643" s="35"/>
      <c r="DJ643" s="35"/>
    </row>
    <row r="644" spans="1:114" x14ac:dyDescent="0.25">
      <c r="A644" s="34"/>
      <c r="B644" s="34"/>
      <c r="C644" s="34"/>
      <c r="D644" s="34"/>
      <c r="E644" s="34"/>
      <c r="F644" s="34"/>
      <c r="G644" s="34"/>
      <c r="H644" s="34"/>
      <c r="I644" s="34"/>
      <c r="J644" s="34"/>
      <c r="K644" s="34"/>
      <c r="L644" s="34"/>
      <c r="M644" s="34"/>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35"/>
      <c r="BF644" s="35"/>
      <c r="BG644" s="35"/>
      <c r="BH644" s="35"/>
      <c r="BI644" s="35"/>
      <c r="BJ644" s="35"/>
      <c r="BK644" s="35"/>
      <c r="BL644" s="35"/>
      <c r="BM644" s="35"/>
      <c r="BN644" s="35"/>
      <c r="BO644" s="35"/>
      <c r="BP644" s="35"/>
      <c r="BQ644" s="35"/>
      <c r="BR644" s="35"/>
      <c r="BS644" s="35"/>
      <c r="BT644" s="35"/>
      <c r="BU644" s="35"/>
      <c r="BV644" s="35"/>
      <c r="BW644" s="35"/>
      <c r="BX644" s="35"/>
      <c r="BY644" s="35"/>
      <c r="BZ644" s="35"/>
      <c r="CA644" s="35"/>
      <c r="CB644" s="35"/>
      <c r="CC644" s="35"/>
      <c r="CD644" s="35"/>
      <c r="CE644" s="35"/>
      <c r="CF644" s="35"/>
      <c r="CG644" s="35"/>
      <c r="CH644" s="35"/>
      <c r="CI644" s="35"/>
      <c r="CJ644" s="35"/>
      <c r="CK644" s="35"/>
      <c r="CL644" s="35"/>
      <c r="CM644" s="35"/>
      <c r="CN644" s="35"/>
      <c r="CO644" s="35"/>
      <c r="CP644" s="35"/>
      <c r="CQ644" s="35"/>
      <c r="CR644" s="35"/>
      <c r="CS644" s="35"/>
      <c r="CT644" s="35"/>
      <c r="CU644" s="35"/>
      <c r="CV644" s="35"/>
      <c r="CW644" s="35"/>
      <c r="CX644" s="35"/>
      <c r="CY644" s="35"/>
      <c r="CZ644" s="35"/>
      <c r="DA644" s="35"/>
      <c r="DB644" s="35"/>
      <c r="DC644" s="35"/>
      <c r="DD644" s="35"/>
      <c r="DE644" s="35"/>
      <c r="DF644" s="35"/>
      <c r="DG644" s="35"/>
      <c r="DH644" s="35"/>
      <c r="DI644" s="35"/>
      <c r="DJ644" s="35"/>
    </row>
    <row r="645" spans="1:114" x14ac:dyDescent="0.25">
      <c r="A645" s="34"/>
      <c r="B645" s="34"/>
      <c r="C645" s="34"/>
      <c r="D645" s="34"/>
      <c r="E645" s="34"/>
      <c r="F645" s="34"/>
      <c r="G645" s="34"/>
      <c r="H645" s="34"/>
      <c r="I645" s="34"/>
      <c r="J645" s="34"/>
      <c r="K645" s="34"/>
      <c r="L645" s="34"/>
      <c r="M645" s="34"/>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35"/>
      <c r="BM645" s="35"/>
      <c r="BN645" s="35"/>
      <c r="BO645" s="35"/>
      <c r="BP645" s="35"/>
      <c r="BQ645" s="35"/>
      <c r="BR645" s="35"/>
      <c r="BS645" s="35"/>
      <c r="BT645" s="35"/>
      <c r="BU645" s="35"/>
      <c r="BV645" s="35"/>
      <c r="BW645" s="35"/>
      <c r="BX645" s="35"/>
      <c r="BY645" s="35"/>
      <c r="BZ645" s="35"/>
      <c r="CA645" s="35"/>
      <c r="CB645" s="35"/>
      <c r="CC645" s="35"/>
      <c r="CD645" s="35"/>
      <c r="CE645" s="35"/>
      <c r="CF645" s="35"/>
      <c r="CG645" s="35"/>
      <c r="CH645" s="35"/>
      <c r="CI645" s="35"/>
      <c r="CJ645" s="35"/>
      <c r="CK645" s="35"/>
      <c r="CL645" s="35"/>
      <c r="CM645" s="35"/>
      <c r="CN645" s="35"/>
      <c r="CO645" s="35"/>
      <c r="CP645" s="35"/>
      <c r="CQ645" s="35"/>
      <c r="CR645" s="35"/>
      <c r="CS645" s="35"/>
      <c r="CT645" s="35"/>
      <c r="CU645" s="35"/>
      <c r="CV645" s="35"/>
      <c r="CW645" s="35"/>
      <c r="CX645" s="35"/>
      <c r="CY645" s="35"/>
      <c r="CZ645" s="35"/>
      <c r="DA645" s="35"/>
      <c r="DB645" s="35"/>
      <c r="DC645" s="35"/>
      <c r="DD645" s="35"/>
      <c r="DE645" s="35"/>
      <c r="DF645" s="35"/>
      <c r="DG645" s="35"/>
      <c r="DH645" s="35"/>
      <c r="DI645" s="35"/>
      <c r="DJ645" s="35"/>
    </row>
    <row r="646" spans="1:114" x14ac:dyDescent="0.25">
      <c r="A646" s="34"/>
      <c r="B646" s="34"/>
      <c r="C646" s="34"/>
      <c r="D646" s="34"/>
      <c r="E646" s="34"/>
      <c r="F646" s="34"/>
      <c r="G646" s="34"/>
      <c r="H646" s="34"/>
      <c r="I646" s="34"/>
      <c r="J646" s="34"/>
      <c r="K646" s="34"/>
      <c r="L646" s="34"/>
      <c r="M646" s="34"/>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5"/>
      <c r="BN646" s="35"/>
      <c r="BO646" s="35"/>
      <c r="BP646" s="35"/>
      <c r="BQ646" s="35"/>
      <c r="BR646" s="35"/>
      <c r="BS646" s="35"/>
      <c r="BT646" s="35"/>
      <c r="BU646" s="35"/>
      <c r="BV646" s="35"/>
      <c r="BW646" s="35"/>
      <c r="BX646" s="35"/>
      <c r="BY646" s="35"/>
      <c r="BZ646" s="35"/>
      <c r="CA646" s="35"/>
      <c r="CB646" s="35"/>
      <c r="CC646" s="35"/>
      <c r="CD646" s="35"/>
      <c r="CE646" s="35"/>
      <c r="CF646" s="35"/>
      <c r="CG646" s="35"/>
      <c r="CH646" s="35"/>
      <c r="CI646" s="35"/>
      <c r="CJ646" s="35"/>
      <c r="CK646" s="35"/>
      <c r="CL646" s="35"/>
      <c r="CM646" s="35"/>
      <c r="CN646" s="35"/>
      <c r="CO646" s="35"/>
      <c r="CP646" s="35"/>
      <c r="CQ646" s="35"/>
      <c r="CR646" s="35"/>
      <c r="CS646" s="35"/>
      <c r="CT646" s="35"/>
      <c r="CU646" s="35"/>
      <c r="CV646" s="35"/>
      <c r="CW646" s="35"/>
      <c r="CX646" s="35"/>
      <c r="CY646" s="35"/>
      <c r="CZ646" s="35"/>
      <c r="DA646" s="35"/>
      <c r="DB646" s="35"/>
      <c r="DC646" s="35"/>
      <c r="DD646" s="35"/>
      <c r="DE646" s="35"/>
      <c r="DF646" s="35"/>
      <c r="DG646" s="35"/>
      <c r="DH646" s="35"/>
      <c r="DI646" s="35"/>
      <c r="DJ646" s="35"/>
    </row>
    <row r="647" spans="1:114" x14ac:dyDescent="0.25">
      <c r="A647" s="34"/>
      <c r="B647" s="34"/>
      <c r="C647" s="34"/>
      <c r="D647" s="34"/>
      <c r="E647" s="34"/>
      <c r="F647" s="34"/>
      <c r="G647" s="34"/>
      <c r="H647" s="34"/>
      <c r="I647" s="34"/>
      <c r="J647" s="34"/>
      <c r="K647" s="34"/>
      <c r="L647" s="34"/>
      <c r="M647" s="34"/>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35"/>
      <c r="BM647" s="35"/>
      <c r="BN647" s="35"/>
      <c r="BO647" s="35"/>
      <c r="BP647" s="35"/>
      <c r="BQ647" s="35"/>
      <c r="BR647" s="35"/>
      <c r="BS647" s="35"/>
      <c r="BT647" s="35"/>
      <c r="BU647" s="35"/>
      <c r="BV647" s="35"/>
      <c r="BW647" s="35"/>
      <c r="BX647" s="35"/>
      <c r="BY647" s="35"/>
      <c r="BZ647" s="35"/>
      <c r="CA647" s="35"/>
      <c r="CB647" s="35"/>
      <c r="CC647" s="35"/>
      <c r="CD647" s="35"/>
      <c r="CE647" s="35"/>
      <c r="CF647" s="35"/>
      <c r="CG647" s="35"/>
      <c r="CH647" s="35"/>
      <c r="CI647" s="35"/>
      <c r="CJ647" s="35"/>
      <c r="CK647" s="35"/>
      <c r="CL647" s="35"/>
      <c r="CM647" s="35"/>
      <c r="CN647" s="35"/>
      <c r="CO647" s="35"/>
      <c r="CP647" s="35"/>
      <c r="CQ647" s="35"/>
      <c r="CR647" s="35"/>
      <c r="CS647" s="35"/>
      <c r="CT647" s="35"/>
      <c r="CU647" s="35"/>
      <c r="CV647" s="35"/>
      <c r="CW647" s="35"/>
      <c r="CX647" s="35"/>
      <c r="CY647" s="35"/>
      <c r="CZ647" s="35"/>
      <c r="DA647" s="35"/>
      <c r="DB647" s="35"/>
      <c r="DC647" s="35"/>
      <c r="DD647" s="35"/>
      <c r="DE647" s="35"/>
      <c r="DF647" s="35"/>
      <c r="DG647" s="35"/>
      <c r="DH647" s="35"/>
      <c r="DI647" s="35"/>
      <c r="DJ647" s="35"/>
    </row>
    <row r="648" spans="1:114" x14ac:dyDescent="0.25">
      <c r="A648" s="34"/>
      <c r="B648" s="34"/>
      <c r="C648" s="34"/>
      <c r="D648" s="34"/>
      <c r="E648" s="34"/>
      <c r="F648" s="34"/>
      <c r="G648" s="34"/>
      <c r="H648" s="34"/>
      <c r="I648" s="34"/>
      <c r="J648" s="34"/>
      <c r="K648" s="34"/>
      <c r="L648" s="34"/>
      <c r="M648" s="34"/>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35"/>
      <c r="BM648" s="35"/>
      <c r="BN648" s="35"/>
      <c r="BO648" s="35"/>
      <c r="BP648" s="35"/>
      <c r="BQ648" s="35"/>
      <c r="BR648" s="35"/>
      <c r="BS648" s="35"/>
      <c r="BT648" s="35"/>
      <c r="BU648" s="35"/>
      <c r="BV648" s="35"/>
      <c r="BW648" s="35"/>
      <c r="BX648" s="35"/>
      <c r="BY648" s="35"/>
      <c r="BZ648" s="35"/>
      <c r="CA648" s="35"/>
      <c r="CB648" s="35"/>
      <c r="CC648" s="35"/>
      <c r="CD648" s="35"/>
      <c r="CE648" s="35"/>
      <c r="CF648" s="35"/>
      <c r="CG648" s="35"/>
      <c r="CH648" s="35"/>
      <c r="CI648" s="35"/>
      <c r="CJ648" s="35"/>
      <c r="CK648" s="35"/>
      <c r="CL648" s="35"/>
      <c r="CM648" s="35"/>
      <c r="CN648" s="35"/>
      <c r="CO648" s="35"/>
      <c r="CP648" s="35"/>
      <c r="CQ648" s="35"/>
      <c r="CR648" s="35"/>
      <c r="CS648" s="35"/>
      <c r="CT648" s="35"/>
      <c r="CU648" s="35"/>
      <c r="CV648" s="35"/>
      <c r="CW648" s="35"/>
      <c r="CX648" s="35"/>
      <c r="CY648" s="35"/>
      <c r="CZ648" s="35"/>
      <c r="DA648" s="35"/>
      <c r="DB648" s="35"/>
      <c r="DC648" s="35"/>
      <c r="DD648" s="35"/>
      <c r="DE648" s="35"/>
      <c r="DF648" s="35"/>
      <c r="DG648" s="35"/>
      <c r="DH648" s="35"/>
      <c r="DI648" s="35"/>
      <c r="DJ648" s="35"/>
    </row>
    <row r="649" spans="1:114" x14ac:dyDescent="0.25">
      <c r="A649" s="34"/>
      <c r="B649" s="34"/>
      <c r="C649" s="34"/>
      <c r="D649" s="34"/>
      <c r="E649" s="34"/>
      <c r="F649" s="34"/>
      <c r="G649" s="34"/>
      <c r="H649" s="34"/>
      <c r="I649" s="34"/>
      <c r="J649" s="34"/>
      <c r="K649" s="34"/>
      <c r="L649" s="34"/>
      <c r="M649" s="34"/>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c r="AW649" s="35"/>
      <c r="AX649" s="35"/>
      <c r="AY649" s="35"/>
      <c r="AZ649" s="35"/>
      <c r="BA649" s="35"/>
      <c r="BB649" s="35"/>
      <c r="BC649" s="35"/>
      <c r="BD649" s="35"/>
      <c r="BE649" s="35"/>
      <c r="BF649" s="35"/>
      <c r="BG649" s="35"/>
      <c r="BH649" s="35"/>
      <c r="BI649" s="35"/>
      <c r="BJ649" s="35"/>
      <c r="BK649" s="35"/>
      <c r="BL649" s="35"/>
      <c r="BM649" s="35"/>
      <c r="BN649" s="35"/>
      <c r="BO649" s="35"/>
      <c r="BP649" s="35"/>
      <c r="BQ649" s="35"/>
      <c r="BR649" s="35"/>
      <c r="BS649" s="35"/>
      <c r="BT649" s="35"/>
      <c r="BU649" s="35"/>
      <c r="BV649" s="35"/>
      <c r="BW649" s="35"/>
      <c r="BX649" s="35"/>
      <c r="BY649" s="35"/>
      <c r="BZ649" s="35"/>
      <c r="CA649" s="35"/>
      <c r="CB649" s="35"/>
      <c r="CC649" s="35"/>
      <c r="CD649" s="35"/>
      <c r="CE649" s="35"/>
      <c r="CF649" s="35"/>
      <c r="CG649" s="35"/>
      <c r="CH649" s="35"/>
      <c r="CI649" s="35"/>
      <c r="CJ649" s="35"/>
      <c r="CK649" s="35"/>
      <c r="CL649" s="35"/>
      <c r="CM649" s="35"/>
      <c r="CN649" s="35"/>
      <c r="CO649" s="35"/>
      <c r="CP649" s="35"/>
      <c r="CQ649" s="35"/>
      <c r="CR649" s="35"/>
      <c r="CS649" s="35"/>
      <c r="CT649" s="35"/>
      <c r="CU649" s="35"/>
      <c r="CV649" s="35"/>
      <c r="CW649" s="35"/>
      <c r="CX649" s="35"/>
      <c r="CY649" s="35"/>
      <c r="CZ649" s="35"/>
      <c r="DA649" s="35"/>
      <c r="DB649" s="35"/>
      <c r="DC649" s="35"/>
      <c r="DD649" s="35"/>
      <c r="DE649" s="35"/>
      <c r="DF649" s="35"/>
      <c r="DG649" s="35"/>
      <c r="DH649" s="35"/>
      <c r="DI649" s="35"/>
      <c r="DJ649" s="35"/>
    </row>
    <row r="650" spans="1:114" x14ac:dyDescent="0.25">
      <c r="A650" s="34"/>
      <c r="B650" s="34"/>
      <c r="C650" s="34"/>
      <c r="D650" s="34"/>
      <c r="E650" s="34"/>
      <c r="F650" s="34"/>
      <c r="G650" s="34"/>
      <c r="H650" s="34"/>
      <c r="I650" s="34"/>
      <c r="J650" s="34"/>
      <c r="K650" s="34"/>
      <c r="L650" s="34"/>
      <c r="M650" s="34"/>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c r="AW650" s="35"/>
      <c r="AX650" s="35"/>
      <c r="AY650" s="35"/>
      <c r="AZ650" s="35"/>
      <c r="BA650" s="35"/>
      <c r="BB650" s="35"/>
      <c r="BC650" s="35"/>
      <c r="BD650" s="35"/>
      <c r="BE650" s="35"/>
      <c r="BF650" s="35"/>
      <c r="BG650" s="35"/>
      <c r="BH650" s="35"/>
      <c r="BI650" s="35"/>
      <c r="BJ650" s="35"/>
      <c r="BK650" s="35"/>
      <c r="BL650" s="35"/>
      <c r="BM650" s="35"/>
      <c r="BN650" s="35"/>
      <c r="BO650" s="35"/>
      <c r="BP650" s="35"/>
      <c r="BQ650" s="35"/>
      <c r="BR650" s="35"/>
      <c r="BS650" s="35"/>
      <c r="BT650" s="35"/>
      <c r="BU650" s="35"/>
      <c r="BV650" s="35"/>
      <c r="BW650" s="35"/>
      <c r="BX650" s="35"/>
      <c r="BY650" s="35"/>
      <c r="BZ650" s="35"/>
      <c r="CA650" s="35"/>
      <c r="CB650" s="35"/>
      <c r="CC650" s="35"/>
      <c r="CD650" s="35"/>
      <c r="CE650" s="35"/>
      <c r="CF650" s="35"/>
      <c r="CG650" s="35"/>
      <c r="CH650" s="35"/>
      <c r="CI650" s="35"/>
      <c r="CJ650" s="35"/>
      <c r="CK650" s="35"/>
      <c r="CL650" s="35"/>
      <c r="CM650" s="35"/>
      <c r="CN650" s="35"/>
      <c r="CO650" s="35"/>
      <c r="CP650" s="35"/>
      <c r="CQ650" s="35"/>
      <c r="CR650" s="35"/>
      <c r="CS650" s="35"/>
      <c r="CT650" s="35"/>
      <c r="CU650" s="35"/>
      <c r="CV650" s="35"/>
      <c r="CW650" s="35"/>
      <c r="CX650" s="35"/>
      <c r="CY650" s="35"/>
      <c r="CZ650" s="35"/>
      <c r="DA650" s="35"/>
      <c r="DB650" s="35"/>
      <c r="DC650" s="35"/>
      <c r="DD650" s="35"/>
      <c r="DE650" s="35"/>
      <c r="DF650" s="35"/>
      <c r="DG650" s="35"/>
      <c r="DH650" s="35"/>
      <c r="DI650" s="35"/>
      <c r="DJ650" s="35"/>
    </row>
    <row r="651" spans="1:114" x14ac:dyDescent="0.25">
      <c r="A651" s="34"/>
      <c r="B651" s="34"/>
      <c r="C651" s="34"/>
      <c r="D651" s="34"/>
      <c r="E651" s="34"/>
      <c r="F651" s="34"/>
      <c r="G651" s="34"/>
      <c r="H651" s="34"/>
      <c r="I651" s="34"/>
      <c r="J651" s="34"/>
      <c r="K651" s="34"/>
      <c r="L651" s="34"/>
      <c r="M651" s="34"/>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c r="AU651" s="35"/>
      <c r="AV651" s="35"/>
      <c r="AW651" s="35"/>
      <c r="AX651" s="35"/>
      <c r="AY651" s="35"/>
      <c r="AZ651" s="35"/>
      <c r="BA651" s="35"/>
      <c r="BB651" s="35"/>
      <c r="BC651" s="35"/>
      <c r="BD651" s="35"/>
      <c r="BE651" s="35"/>
      <c r="BF651" s="35"/>
      <c r="BG651" s="35"/>
      <c r="BH651" s="35"/>
      <c r="BI651" s="35"/>
      <c r="BJ651" s="35"/>
      <c r="BK651" s="35"/>
      <c r="BL651" s="35"/>
      <c r="BM651" s="35"/>
      <c r="BN651" s="35"/>
      <c r="BO651" s="35"/>
      <c r="BP651" s="35"/>
      <c r="BQ651" s="35"/>
      <c r="BR651" s="35"/>
      <c r="BS651" s="35"/>
      <c r="BT651" s="35"/>
      <c r="BU651" s="35"/>
      <c r="BV651" s="35"/>
      <c r="BW651" s="35"/>
      <c r="BX651" s="35"/>
      <c r="BY651" s="35"/>
      <c r="BZ651" s="35"/>
      <c r="CA651" s="35"/>
      <c r="CB651" s="35"/>
      <c r="CC651" s="35"/>
      <c r="CD651" s="35"/>
      <c r="CE651" s="35"/>
      <c r="CF651" s="35"/>
      <c r="CG651" s="35"/>
      <c r="CH651" s="35"/>
      <c r="CI651" s="35"/>
      <c r="CJ651" s="35"/>
      <c r="CK651" s="35"/>
      <c r="CL651" s="35"/>
      <c r="CM651" s="35"/>
      <c r="CN651" s="35"/>
      <c r="CO651" s="35"/>
      <c r="CP651" s="35"/>
      <c r="CQ651" s="35"/>
      <c r="CR651" s="35"/>
      <c r="CS651" s="35"/>
      <c r="CT651" s="35"/>
      <c r="CU651" s="35"/>
      <c r="CV651" s="35"/>
      <c r="CW651" s="35"/>
      <c r="CX651" s="35"/>
      <c r="CY651" s="35"/>
      <c r="CZ651" s="35"/>
      <c r="DA651" s="35"/>
      <c r="DB651" s="35"/>
      <c r="DC651" s="35"/>
      <c r="DD651" s="35"/>
      <c r="DE651" s="35"/>
      <c r="DF651" s="35"/>
      <c r="DG651" s="35"/>
      <c r="DH651" s="35"/>
      <c r="DI651" s="35"/>
      <c r="DJ651" s="35"/>
    </row>
    <row r="652" spans="1:114" x14ac:dyDescent="0.25">
      <c r="A652" s="34"/>
      <c r="B652" s="34"/>
      <c r="C652" s="34"/>
      <c r="D652" s="34"/>
      <c r="E652" s="34"/>
      <c r="F652" s="34"/>
      <c r="G652" s="34"/>
      <c r="H652" s="34"/>
      <c r="I652" s="34"/>
      <c r="J652" s="34"/>
      <c r="K652" s="34"/>
      <c r="L652" s="34"/>
      <c r="M652" s="34"/>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c r="AW652" s="35"/>
      <c r="AX652" s="35"/>
      <c r="AY652" s="35"/>
      <c r="AZ652" s="35"/>
      <c r="BA652" s="35"/>
      <c r="BB652" s="35"/>
      <c r="BC652" s="35"/>
      <c r="BD652" s="35"/>
      <c r="BE652" s="35"/>
      <c r="BF652" s="35"/>
      <c r="BG652" s="35"/>
      <c r="BH652" s="35"/>
      <c r="BI652" s="35"/>
      <c r="BJ652" s="35"/>
      <c r="BK652" s="35"/>
      <c r="BL652" s="35"/>
      <c r="BM652" s="35"/>
      <c r="BN652" s="35"/>
      <c r="BO652" s="35"/>
      <c r="BP652" s="35"/>
      <c r="BQ652" s="35"/>
      <c r="BR652" s="35"/>
      <c r="BS652" s="35"/>
      <c r="BT652" s="35"/>
      <c r="BU652" s="35"/>
      <c r="BV652" s="35"/>
      <c r="BW652" s="35"/>
      <c r="BX652" s="35"/>
      <c r="BY652" s="35"/>
      <c r="BZ652" s="35"/>
      <c r="CA652" s="35"/>
      <c r="CB652" s="35"/>
      <c r="CC652" s="35"/>
      <c r="CD652" s="35"/>
      <c r="CE652" s="35"/>
      <c r="CF652" s="35"/>
      <c r="CG652" s="35"/>
      <c r="CH652" s="35"/>
      <c r="CI652" s="35"/>
      <c r="CJ652" s="35"/>
      <c r="CK652" s="35"/>
      <c r="CL652" s="35"/>
      <c r="CM652" s="35"/>
      <c r="CN652" s="35"/>
      <c r="CO652" s="35"/>
      <c r="CP652" s="35"/>
      <c r="CQ652" s="35"/>
      <c r="CR652" s="35"/>
      <c r="CS652" s="35"/>
      <c r="CT652" s="35"/>
      <c r="CU652" s="35"/>
      <c r="CV652" s="35"/>
      <c r="CW652" s="35"/>
      <c r="CX652" s="35"/>
      <c r="CY652" s="35"/>
      <c r="CZ652" s="35"/>
      <c r="DA652" s="35"/>
      <c r="DB652" s="35"/>
      <c r="DC652" s="35"/>
      <c r="DD652" s="35"/>
      <c r="DE652" s="35"/>
      <c r="DF652" s="35"/>
      <c r="DG652" s="35"/>
      <c r="DH652" s="35"/>
      <c r="DI652" s="35"/>
      <c r="DJ652" s="35"/>
    </row>
    <row r="653" spans="1:114" x14ac:dyDescent="0.25">
      <c r="A653" s="34"/>
      <c r="B653" s="34"/>
      <c r="C653" s="34"/>
      <c r="D653" s="34"/>
      <c r="E653" s="34"/>
      <c r="F653" s="34"/>
      <c r="G653" s="34"/>
      <c r="H653" s="34"/>
      <c r="I653" s="34"/>
      <c r="J653" s="34"/>
      <c r="K653" s="34"/>
      <c r="L653" s="34"/>
      <c r="M653" s="34"/>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35"/>
      <c r="AV653" s="35"/>
      <c r="AW653" s="35"/>
      <c r="AX653" s="35"/>
      <c r="AY653" s="35"/>
      <c r="AZ653" s="35"/>
      <c r="BA653" s="35"/>
      <c r="BB653" s="35"/>
      <c r="BC653" s="35"/>
      <c r="BD653" s="35"/>
      <c r="BE653" s="35"/>
      <c r="BF653" s="35"/>
      <c r="BG653" s="35"/>
      <c r="BH653" s="35"/>
      <c r="BI653" s="35"/>
      <c r="BJ653" s="35"/>
      <c r="BK653" s="35"/>
      <c r="BL653" s="35"/>
      <c r="BM653" s="35"/>
      <c r="BN653" s="35"/>
      <c r="BO653" s="35"/>
      <c r="BP653" s="35"/>
      <c r="BQ653" s="35"/>
      <c r="BR653" s="35"/>
      <c r="BS653" s="35"/>
      <c r="BT653" s="35"/>
      <c r="BU653" s="35"/>
      <c r="BV653" s="35"/>
      <c r="BW653" s="35"/>
      <c r="BX653" s="35"/>
      <c r="BY653" s="35"/>
      <c r="BZ653" s="35"/>
      <c r="CA653" s="35"/>
      <c r="CB653" s="35"/>
      <c r="CC653" s="35"/>
      <c r="CD653" s="35"/>
      <c r="CE653" s="35"/>
      <c r="CF653" s="35"/>
      <c r="CG653" s="35"/>
      <c r="CH653" s="35"/>
      <c r="CI653" s="35"/>
      <c r="CJ653" s="35"/>
      <c r="CK653" s="35"/>
      <c r="CL653" s="35"/>
      <c r="CM653" s="35"/>
      <c r="CN653" s="35"/>
      <c r="CO653" s="35"/>
      <c r="CP653" s="35"/>
      <c r="CQ653" s="35"/>
      <c r="CR653" s="35"/>
      <c r="CS653" s="35"/>
      <c r="CT653" s="35"/>
      <c r="CU653" s="35"/>
      <c r="CV653" s="35"/>
      <c r="CW653" s="35"/>
      <c r="CX653" s="35"/>
      <c r="CY653" s="35"/>
      <c r="CZ653" s="35"/>
      <c r="DA653" s="35"/>
      <c r="DB653" s="35"/>
      <c r="DC653" s="35"/>
      <c r="DD653" s="35"/>
      <c r="DE653" s="35"/>
      <c r="DF653" s="35"/>
      <c r="DG653" s="35"/>
      <c r="DH653" s="35"/>
      <c r="DI653" s="35"/>
      <c r="DJ653" s="35"/>
    </row>
    <row r="654" spans="1:114" x14ac:dyDescent="0.25">
      <c r="A654" s="34"/>
      <c r="B654" s="34"/>
      <c r="C654" s="34"/>
      <c r="D654" s="34"/>
      <c r="E654" s="34"/>
      <c r="F654" s="34"/>
      <c r="G654" s="34"/>
      <c r="H654" s="34"/>
      <c r="I654" s="34"/>
      <c r="J654" s="34"/>
      <c r="K654" s="34"/>
      <c r="L654" s="34"/>
      <c r="M654" s="34"/>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c r="BO654" s="35"/>
      <c r="BP654" s="35"/>
      <c r="BQ654" s="35"/>
      <c r="BR654" s="35"/>
      <c r="BS654" s="35"/>
      <c r="BT654" s="35"/>
      <c r="BU654" s="35"/>
      <c r="BV654" s="35"/>
      <c r="BW654" s="35"/>
      <c r="BX654" s="35"/>
      <c r="BY654" s="35"/>
      <c r="BZ654" s="35"/>
      <c r="CA654" s="35"/>
      <c r="CB654" s="35"/>
      <c r="CC654" s="35"/>
      <c r="CD654" s="35"/>
      <c r="CE654" s="35"/>
      <c r="CF654" s="35"/>
      <c r="CG654" s="35"/>
      <c r="CH654" s="35"/>
      <c r="CI654" s="35"/>
      <c r="CJ654" s="35"/>
      <c r="CK654" s="35"/>
      <c r="CL654" s="35"/>
      <c r="CM654" s="35"/>
      <c r="CN654" s="35"/>
      <c r="CO654" s="35"/>
      <c r="CP654" s="35"/>
      <c r="CQ654" s="35"/>
      <c r="CR654" s="35"/>
      <c r="CS654" s="35"/>
      <c r="CT654" s="35"/>
      <c r="CU654" s="35"/>
      <c r="CV654" s="35"/>
      <c r="CW654" s="35"/>
      <c r="CX654" s="35"/>
      <c r="CY654" s="35"/>
      <c r="CZ654" s="35"/>
      <c r="DA654" s="35"/>
      <c r="DB654" s="35"/>
      <c r="DC654" s="35"/>
      <c r="DD654" s="35"/>
      <c r="DE654" s="35"/>
      <c r="DF654" s="35"/>
      <c r="DG654" s="35"/>
      <c r="DH654" s="35"/>
      <c r="DI654" s="35"/>
      <c r="DJ654" s="35"/>
    </row>
    <row r="655" spans="1:114" x14ac:dyDescent="0.25">
      <c r="A655" s="34"/>
      <c r="B655" s="34"/>
      <c r="C655" s="34"/>
      <c r="D655" s="34"/>
      <c r="E655" s="34"/>
      <c r="F655" s="34"/>
      <c r="G655" s="34"/>
      <c r="H655" s="34"/>
      <c r="I655" s="34"/>
      <c r="J655" s="34"/>
      <c r="K655" s="34"/>
      <c r="L655" s="34"/>
      <c r="M655" s="34"/>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c r="BN655" s="35"/>
      <c r="BO655" s="35"/>
      <c r="BP655" s="35"/>
      <c r="BQ655" s="35"/>
      <c r="BR655" s="35"/>
      <c r="BS655" s="35"/>
      <c r="BT655" s="35"/>
      <c r="BU655" s="35"/>
      <c r="BV655" s="35"/>
      <c r="BW655" s="35"/>
      <c r="BX655" s="35"/>
      <c r="BY655" s="35"/>
      <c r="BZ655" s="35"/>
      <c r="CA655" s="35"/>
      <c r="CB655" s="35"/>
      <c r="CC655" s="35"/>
      <c r="CD655" s="35"/>
      <c r="CE655" s="35"/>
      <c r="CF655" s="35"/>
      <c r="CG655" s="35"/>
      <c r="CH655" s="35"/>
      <c r="CI655" s="35"/>
      <c r="CJ655" s="35"/>
      <c r="CK655" s="35"/>
      <c r="CL655" s="35"/>
      <c r="CM655" s="35"/>
      <c r="CN655" s="35"/>
      <c r="CO655" s="35"/>
      <c r="CP655" s="35"/>
      <c r="CQ655" s="35"/>
      <c r="CR655" s="35"/>
      <c r="CS655" s="35"/>
      <c r="CT655" s="35"/>
      <c r="CU655" s="35"/>
      <c r="CV655" s="35"/>
      <c r="CW655" s="35"/>
      <c r="CX655" s="35"/>
      <c r="CY655" s="35"/>
      <c r="CZ655" s="35"/>
      <c r="DA655" s="35"/>
      <c r="DB655" s="35"/>
      <c r="DC655" s="35"/>
      <c r="DD655" s="35"/>
      <c r="DE655" s="35"/>
      <c r="DF655" s="35"/>
      <c r="DG655" s="35"/>
      <c r="DH655" s="35"/>
      <c r="DI655" s="35"/>
      <c r="DJ655" s="35"/>
    </row>
    <row r="656" spans="1:114" x14ac:dyDescent="0.25">
      <c r="A656" s="34"/>
      <c r="B656" s="34"/>
      <c r="C656" s="34"/>
      <c r="D656" s="34"/>
      <c r="E656" s="34"/>
      <c r="F656" s="34"/>
      <c r="G656" s="34"/>
      <c r="H656" s="34"/>
      <c r="I656" s="34"/>
      <c r="J656" s="34"/>
      <c r="K656" s="34"/>
      <c r="L656" s="34"/>
      <c r="M656" s="34"/>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c r="BN656" s="35"/>
      <c r="BO656" s="35"/>
      <c r="BP656" s="35"/>
      <c r="BQ656" s="35"/>
      <c r="BR656" s="35"/>
      <c r="BS656" s="35"/>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35"/>
      <c r="DG656" s="35"/>
      <c r="DH656" s="35"/>
      <c r="DI656" s="35"/>
      <c r="DJ656" s="35"/>
    </row>
    <row r="657" spans="1:114" x14ac:dyDescent="0.25">
      <c r="A657" s="34"/>
      <c r="B657" s="34"/>
      <c r="C657" s="34"/>
      <c r="D657" s="34"/>
      <c r="E657" s="34"/>
      <c r="F657" s="34"/>
      <c r="G657" s="34"/>
      <c r="H657" s="34"/>
      <c r="I657" s="34"/>
      <c r="J657" s="34"/>
      <c r="K657" s="34"/>
      <c r="L657" s="34"/>
      <c r="M657" s="34"/>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c r="BN657" s="35"/>
      <c r="BO657" s="35"/>
      <c r="BP657" s="35"/>
      <c r="BQ657" s="35"/>
      <c r="BR657" s="35"/>
      <c r="BS657" s="35"/>
      <c r="BT657" s="35"/>
      <c r="BU657" s="35"/>
      <c r="BV657" s="35"/>
      <c r="BW657" s="35"/>
      <c r="BX657" s="35"/>
      <c r="BY657" s="35"/>
      <c r="BZ657" s="35"/>
      <c r="CA657" s="35"/>
      <c r="CB657" s="35"/>
      <c r="CC657" s="35"/>
      <c r="CD657" s="35"/>
      <c r="CE657" s="35"/>
      <c r="CF657" s="35"/>
      <c r="CG657" s="35"/>
      <c r="CH657" s="35"/>
      <c r="CI657" s="35"/>
      <c r="CJ657" s="35"/>
      <c r="CK657" s="35"/>
      <c r="CL657" s="35"/>
      <c r="CM657" s="35"/>
      <c r="CN657" s="35"/>
      <c r="CO657" s="35"/>
      <c r="CP657" s="35"/>
      <c r="CQ657" s="35"/>
      <c r="CR657" s="35"/>
      <c r="CS657" s="35"/>
      <c r="CT657" s="35"/>
      <c r="CU657" s="35"/>
      <c r="CV657" s="35"/>
      <c r="CW657" s="35"/>
      <c r="CX657" s="35"/>
      <c r="CY657" s="35"/>
      <c r="CZ657" s="35"/>
      <c r="DA657" s="35"/>
      <c r="DB657" s="35"/>
      <c r="DC657" s="35"/>
      <c r="DD657" s="35"/>
      <c r="DE657" s="35"/>
      <c r="DF657" s="35"/>
      <c r="DG657" s="35"/>
      <c r="DH657" s="35"/>
      <c r="DI657" s="35"/>
      <c r="DJ657" s="35"/>
    </row>
    <row r="658" spans="1:114" x14ac:dyDescent="0.25">
      <c r="A658" s="34"/>
      <c r="B658" s="34"/>
      <c r="C658" s="34"/>
      <c r="D658" s="34"/>
      <c r="E658" s="34"/>
      <c r="F658" s="34"/>
      <c r="G658" s="34"/>
      <c r="H658" s="34"/>
      <c r="I658" s="34"/>
      <c r="J658" s="34"/>
      <c r="K658" s="34"/>
      <c r="L658" s="34"/>
      <c r="M658" s="34"/>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AY658" s="35"/>
      <c r="AZ658" s="35"/>
      <c r="BA658" s="35"/>
      <c r="BB658" s="35"/>
      <c r="BC658" s="35"/>
      <c r="BD658" s="35"/>
      <c r="BE658" s="35"/>
      <c r="BF658" s="35"/>
      <c r="BG658" s="35"/>
      <c r="BH658" s="35"/>
      <c r="BI658" s="35"/>
      <c r="BJ658" s="35"/>
      <c r="BK658" s="35"/>
      <c r="BL658" s="35"/>
      <c r="BM658" s="35"/>
      <c r="BN658" s="35"/>
      <c r="BO658" s="35"/>
      <c r="BP658" s="35"/>
      <c r="BQ658" s="35"/>
      <c r="BR658" s="35"/>
      <c r="BS658" s="35"/>
      <c r="BT658" s="35"/>
      <c r="BU658" s="35"/>
      <c r="BV658" s="35"/>
      <c r="BW658" s="35"/>
      <c r="BX658" s="35"/>
      <c r="BY658" s="35"/>
      <c r="BZ658" s="35"/>
      <c r="CA658" s="35"/>
      <c r="CB658" s="35"/>
      <c r="CC658" s="35"/>
      <c r="CD658" s="35"/>
      <c r="CE658" s="35"/>
      <c r="CF658" s="35"/>
      <c r="CG658" s="35"/>
      <c r="CH658" s="35"/>
      <c r="CI658" s="35"/>
      <c r="CJ658" s="35"/>
      <c r="CK658" s="35"/>
      <c r="CL658" s="35"/>
      <c r="CM658" s="35"/>
      <c r="CN658" s="35"/>
      <c r="CO658" s="35"/>
      <c r="CP658" s="35"/>
      <c r="CQ658" s="35"/>
      <c r="CR658" s="35"/>
      <c r="CS658" s="35"/>
      <c r="CT658" s="35"/>
      <c r="CU658" s="35"/>
      <c r="CV658" s="35"/>
      <c r="CW658" s="35"/>
      <c r="CX658" s="35"/>
      <c r="CY658" s="35"/>
      <c r="CZ658" s="35"/>
      <c r="DA658" s="35"/>
      <c r="DB658" s="35"/>
      <c r="DC658" s="35"/>
      <c r="DD658" s="35"/>
      <c r="DE658" s="35"/>
      <c r="DF658" s="35"/>
      <c r="DG658" s="35"/>
      <c r="DH658" s="35"/>
      <c r="DI658" s="35"/>
      <c r="DJ658" s="35"/>
    </row>
    <row r="659" spans="1:114" x14ac:dyDescent="0.25">
      <c r="A659" s="34"/>
      <c r="B659" s="34"/>
      <c r="C659" s="34"/>
      <c r="D659" s="34"/>
      <c r="E659" s="34"/>
      <c r="F659" s="34"/>
      <c r="G659" s="34"/>
      <c r="H659" s="34"/>
      <c r="I659" s="34"/>
      <c r="J659" s="34"/>
      <c r="K659" s="34"/>
      <c r="L659" s="34"/>
      <c r="M659" s="34"/>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c r="BO659" s="35"/>
      <c r="BP659" s="35"/>
      <c r="BQ659" s="35"/>
      <c r="BR659" s="35"/>
      <c r="BS659" s="35"/>
      <c r="BT659" s="35"/>
      <c r="BU659" s="35"/>
      <c r="BV659" s="35"/>
      <c r="BW659" s="35"/>
      <c r="BX659" s="35"/>
      <c r="BY659" s="35"/>
      <c r="BZ659" s="35"/>
      <c r="CA659" s="35"/>
      <c r="CB659" s="35"/>
      <c r="CC659" s="35"/>
      <c r="CD659" s="35"/>
      <c r="CE659" s="35"/>
      <c r="CF659" s="35"/>
      <c r="CG659" s="35"/>
      <c r="CH659" s="35"/>
      <c r="CI659" s="35"/>
      <c r="CJ659" s="35"/>
      <c r="CK659" s="35"/>
      <c r="CL659" s="35"/>
      <c r="CM659" s="35"/>
      <c r="CN659" s="35"/>
      <c r="CO659" s="35"/>
      <c r="CP659" s="35"/>
      <c r="CQ659" s="35"/>
      <c r="CR659" s="35"/>
      <c r="CS659" s="35"/>
      <c r="CT659" s="35"/>
      <c r="CU659" s="35"/>
      <c r="CV659" s="35"/>
      <c r="CW659" s="35"/>
      <c r="CX659" s="35"/>
      <c r="CY659" s="35"/>
      <c r="CZ659" s="35"/>
      <c r="DA659" s="35"/>
      <c r="DB659" s="35"/>
      <c r="DC659" s="35"/>
      <c r="DD659" s="35"/>
      <c r="DE659" s="35"/>
      <c r="DF659" s="35"/>
      <c r="DG659" s="35"/>
      <c r="DH659" s="35"/>
      <c r="DI659" s="35"/>
      <c r="DJ659" s="35"/>
    </row>
    <row r="660" spans="1:114" x14ac:dyDescent="0.25">
      <c r="A660" s="34"/>
      <c r="B660" s="34"/>
      <c r="C660" s="34"/>
      <c r="D660" s="34"/>
      <c r="E660" s="34"/>
      <c r="F660" s="34"/>
      <c r="G660" s="34"/>
      <c r="H660" s="34"/>
      <c r="I660" s="34"/>
      <c r="J660" s="34"/>
      <c r="K660" s="34"/>
      <c r="L660" s="34"/>
      <c r="M660" s="34"/>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c r="AW660" s="35"/>
      <c r="AX660" s="35"/>
      <c r="AY660" s="35"/>
      <c r="AZ660" s="35"/>
      <c r="BA660" s="35"/>
      <c r="BB660" s="35"/>
      <c r="BC660" s="35"/>
      <c r="BD660" s="35"/>
      <c r="BE660" s="35"/>
      <c r="BF660" s="35"/>
      <c r="BG660" s="35"/>
      <c r="BH660" s="35"/>
      <c r="BI660" s="35"/>
      <c r="BJ660" s="35"/>
      <c r="BK660" s="35"/>
      <c r="BL660" s="35"/>
      <c r="BM660" s="35"/>
      <c r="BN660" s="35"/>
      <c r="BO660" s="35"/>
      <c r="BP660" s="35"/>
      <c r="BQ660" s="35"/>
      <c r="BR660" s="35"/>
      <c r="BS660" s="35"/>
      <c r="BT660" s="35"/>
      <c r="BU660" s="35"/>
      <c r="BV660" s="35"/>
      <c r="BW660" s="35"/>
      <c r="BX660" s="35"/>
      <c r="BY660" s="35"/>
      <c r="BZ660" s="35"/>
      <c r="CA660" s="35"/>
      <c r="CB660" s="35"/>
      <c r="CC660" s="35"/>
      <c r="CD660" s="35"/>
      <c r="CE660" s="35"/>
      <c r="CF660" s="35"/>
      <c r="CG660" s="35"/>
      <c r="CH660" s="35"/>
      <c r="CI660" s="35"/>
      <c r="CJ660" s="35"/>
      <c r="CK660" s="35"/>
      <c r="CL660" s="35"/>
      <c r="CM660" s="35"/>
      <c r="CN660" s="35"/>
      <c r="CO660" s="35"/>
      <c r="CP660" s="35"/>
      <c r="CQ660" s="35"/>
      <c r="CR660" s="35"/>
      <c r="CS660" s="35"/>
      <c r="CT660" s="35"/>
      <c r="CU660" s="35"/>
      <c r="CV660" s="35"/>
      <c r="CW660" s="35"/>
      <c r="CX660" s="35"/>
      <c r="CY660" s="35"/>
      <c r="CZ660" s="35"/>
      <c r="DA660" s="35"/>
      <c r="DB660" s="35"/>
      <c r="DC660" s="35"/>
      <c r="DD660" s="35"/>
      <c r="DE660" s="35"/>
      <c r="DF660" s="35"/>
      <c r="DG660" s="35"/>
      <c r="DH660" s="35"/>
      <c r="DI660" s="35"/>
      <c r="DJ660" s="35"/>
    </row>
    <row r="661" spans="1:114" x14ac:dyDescent="0.25">
      <c r="A661" s="34"/>
      <c r="B661" s="34"/>
      <c r="C661" s="34"/>
      <c r="D661" s="34"/>
      <c r="E661" s="34"/>
      <c r="F661" s="34"/>
      <c r="G661" s="34"/>
      <c r="H661" s="34"/>
      <c r="I661" s="34"/>
      <c r="J661" s="34"/>
      <c r="K661" s="34"/>
      <c r="L661" s="34"/>
      <c r="M661" s="34"/>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c r="AW661" s="35"/>
      <c r="AX661" s="35"/>
      <c r="AY661" s="35"/>
      <c r="AZ661" s="35"/>
      <c r="BA661" s="35"/>
      <c r="BB661" s="35"/>
      <c r="BC661" s="35"/>
      <c r="BD661" s="35"/>
      <c r="BE661" s="35"/>
      <c r="BF661" s="35"/>
      <c r="BG661" s="35"/>
      <c r="BH661" s="35"/>
      <c r="BI661" s="35"/>
      <c r="BJ661" s="35"/>
      <c r="BK661" s="35"/>
      <c r="BL661" s="35"/>
      <c r="BM661" s="35"/>
      <c r="BN661" s="35"/>
      <c r="BO661" s="35"/>
      <c r="BP661" s="35"/>
      <c r="BQ661" s="35"/>
      <c r="BR661" s="35"/>
      <c r="BS661" s="35"/>
      <c r="BT661" s="35"/>
      <c r="BU661" s="35"/>
      <c r="BV661" s="35"/>
      <c r="BW661" s="35"/>
      <c r="BX661" s="35"/>
      <c r="BY661" s="35"/>
      <c r="BZ661" s="35"/>
      <c r="CA661" s="35"/>
      <c r="CB661" s="35"/>
      <c r="CC661" s="35"/>
      <c r="CD661" s="35"/>
      <c r="CE661" s="35"/>
      <c r="CF661" s="35"/>
      <c r="CG661" s="35"/>
      <c r="CH661" s="35"/>
      <c r="CI661" s="35"/>
      <c r="CJ661" s="35"/>
      <c r="CK661" s="35"/>
      <c r="CL661" s="35"/>
      <c r="CM661" s="35"/>
      <c r="CN661" s="35"/>
      <c r="CO661" s="35"/>
      <c r="CP661" s="35"/>
      <c r="CQ661" s="35"/>
      <c r="CR661" s="35"/>
      <c r="CS661" s="35"/>
      <c r="CT661" s="35"/>
      <c r="CU661" s="35"/>
      <c r="CV661" s="35"/>
      <c r="CW661" s="35"/>
      <c r="CX661" s="35"/>
      <c r="CY661" s="35"/>
      <c r="CZ661" s="35"/>
      <c r="DA661" s="35"/>
      <c r="DB661" s="35"/>
      <c r="DC661" s="35"/>
      <c r="DD661" s="35"/>
      <c r="DE661" s="35"/>
      <c r="DF661" s="35"/>
      <c r="DG661" s="35"/>
      <c r="DH661" s="35"/>
      <c r="DI661" s="35"/>
      <c r="DJ661" s="35"/>
    </row>
    <row r="662" spans="1:114" x14ac:dyDescent="0.25">
      <c r="A662" s="34"/>
      <c r="B662" s="34"/>
      <c r="C662" s="34"/>
      <c r="D662" s="34"/>
      <c r="E662" s="34"/>
      <c r="F662" s="34"/>
      <c r="G662" s="34"/>
      <c r="H662" s="34"/>
      <c r="I662" s="34"/>
      <c r="J662" s="34"/>
      <c r="K662" s="34"/>
      <c r="L662" s="34"/>
      <c r="M662" s="34"/>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c r="AW662" s="35"/>
      <c r="AX662" s="35"/>
      <c r="AY662" s="35"/>
      <c r="AZ662" s="35"/>
      <c r="BA662" s="35"/>
      <c r="BB662" s="35"/>
      <c r="BC662" s="35"/>
      <c r="BD662" s="35"/>
      <c r="BE662" s="35"/>
      <c r="BF662" s="35"/>
      <c r="BG662" s="35"/>
      <c r="BH662" s="35"/>
      <c r="BI662" s="35"/>
      <c r="BJ662" s="35"/>
      <c r="BK662" s="35"/>
      <c r="BL662" s="35"/>
      <c r="BM662" s="35"/>
      <c r="BN662" s="35"/>
      <c r="BO662" s="35"/>
      <c r="BP662" s="35"/>
      <c r="BQ662" s="35"/>
      <c r="BR662" s="35"/>
      <c r="BS662" s="35"/>
      <c r="BT662" s="35"/>
      <c r="BU662" s="35"/>
      <c r="BV662" s="35"/>
      <c r="BW662" s="35"/>
      <c r="BX662" s="35"/>
      <c r="BY662" s="35"/>
      <c r="BZ662" s="35"/>
      <c r="CA662" s="35"/>
      <c r="CB662" s="35"/>
      <c r="CC662" s="35"/>
      <c r="CD662" s="35"/>
      <c r="CE662" s="35"/>
      <c r="CF662" s="35"/>
      <c r="CG662" s="35"/>
      <c r="CH662" s="35"/>
      <c r="CI662" s="35"/>
      <c r="CJ662" s="35"/>
      <c r="CK662" s="35"/>
      <c r="CL662" s="35"/>
      <c r="CM662" s="35"/>
      <c r="CN662" s="35"/>
      <c r="CO662" s="35"/>
      <c r="CP662" s="35"/>
      <c r="CQ662" s="35"/>
      <c r="CR662" s="35"/>
      <c r="CS662" s="35"/>
      <c r="CT662" s="35"/>
      <c r="CU662" s="35"/>
      <c r="CV662" s="35"/>
      <c r="CW662" s="35"/>
      <c r="CX662" s="35"/>
      <c r="CY662" s="35"/>
      <c r="CZ662" s="35"/>
      <c r="DA662" s="35"/>
      <c r="DB662" s="35"/>
      <c r="DC662" s="35"/>
      <c r="DD662" s="35"/>
      <c r="DE662" s="35"/>
      <c r="DF662" s="35"/>
      <c r="DG662" s="35"/>
      <c r="DH662" s="35"/>
      <c r="DI662" s="35"/>
      <c r="DJ662" s="35"/>
    </row>
    <row r="663" spans="1:114" x14ac:dyDescent="0.25">
      <c r="A663" s="34"/>
      <c r="B663" s="34"/>
      <c r="C663" s="34"/>
      <c r="D663" s="34"/>
      <c r="E663" s="34"/>
      <c r="F663" s="34"/>
      <c r="G663" s="34"/>
      <c r="H663" s="34"/>
      <c r="I663" s="34"/>
      <c r="J663" s="34"/>
      <c r="K663" s="34"/>
      <c r="L663" s="34"/>
      <c r="M663" s="34"/>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c r="BN663" s="35"/>
      <c r="BO663" s="35"/>
      <c r="BP663" s="35"/>
      <c r="BQ663" s="35"/>
      <c r="BR663" s="35"/>
      <c r="BS663" s="35"/>
      <c r="BT663" s="35"/>
      <c r="BU663" s="35"/>
      <c r="BV663" s="35"/>
      <c r="BW663" s="35"/>
      <c r="BX663" s="35"/>
      <c r="BY663" s="35"/>
      <c r="BZ663" s="35"/>
      <c r="CA663" s="35"/>
      <c r="CB663" s="35"/>
      <c r="CC663" s="35"/>
      <c r="CD663" s="35"/>
      <c r="CE663" s="35"/>
      <c r="CF663" s="35"/>
      <c r="CG663" s="35"/>
      <c r="CH663" s="35"/>
      <c r="CI663" s="35"/>
      <c r="CJ663" s="35"/>
      <c r="CK663" s="35"/>
      <c r="CL663" s="35"/>
      <c r="CM663" s="35"/>
      <c r="CN663" s="35"/>
      <c r="CO663" s="35"/>
      <c r="CP663" s="35"/>
      <c r="CQ663" s="35"/>
      <c r="CR663" s="35"/>
      <c r="CS663" s="35"/>
      <c r="CT663" s="35"/>
      <c r="CU663" s="35"/>
      <c r="CV663" s="35"/>
      <c r="CW663" s="35"/>
      <c r="CX663" s="35"/>
      <c r="CY663" s="35"/>
      <c r="CZ663" s="35"/>
      <c r="DA663" s="35"/>
      <c r="DB663" s="35"/>
      <c r="DC663" s="35"/>
      <c r="DD663" s="35"/>
      <c r="DE663" s="35"/>
      <c r="DF663" s="35"/>
      <c r="DG663" s="35"/>
      <c r="DH663" s="35"/>
      <c r="DI663" s="35"/>
      <c r="DJ663" s="35"/>
    </row>
    <row r="664" spans="1:114" x14ac:dyDescent="0.25">
      <c r="A664" s="34"/>
      <c r="B664" s="34"/>
      <c r="C664" s="34"/>
      <c r="D664" s="34"/>
      <c r="E664" s="34"/>
      <c r="F664" s="34"/>
      <c r="G664" s="34"/>
      <c r="H664" s="34"/>
      <c r="I664" s="34"/>
      <c r="J664" s="34"/>
      <c r="K664" s="34"/>
      <c r="L664" s="34"/>
      <c r="M664" s="34"/>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c r="BO664" s="35"/>
      <c r="BP664" s="35"/>
      <c r="BQ664" s="35"/>
      <c r="BR664" s="35"/>
      <c r="BS664" s="35"/>
      <c r="BT664" s="35"/>
      <c r="BU664" s="35"/>
      <c r="BV664" s="35"/>
      <c r="BW664" s="35"/>
      <c r="BX664" s="35"/>
      <c r="BY664" s="35"/>
      <c r="BZ664" s="35"/>
      <c r="CA664" s="35"/>
      <c r="CB664" s="35"/>
      <c r="CC664" s="35"/>
      <c r="CD664" s="35"/>
      <c r="CE664" s="35"/>
      <c r="CF664" s="35"/>
      <c r="CG664" s="35"/>
      <c r="CH664" s="35"/>
      <c r="CI664" s="35"/>
      <c r="CJ664" s="35"/>
      <c r="CK664" s="35"/>
      <c r="CL664" s="35"/>
      <c r="CM664" s="35"/>
      <c r="CN664" s="35"/>
      <c r="CO664" s="35"/>
      <c r="CP664" s="35"/>
      <c r="CQ664" s="35"/>
      <c r="CR664" s="35"/>
      <c r="CS664" s="35"/>
      <c r="CT664" s="35"/>
      <c r="CU664" s="35"/>
      <c r="CV664" s="35"/>
      <c r="CW664" s="35"/>
      <c r="CX664" s="35"/>
      <c r="CY664" s="35"/>
      <c r="CZ664" s="35"/>
      <c r="DA664" s="35"/>
      <c r="DB664" s="35"/>
      <c r="DC664" s="35"/>
      <c r="DD664" s="35"/>
      <c r="DE664" s="35"/>
      <c r="DF664" s="35"/>
      <c r="DG664" s="35"/>
      <c r="DH664" s="35"/>
      <c r="DI664" s="35"/>
      <c r="DJ664" s="35"/>
    </row>
    <row r="665" spans="1:114" x14ac:dyDescent="0.25">
      <c r="A665" s="34"/>
      <c r="B665" s="34"/>
      <c r="C665" s="34"/>
      <c r="D665" s="34"/>
      <c r="E665" s="34"/>
      <c r="F665" s="34"/>
      <c r="G665" s="34"/>
      <c r="H665" s="34"/>
      <c r="I665" s="34"/>
      <c r="J665" s="34"/>
      <c r="K665" s="34"/>
      <c r="L665" s="34"/>
      <c r="M665" s="34"/>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c r="AW665" s="35"/>
      <c r="AX665" s="35"/>
      <c r="AY665" s="35"/>
      <c r="AZ665" s="35"/>
      <c r="BA665" s="35"/>
      <c r="BB665" s="35"/>
      <c r="BC665" s="35"/>
      <c r="BD665" s="35"/>
      <c r="BE665" s="35"/>
      <c r="BF665" s="35"/>
      <c r="BG665" s="35"/>
      <c r="BH665" s="35"/>
      <c r="BI665" s="35"/>
      <c r="BJ665" s="35"/>
      <c r="BK665" s="35"/>
      <c r="BL665" s="35"/>
      <c r="BM665" s="35"/>
      <c r="BN665" s="35"/>
      <c r="BO665" s="35"/>
      <c r="BP665" s="35"/>
      <c r="BQ665" s="35"/>
      <c r="BR665" s="35"/>
      <c r="BS665" s="35"/>
      <c r="BT665" s="35"/>
      <c r="BU665" s="35"/>
      <c r="BV665" s="35"/>
      <c r="BW665" s="35"/>
      <c r="BX665" s="35"/>
      <c r="BY665" s="35"/>
      <c r="BZ665" s="35"/>
      <c r="CA665" s="35"/>
      <c r="CB665" s="35"/>
      <c r="CC665" s="35"/>
      <c r="CD665" s="35"/>
      <c r="CE665" s="35"/>
      <c r="CF665" s="35"/>
      <c r="CG665" s="35"/>
      <c r="CH665" s="35"/>
      <c r="CI665" s="35"/>
      <c r="CJ665" s="35"/>
      <c r="CK665" s="35"/>
      <c r="CL665" s="35"/>
      <c r="CM665" s="35"/>
      <c r="CN665" s="35"/>
      <c r="CO665" s="35"/>
      <c r="CP665" s="35"/>
      <c r="CQ665" s="35"/>
      <c r="CR665" s="35"/>
      <c r="CS665" s="35"/>
      <c r="CT665" s="35"/>
      <c r="CU665" s="35"/>
      <c r="CV665" s="35"/>
      <c r="CW665" s="35"/>
      <c r="CX665" s="35"/>
      <c r="CY665" s="35"/>
      <c r="CZ665" s="35"/>
      <c r="DA665" s="35"/>
      <c r="DB665" s="35"/>
      <c r="DC665" s="35"/>
      <c r="DD665" s="35"/>
      <c r="DE665" s="35"/>
      <c r="DF665" s="35"/>
      <c r="DG665" s="35"/>
      <c r="DH665" s="35"/>
      <c r="DI665" s="35"/>
      <c r="DJ665" s="35"/>
    </row>
    <row r="666" spans="1:114" x14ac:dyDescent="0.25">
      <c r="A666" s="34"/>
      <c r="B666" s="34"/>
      <c r="C666" s="34"/>
      <c r="D666" s="34"/>
      <c r="E666" s="34"/>
      <c r="F666" s="34"/>
      <c r="G666" s="34"/>
      <c r="H666" s="34"/>
      <c r="I666" s="34"/>
      <c r="J666" s="34"/>
      <c r="K666" s="34"/>
      <c r="L666" s="34"/>
      <c r="M666" s="34"/>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35"/>
      <c r="CO666" s="35"/>
      <c r="CP666" s="35"/>
      <c r="CQ666" s="35"/>
      <c r="CR666" s="35"/>
      <c r="CS666" s="35"/>
      <c r="CT666" s="35"/>
      <c r="CU666" s="35"/>
      <c r="CV666" s="35"/>
      <c r="CW666" s="35"/>
      <c r="CX666" s="35"/>
      <c r="CY666" s="35"/>
      <c r="CZ666" s="35"/>
      <c r="DA666" s="35"/>
      <c r="DB666" s="35"/>
      <c r="DC666" s="35"/>
      <c r="DD666" s="35"/>
      <c r="DE666" s="35"/>
      <c r="DF666" s="35"/>
      <c r="DG666" s="35"/>
      <c r="DH666" s="35"/>
      <c r="DI666" s="35"/>
      <c r="DJ666" s="35"/>
    </row>
    <row r="667" spans="1:114" x14ac:dyDescent="0.25">
      <c r="A667" s="34"/>
      <c r="B667" s="34"/>
      <c r="C667" s="34"/>
      <c r="D667" s="34"/>
      <c r="E667" s="34"/>
      <c r="F667" s="34"/>
      <c r="G667" s="34"/>
      <c r="H667" s="34"/>
      <c r="I667" s="34"/>
      <c r="J667" s="34"/>
      <c r="K667" s="34"/>
      <c r="L667" s="34"/>
      <c r="M667" s="34"/>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c r="AU667" s="35"/>
      <c r="AV667" s="35"/>
      <c r="AW667" s="35"/>
      <c r="AX667" s="35"/>
      <c r="AY667" s="35"/>
      <c r="AZ667" s="35"/>
      <c r="BA667" s="35"/>
      <c r="BB667" s="35"/>
      <c r="BC667" s="35"/>
      <c r="BD667" s="35"/>
      <c r="BE667" s="35"/>
      <c r="BF667" s="35"/>
      <c r="BG667" s="35"/>
      <c r="BH667" s="35"/>
      <c r="BI667" s="35"/>
      <c r="BJ667" s="35"/>
      <c r="BK667" s="35"/>
      <c r="BL667" s="35"/>
      <c r="BM667" s="35"/>
      <c r="BN667" s="35"/>
      <c r="BO667" s="35"/>
      <c r="BP667" s="35"/>
      <c r="BQ667" s="35"/>
      <c r="BR667" s="35"/>
      <c r="BS667" s="35"/>
      <c r="BT667" s="35"/>
      <c r="BU667" s="35"/>
      <c r="BV667" s="35"/>
      <c r="BW667" s="35"/>
      <c r="BX667" s="35"/>
      <c r="BY667" s="35"/>
      <c r="BZ667" s="35"/>
      <c r="CA667" s="35"/>
      <c r="CB667" s="35"/>
      <c r="CC667" s="35"/>
      <c r="CD667" s="35"/>
      <c r="CE667" s="35"/>
      <c r="CF667" s="35"/>
      <c r="CG667" s="35"/>
      <c r="CH667" s="35"/>
      <c r="CI667" s="35"/>
      <c r="CJ667" s="35"/>
      <c r="CK667" s="35"/>
      <c r="CL667" s="35"/>
      <c r="CM667" s="35"/>
      <c r="CN667" s="35"/>
      <c r="CO667" s="35"/>
      <c r="CP667" s="35"/>
      <c r="CQ667" s="35"/>
      <c r="CR667" s="35"/>
      <c r="CS667" s="35"/>
      <c r="CT667" s="35"/>
      <c r="CU667" s="35"/>
      <c r="CV667" s="35"/>
      <c r="CW667" s="35"/>
      <c r="CX667" s="35"/>
      <c r="CY667" s="35"/>
      <c r="CZ667" s="35"/>
      <c r="DA667" s="35"/>
      <c r="DB667" s="35"/>
      <c r="DC667" s="35"/>
      <c r="DD667" s="35"/>
      <c r="DE667" s="35"/>
      <c r="DF667" s="35"/>
      <c r="DG667" s="35"/>
      <c r="DH667" s="35"/>
      <c r="DI667" s="35"/>
      <c r="DJ667" s="35"/>
    </row>
    <row r="668" spans="1:114" x14ac:dyDescent="0.25">
      <c r="A668" s="34"/>
      <c r="B668" s="34"/>
      <c r="C668" s="34"/>
      <c r="D668" s="34"/>
      <c r="E668" s="34"/>
      <c r="F668" s="34"/>
      <c r="G668" s="34"/>
      <c r="H668" s="34"/>
      <c r="I668" s="34"/>
      <c r="J668" s="34"/>
      <c r="K668" s="34"/>
      <c r="L668" s="34"/>
      <c r="M668" s="34"/>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c r="AW668" s="35"/>
      <c r="AX668" s="35"/>
      <c r="AY668" s="35"/>
      <c r="AZ668" s="35"/>
      <c r="BA668" s="35"/>
      <c r="BB668" s="35"/>
      <c r="BC668" s="35"/>
      <c r="BD668" s="35"/>
      <c r="BE668" s="35"/>
      <c r="BF668" s="35"/>
      <c r="BG668" s="35"/>
      <c r="BH668" s="35"/>
      <c r="BI668" s="35"/>
      <c r="BJ668" s="35"/>
      <c r="BK668" s="35"/>
      <c r="BL668" s="35"/>
      <c r="BM668" s="35"/>
      <c r="BN668" s="35"/>
      <c r="BO668" s="35"/>
      <c r="BP668" s="35"/>
      <c r="BQ668" s="35"/>
      <c r="BR668" s="35"/>
      <c r="BS668" s="35"/>
      <c r="BT668" s="35"/>
      <c r="BU668" s="35"/>
      <c r="BV668" s="35"/>
      <c r="BW668" s="35"/>
      <c r="BX668" s="35"/>
      <c r="BY668" s="35"/>
      <c r="BZ668" s="35"/>
      <c r="CA668" s="35"/>
      <c r="CB668" s="35"/>
      <c r="CC668" s="35"/>
      <c r="CD668" s="35"/>
      <c r="CE668" s="35"/>
      <c r="CF668" s="35"/>
      <c r="CG668" s="35"/>
      <c r="CH668" s="35"/>
      <c r="CI668" s="35"/>
      <c r="CJ668" s="35"/>
      <c r="CK668" s="35"/>
      <c r="CL668" s="35"/>
      <c r="CM668" s="35"/>
      <c r="CN668" s="35"/>
      <c r="CO668" s="35"/>
      <c r="CP668" s="35"/>
      <c r="CQ668" s="35"/>
      <c r="CR668" s="35"/>
      <c r="CS668" s="35"/>
      <c r="CT668" s="35"/>
      <c r="CU668" s="35"/>
      <c r="CV668" s="35"/>
      <c r="CW668" s="35"/>
      <c r="CX668" s="35"/>
      <c r="CY668" s="35"/>
      <c r="CZ668" s="35"/>
      <c r="DA668" s="35"/>
      <c r="DB668" s="35"/>
      <c r="DC668" s="35"/>
      <c r="DD668" s="35"/>
      <c r="DE668" s="35"/>
      <c r="DF668" s="35"/>
      <c r="DG668" s="35"/>
      <c r="DH668" s="35"/>
      <c r="DI668" s="35"/>
      <c r="DJ668" s="35"/>
    </row>
  </sheetData>
  <sheetProtection algorithmName="SHA-512" hashValue="BhCtMds9JDjsVdZe7KR14bYREgcRDFIiDRoKwhMSxG+EuoMdNFOpYuUBjlLd4qTd52tb5FCKlHv42gnOVDdQSQ==" saltValue="Su0PznVdUwXUedbTaO4EUA==" spinCount="100000" sheet="1" objects="1" scenarios="1" selectLockedCells="1"/>
  <mergeCells count="186">
    <mergeCell ref="M90:M91"/>
    <mergeCell ref="M92:M93"/>
    <mergeCell ref="M96:M97"/>
    <mergeCell ref="M102:M103"/>
    <mergeCell ref="C123:C124"/>
    <mergeCell ref="P332:P333"/>
    <mergeCell ref="P341:P342"/>
    <mergeCell ref="P343:P344"/>
    <mergeCell ref="O268:O269"/>
    <mergeCell ref="M138:M139"/>
    <mergeCell ref="C102:C103"/>
    <mergeCell ref="C105:C106"/>
    <mergeCell ref="M129:M130"/>
    <mergeCell ref="M123:M124"/>
    <mergeCell ref="M127:M128"/>
    <mergeCell ref="M119:M120"/>
    <mergeCell ref="M121:M122"/>
    <mergeCell ref="C98:C99"/>
    <mergeCell ref="C107:C108"/>
    <mergeCell ref="C109:C110"/>
    <mergeCell ref="P336:P337"/>
    <mergeCell ref="P339:P340"/>
    <mergeCell ref="P314:P315"/>
    <mergeCell ref="P316:P317"/>
    <mergeCell ref="P268:R268"/>
    <mergeCell ref="P270:P271"/>
    <mergeCell ref="P272:P273"/>
    <mergeCell ref="P276:P277"/>
    <mergeCell ref="P278:P279"/>
    <mergeCell ref="P287:P288"/>
    <mergeCell ref="P289:P290"/>
    <mergeCell ref="P282:P283"/>
    <mergeCell ref="P285:P286"/>
    <mergeCell ref="P322:R322"/>
    <mergeCell ref="P324:P325"/>
    <mergeCell ref="P326:P327"/>
    <mergeCell ref="P330:P331"/>
    <mergeCell ref="A285:A286"/>
    <mergeCell ref="M285:M286"/>
    <mergeCell ref="A292:B293"/>
    <mergeCell ref="C292:M293"/>
    <mergeCell ref="A287:A288"/>
    <mergeCell ref="M287:M288"/>
    <mergeCell ref="A289:A290"/>
    <mergeCell ref="M289:M290"/>
    <mergeCell ref="P309:P310"/>
    <mergeCell ref="P312:P313"/>
    <mergeCell ref="P295:R295"/>
    <mergeCell ref="P297:P298"/>
    <mergeCell ref="P299:P300"/>
    <mergeCell ref="P303:P304"/>
    <mergeCell ref="P305:P306"/>
    <mergeCell ref="A282:A283"/>
    <mergeCell ref="M282:M283"/>
    <mergeCell ref="A272:A273"/>
    <mergeCell ref="M272:M273"/>
    <mergeCell ref="A276:A277"/>
    <mergeCell ref="M276:M277"/>
    <mergeCell ref="A278:A279"/>
    <mergeCell ref="M278:M279"/>
    <mergeCell ref="K268:K269"/>
    <mergeCell ref="L268:L269"/>
    <mergeCell ref="M268:M269"/>
    <mergeCell ref="A270:A271"/>
    <mergeCell ref="M270:M271"/>
    <mergeCell ref="A268:A269"/>
    <mergeCell ref="B268:B269"/>
    <mergeCell ref="C268:C269"/>
    <mergeCell ref="D268:F268"/>
    <mergeCell ref="G268:I268"/>
    <mergeCell ref="M24:M25"/>
    <mergeCell ref="M33:M34"/>
    <mergeCell ref="L58:L59"/>
    <mergeCell ref="M58:M59"/>
    <mergeCell ref="L88:L89"/>
    <mergeCell ref="M31:M32"/>
    <mergeCell ref="M60:M61"/>
    <mergeCell ref="M66:M67"/>
    <mergeCell ref="M79:M80"/>
    <mergeCell ref="M72:M73"/>
    <mergeCell ref="M35:M36"/>
    <mergeCell ref="M28:M29"/>
    <mergeCell ref="M62:M63"/>
    <mergeCell ref="M75:M76"/>
    <mergeCell ref="M88:M89"/>
    <mergeCell ref="D58:F58"/>
    <mergeCell ref="G58:I58"/>
    <mergeCell ref="K58:K59"/>
    <mergeCell ref="A72:A73"/>
    <mergeCell ref="A75:A76"/>
    <mergeCell ref="K88:K89"/>
    <mergeCell ref="A88:A89"/>
    <mergeCell ref="M68:M69"/>
    <mergeCell ref="M77:M78"/>
    <mergeCell ref="C60:C61"/>
    <mergeCell ref="D88:F88"/>
    <mergeCell ref="G88:I88"/>
    <mergeCell ref="C62:C63"/>
    <mergeCell ref="A58:A59"/>
    <mergeCell ref="A66:A67"/>
    <mergeCell ref="A68:A69"/>
    <mergeCell ref="A77:A78"/>
    <mergeCell ref="B88:B89"/>
    <mergeCell ref="C88:C89"/>
    <mergeCell ref="A79:A80"/>
    <mergeCell ref="A4:B4"/>
    <mergeCell ref="A14:A15"/>
    <mergeCell ref="B14:B15"/>
    <mergeCell ref="C14:C15"/>
    <mergeCell ref="K14:K15"/>
    <mergeCell ref="J4:M4"/>
    <mergeCell ref="A16:A17"/>
    <mergeCell ref="A18:A19"/>
    <mergeCell ref="A22:A23"/>
    <mergeCell ref="M16:M17"/>
    <mergeCell ref="M18:M19"/>
    <mergeCell ref="M22:M23"/>
    <mergeCell ref="C16:C17"/>
    <mergeCell ref="C18:C19"/>
    <mergeCell ref="C22:C23"/>
    <mergeCell ref="L14:L15"/>
    <mergeCell ref="M14:M15"/>
    <mergeCell ref="D14:F14"/>
    <mergeCell ref="G14:I14"/>
    <mergeCell ref="A143:B144"/>
    <mergeCell ref="C143:M144"/>
    <mergeCell ref="A105:A106"/>
    <mergeCell ref="M105:M106"/>
    <mergeCell ref="A98:A99"/>
    <mergeCell ref="M98:M99"/>
    <mergeCell ref="A107:A108"/>
    <mergeCell ref="M107:M108"/>
    <mergeCell ref="A109:A110"/>
    <mergeCell ref="M109:M110"/>
    <mergeCell ref="M140:M141"/>
    <mergeCell ref="A136:A137"/>
    <mergeCell ref="M136:M137"/>
    <mergeCell ref="G119:I119"/>
    <mergeCell ref="K119:K120"/>
    <mergeCell ref="L119:L120"/>
    <mergeCell ref="M133:M134"/>
    <mergeCell ref="D119:F119"/>
    <mergeCell ref="A129:A130"/>
    <mergeCell ref="A102:A103"/>
    <mergeCell ref="B119:B120"/>
    <mergeCell ref="C119:C120"/>
    <mergeCell ref="C136:C137"/>
    <mergeCell ref="A123:A124"/>
    <mergeCell ref="C24:C25"/>
    <mergeCell ref="C33:C34"/>
    <mergeCell ref="C35:C36"/>
    <mergeCell ref="C28:C29"/>
    <mergeCell ref="C31:C32"/>
    <mergeCell ref="A31:A32"/>
    <mergeCell ref="A60:A61"/>
    <mergeCell ref="A62:A63"/>
    <mergeCell ref="B58:B59"/>
    <mergeCell ref="C58:C59"/>
    <mergeCell ref="A24:A25"/>
    <mergeCell ref="A33:A34"/>
    <mergeCell ref="A35:A36"/>
    <mergeCell ref="A28:A29"/>
    <mergeCell ref="A133:A134"/>
    <mergeCell ref="A119:A120"/>
    <mergeCell ref="A138:A139"/>
    <mergeCell ref="A140:A141"/>
    <mergeCell ref="C66:C67"/>
    <mergeCell ref="C68:C69"/>
    <mergeCell ref="C77:C78"/>
    <mergeCell ref="C79:C80"/>
    <mergeCell ref="C72:C73"/>
    <mergeCell ref="C75:C76"/>
    <mergeCell ref="C90:C91"/>
    <mergeCell ref="C127:C128"/>
    <mergeCell ref="C129:C130"/>
    <mergeCell ref="C138:C139"/>
    <mergeCell ref="C140:C141"/>
    <mergeCell ref="C133:C134"/>
    <mergeCell ref="A127:A128"/>
    <mergeCell ref="A90:A91"/>
    <mergeCell ref="A92:A93"/>
    <mergeCell ref="A96:A97"/>
    <mergeCell ref="A121:A122"/>
    <mergeCell ref="C121:C122"/>
    <mergeCell ref="C92:C93"/>
    <mergeCell ref="C96:C97"/>
  </mergeCells>
  <phoneticPr fontId="1" type="noConversion"/>
  <dataValidations disablePrompts="1" xWindow="308" yWindow="234" count="5">
    <dataValidation allowBlank="1" showInputMessage="1" showErrorMessage="1" promptTitle="中文案字數：" prompt="會影響某些中文案件的【慧盈服務費】" sqref="B5" xr:uid="{00000000-0002-0000-0000-000006000000}"/>
    <dataValidation allowBlank="1" showInputMessage="1" showErrorMessage="1" promptTitle="英文案字數：" prompt="會影響某些英文案件的【慧盈服務費】，以及某些案件的【外國代理人費用】" sqref="B6" xr:uid="{00000000-0002-0000-0000-000007000000}"/>
    <dataValidation allowBlank="1" showInputMessage="1" showErrorMessage="1" promptTitle="總請求項數：" prompt="會影響許多地區案件的【官方費用】，以及某些案件的【外國代理人費用】" sqref="B7" xr:uid="{00000000-0002-0000-0000-000008000000}"/>
    <dataValidation allowBlank="1" showInputMessage="1" showErrorMessage="1" promptTitle="獨立項數：" prompt="會影響許多地區案件的【官方費用】，以及某些案件的【外國代理人費用】" sqref="B8" xr:uid="{00000000-0002-0000-0000-000009000000}"/>
    <dataValidation allowBlank="1" showInputMessage="1" showErrorMessage="1" promptTitle="附圖張數：" prompt="會影響某些案件的【慧盈服務費】、【官方費用】、或【外國代理人費用】" sqref="B9" xr:uid="{00000000-0002-0000-0000-00000A000000}"/>
  </dataValidations>
  <printOptions horizontalCentered="1"/>
  <pageMargins left="0.70866141732283472" right="0.70866141732283472" top="0.74803149606299213" bottom="0.39370078740157483" header="0.31496062992125984" footer="0.31496062992125984"/>
  <pageSetup paperSize="9" scale="54" fitToHeight="0" orientation="portrait" r:id="rId1"/>
  <headerFooter>
    <oddHeader>&amp;C&amp;G&amp;RPatent Your Future!&amp;"微軟正黑體,標準"&amp;X®</oddHeader>
    <oddFooter>&amp;L&amp;"標楷體,標準"《IP Winner．慧幫你盈®》&amp;C&amp;"標楷體,標準"第 &amp;P 頁，共 &amp;N 頁&amp;R&amp;"標楷體,標準"V2025.01</oddFooter>
  </headerFooter>
  <rowBreaks count="2" manualBreakCount="2">
    <brk id="85" max="16" man="1"/>
    <brk id="171" max="1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官方費用">
                <anchor moveWithCells="1">
                  <from>
                    <xdr:col>5</xdr:col>
                    <xdr:colOff>9525</xdr:colOff>
                    <xdr:row>5</xdr:row>
                    <xdr:rowOff>47625</xdr:rowOff>
                  </from>
                  <to>
                    <xdr:col>5</xdr:col>
                    <xdr:colOff>781050</xdr:colOff>
                    <xdr:row>5</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ltText="官方費用">
                <anchor moveWithCells="1">
                  <from>
                    <xdr:col>5</xdr:col>
                    <xdr:colOff>9525</xdr:colOff>
                    <xdr:row>6</xdr:row>
                    <xdr:rowOff>47625</xdr:rowOff>
                  </from>
                  <to>
                    <xdr:col>5</xdr:col>
                    <xdr:colOff>781050</xdr:colOff>
                    <xdr:row>6</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ltText="官方費用">
                <anchor moveWithCells="1">
                  <from>
                    <xdr:col>5</xdr:col>
                    <xdr:colOff>9525</xdr:colOff>
                    <xdr:row>7</xdr:row>
                    <xdr:rowOff>47625</xdr:rowOff>
                  </from>
                  <to>
                    <xdr:col>5</xdr:col>
                    <xdr:colOff>781050</xdr:colOff>
                    <xdr:row>7</xdr:row>
                    <xdr:rowOff>190500</xdr:rowOff>
                  </to>
                </anchor>
              </controlPr>
            </control>
          </mc:Choice>
        </mc:AlternateContent>
        <mc:AlternateContent xmlns:mc="http://schemas.openxmlformats.org/markup-compatibility/2006">
          <mc:Choice Requires="x14">
            <control shapeId="1028" r:id="rId8" name="Check Box 4">
              <controlPr defaultSize="0" autoFill="0" autoLine="0" autoPict="0" altText="官方費用">
                <anchor moveWithCells="1">
                  <from>
                    <xdr:col>4</xdr:col>
                    <xdr:colOff>38100</xdr:colOff>
                    <xdr:row>5</xdr:row>
                    <xdr:rowOff>47625</xdr:rowOff>
                  </from>
                  <to>
                    <xdr:col>4</xdr:col>
                    <xdr:colOff>809625</xdr:colOff>
                    <xdr:row>5</xdr:row>
                    <xdr:rowOff>190500</xdr:rowOff>
                  </to>
                </anchor>
              </controlPr>
            </control>
          </mc:Choice>
        </mc:AlternateContent>
        <mc:AlternateContent xmlns:mc="http://schemas.openxmlformats.org/markup-compatibility/2006">
          <mc:Choice Requires="x14">
            <control shapeId="1029" r:id="rId9" name="Check Box 5">
              <controlPr defaultSize="0" autoFill="0" autoLine="0" autoPict="0" altText="官方費用">
                <anchor moveWithCells="1">
                  <from>
                    <xdr:col>4</xdr:col>
                    <xdr:colOff>38100</xdr:colOff>
                    <xdr:row>6</xdr:row>
                    <xdr:rowOff>47625</xdr:rowOff>
                  </from>
                  <to>
                    <xdr:col>4</xdr:col>
                    <xdr:colOff>809625</xdr:colOff>
                    <xdr:row>6</xdr:row>
                    <xdr:rowOff>190500</xdr:rowOff>
                  </to>
                </anchor>
              </controlPr>
            </control>
          </mc:Choice>
        </mc:AlternateContent>
        <mc:AlternateContent xmlns:mc="http://schemas.openxmlformats.org/markup-compatibility/2006">
          <mc:Choice Requires="x14">
            <control shapeId="1030" r:id="rId10" name="Check Box 6">
              <controlPr defaultSize="0" autoFill="0" autoLine="0" autoPict="0" altText="官方費用">
                <anchor moveWithCells="1">
                  <from>
                    <xdr:col>4</xdr:col>
                    <xdr:colOff>38100</xdr:colOff>
                    <xdr:row>7</xdr:row>
                    <xdr:rowOff>47625</xdr:rowOff>
                  </from>
                  <to>
                    <xdr:col>4</xdr:col>
                    <xdr:colOff>809625</xdr:colOff>
                    <xdr:row>7</xdr:row>
                    <xdr:rowOff>190500</xdr:rowOff>
                  </to>
                </anchor>
              </controlPr>
            </control>
          </mc:Choice>
        </mc:AlternateContent>
        <mc:AlternateContent xmlns:mc="http://schemas.openxmlformats.org/markup-compatibility/2006">
          <mc:Choice Requires="x14">
            <control shapeId="1031" r:id="rId11" name="Check Box 7">
              <controlPr defaultSize="0" autoFill="0" autoLine="0" autoPict="0" altText="官方費用">
                <anchor moveWithCells="1">
                  <from>
                    <xdr:col>4</xdr:col>
                    <xdr:colOff>38100</xdr:colOff>
                    <xdr:row>8</xdr:row>
                    <xdr:rowOff>47625</xdr:rowOff>
                  </from>
                  <to>
                    <xdr:col>4</xdr:col>
                    <xdr:colOff>809625</xdr:colOff>
                    <xdr:row>8</xdr:row>
                    <xdr:rowOff>190500</xdr:rowOff>
                  </to>
                </anchor>
              </controlPr>
            </control>
          </mc:Choice>
        </mc:AlternateContent>
        <mc:AlternateContent xmlns:mc="http://schemas.openxmlformats.org/markup-compatibility/2006">
          <mc:Choice Requires="x14">
            <control shapeId="1059" r:id="rId12" name="Option Button 35">
              <controlPr defaultSize="0" autoFill="0" autoLine="0" autoPict="0">
                <anchor moveWithCells="1">
                  <from>
                    <xdr:col>3</xdr:col>
                    <xdr:colOff>85725</xdr:colOff>
                    <xdr:row>142</xdr:row>
                    <xdr:rowOff>0</xdr:rowOff>
                  </from>
                  <to>
                    <xdr:col>4</xdr:col>
                    <xdr:colOff>133350</xdr:colOff>
                    <xdr:row>142</xdr:row>
                    <xdr:rowOff>238125</xdr:rowOff>
                  </to>
                </anchor>
              </controlPr>
            </control>
          </mc:Choice>
        </mc:AlternateContent>
        <mc:AlternateContent xmlns:mc="http://schemas.openxmlformats.org/markup-compatibility/2006">
          <mc:Choice Requires="x14">
            <control shapeId="1060" r:id="rId13" name="Option Button 36">
              <controlPr defaultSize="0" autoFill="0" autoLine="0" autoPict="0">
                <anchor moveWithCells="1">
                  <from>
                    <xdr:col>4</xdr:col>
                    <xdr:colOff>247650</xdr:colOff>
                    <xdr:row>142</xdr:row>
                    <xdr:rowOff>0</xdr:rowOff>
                  </from>
                  <to>
                    <xdr:col>4</xdr:col>
                    <xdr:colOff>752475</xdr:colOff>
                    <xdr:row>142</xdr:row>
                    <xdr:rowOff>238125</xdr:rowOff>
                  </to>
                </anchor>
              </controlPr>
            </control>
          </mc:Choice>
        </mc:AlternateContent>
        <mc:AlternateContent xmlns:mc="http://schemas.openxmlformats.org/markup-compatibility/2006">
          <mc:Choice Requires="x14">
            <control shapeId="1061" r:id="rId14" name="Option Button 37">
              <controlPr defaultSize="0" autoFill="0" autoLine="0" autoPict="0">
                <anchor moveWithCells="1">
                  <from>
                    <xdr:col>4</xdr:col>
                    <xdr:colOff>866775</xdr:colOff>
                    <xdr:row>142</xdr:row>
                    <xdr:rowOff>0</xdr:rowOff>
                  </from>
                  <to>
                    <xdr:col>5</xdr:col>
                    <xdr:colOff>314325</xdr:colOff>
                    <xdr:row>142</xdr:row>
                    <xdr:rowOff>238125</xdr:rowOff>
                  </to>
                </anchor>
              </controlPr>
            </control>
          </mc:Choice>
        </mc:AlternateContent>
        <mc:AlternateContent xmlns:mc="http://schemas.openxmlformats.org/markup-compatibility/2006">
          <mc:Choice Requires="x14">
            <control shapeId="1062" r:id="rId15" name="Option Button 38">
              <controlPr defaultSize="0" autoFill="0" autoLine="0" autoPict="0">
                <anchor moveWithCells="1">
                  <from>
                    <xdr:col>5</xdr:col>
                    <xdr:colOff>409575</xdr:colOff>
                    <xdr:row>142</xdr:row>
                    <xdr:rowOff>0</xdr:rowOff>
                  </from>
                  <to>
                    <xdr:col>5</xdr:col>
                    <xdr:colOff>914400</xdr:colOff>
                    <xdr:row>142</xdr:row>
                    <xdr:rowOff>238125</xdr:rowOff>
                  </to>
                </anchor>
              </controlPr>
            </control>
          </mc:Choice>
        </mc:AlternateContent>
        <mc:AlternateContent xmlns:mc="http://schemas.openxmlformats.org/markup-compatibility/2006">
          <mc:Choice Requires="x14">
            <control shapeId="1063" r:id="rId16" name="Option Button 39">
              <controlPr defaultSize="0" autoFill="0" autoLine="0" autoPict="0">
                <anchor moveWithCells="1">
                  <from>
                    <xdr:col>5</xdr:col>
                    <xdr:colOff>1028700</xdr:colOff>
                    <xdr:row>142</xdr:row>
                    <xdr:rowOff>0</xdr:rowOff>
                  </from>
                  <to>
                    <xdr:col>7</xdr:col>
                    <xdr:colOff>28575</xdr:colOff>
                    <xdr:row>142</xdr:row>
                    <xdr:rowOff>238125</xdr:rowOff>
                  </to>
                </anchor>
              </controlPr>
            </control>
          </mc:Choice>
        </mc:AlternateContent>
        <mc:AlternateContent xmlns:mc="http://schemas.openxmlformats.org/markup-compatibility/2006">
          <mc:Choice Requires="x14">
            <control shapeId="1064" r:id="rId17" name="Option Button 40">
              <controlPr defaultSize="0" autoFill="0" autoLine="0" autoPict="0">
                <anchor moveWithCells="1">
                  <from>
                    <xdr:col>7</xdr:col>
                    <xdr:colOff>161925</xdr:colOff>
                    <xdr:row>142</xdr:row>
                    <xdr:rowOff>0</xdr:rowOff>
                  </from>
                  <to>
                    <xdr:col>7</xdr:col>
                    <xdr:colOff>657225</xdr:colOff>
                    <xdr:row>142</xdr:row>
                    <xdr:rowOff>238125</xdr:rowOff>
                  </to>
                </anchor>
              </controlPr>
            </control>
          </mc:Choice>
        </mc:AlternateContent>
        <mc:AlternateContent xmlns:mc="http://schemas.openxmlformats.org/markup-compatibility/2006">
          <mc:Choice Requires="x14">
            <control shapeId="1065" r:id="rId18" name="Option Button 41">
              <controlPr defaultSize="0" autoFill="0" autoLine="0" autoPict="0">
                <anchor moveWithCells="1">
                  <from>
                    <xdr:col>7</xdr:col>
                    <xdr:colOff>762000</xdr:colOff>
                    <xdr:row>142</xdr:row>
                    <xdr:rowOff>0</xdr:rowOff>
                  </from>
                  <to>
                    <xdr:col>8</xdr:col>
                    <xdr:colOff>209550</xdr:colOff>
                    <xdr:row>142</xdr:row>
                    <xdr:rowOff>238125</xdr:rowOff>
                  </to>
                </anchor>
              </controlPr>
            </control>
          </mc:Choice>
        </mc:AlternateContent>
        <mc:AlternateContent xmlns:mc="http://schemas.openxmlformats.org/markup-compatibility/2006">
          <mc:Choice Requires="x14">
            <control shapeId="1066" r:id="rId19" name="Option Button 42">
              <controlPr defaultSize="0" autoFill="0" autoLine="0" autoPict="0">
                <anchor moveWithCells="1">
                  <from>
                    <xdr:col>8</xdr:col>
                    <xdr:colOff>333375</xdr:colOff>
                    <xdr:row>142</xdr:row>
                    <xdr:rowOff>0</xdr:rowOff>
                  </from>
                  <to>
                    <xdr:col>8</xdr:col>
                    <xdr:colOff>828675</xdr:colOff>
                    <xdr:row>142</xdr:row>
                    <xdr:rowOff>238125</xdr:rowOff>
                  </to>
                </anchor>
              </controlPr>
            </control>
          </mc:Choice>
        </mc:AlternateContent>
        <mc:AlternateContent xmlns:mc="http://schemas.openxmlformats.org/markup-compatibility/2006">
          <mc:Choice Requires="x14">
            <control shapeId="1067" r:id="rId20" name="Option Button 43">
              <controlPr defaultSize="0" autoFill="0" autoLine="0" autoPict="0">
                <anchor moveWithCells="1">
                  <from>
                    <xdr:col>8</xdr:col>
                    <xdr:colOff>933450</xdr:colOff>
                    <xdr:row>142</xdr:row>
                    <xdr:rowOff>0</xdr:rowOff>
                  </from>
                  <to>
                    <xdr:col>9</xdr:col>
                    <xdr:colOff>390525</xdr:colOff>
                    <xdr:row>142</xdr:row>
                    <xdr:rowOff>238125</xdr:rowOff>
                  </to>
                </anchor>
              </controlPr>
            </control>
          </mc:Choice>
        </mc:AlternateContent>
        <mc:AlternateContent xmlns:mc="http://schemas.openxmlformats.org/markup-compatibility/2006">
          <mc:Choice Requires="x14">
            <control shapeId="1068" r:id="rId21" name="Option Button 44">
              <controlPr defaultSize="0" autoFill="0" autoLine="0" autoPict="0">
                <anchor moveWithCells="1">
                  <from>
                    <xdr:col>9</xdr:col>
                    <xdr:colOff>504825</xdr:colOff>
                    <xdr:row>142</xdr:row>
                    <xdr:rowOff>0</xdr:rowOff>
                  </from>
                  <to>
                    <xdr:col>9</xdr:col>
                    <xdr:colOff>1000125</xdr:colOff>
                    <xdr:row>142</xdr:row>
                    <xdr:rowOff>238125</xdr:rowOff>
                  </to>
                </anchor>
              </controlPr>
            </control>
          </mc:Choice>
        </mc:AlternateContent>
        <mc:AlternateContent xmlns:mc="http://schemas.openxmlformats.org/markup-compatibility/2006">
          <mc:Choice Requires="x14">
            <control shapeId="1069" r:id="rId22" name="Option Button 45">
              <controlPr defaultSize="0" autoFill="0" autoLine="0" autoPict="0">
                <anchor moveWithCells="1">
                  <from>
                    <xdr:col>10</xdr:col>
                    <xdr:colOff>85725</xdr:colOff>
                    <xdr:row>142</xdr:row>
                    <xdr:rowOff>0</xdr:rowOff>
                  </from>
                  <to>
                    <xdr:col>10</xdr:col>
                    <xdr:colOff>581025</xdr:colOff>
                    <xdr:row>142</xdr:row>
                    <xdr:rowOff>238125</xdr:rowOff>
                  </to>
                </anchor>
              </controlPr>
            </control>
          </mc:Choice>
        </mc:AlternateContent>
        <mc:AlternateContent xmlns:mc="http://schemas.openxmlformats.org/markup-compatibility/2006">
          <mc:Choice Requires="x14">
            <control shapeId="1070" r:id="rId23" name="Option Button 46">
              <controlPr defaultSize="0" autoFill="0" autoLine="0" autoPict="0">
                <anchor moveWithCells="1">
                  <from>
                    <xdr:col>10</xdr:col>
                    <xdr:colOff>685800</xdr:colOff>
                    <xdr:row>142</xdr:row>
                    <xdr:rowOff>0</xdr:rowOff>
                  </from>
                  <to>
                    <xdr:col>11</xdr:col>
                    <xdr:colOff>142875</xdr:colOff>
                    <xdr:row>142</xdr:row>
                    <xdr:rowOff>238125</xdr:rowOff>
                  </to>
                </anchor>
              </controlPr>
            </control>
          </mc:Choice>
        </mc:AlternateContent>
        <mc:AlternateContent xmlns:mc="http://schemas.openxmlformats.org/markup-compatibility/2006">
          <mc:Choice Requires="x14">
            <control shapeId="1071" r:id="rId24" name="Option Button 47">
              <controlPr defaultSize="0" autoFill="0" autoLine="0" autoPict="0">
                <anchor moveWithCells="1">
                  <from>
                    <xdr:col>11</xdr:col>
                    <xdr:colOff>247650</xdr:colOff>
                    <xdr:row>142</xdr:row>
                    <xdr:rowOff>0</xdr:rowOff>
                  </from>
                  <to>
                    <xdr:col>11</xdr:col>
                    <xdr:colOff>742950</xdr:colOff>
                    <xdr:row>142</xdr:row>
                    <xdr:rowOff>238125</xdr:rowOff>
                  </to>
                </anchor>
              </controlPr>
            </control>
          </mc:Choice>
        </mc:AlternateContent>
        <mc:AlternateContent xmlns:mc="http://schemas.openxmlformats.org/markup-compatibility/2006">
          <mc:Choice Requires="x14">
            <control shapeId="1072" r:id="rId25" name="Option Button 48">
              <controlPr defaultSize="0" autoFill="0" autoLine="0" autoPict="0">
                <anchor moveWithCells="1">
                  <from>
                    <xdr:col>11</xdr:col>
                    <xdr:colOff>847725</xdr:colOff>
                    <xdr:row>142</xdr:row>
                    <xdr:rowOff>0</xdr:rowOff>
                  </from>
                  <to>
                    <xdr:col>12</xdr:col>
                    <xdr:colOff>47625</xdr:colOff>
                    <xdr:row>142</xdr:row>
                    <xdr:rowOff>238125</xdr:rowOff>
                  </to>
                </anchor>
              </controlPr>
            </control>
          </mc:Choice>
        </mc:AlternateContent>
        <mc:AlternateContent xmlns:mc="http://schemas.openxmlformats.org/markup-compatibility/2006">
          <mc:Choice Requires="x14">
            <control shapeId="1073" r:id="rId26" name="Option Button 49">
              <controlPr defaultSize="0" autoFill="0" autoLine="0" autoPict="0">
                <anchor moveWithCells="1">
                  <from>
                    <xdr:col>12</xdr:col>
                    <xdr:colOff>152400</xdr:colOff>
                    <xdr:row>142</xdr:row>
                    <xdr:rowOff>0</xdr:rowOff>
                  </from>
                  <to>
                    <xdr:col>12</xdr:col>
                    <xdr:colOff>762000</xdr:colOff>
                    <xdr:row>142</xdr:row>
                    <xdr:rowOff>238125</xdr:rowOff>
                  </to>
                </anchor>
              </controlPr>
            </control>
          </mc:Choice>
        </mc:AlternateContent>
        <mc:AlternateContent xmlns:mc="http://schemas.openxmlformats.org/markup-compatibility/2006">
          <mc:Choice Requires="x14">
            <control shapeId="1074" r:id="rId27" name="Option Button 50">
              <controlPr defaultSize="0" autoFill="0" autoLine="0" autoPict="0">
                <anchor moveWithCells="1">
                  <from>
                    <xdr:col>3</xdr:col>
                    <xdr:colOff>85725</xdr:colOff>
                    <xdr:row>143</xdr:row>
                    <xdr:rowOff>9525</xdr:rowOff>
                  </from>
                  <to>
                    <xdr:col>4</xdr:col>
                    <xdr:colOff>133350</xdr:colOff>
                    <xdr:row>144</xdr:row>
                    <xdr:rowOff>0</xdr:rowOff>
                  </to>
                </anchor>
              </controlPr>
            </control>
          </mc:Choice>
        </mc:AlternateContent>
        <mc:AlternateContent xmlns:mc="http://schemas.openxmlformats.org/markup-compatibility/2006">
          <mc:Choice Requires="x14">
            <control shapeId="1075" r:id="rId28" name="Option Button 51">
              <controlPr defaultSize="0" autoFill="0" autoLine="0" autoPict="0">
                <anchor moveWithCells="1">
                  <from>
                    <xdr:col>4</xdr:col>
                    <xdr:colOff>247650</xdr:colOff>
                    <xdr:row>143</xdr:row>
                    <xdr:rowOff>9525</xdr:rowOff>
                  </from>
                  <to>
                    <xdr:col>4</xdr:col>
                    <xdr:colOff>752475</xdr:colOff>
                    <xdr:row>144</xdr:row>
                    <xdr:rowOff>0</xdr:rowOff>
                  </to>
                </anchor>
              </controlPr>
            </control>
          </mc:Choice>
        </mc:AlternateContent>
        <mc:AlternateContent xmlns:mc="http://schemas.openxmlformats.org/markup-compatibility/2006">
          <mc:Choice Requires="x14">
            <control shapeId="1076" r:id="rId29" name="Option Button 52">
              <controlPr defaultSize="0" autoFill="0" autoLine="0" autoPict="0">
                <anchor moveWithCells="1">
                  <from>
                    <xdr:col>4</xdr:col>
                    <xdr:colOff>857250</xdr:colOff>
                    <xdr:row>143</xdr:row>
                    <xdr:rowOff>9525</xdr:rowOff>
                  </from>
                  <to>
                    <xdr:col>5</xdr:col>
                    <xdr:colOff>304800</xdr:colOff>
                    <xdr:row>144</xdr:row>
                    <xdr:rowOff>0</xdr:rowOff>
                  </to>
                </anchor>
              </controlPr>
            </control>
          </mc:Choice>
        </mc:AlternateContent>
        <mc:AlternateContent xmlns:mc="http://schemas.openxmlformats.org/markup-compatibility/2006">
          <mc:Choice Requires="x14">
            <control shapeId="1077" r:id="rId30" name="Option Button 53">
              <controlPr defaultSize="0" autoFill="0" autoLine="0" autoPict="0">
                <anchor moveWithCells="1">
                  <from>
                    <xdr:col>5</xdr:col>
                    <xdr:colOff>409575</xdr:colOff>
                    <xdr:row>143</xdr:row>
                    <xdr:rowOff>9525</xdr:rowOff>
                  </from>
                  <to>
                    <xdr:col>5</xdr:col>
                    <xdr:colOff>914400</xdr:colOff>
                    <xdr:row>144</xdr:row>
                    <xdr:rowOff>0</xdr:rowOff>
                  </to>
                </anchor>
              </controlPr>
            </control>
          </mc:Choice>
        </mc:AlternateContent>
        <mc:AlternateContent xmlns:mc="http://schemas.openxmlformats.org/markup-compatibility/2006">
          <mc:Choice Requires="x14">
            <control shapeId="1078" r:id="rId31" name="Option Button 54">
              <controlPr defaultSize="0" autoFill="0" autoLine="0" autoPict="0">
                <anchor moveWithCells="1">
                  <from>
                    <xdr:col>5</xdr:col>
                    <xdr:colOff>1028700</xdr:colOff>
                    <xdr:row>143</xdr:row>
                    <xdr:rowOff>9525</xdr:rowOff>
                  </from>
                  <to>
                    <xdr:col>7</xdr:col>
                    <xdr:colOff>28575</xdr:colOff>
                    <xdr:row>144</xdr:row>
                    <xdr:rowOff>0</xdr:rowOff>
                  </to>
                </anchor>
              </controlPr>
            </control>
          </mc:Choice>
        </mc:AlternateContent>
        <mc:AlternateContent xmlns:mc="http://schemas.openxmlformats.org/markup-compatibility/2006">
          <mc:Choice Requires="x14">
            <control shapeId="1079" r:id="rId32" name="Option Button 55">
              <controlPr defaultSize="0" autoFill="0" autoLine="0" autoPict="0">
                <anchor moveWithCells="1">
                  <from>
                    <xdr:col>7</xdr:col>
                    <xdr:colOff>161925</xdr:colOff>
                    <xdr:row>143</xdr:row>
                    <xdr:rowOff>9525</xdr:rowOff>
                  </from>
                  <to>
                    <xdr:col>7</xdr:col>
                    <xdr:colOff>657225</xdr:colOff>
                    <xdr:row>144</xdr:row>
                    <xdr:rowOff>0</xdr:rowOff>
                  </to>
                </anchor>
              </controlPr>
            </control>
          </mc:Choice>
        </mc:AlternateContent>
        <mc:AlternateContent xmlns:mc="http://schemas.openxmlformats.org/markup-compatibility/2006">
          <mc:Choice Requires="x14">
            <control shapeId="1080" r:id="rId33" name="Option Button 56">
              <controlPr defaultSize="0" autoFill="0" autoLine="0" autoPict="0">
                <anchor moveWithCells="1">
                  <from>
                    <xdr:col>7</xdr:col>
                    <xdr:colOff>762000</xdr:colOff>
                    <xdr:row>143</xdr:row>
                    <xdr:rowOff>9525</xdr:rowOff>
                  </from>
                  <to>
                    <xdr:col>8</xdr:col>
                    <xdr:colOff>209550</xdr:colOff>
                    <xdr:row>144</xdr:row>
                    <xdr:rowOff>0</xdr:rowOff>
                  </to>
                </anchor>
              </controlPr>
            </control>
          </mc:Choice>
        </mc:AlternateContent>
        <mc:AlternateContent xmlns:mc="http://schemas.openxmlformats.org/markup-compatibility/2006">
          <mc:Choice Requires="x14">
            <control shapeId="1081" r:id="rId34" name="Option Button 57">
              <controlPr defaultSize="0" autoFill="0" autoLine="0" autoPict="0">
                <anchor moveWithCells="1">
                  <from>
                    <xdr:col>8</xdr:col>
                    <xdr:colOff>333375</xdr:colOff>
                    <xdr:row>143</xdr:row>
                    <xdr:rowOff>9525</xdr:rowOff>
                  </from>
                  <to>
                    <xdr:col>8</xdr:col>
                    <xdr:colOff>828675</xdr:colOff>
                    <xdr:row>144</xdr:row>
                    <xdr:rowOff>0</xdr:rowOff>
                  </to>
                </anchor>
              </controlPr>
            </control>
          </mc:Choice>
        </mc:AlternateContent>
        <mc:AlternateContent xmlns:mc="http://schemas.openxmlformats.org/markup-compatibility/2006">
          <mc:Choice Requires="x14">
            <control shapeId="1082" r:id="rId35" name="Option Button 58">
              <controlPr defaultSize="0" autoFill="0" autoLine="0" autoPict="0">
                <anchor moveWithCells="1">
                  <from>
                    <xdr:col>8</xdr:col>
                    <xdr:colOff>933450</xdr:colOff>
                    <xdr:row>143</xdr:row>
                    <xdr:rowOff>9525</xdr:rowOff>
                  </from>
                  <to>
                    <xdr:col>9</xdr:col>
                    <xdr:colOff>390525</xdr:colOff>
                    <xdr:row>144</xdr:row>
                    <xdr:rowOff>0</xdr:rowOff>
                  </to>
                </anchor>
              </controlPr>
            </control>
          </mc:Choice>
        </mc:AlternateContent>
        <mc:AlternateContent xmlns:mc="http://schemas.openxmlformats.org/markup-compatibility/2006">
          <mc:Choice Requires="x14">
            <control shapeId="1083" r:id="rId36" name="Option Button 59">
              <controlPr defaultSize="0" autoFill="0" autoLine="0" autoPict="0">
                <anchor moveWithCells="1">
                  <from>
                    <xdr:col>9</xdr:col>
                    <xdr:colOff>504825</xdr:colOff>
                    <xdr:row>143</xdr:row>
                    <xdr:rowOff>9525</xdr:rowOff>
                  </from>
                  <to>
                    <xdr:col>9</xdr:col>
                    <xdr:colOff>1000125</xdr:colOff>
                    <xdr:row>144</xdr:row>
                    <xdr:rowOff>0</xdr:rowOff>
                  </to>
                </anchor>
              </controlPr>
            </control>
          </mc:Choice>
        </mc:AlternateContent>
        <mc:AlternateContent xmlns:mc="http://schemas.openxmlformats.org/markup-compatibility/2006">
          <mc:Choice Requires="x14">
            <control shapeId="1084" r:id="rId37" name="Option Button 60">
              <controlPr defaultSize="0" autoFill="0" autoLine="0" autoPict="0">
                <anchor moveWithCells="1">
                  <from>
                    <xdr:col>2</xdr:col>
                    <xdr:colOff>76200</xdr:colOff>
                    <xdr:row>142</xdr:row>
                    <xdr:rowOff>0</xdr:rowOff>
                  </from>
                  <to>
                    <xdr:col>3</xdr:col>
                    <xdr:colOff>47625</xdr:colOff>
                    <xdr:row>142</xdr:row>
                    <xdr:rowOff>238125</xdr:rowOff>
                  </to>
                </anchor>
              </controlPr>
            </control>
          </mc:Choice>
        </mc:AlternateContent>
        <mc:AlternateContent xmlns:mc="http://schemas.openxmlformats.org/markup-compatibility/2006">
          <mc:Choice Requires="x14">
            <control shapeId="1109" r:id="rId38" name="Check Box 85">
              <controlPr defaultSize="0" autoFill="0" autoLine="0" autoPict="0">
                <anchor moveWithCells="1">
                  <from>
                    <xdr:col>2</xdr:col>
                    <xdr:colOff>104775</xdr:colOff>
                    <xdr:row>269</xdr:row>
                    <xdr:rowOff>38100</xdr:rowOff>
                  </from>
                  <to>
                    <xdr:col>2</xdr:col>
                    <xdr:colOff>762000</xdr:colOff>
                    <xdr:row>269</xdr:row>
                    <xdr:rowOff>180975</xdr:rowOff>
                  </to>
                </anchor>
              </controlPr>
            </control>
          </mc:Choice>
        </mc:AlternateContent>
        <mc:AlternateContent xmlns:mc="http://schemas.openxmlformats.org/markup-compatibility/2006">
          <mc:Choice Requires="x14">
            <control shapeId="1110" r:id="rId39" name="Check Box 86">
              <controlPr defaultSize="0" autoFill="0" autoLine="0" autoPict="0">
                <anchor moveWithCells="1">
                  <from>
                    <xdr:col>2</xdr:col>
                    <xdr:colOff>104775</xdr:colOff>
                    <xdr:row>270</xdr:row>
                    <xdr:rowOff>28575</xdr:rowOff>
                  </from>
                  <to>
                    <xdr:col>2</xdr:col>
                    <xdr:colOff>762000</xdr:colOff>
                    <xdr:row>270</xdr:row>
                    <xdr:rowOff>180975</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from>
                    <xdr:col>2</xdr:col>
                    <xdr:colOff>104775</xdr:colOff>
                    <xdr:row>271</xdr:row>
                    <xdr:rowOff>28575</xdr:rowOff>
                  </from>
                  <to>
                    <xdr:col>2</xdr:col>
                    <xdr:colOff>762000</xdr:colOff>
                    <xdr:row>271</xdr:row>
                    <xdr:rowOff>180975</xdr:rowOff>
                  </to>
                </anchor>
              </controlPr>
            </control>
          </mc:Choice>
        </mc:AlternateContent>
        <mc:AlternateContent xmlns:mc="http://schemas.openxmlformats.org/markup-compatibility/2006">
          <mc:Choice Requires="x14">
            <control shapeId="1112" r:id="rId41" name="Check Box 88">
              <controlPr defaultSize="0" autoFill="0" autoLine="0" autoPict="0">
                <anchor moveWithCells="1">
                  <from>
                    <xdr:col>2</xdr:col>
                    <xdr:colOff>104775</xdr:colOff>
                    <xdr:row>272</xdr:row>
                    <xdr:rowOff>28575</xdr:rowOff>
                  </from>
                  <to>
                    <xdr:col>2</xdr:col>
                    <xdr:colOff>762000</xdr:colOff>
                    <xdr:row>272</xdr:row>
                    <xdr:rowOff>180975</xdr:rowOff>
                  </to>
                </anchor>
              </controlPr>
            </control>
          </mc:Choice>
        </mc:AlternateContent>
        <mc:AlternateContent xmlns:mc="http://schemas.openxmlformats.org/markup-compatibility/2006">
          <mc:Choice Requires="x14">
            <control shapeId="1113" r:id="rId42" name="Check Box 89">
              <controlPr defaultSize="0" autoFill="0" autoLine="0" autoPict="0">
                <anchor moveWithCells="1">
                  <from>
                    <xdr:col>2</xdr:col>
                    <xdr:colOff>104775</xdr:colOff>
                    <xdr:row>273</xdr:row>
                    <xdr:rowOff>28575</xdr:rowOff>
                  </from>
                  <to>
                    <xdr:col>2</xdr:col>
                    <xdr:colOff>762000</xdr:colOff>
                    <xdr:row>273</xdr:row>
                    <xdr:rowOff>180975</xdr:rowOff>
                  </to>
                </anchor>
              </controlPr>
            </control>
          </mc:Choice>
        </mc:AlternateContent>
        <mc:AlternateContent xmlns:mc="http://schemas.openxmlformats.org/markup-compatibility/2006">
          <mc:Choice Requires="x14">
            <control shapeId="1114" r:id="rId43" name="Check Box 90">
              <controlPr defaultSize="0" autoFill="0" autoLine="0" autoPict="0">
                <anchor moveWithCells="1">
                  <from>
                    <xdr:col>2</xdr:col>
                    <xdr:colOff>104775</xdr:colOff>
                    <xdr:row>274</xdr:row>
                    <xdr:rowOff>28575</xdr:rowOff>
                  </from>
                  <to>
                    <xdr:col>2</xdr:col>
                    <xdr:colOff>762000</xdr:colOff>
                    <xdr:row>274</xdr:row>
                    <xdr:rowOff>180975</xdr:rowOff>
                  </to>
                </anchor>
              </controlPr>
            </control>
          </mc:Choice>
        </mc:AlternateContent>
        <mc:AlternateContent xmlns:mc="http://schemas.openxmlformats.org/markup-compatibility/2006">
          <mc:Choice Requires="x14">
            <control shapeId="1115" r:id="rId44" name="Check Box 91">
              <controlPr defaultSize="0" autoFill="0" autoLine="0" autoPict="0">
                <anchor moveWithCells="1">
                  <from>
                    <xdr:col>2</xdr:col>
                    <xdr:colOff>104775</xdr:colOff>
                    <xdr:row>275</xdr:row>
                    <xdr:rowOff>28575</xdr:rowOff>
                  </from>
                  <to>
                    <xdr:col>2</xdr:col>
                    <xdr:colOff>762000</xdr:colOff>
                    <xdr:row>275</xdr:row>
                    <xdr:rowOff>180975</xdr:rowOff>
                  </to>
                </anchor>
              </controlPr>
            </control>
          </mc:Choice>
        </mc:AlternateContent>
        <mc:AlternateContent xmlns:mc="http://schemas.openxmlformats.org/markup-compatibility/2006">
          <mc:Choice Requires="x14">
            <control shapeId="1116" r:id="rId45" name="Check Box 92">
              <controlPr defaultSize="0" autoFill="0" autoLine="0" autoPict="0">
                <anchor moveWithCells="1">
                  <from>
                    <xdr:col>2</xdr:col>
                    <xdr:colOff>104775</xdr:colOff>
                    <xdr:row>276</xdr:row>
                    <xdr:rowOff>28575</xdr:rowOff>
                  </from>
                  <to>
                    <xdr:col>2</xdr:col>
                    <xdr:colOff>762000</xdr:colOff>
                    <xdr:row>276</xdr:row>
                    <xdr:rowOff>180975</xdr:rowOff>
                  </to>
                </anchor>
              </controlPr>
            </control>
          </mc:Choice>
        </mc:AlternateContent>
        <mc:AlternateContent xmlns:mc="http://schemas.openxmlformats.org/markup-compatibility/2006">
          <mc:Choice Requires="x14">
            <control shapeId="1117" r:id="rId46" name="Check Box 93">
              <controlPr defaultSize="0" autoFill="0" autoLine="0" autoPict="0">
                <anchor moveWithCells="1">
                  <from>
                    <xdr:col>2</xdr:col>
                    <xdr:colOff>104775</xdr:colOff>
                    <xdr:row>277</xdr:row>
                    <xdr:rowOff>28575</xdr:rowOff>
                  </from>
                  <to>
                    <xdr:col>2</xdr:col>
                    <xdr:colOff>762000</xdr:colOff>
                    <xdr:row>277</xdr:row>
                    <xdr:rowOff>180975</xdr:rowOff>
                  </to>
                </anchor>
              </controlPr>
            </control>
          </mc:Choice>
        </mc:AlternateContent>
        <mc:AlternateContent xmlns:mc="http://schemas.openxmlformats.org/markup-compatibility/2006">
          <mc:Choice Requires="x14">
            <control shapeId="1118" r:id="rId47" name="Check Box 94">
              <controlPr defaultSize="0" autoFill="0" autoLine="0" autoPict="0">
                <anchor moveWithCells="1">
                  <from>
                    <xdr:col>2</xdr:col>
                    <xdr:colOff>104775</xdr:colOff>
                    <xdr:row>278</xdr:row>
                    <xdr:rowOff>28575</xdr:rowOff>
                  </from>
                  <to>
                    <xdr:col>2</xdr:col>
                    <xdr:colOff>762000</xdr:colOff>
                    <xdr:row>278</xdr:row>
                    <xdr:rowOff>180975</xdr:rowOff>
                  </to>
                </anchor>
              </controlPr>
            </control>
          </mc:Choice>
        </mc:AlternateContent>
        <mc:AlternateContent xmlns:mc="http://schemas.openxmlformats.org/markup-compatibility/2006">
          <mc:Choice Requires="x14">
            <control shapeId="1119" r:id="rId48" name="Check Box 95">
              <controlPr defaultSize="0" autoFill="0" autoLine="0" autoPict="0">
                <anchor moveWithCells="1">
                  <from>
                    <xdr:col>2</xdr:col>
                    <xdr:colOff>104775</xdr:colOff>
                    <xdr:row>280</xdr:row>
                    <xdr:rowOff>28575</xdr:rowOff>
                  </from>
                  <to>
                    <xdr:col>2</xdr:col>
                    <xdr:colOff>762000</xdr:colOff>
                    <xdr:row>280</xdr:row>
                    <xdr:rowOff>180975</xdr:rowOff>
                  </to>
                </anchor>
              </controlPr>
            </control>
          </mc:Choice>
        </mc:AlternateContent>
        <mc:AlternateContent xmlns:mc="http://schemas.openxmlformats.org/markup-compatibility/2006">
          <mc:Choice Requires="x14">
            <control shapeId="1120" r:id="rId49" name="Check Box 96">
              <controlPr defaultSize="0" autoFill="0" autoLine="0" autoPict="0">
                <anchor moveWithCells="1">
                  <from>
                    <xdr:col>2</xdr:col>
                    <xdr:colOff>104775</xdr:colOff>
                    <xdr:row>283</xdr:row>
                    <xdr:rowOff>28575</xdr:rowOff>
                  </from>
                  <to>
                    <xdr:col>2</xdr:col>
                    <xdr:colOff>762000</xdr:colOff>
                    <xdr:row>283</xdr:row>
                    <xdr:rowOff>180975</xdr:rowOff>
                  </to>
                </anchor>
              </controlPr>
            </control>
          </mc:Choice>
        </mc:AlternateContent>
        <mc:AlternateContent xmlns:mc="http://schemas.openxmlformats.org/markup-compatibility/2006">
          <mc:Choice Requires="x14">
            <control shapeId="1121" r:id="rId50" name="Check Box 97">
              <controlPr defaultSize="0" autoFill="0" autoLine="0" autoPict="0">
                <anchor moveWithCells="1">
                  <from>
                    <xdr:col>2</xdr:col>
                    <xdr:colOff>104775</xdr:colOff>
                    <xdr:row>286</xdr:row>
                    <xdr:rowOff>28575</xdr:rowOff>
                  </from>
                  <to>
                    <xdr:col>2</xdr:col>
                    <xdr:colOff>762000</xdr:colOff>
                    <xdr:row>286</xdr:row>
                    <xdr:rowOff>180975</xdr:rowOff>
                  </to>
                </anchor>
              </controlPr>
            </control>
          </mc:Choice>
        </mc:AlternateContent>
        <mc:AlternateContent xmlns:mc="http://schemas.openxmlformats.org/markup-compatibility/2006">
          <mc:Choice Requires="x14">
            <control shapeId="1122" r:id="rId51" name="Check Box 98">
              <controlPr defaultSize="0" autoFill="0" autoLine="0" autoPict="0">
                <anchor moveWithCells="1">
                  <from>
                    <xdr:col>2</xdr:col>
                    <xdr:colOff>104775</xdr:colOff>
                    <xdr:row>287</xdr:row>
                    <xdr:rowOff>28575</xdr:rowOff>
                  </from>
                  <to>
                    <xdr:col>2</xdr:col>
                    <xdr:colOff>762000</xdr:colOff>
                    <xdr:row>287</xdr:row>
                    <xdr:rowOff>180975</xdr:rowOff>
                  </to>
                </anchor>
              </controlPr>
            </control>
          </mc:Choice>
        </mc:AlternateContent>
        <mc:AlternateContent xmlns:mc="http://schemas.openxmlformats.org/markup-compatibility/2006">
          <mc:Choice Requires="x14">
            <control shapeId="1123" r:id="rId52" name="Check Box 99">
              <controlPr defaultSize="0" autoFill="0" autoLine="0" autoPict="0">
                <anchor moveWithCells="1">
                  <from>
                    <xdr:col>2</xdr:col>
                    <xdr:colOff>104775</xdr:colOff>
                    <xdr:row>288</xdr:row>
                    <xdr:rowOff>28575</xdr:rowOff>
                  </from>
                  <to>
                    <xdr:col>2</xdr:col>
                    <xdr:colOff>762000</xdr:colOff>
                    <xdr:row>288</xdr:row>
                    <xdr:rowOff>180975</xdr:rowOff>
                  </to>
                </anchor>
              </controlPr>
            </control>
          </mc:Choice>
        </mc:AlternateContent>
        <mc:AlternateContent xmlns:mc="http://schemas.openxmlformats.org/markup-compatibility/2006">
          <mc:Choice Requires="x14">
            <control shapeId="1124" r:id="rId53" name="Check Box 100">
              <controlPr defaultSize="0" autoFill="0" autoLine="0" autoPict="0">
                <anchor moveWithCells="1">
                  <from>
                    <xdr:col>2</xdr:col>
                    <xdr:colOff>104775</xdr:colOff>
                    <xdr:row>289</xdr:row>
                    <xdr:rowOff>28575</xdr:rowOff>
                  </from>
                  <to>
                    <xdr:col>2</xdr:col>
                    <xdr:colOff>762000</xdr:colOff>
                    <xdr:row>289</xdr:row>
                    <xdr:rowOff>180975</xdr:rowOff>
                  </to>
                </anchor>
              </controlPr>
            </control>
          </mc:Choice>
        </mc:AlternateContent>
        <mc:AlternateContent xmlns:mc="http://schemas.openxmlformats.org/markup-compatibility/2006">
          <mc:Choice Requires="x14">
            <control shapeId="1125" r:id="rId54" name="Check Box 101">
              <controlPr defaultSize="0" autoFill="0" autoLine="0" autoPict="0">
                <anchor moveWithCells="1">
                  <from>
                    <xdr:col>2</xdr:col>
                    <xdr:colOff>104775</xdr:colOff>
                    <xdr:row>281</xdr:row>
                    <xdr:rowOff>28575</xdr:rowOff>
                  </from>
                  <to>
                    <xdr:col>2</xdr:col>
                    <xdr:colOff>762000</xdr:colOff>
                    <xdr:row>281</xdr:row>
                    <xdr:rowOff>180975</xdr:rowOff>
                  </to>
                </anchor>
              </controlPr>
            </control>
          </mc:Choice>
        </mc:AlternateContent>
        <mc:AlternateContent xmlns:mc="http://schemas.openxmlformats.org/markup-compatibility/2006">
          <mc:Choice Requires="x14">
            <control shapeId="1126" r:id="rId55" name="Check Box 102">
              <controlPr defaultSize="0" autoFill="0" autoLine="0" autoPict="0">
                <anchor moveWithCells="1">
                  <from>
                    <xdr:col>2</xdr:col>
                    <xdr:colOff>104775</xdr:colOff>
                    <xdr:row>282</xdr:row>
                    <xdr:rowOff>28575</xdr:rowOff>
                  </from>
                  <to>
                    <xdr:col>2</xdr:col>
                    <xdr:colOff>762000</xdr:colOff>
                    <xdr:row>282</xdr:row>
                    <xdr:rowOff>180975</xdr:rowOff>
                  </to>
                </anchor>
              </controlPr>
            </control>
          </mc:Choice>
        </mc:AlternateContent>
        <mc:AlternateContent xmlns:mc="http://schemas.openxmlformats.org/markup-compatibility/2006">
          <mc:Choice Requires="x14">
            <control shapeId="1127" r:id="rId56" name="Check Box 103">
              <controlPr defaultSize="0" autoFill="0" autoLine="0" autoPict="0">
                <anchor moveWithCells="1">
                  <from>
                    <xdr:col>2</xdr:col>
                    <xdr:colOff>104775</xdr:colOff>
                    <xdr:row>284</xdr:row>
                    <xdr:rowOff>28575</xdr:rowOff>
                  </from>
                  <to>
                    <xdr:col>2</xdr:col>
                    <xdr:colOff>762000</xdr:colOff>
                    <xdr:row>284</xdr:row>
                    <xdr:rowOff>180975</xdr:rowOff>
                  </to>
                </anchor>
              </controlPr>
            </control>
          </mc:Choice>
        </mc:AlternateContent>
        <mc:AlternateContent xmlns:mc="http://schemas.openxmlformats.org/markup-compatibility/2006">
          <mc:Choice Requires="x14">
            <control shapeId="1128" r:id="rId57" name="Check Box 104">
              <controlPr defaultSize="0" autoFill="0" autoLine="0" autoPict="0">
                <anchor moveWithCells="1">
                  <from>
                    <xdr:col>2</xdr:col>
                    <xdr:colOff>104775</xdr:colOff>
                    <xdr:row>285</xdr:row>
                    <xdr:rowOff>28575</xdr:rowOff>
                  </from>
                  <to>
                    <xdr:col>2</xdr:col>
                    <xdr:colOff>762000</xdr:colOff>
                    <xdr:row>285</xdr:row>
                    <xdr:rowOff>180975</xdr:rowOff>
                  </to>
                </anchor>
              </controlPr>
            </control>
          </mc:Choice>
        </mc:AlternateContent>
        <mc:AlternateContent xmlns:mc="http://schemas.openxmlformats.org/markup-compatibility/2006">
          <mc:Choice Requires="x14">
            <control shapeId="1129" r:id="rId58" name="Check Box 105">
              <controlPr defaultSize="0" autoFill="0" autoLine="0" autoPict="0">
                <anchor moveWithCells="1">
                  <from>
                    <xdr:col>2</xdr:col>
                    <xdr:colOff>104775</xdr:colOff>
                    <xdr:row>279</xdr:row>
                    <xdr:rowOff>28575</xdr:rowOff>
                  </from>
                  <to>
                    <xdr:col>2</xdr:col>
                    <xdr:colOff>762000</xdr:colOff>
                    <xdr:row>279</xdr:row>
                    <xdr:rowOff>180975</xdr:rowOff>
                  </to>
                </anchor>
              </controlPr>
            </control>
          </mc:Choice>
        </mc:AlternateContent>
        <mc:AlternateContent xmlns:mc="http://schemas.openxmlformats.org/markup-compatibility/2006">
          <mc:Choice Requires="x14">
            <control shapeId="1130" r:id="rId59" name="Check Box 106">
              <controlPr defaultSize="0" autoFill="0" autoLine="0" autoPict="0" altText="官方費用">
                <anchor moveWithCells="1">
                  <from>
                    <xdr:col>2</xdr:col>
                    <xdr:colOff>142875</xdr:colOff>
                    <xdr:row>291</xdr:row>
                    <xdr:rowOff>76200</xdr:rowOff>
                  </from>
                  <to>
                    <xdr:col>2</xdr:col>
                    <xdr:colOff>781050</xdr:colOff>
                    <xdr:row>291</xdr:row>
                    <xdr:rowOff>209550</xdr:rowOff>
                  </to>
                </anchor>
              </controlPr>
            </control>
          </mc:Choice>
        </mc:AlternateContent>
        <mc:AlternateContent xmlns:mc="http://schemas.openxmlformats.org/markup-compatibility/2006">
          <mc:Choice Requires="x14">
            <control shapeId="1131" r:id="rId60" name="Check Box 107">
              <controlPr defaultSize="0" autoFill="0" autoLine="0" autoPict="0" altText="官方費用">
                <anchor moveWithCells="1">
                  <from>
                    <xdr:col>3</xdr:col>
                    <xdr:colOff>9525</xdr:colOff>
                    <xdr:row>291</xdr:row>
                    <xdr:rowOff>76200</xdr:rowOff>
                  </from>
                  <to>
                    <xdr:col>4</xdr:col>
                    <xdr:colOff>190500</xdr:colOff>
                    <xdr:row>291</xdr:row>
                    <xdr:rowOff>209550</xdr:rowOff>
                  </to>
                </anchor>
              </controlPr>
            </control>
          </mc:Choice>
        </mc:AlternateContent>
        <mc:AlternateContent xmlns:mc="http://schemas.openxmlformats.org/markup-compatibility/2006">
          <mc:Choice Requires="x14">
            <control shapeId="1132" r:id="rId61" name="Check Box 108">
              <controlPr defaultSize="0" autoFill="0" autoLine="0" autoPict="0" altText="官方費用">
                <anchor moveWithCells="1">
                  <from>
                    <xdr:col>4</xdr:col>
                    <xdr:colOff>304800</xdr:colOff>
                    <xdr:row>291</xdr:row>
                    <xdr:rowOff>76200</xdr:rowOff>
                  </from>
                  <to>
                    <xdr:col>4</xdr:col>
                    <xdr:colOff>942975</xdr:colOff>
                    <xdr:row>291</xdr:row>
                    <xdr:rowOff>209550</xdr:rowOff>
                  </to>
                </anchor>
              </controlPr>
            </control>
          </mc:Choice>
        </mc:AlternateContent>
        <mc:AlternateContent xmlns:mc="http://schemas.openxmlformats.org/markup-compatibility/2006">
          <mc:Choice Requires="x14">
            <control shapeId="1133" r:id="rId62" name="Check Box 109">
              <controlPr defaultSize="0" autoFill="0" autoLine="0" autoPict="0" altText="官方費用">
                <anchor moveWithCells="1">
                  <from>
                    <xdr:col>5</xdr:col>
                    <xdr:colOff>9525</xdr:colOff>
                    <xdr:row>291</xdr:row>
                    <xdr:rowOff>76200</xdr:rowOff>
                  </from>
                  <to>
                    <xdr:col>5</xdr:col>
                    <xdr:colOff>647700</xdr:colOff>
                    <xdr:row>291</xdr:row>
                    <xdr:rowOff>209550</xdr:rowOff>
                  </to>
                </anchor>
              </controlPr>
            </control>
          </mc:Choice>
        </mc:AlternateContent>
        <mc:AlternateContent xmlns:mc="http://schemas.openxmlformats.org/markup-compatibility/2006">
          <mc:Choice Requires="x14">
            <control shapeId="1134" r:id="rId63" name="Check Box 110">
              <controlPr defaultSize="0" autoFill="0" autoLine="0" autoPict="0" altText="官方費用">
                <anchor moveWithCells="1">
                  <from>
                    <xdr:col>5</xdr:col>
                    <xdr:colOff>762000</xdr:colOff>
                    <xdr:row>291</xdr:row>
                    <xdr:rowOff>76200</xdr:rowOff>
                  </from>
                  <to>
                    <xdr:col>6</xdr:col>
                    <xdr:colOff>352425</xdr:colOff>
                    <xdr:row>291</xdr:row>
                    <xdr:rowOff>209550</xdr:rowOff>
                  </to>
                </anchor>
              </controlPr>
            </control>
          </mc:Choice>
        </mc:AlternateContent>
        <mc:AlternateContent xmlns:mc="http://schemas.openxmlformats.org/markup-compatibility/2006">
          <mc:Choice Requires="x14">
            <control shapeId="1135" r:id="rId64" name="Check Box 111">
              <controlPr defaultSize="0" autoFill="0" autoLine="0" autoPict="0" altText="官方費用">
                <anchor moveWithCells="1">
                  <from>
                    <xdr:col>7</xdr:col>
                    <xdr:colOff>9525</xdr:colOff>
                    <xdr:row>291</xdr:row>
                    <xdr:rowOff>76200</xdr:rowOff>
                  </from>
                  <to>
                    <xdr:col>7</xdr:col>
                    <xdr:colOff>647700</xdr:colOff>
                    <xdr:row>291</xdr:row>
                    <xdr:rowOff>209550</xdr:rowOff>
                  </to>
                </anchor>
              </controlPr>
            </control>
          </mc:Choice>
        </mc:AlternateContent>
        <mc:AlternateContent xmlns:mc="http://schemas.openxmlformats.org/markup-compatibility/2006">
          <mc:Choice Requires="x14">
            <control shapeId="1136" r:id="rId65" name="Check Box 112">
              <controlPr defaultSize="0" autoFill="0" autoLine="0" autoPict="0" altText="官方費用">
                <anchor moveWithCells="1">
                  <from>
                    <xdr:col>7</xdr:col>
                    <xdr:colOff>762000</xdr:colOff>
                    <xdr:row>291</xdr:row>
                    <xdr:rowOff>76200</xdr:rowOff>
                  </from>
                  <to>
                    <xdr:col>8</xdr:col>
                    <xdr:colOff>352425</xdr:colOff>
                    <xdr:row>291</xdr:row>
                    <xdr:rowOff>209550</xdr:rowOff>
                  </to>
                </anchor>
              </controlPr>
            </control>
          </mc:Choice>
        </mc:AlternateContent>
        <mc:AlternateContent xmlns:mc="http://schemas.openxmlformats.org/markup-compatibility/2006">
          <mc:Choice Requires="x14">
            <control shapeId="1137" r:id="rId66" name="Check Box 113">
              <controlPr defaultSize="0" autoFill="0" autoLine="0" autoPict="0" altText="官方費用">
                <anchor moveWithCells="1">
                  <from>
                    <xdr:col>8</xdr:col>
                    <xdr:colOff>466725</xdr:colOff>
                    <xdr:row>291</xdr:row>
                    <xdr:rowOff>76200</xdr:rowOff>
                  </from>
                  <to>
                    <xdr:col>9</xdr:col>
                    <xdr:colOff>57150</xdr:colOff>
                    <xdr:row>291</xdr:row>
                    <xdr:rowOff>209550</xdr:rowOff>
                  </to>
                </anchor>
              </controlPr>
            </control>
          </mc:Choice>
        </mc:AlternateContent>
        <mc:AlternateContent xmlns:mc="http://schemas.openxmlformats.org/markup-compatibility/2006">
          <mc:Choice Requires="x14">
            <control shapeId="1138" r:id="rId67" name="Check Box 114">
              <controlPr defaultSize="0" autoFill="0" autoLine="0" autoPict="0" altText="官方費用">
                <anchor moveWithCells="1">
                  <from>
                    <xdr:col>9</xdr:col>
                    <xdr:colOff>180975</xdr:colOff>
                    <xdr:row>291</xdr:row>
                    <xdr:rowOff>76200</xdr:rowOff>
                  </from>
                  <to>
                    <xdr:col>9</xdr:col>
                    <xdr:colOff>819150</xdr:colOff>
                    <xdr:row>291</xdr:row>
                    <xdr:rowOff>209550</xdr:rowOff>
                  </to>
                </anchor>
              </controlPr>
            </control>
          </mc:Choice>
        </mc:AlternateContent>
        <mc:AlternateContent xmlns:mc="http://schemas.openxmlformats.org/markup-compatibility/2006">
          <mc:Choice Requires="x14">
            <control shapeId="1139" r:id="rId68" name="Check Box 115">
              <controlPr defaultSize="0" autoFill="0" autoLine="0" autoPict="0" altText="官方費用">
                <anchor moveWithCells="1">
                  <from>
                    <xdr:col>9</xdr:col>
                    <xdr:colOff>923925</xdr:colOff>
                    <xdr:row>291</xdr:row>
                    <xdr:rowOff>76200</xdr:rowOff>
                  </from>
                  <to>
                    <xdr:col>10</xdr:col>
                    <xdr:colOff>523875</xdr:colOff>
                    <xdr:row>291</xdr:row>
                    <xdr:rowOff>209550</xdr:rowOff>
                  </to>
                </anchor>
              </controlPr>
            </control>
          </mc:Choice>
        </mc:AlternateContent>
        <mc:AlternateContent xmlns:mc="http://schemas.openxmlformats.org/markup-compatibility/2006">
          <mc:Choice Requires="x14">
            <control shapeId="1140" r:id="rId69" name="Check Box 116">
              <controlPr defaultSize="0" autoFill="0" autoLine="0" autoPict="0" altText="官方費用">
                <anchor moveWithCells="1">
                  <from>
                    <xdr:col>2</xdr:col>
                    <xdr:colOff>142875</xdr:colOff>
                    <xdr:row>292</xdr:row>
                    <xdr:rowOff>47625</xdr:rowOff>
                  </from>
                  <to>
                    <xdr:col>2</xdr:col>
                    <xdr:colOff>781050</xdr:colOff>
                    <xdr:row>292</xdr:row>
                    <xdr:rowOff>190500</xdr:rowOff>
                  </to>
                </anchor>
              </controlPr>
            </control>
          </mc:Choice>
        </mc:AlternateContent>
        <mc:AlternateContent xmlns:mc="http://schemas.openxmlformats.org/markup-compatibility/2006">
          <mc:Choice Requires="x14">
            <control shapeId="1141" r:id="rId70" name="Check Box 117">
              <controlPr defaultSize="0" autoFill="0" autoLine="0" autoPict="0" altText="官方費用">
                <anchor moveWithCells="1">
                  <from>
                    <xdr:col>3</xdr:col>
                    <xdr:colOff>9525</xdr:colOff>
                    <xdr:row>292</xdr:row>
                    <xdr:rowOff>47625</xdr:rowOff>
                  </from>
                  <to>
                    <xdr:col>4</xdr:col>
                    <xdr:colOff>190500</xdr:colOff>
                    <xdr:row>292</xdr:row>
                    <xdr:rowOff>190500</xdr:rowOff>
                  </to>
                </anchor>
              </controlPr>
            </control>
          </mc:Choice>
        </mc:AlternateContent>
        <mc:AlternateContent xmlns:mc="http://schemas.openxmlformats.org/markup-compatibility/2006">
          <mc:Choice Requires="x14">
            <control shapeId="1142" r:id="rId71" name="Check Box 118">
              <controlPr defaultSize="0" autoFill="0" autoLine="0" autoPict="0" altText="官方費用">
                <anchor moveWithCells="1">
                  <from>
                    <xdr:col>4</xdr:col>
                    <xdr:colOff>304800</xdr:colOff>
                    <xdr:row>292</xdr:row>
                    <xdr:rowOff>47625</xdr:rowOff>
                  </from>
                  <to>
                    <xdr:col>4</xdr:col>
                    <xdr:colOff>942975</xdr:colOff>
                    <xdr:row>292</xdr:row>
                    <xdr:rowOff>190500</xdr:rowOff>
                  </to>
                </anchor>
              </controlPr>
            </control>
          </mc:Choice>
        </mc:AlternateContent>
        <mc:AlternateContent xmlns:mc="http://schemas.openxmlformats.org/markup-compatibility/2006">
          <mc:Choice Requires="x14">
            <control shapeId="1143" r:id="rId72" name="Check Box 119">
              <controlPr defaultSize="0" autoFill="0" autoLine="0" autoPict="0" altText="官方費用">
                <anchor moveWithCells="1">
                  <from>
                    <xdr:col>5</xdr:col>
                    <xdr:colOff>9525</xdr:colOff>
                    <xdr:row>292</xdr:row>
                    <xdr:rowOff>47625</xdr:rowOff>
                  </from>
                  <to>
                    <xdr:col>5</xdr:col>
                    <xdr:colOff>647700</xdr:colOff>
                    <xdr:row>292</xdr:row>
                    <xdr:rowOff>190500</xdr:rowOff>
                  </to>
                </anchor>
              </controlPr>
            </control>
          </mc:Choice>
        </mc:AlternateContent>
        <mc:AlternateContent xmlns:mc="http://schemas.openxmlformats.org/markup-compatibility/2006">
          <mc:Choice Requires="x14">
            <control shapeId="1144" r:id="rId73" name="Check Box 120">
              <controlPr defaultSize="0" autoFill="0" autoLine="0" autoPict="0" altText="官方費用">
                <anchor moveWithCells="1">
                  <from>
                    <xdr:col>5</xdr:col>
                    <xdr:colOff>762000</xdr:colOff>
                    <xdr:row>292</xdr:row>
                    <xdr:rowOff>47625</xdr:rowOff>
                  </from>
                  <to>
                    <xdr:col>6</xdr:col>
                    <xdr:colOff>352425</xdr:colOff>
                    <xdr:row>292</xdr:row>
                    <xdr:rowOff>190500</xdr:rowOff>
                  </to>
                </anchor>
              </controlPr>
            </control>
          </mc:Choice>
        </mc:AlternateContent>
        <mc:AlternateContent xmlns:mc="http://schemas.openxmlformats.org/markup-compatibility/2006">
          <mc:Choice Requires="x14">
            <control shapeId="1145" r:id="rId74" name="Check Box 121">
              <controlPr defaultSize="0" autoFill="0" autoLine="0" autoPict="0" altText="官方費用">
                <anchor moveWithCells="1">
                  <from>
                    <xdr:col>7</xdr:col>
                    <xdr:colOff>9525</xdr:colOff>
                    <xdr:row>292</xdr:row>
                    <xdr:rowOff>47625</xdr:rowOff>
                  </from>
                  <to>
                    <xdr:col>7</xdr:col>
                    <xdr:colOff>647700</xdr:colOff>
                    <xdr:row>292</xdr:row>
                    <xdr:rowOff>190500</xdr:rowOff>
                  </to>
                </anchor>
              </controlPr>
            </control>
          </mc:Choice>
        </mc:AlternateContent>
        <mc:AlternateContent xmlns:mc="http://schemas.openxmlformats.org/markup-compatibility/2006">
          <mc:Choice Requires="x14">
            <control shapeId="1146" r:id="rId75" name="Check Box 122">
              <controlPr defaultSize="0" autoFill="0" autoLine="0" autoPict="0" altText="官方費用">
                <anchor moveWithCells="1">
                  <from>
                    <xdr:col>7</xdr:col>
                    <xdr:colOff>762000</xdr:colOff>
                    <xdr:row>292</xdr:row>
                    <xdr:rowOff>47625</xdr:rowOff>
                  </from>
                  <to>
                    <xdr:col>8</xdr:col>
                    <xdr:colOff>352425</xdr:colOff>
                    <xdr:row>292</xdr:row>
                    <xdr:rowOff>190500</xdr:rowOff>
                  </to>
                </anchor>
              </controlPr>
            </control>
          </mc:Choice>
        </mc:AlternateContent>
        <mc:AlternateContent xmlns:mc="http://schemas.openxmlformats.org/markup-compatibility/2006">
          <mc:Choice Requires="x14">
            <control shapeId="1147" r:id="rId76" name="Check Box 123">
              <controlPr defaultSize="0" autoFill="0" autoLine="0" autoPict="0" altText="官方費用">
                <anchor moveWithCells="1">
                  <from>
                    <xdr:col>8</xdr:col>
                    <xdr:colOff>466725</xdr:colOff>
                    <xdr:row>292</xdr:row>
                    <xdr:rowOff>47625</xdr:rowOff>
                  </from>
                  <to>
                    <xdr:col>9</xdr:col>
                    <xdr:colOff>57150</xdr:colOff>
                    <xdr:row>292</xdr:row>
                    <xdr:rowOff>190500</xdr:rowOff>
                  </to>
                </anchor>
              </controlPr>
            </control>
          </mc:Choice>
        </mc:AlternateContent>
        <mc:AlternateContent xmlns:mc="http://schemas.openxmlformats.org/markup-compatibility/2006">
          <mc:Choice Requires="x14">
            <control shapeId="1148" r:id="rId77" name="Check Box 124">
              <controlPr defaultSize="0" autoFill="0" autoLine="0" autoPict="0" altText="官方費用">
                <anchor moveWithCells="1">
                  <from>
                    <xdr:col>9</xdr:col>
                    <xdr:colOff>180975</xdr:colOff>
                    <xdr:row>292</xdr:row>
                    <xdr:rowOff>47625</xdr:rowOff>
                  </from>
                  <to>
                    <xdr:col>9</xdr:col>
                    <xdr:colOff>819150</xdr:colOff>
                    <xdr:row>292</xdr:row>
                    <xdr:rowOff>190500</xdr:rowOff>
                  </to>
                </anchor>
              </controlPr>
            </control>
          </mc:Choice>
        </mc:AlternateContent>
        <mc:AlternateContent xmlns:mc="http://schemas.openxmlformats.org/markup-compatibility/2006">
          <mc:Choice Requires="x14">
            <control shapeId="1149" r:id="rId78" name="Check Box 125">
              <controlPr defaultSize="0" autoFill="0" autoLine="0" autoPict="0" altText="官方費用">
                <anchor moveWithCells="1">
                  <from>
                    <xdr:col>9</xdr:col>
                    <xdr:colOff>923925</xdr:colOff>
                    <xdr:row>292</xdr:row>
                    <xdr:rowOff>47625</xdr:rowOff>
                  </from>
                  <to>
                    <xdr:col>10</xdr:col>
                    <xdr:colOff>523875</xdr:colOff>
                    <xdr:row>292</xdr:row>
                    <xdr:rowOff>190500</xdr:rowOff>
                  </to>
                </anchor>
              </controlPr>
            </control>
          </mc:Choice>
        </mc:AlternateContent>
        <mc:AlternateContent xmlns:mc="http://schemas.openxmlformats.org/markup-compatibility/2006">
          <mc:Choice Requires="x14">
            <control shapeId="1150" r:id="rId79" name="Check Box 126">
              <controlPr defaultSize="0" autoFill="0" autoLine="0" autoPict="0" altText="官方費用">
                <anchor moveWithCells="1">
                  <from>
                    <xdr:col>10</xdr:col>
                    <xdr:colOff>647700</xdr:colOff>
                    <xdr:row>291</xdr:row>
                    <xdr:rowOff>76200</xdr:rowOff>
                  </from>
                  <to>
                    <xdr:col>11</xdr:col>
                    <xdr:colOff>247650</xdr:colOff>
                    <xdr:row>291</xdr:row>
                    <xdr:rowOff>209550</xdr:rowOff>
                  </to>
                </anchor>
              </controlPr>
            </control>
          </mc:Choice>
        </mc:AlternateContent>
        <mc:AlternateContent xmlns:mc="http://schemas.openxmlformats.org/markup-compatibility/2006">
          <mc:Choice Requires="x14">
            <control shapeId="1151" r:id="rId80" name="Check Box 127">
              <controlPr defaultSize="0" autoFill="0" autoLine="0" autoPict="0" altText="官方費用">
                <anchor moveWithCells="1">
                  <from>
                    <xdr:col>11</xdr:col>
                    <xdr:colOff>361950</xdr:colOff>
                    <xdr:row>291</xdr:row>
                    <xdr:rowOff>76200</xdr:rowOff>
                  </from>
                  <to>
                    <xdr:col>11</xdr:col>
                    <xdr:colOff>990600</xdr:colOff>
                    <xdr:row>291</xdr:row>
                    <xdr:rowOff>209550</xdr:rowOff>
                  </to>
                </anchor>
              </controlPr>
            </control>
          </mc:Choice>
        </mc:AlternateContent>
        <mc:AlternateContent xmlns:mc="http://schemas.openxmlformats.org/markup-compatibility/2006">
          <mc:Choice Requires="x14">
            <control shapeId="1152" r:id="rId81" name="Check Box 128">
              <controlPr defaultSize="0" autoFill="0" autoLine="0" autoPict="0" altText="官方費用">
                <anchor moveWithCells="1">
                  <from>
                    <xdr:col>10</xdr:col>
                    <xdr:colOff>647700</xdr:colOff>
                    <xdr:row>292</xdr:row>
                    <xdr:rowOff>47625</xdr:rowOff>
                  </from>
                  <to>
                    <xdr:col>11</xdr:col>
                    <xdr:colOff>247650</xdr:colOff>
                    <xdr:row>292</xdr:row>
                    <xdr:rowOff>190500</xdr:rowOff>
                  </to>
                </anchor>
              </controlPr>
            </control>
          </mc:Choice>
        </mc:AlternateContent>
        <mc:AlternateContent xmlns:mc="http://schemas.openxmlformats.org/markup-compatibility/2006">
          <mc:Choice Requires="x14">
            <control shapeId="1153" r:id="rId82" name="Check Box 129">
              <controlPr defaultSize="0" autoFill="0" autoLine="0" autoPict="0" altText="官方費用">
                <anchor moveWithCells="1">
                  <from>
                    <xdr:col>11</xdr:col>
                    <xdr:colOff>361950</xdr:colOff>
                    <xdr:row>292</xdr:row>
                    <xdr:rowOff>47625</xdr:rowOff>
                  </from>
                  <to>
                    <xdr:col>11</xdr:col>
                    <xdr:colOff>990600</xdr:colOff>
                    <xdr:row>292</xdr:row>
                    <xdr:rowOff>190500</xdr:rowOff>
                  </to>
                </anchor>
              </controlPr>
            </control>
          </mc:Choice>
        </mc:AlternateContent>
        <mc:AlternateContent xmlns:mc="http://schemas.openxmlformats.org/markup-compatibility/2006">
          <mc:Choice Requires="x14">
            <control shapeId="1154" r:id="rId83" name="Check Box 130">
              <controlPr defaultSize="0" autoFill="0" autoLine="0" autoPict="0">
                <anchor moveWithCells="1">
                  <from>
                    <xdr:col>1</xdr:col>
                    <xdr:colOff>171450</xdr:colOff>
                    <xdr:row>15</xdr:row>
                    <xdr:rowOff>38100</xdr:rowOff>
                  </from>
                  <to>
                    <xdr:col>1</xdr:col>
                    <xdr:colOff>695325</xdr:colOff>
                    <xdr:row>15</xdr:row>
                    <xdr:rowOff>180975</xdr:rowOff>
                  </to>
                </anchor>
              </controlPr>
            </control>
          </mc:Choice>
        </mc:AlternateContent>
        <mc:AlternateContent xmlns:mc="http://schemas.openxmlformats.org/markup-compatibility/2006">
          <mc:Choice Requires="x14">
            <control shapeId="1155" r:id="rId84" name="Check Box 131">
              <controlPr defaultSize="0" autoFill="0" autoLine="0" autoPict="0">
                <anchor moveWithCells="1">
                  <from>
                    <xdr:col>1</xdr:col>
                    <xdr:colOff>171450</xdr:colOff>
                    <xdr:row>16</xdr:row>
                    <xdr:rowOff>38100</xdr:rowOff>
                  </from>
                  <to>
                    <xdr:col>1</xdr:col>
                    <xdr:colOff>695325</xdr:colOff>
                    <xdr:row>16</xdr:row>
                    <xdr:rowOff>180975</xdr:rowOff>
                  </to>
                </anchor>
              </controlPr>
            </control>
          </mc:Choice>
        </mc:AlternateContent>
        <mc:AlternateContent xmlns:mc="http://schemas.openxmlformats.org/markup-compatibility/2006">
          <mc:Choice Requires="x14">
            <control shapeId="1156" r:id="rId85" name="Check Box 132">
              <controlPr defaultSize="0" autoFill="0" autoLine="0" autoPict="0">
                <anchor moveWithCells="1">
                  <from>
                    <xdr:col>1</xdr:col>
                    <xdr:colOff>171450</xdr:colOff>
                    <xdr:row>17</xdr:row>
                    <xdr:rowOff>38100</xdr:rowOff>
                  </from>
                  <to>
                    <xdr:col>1</xdr:col>
                    <xdr:colOff>695325</xdr:colOff>
                    <xdr:row>17</xdr:row>
                    <xdr:rowOff>180975</xdr:rowOff>
                  </to>
                </anchor>
              </controlPr>
            </control>
          </mc:Choice>
        </mc:AlternateContent>
        <mc:AlternateContent xmlns:mc="http://schemas.openxmlformats.org/markup-compatibility/2006">
          <mc:Choice Requires="x14">
            <control shapeId="1157" r:id="rId86" name="Check Box 133">
              <controlPr defaultSize="0" autoFill="0" autoLine="0" autoPict="0">
                <anchor moveWithCells="1">
                  <from>
                    <xdr:col>1</xdr:col>
                    <xdr:colOff>171450</xdr:colOff>
                    <xdr:row>18</xdr:row>
                    <xdr:rowOff>38100</xdr:rowOff>
                  </from>
                  <to>
                    <xdr:col>1</xdr:col>
                    <xdr:colOff>695325</xdr:colOff>
                    <xdr:row>18</xdr:row>
                    <xdr:rowOff>180975</xdr:rowOff>
                  </to>
                </anchor>
              </controlPr>
            </control>
          </mc:Choice>
        </mc:AlternateContent>
        <mc:AlternateContent xmlns:mc="http://schemas.openxmlformats.org/markup-compatibility/2006">
          <mc:Choice Requires="x14">
            <control shapeId="1158" r:id="rId87" name="Check Box 134">
              <controlPr defaultSize="0" autoFill="0" autoLine="0" autoPict="0">
                <anchor moveWithCells="1">
                  <from>
                    <xdr:col>1</xdr:col>
                    <xdr:colOff>171450</xdr:colOff>
                    <xdr:row>19</xdr:row>
                    <xdr:rowOff>38100</xdr:rowOff>
                  </from>
                  <to>
                    <xdr:col>1</xdr:col>
                    <xdr:colOff>695325</xdr:colOff>
                    <xdr:row>19</xdr:row>
                    <xdr:rowOff>180975</xdr:rowOff>
                  </to>
                </anchor>
              </controlPr>
            </control>
          </mc:Choice>
        </mc:AlternateContent>
        <mc:AlternateContent xmlns:mc="http://schemas.openxmlformats.org/markup-compatibility/2006">
          <mc:Choice Requires="x14">
            <control shapeId="1159" r:id="rId88" name="Check Box 135">
              <controlPr defaultSize="0" autoFill="0" autoLine="0" autoPict="0">
                <anchor moveWithCells="1">
                  <from>
                    <xdr:col>1</xdr:col>
                    <xdr:colOff>171450</xdr:colOff>
                    <xdr:row>20</xdr:row>
                    <xdr:rowOff>38100</xdr:rowOff>
                  </from>
                  <to>
                    <xdr:col>1</xdr:col>
                    <xdr:colOff>695325</xdr:colOff>
                    <xdr:row>20</xdr:row>
                    <xdr:rowOff>180975</xdr:rowOff>
                  </to>
                </anchor>
              </controlPr>
            </control>
          </mc:Choice>
        </mc:AlternateContent>
        <mc:AlternateContent xmlns:mc="http://schemas.openxmlformats.org/markup-compatibility/2006">
          <mc:Choice Requires="x14">
            <control shapeId="1160" r:id="rId89" name="Check Box 136">
              <controlPr defaultSize="0" autoFill="0" autoLine="0" autoPict="0">
                <anchor moveWithCells="1">
                  <from>
                    <xdr:col>1</xdr:col>
                    <xdr:colOff>171450</xdr:colOff>
                    <xdr:row>21</xdr:row>
                    <xdr:rowOff>38100</xdr:rowOff>
                  </from>
                  <to>
                    <xdr:col>1</xdr:col>
                    <xdr:colOff>695325</xdr:colOff>
                    <xdr:row>21</xdr:row>
                    <xdr:rowOff>180975</xdr:rowOff>
                  </to>
                </anchor>
              </controlPr>
            </control>
          </mc:Choice>
        </mc:AlternateContent>
        <mc:AlternateContent xmlns:mc="http://schemas.openxmlformats.org/markup-compatibility/2006">
          <mc:Choice Requires="x14">
            <control shapeId="1161" r:id="rId90" name="Check Box 137">
              <controlPr defaultSize="0" autoFill="0" autoLine="0" autoPict="0">
                <anchor moveWithCells="1">
                  <from>
                    <xdr:col>1</xdr:col>
                    <xdr:colOff>171450</xdr:colOff>
                    <xdr:row>22</xdr:row>
                    <xdr:rowOff>38100</xdr:rowOff>
                  </from>
                  <to>
                    <xdr:col>1</xdr:col>
                    <xdr:colOff>695325</xdr:colOff>
                    <xdr:row>22</xdr:row>
                    <xdr:rowOff>190500</xdr:rowOff>
                  </to>
                </anchor>
              </controlPr>
            </control>
          </mc:Choice>
        </mc:AlternateContent>
        <mc:AlternateContent xmlns:mc="http://schemas.openxmlformats.org/markup-compatibility/2006">
          <mc:Choice Requires="x14">
            <control shapeId="1162" r:id="rId91" name="Check Box 138">
              <controlPr defaultSize="0" autoFill="0" autoLine="0" autoPict="0">
                <anchor moveWithCells="1">
                  <from>
                    <xdr:col>1</xdr:col>
                    <xdr:colOff>171450</xdr:colOff>
                    <xdr:row>23</xdr:row>
                    <xdr:rowOff>38100</xdr:rowOff>
                  </from>
                  <to>
                    <xdr:col>1</xdr:col>
                    <xdr:colOff>695325</xdr:colOff>
                    <xdr:row>23</xdr:row>
                    <xdr:rowOff>190500</xdr:rowOff>
                  </to>
                </anchor>
              </controlPr>
            </control>
          </mc:Choice>
        </mc:AlternateContent>
        <mc:AlternateContent xmlns:mc="http://schemas.openxmlformats.org/markup-compatibility/2006">
          <mc:Choice Requires="x14">
            <control shapeId="1163" r:id="rId92" name="Check Box 139">
              <controlPr defaultSize="0" autoFill="0" autoLine="0" autoPict="0">
                <anchor moveWithCells="1">
                  <from>
                    <xdr:col>1</xdr:col>
                    <xdr:colOff>171450</xdr:colOff>
                    <xdr:row>24</xdr:row>
                    <xdr:rowOff>38100</xdr:rowOff>
                  </from>
                  <to>
                    <xdr:col>1</xdr:col>
                    <xdr:colOff>695325</xdr:colOff>
                    <xdr:row>24</xdr:row>
                    <xdr:rowOff>190500</xdr:rowOff>
                  </to>
                </anchor>
              </controlPr>
            </control>
          </mc:Choice>
        </mc:AlternateContent>
        <mc:AlternateContent xmlns:mc="http://schemas.openxmlformats.org/markup-compatibility/2006">
          <mc:Choice Requires="x14">
            <control shapeId="1164" r:id="rId93" name="Check Box 140">
              <controlPr defaultSize="0" autoFill="0" autoLine="0" autoPict="0">
                <anchor moveWithCells="1">
                  <from>
                    <xdr:col>1</xdr:col>
                    <xdr:colOff>171450</xdr:colOff>
                    <xdr:row>32</xdr:row>
                    <xdr:rowOff>38100</xdr:rowOff>
                  </from>
                  <to>
                    <xdr:col>1</xdr:col>
                    <xdr:colOff>695325</xdr:colOff>
                    <xdr:row>32</xdr:row>
                    <xdr:rowOff>190500</xdr:rowOff>
                  </to>
                </anchor>
              </controlPr>
            </control>
          </mc:Choice>
        </mc:AlternateContent>
        <mc:AlternateContent xmlns:mc="http://schemas.openxmlformats.org/markup-compatibility/2006">
          <mc:Choice Requires="x14">
            <control shapeId="1165" r:id="rId94" name="Check Box 141">
              <controlPr defaultSize="0" autoFill="0" autoLine="0" autoPict="0">
                <anchor moveWithCells="1">
                  <from>
                    <xdr:col>1</xdr:col>
                    <xdr:colOff>171450</xdr:colOff>
                    <xdr:row>33</xdr:row>
                    <xdr:rowOff>38100</xdr:rowOff>
                  </from>
                  <to>
                    <xdr:col>1</xdr:col>
                    <xdr:colOff>695325</xdr:colOff>
                    <xdr:row>33</xdr:row>
                    <xdr:rowOff>190500</xdr:rowOff>
                  </to>
                </anchor>
              </controlPr>
            </control>
          </mc:Choice>
        </mc:AlternateContent>
        <mc:AlternateContent xmlns:mc="http://schemas.openxmlformats.org/markup-compatibility/2006">
          <mc:Choice Requires="x14">
            <control shapeId="1166" r:id="rId95" name="Check Box 142">
              <controlPr defaultSize="0" autoFill="0" autoLine="0" autoPict="0">
                <anchor moveWithCells="1">
                  <from>
                    <xdr:col>1</xdr:col>
                    <xdr:colOff>171450</xdr:colOff>
                    <xdr:row>34</xdr:row>
                    <xdr:rowOff>38100</xdr:rowOff>
                  </from>
                  <to>
                    <xdr:col>1</xdr:col>
                    <xdr:colOff>695325</xdr:colOff>
                    <xdr:row>34</xdr:row>
                    <xdr:rowOff>190500</xdr:rowOff>
                  </to>
                </anchor>
              </controlPr>
            </control>
          </mc:Choice>
        </mc:AlternateContent>
        <mc:AlternateContent xmlns:mc="http://schemas.openxmlformats.org/markup-compatibility/2006">
          <mc:Choice Requires="x14">
            <control shapeId="1167" r:id="rId96" name="Check Box 143">
              <controlPr defaultSize="0" autoFill="0" autoLine="0" autoPict="0">
                <anchor moveWithCells="1">
                  <from>
                    <xdr:col>1</xdr:col>
                    <xdr:colOff>171450</xdr:colOff>
                    <xdr:row>35</xdr:row>
                    <xdr:rowOff>38100</xdr:rowOff>
                  </from>
                  <to>
                    <xdr:col>1</xdr:col>
                    <xdr:colOff>695325</xdr:colOff>
                    <xdr:row>35</xdr:row>
                    <xdr:rowOff>190500</xdr:rowOff>
                  </to>
                </anchor>
              </controlPr>
            </control>
          </mc:Choice>
        </mc:AlternateContent>
        <mc:AlternateContent xmlns:mc="http://schemas.openxmlformats.org/markup-compatibility/2006">
          <mc:Choice Requires="x14">
            <control shapeId="1168" r:id="rId97" name="Check Box 144">
              <controlPr defaultSize="0" autoFill="0" autoLine="0" autoPict="0">
                <anchor moveWithCells="1">
                  <from>
                    <xdr:col>1</xdr:col>
                    <xdr:colOff>171450</xdr:colOff>
                    <xdr:row>27</xdr:row>
                    <xdr:rowOff>38100</xdr:rowOff>
                  </from>
                  <to>
                    <xdr:col>1</xdr:col>
                    <xdr:colOff>695325</xdr:colOff>
                    <xdr:row>27</xdr:row>
                    <xdr:rowOff>190500</xdr:rowOff>
                  </to>
                </anchor>
              </controlPr>
            </control>
          </mc:Choice>
        </mc:AlternateContent>
        <mc:AlternateContent xmlns:mc="http://schemas.openxmlformats.org/markup-compatibility/2006">
          <mc:Choice Requires="x14">
            <control shapeId="1169" r:id="rId98" name="Check Box 145">
              <controlPr defaultSize="0" autoFill="0" autoLine="0" autoPict="0">
                <anchor moveWithCells="1">
                  <from>
                    <xdr:col>1</xdr:col>
                    <xdr:colOff>171450</xdr:colOff>
                    <xdr:row>28</xdr:row>
                    <xdr:rowOff>38100</xdr:rowOff>
                  </from>
                  <to>
                    <xdr:col>1</xdr:col>
                    <xdr:colOff>695325</xdr:colOff>
                    <xdr:row>28</xdr:row>
                    <xdr:rowOff>190500</xdr:rowOff>
                  </to>
                </anchor>
              </controlPr>
            </control>
          </mc:Choice>
        </mc:AlternateContent>
        <mc:AlternateContent xmlns:mc="http://schemas.openxmlformats.org/markup-compatibility/2006">
          <mc:Choice Requires="x14">
            <control shapeId="1170" r:id="rId99" name="Check Box 146">
              <controlPr defaultSize="0" autoFill="0" autoLine="0" autoPict="0">
                <anchor moveWithCells="1">
                  <from>
                    <xdr:col>1</xdr:col>
                    <xdr:colOff>171450</xdr:colOff>
                    <xdr:row>30</xdr:row>
                    <xdr:rowOff>38100</xdr:rowOff>
                  </from>
                  <to>
                    <xdr:col>1</xdr:col>
                    <xdr:colOff>695325</xdr:colOff>
                    <xdr:row>30</xdr:row>
                    <xdr:rowOff>190500</xdr:rowOff>
                  </to>
                </anchor>
              </controlPr>
            </control>
          </mc:Choice>
        </mc:AlternateContent>
        <mc:AlternateContent xmlns:mc="http://schemas.openxmlformats.org/markup-compatibility/2006">
          <mc:Choice Requires="x14">
            <control shapeId="1171" r:id="rId100" name="Check Box 147">
              <controlPr defaultSize="0" autoFill="0" autoLine="0" autoPict="0">
                <anchor moveWithCells="1">
                  <from>
                    <xdr:col>1</xdr:col>
                    <xdr:colOff>171450</xdr:colOff>
                    <xdr:row>31</xdr:row>
                    <xdr:rowOff>38100</xdr:rowOff>
                  </from>
                  <to>
                    <xdr:col>1</xdr:col>
                    <xdr:colOff>695325</xdr:colOff>
                    <xdr:row>31</xdr:row>
                    <xdr:rowOff>190500</xdr:rowOff>
                  </to>
                </anchor>
              </controlPr>
            </control>
          </mc:Choice>
        </mc:AlternateContent>
        <mc:AlternateContent xmlns:mc="http://schemas.openxmlformats.org/markup-compatibility/2006">
          <mc:Choice Requires="x14">
            <control shapeId="1172" r:id="rId101" name="Check Box 148">
              <controlPr defaultSize="0" autoFill="0" autoLine="0" autoPict="0">
                <anchor moveWithCells="1">
                  <from>
                    <xdr:col>1</xdr:col>
                    <xdr:colOff>171450</xdr:colOff>
                    <xdr:row>26</xdr:row>
                    <xdr:rowOff>38100</xdr:rowOff>
                  </from>
                  <to>
                    <xdr:col>1</xdr:col>
                    <xdr:colOff>695325</xdr:colOff>
                    <xdr:row>26</xdr:row>
                    <xdr:rowOff>190500</xdr:rowOff>
                  </to>
                </anchor>
              </controlPr>
            </control>
          </mc:Choice>
        </mc:AlternateContent>
        <mc:AlternateContent xmlns:mc="http://schemas.openxmlformats.org/markup-compatibility/2006">
          <mc:Choice Requires="x14">
            <control shapeId="1173" r:id="rId102" name="Check Box 149">
              <controlPr defaultSize="0" autoFill="0" autoLine="0" autoPict="0">
                <anchor moveWithCells="1">
                  <from>
                    <xdr:col>1</xdr:col>
                    <xdr:colOff>171450</xdr:colOff>
                    <xdr:row>29</xdr:row>
                    <xdr:rowOff>38100</xdr:rowOff>
                  </from>
                  <to>
                    <xdr:col>1</xdr:col>
                    <xdr:colOff>695325</xdr:colOff>
                    <xdr:row>29</xdr:row>
                    <xdr:rowOff>190500</xdr:rowOff>
                  </to>
                </anchor>
              </controlPr>
            </control>
          </mc:Choice>
        </mc:AlternateContent>
        <mc:AlternateContent xmlns:mc="http://schemas.openxmlformats.org/markup-compatibility/2006">
          <mc:Choice Requires="x14">
            <control shapeId="1174" r:id="rId103" name="Check Box 150">
              <controlPr defaultSize="0" autoFill="0" autoLine="0" autoPict="0">
                <anchor moveWithCells="1">
                  <from>
                    <xdr:col>1</xdr:col>
                    <xdr:colOff>171450</xdr:colOff>
                    <xdr:row>25</xdr:row>
                    <xdr:rowOff>38100</xdr:rowOff>
                  </from>
                  <to>
                    <xdr:col>1</xdr:col>
                    <xdr:colOff>695325</xdr:colOff>
                    <xdr:row>25</xdr:row>
                    <xdr:rowOff>190500</xdr:rowOff>
                  </to>
                </anchor>
              </controlPr>
            </control>
          </mc:Choice>
        </mc:AlternateContent>
        <mc:AlternateContent xmlns:mc="http://schemas.openxmlformats.org/markup-compatibility/2006">
          <mc:Choice Requires="x14">
            <control shapeId="1281" r:id="rId104" name="Option Button 257">
              <controlPr defaultSize="0" autoFill="0" autoLine="0" autoPict="0">
                <anchor moveWithCells="1">
                  <from>
                    <xdr:col>2</xdr:col>
                    <xdr:colOff>57150</xdr:colOff>
                    <xdr:row>15</xdr:row>
                    <xdr:rowOff>123825</xdr:rowOff>
                  </from>
                  <to>
                    <xdr:col>2</xdr:col>
                    <xdr:colOff>695325</xdr:colOff>
                    <xdr:row>16</xdr:row>
                    <xdr:rowOff>95250</xdr:rowOff>
                  </to>
                </anchor>
              </controlPr>
            </control>
          </mc:Choice>
        </mc:AlternateContent>
        <mc:AlternateContent xmlns:mc="http://schemas.openxmlformats.org/markup-compatibility/2006">
          <mc:Choice Requires="x14">
            <control shapeId="1287" r:id="rId105" name="Option Button 263">
              <controlPr defaultSize="0" autoFill="0" autoLine="0" autoPict="0">
                <anchor moveWithCells="1">
                  <from>
                    <xdr:col>2</xdr:col>
                    <xdr:colOff>57150</xdr:colOff>
                    <xdr:row>17</xdr:row>
                    <xdr:rowOff>123825</xdr:rowOff>
                  </from>
                  <to>
                    <xdr:col>2</xdr:col>
                    <xdr:colOff>695325</xdr:colOff>
                    <xdr:row>18</xdr:row>
                    <xdr:rowOff>85725</xdr:rowOff>
                  </to>
                </anchor>
              </controlPr>
            </control>
          </mc:Choice>
        </mc:AlternateContent>
        <mc:AlternateContent xmlns:mc="http://schemas.openxmlformats.org/markup-compatibility/2006">
          <mc:Choice Requires="x14">
            <control shapeId="1288" r:id="rId106" name="Option Button 264">
              <controlPr defaultSize="0" autoFill="0" autoLine="0" autoPict="0">
                <anchor moveWithCells="1">
                  <from>
                    <xdr:col>2</xdr:col>
                    <xdr:colOff>57150</xdr:colOff>
                    <xdr:row>19</xdr:row>
                    <xdr:rowOff>19050</xdr:rowOff>
                  </from>
                  <to>
                    <xdr:col>2</xdr:col>
                    <xdr:colOff>695325</xdr:colOff>
                    <xdr:row>19</xdr:row>
                    <xdr:rowOff>190500</xdr:rowOff>
                  </to>
                </anchor>
              </controlPr>
            </control>
          </mc:Choice>
        </mc:AlternateContent>
        <mc:AlternateContent xmlns:mc="http://schemas.openxmlformats.org/markup-compatibility/2006">
          <mc:Choice Requires="x14">
            <control shapeId="1289" r:id="rId107" name="Option Button 265">
              <controlPr defaultSize="0" autoFill="0" autoLine="0" autoPict="0">
                <anchor moveWithCells="1">
                  <from>
                    <xdr:col>2</xdr:col>
                    <xdr:colOff>57150</xdr:colOff>
                    <xdr:row>25</xdr:row>
                    <xdr:rowOff>19050</xdr:rowOff>
                  </from>
                  <to>
                    <xdr:col>2</xdr:col>
                    <xdr:colOff>695325</xdr:colOff>
                    <xdr:row>25</xdr:row>
                    <xdr:rowOff>190500</xdr:rowOff>
                  </to>
                </anchor>
              </controlPr>
            </control>
          </mc:Choice>
        </mc:AlternateContent>
        <mc:AlternateContent xmlns:mc="http://schemas.openxmlformats.org/markup-compatibility/2006">
          <mc:Choice Requires="x14">
            <control shapeId="1291" r:id="rId108" name="Option Button 267">
              <controlPr defaultSize="0" autoFill="0" autoLine="0" autoPict="0">
                <anchor moveWithCells="1">
                  <from>
                    <xdr:col>2</xdr:col>
                    <xdr:colOff>57150</xdr:colOff>
                    <xdr:row>26</xdr:row>
                    <xdr:rowOff>9525</xdr:rowOff>
                  </from>
                  <to>
                    <xdr:col>2</xdr:col>
                    <xdr:colOff>695325</xdr:colOff>
                    <xdr:row>26</xdr:row>
                    <xdr:rowOff>190500</xdr:rowOff>
                  </to>
                </anchor>
              </controlPr>
            </control>
          </mc:Choice>
        </mc:AlternateContent>
        <mc:AlternateContent xmlns:mc="http://schemas.openxmlformats.org/markup-compatibility/2006">
          <mc:Choice Requires="x14">
            <control shapeId="1293" r:id="rId109" name="Option Button 269">
              <controlPr defaultSize="0" autoFill="0" autoLine="0" autoPict="0">
                <anchor moveWithCells="1">
                  <from>
                    <xdr:col>2</xdr:col>
                    <xdr:colOff>57150</xdr:colOff>
                    <xdr:row>27</xdr:row>
                    <xdr:rowOff>123825</xdr:rowOff>
                  </from>
                  <to>
                    <xdr:col>2</xdr:col>
                    <xdr:colOff>695325</xdr:colOff>
                    <xdr:row>28</xdr:row>
                    <xdr:rowOff>76200</xdr:rowOff>
                  </to>
                </anchor>
              </controlPr>
            </control>
          </mc:Choice>
        </mc:AlternateContent>
        <mc:AlternateContent xmlns:mc="http://schemas.openxmlformats.org/markup-compatibility/2006">
          <mc:Choice Requires="x14">
            <control shapeId="1670" r:id="rId110" name="Group Box 646">
              <controlPr defaultSize="0" print="0" autoFill="0" autoPict="0">
                <anchor moveWithCells="1">
                  <from>
                    <xdr:col>0</xdr:col>
                    <xdr:colOff>0</xdr:colOff>
                    <xdr:row>13</xdr:row>
                    <xdr:rowOff>0</xdr:rowOff>
                  </from>
                  <to>
                    <xdr:col>12</xdr:col>
                    <xdr:colOff>923925</xdr:colOff>
                    <xdr:row>36</xdr:row>
                    <xdr:rowOff>238125</xdr:rowOff>
                  </to>
                </anchor>
              </controlPr>
            </control>
          </mc:Choice>
        </mc:AlternateContent>
        <mc:AlternateContent xmlns:mc="http://schemas.openxmlformats.org/markup-compatibility/2006">
          <mc:Choice Requires="x14">
            <control shapeId="1671" r:id="rId111" name="Option Button 647">
              <controlPr defaultSize="0" autoFill="0" autoLine="0" autoPict="0">
                <anchor moveWithCells="1">
                  <from>
                    <xdr:col>2</xdr:col>
                    <xdr:colOff>57150</xdr:colOff>
                    <xdr:row>29</xdr:row>
                    <xdr:rowOff>9525</xdr:rowOff>
                  </from>
                  <to>
                    <xdr:col>2</xdr:col>
                    <xdr:colOff>695325</xdr:colOff>
                    <xdr:row>29</xdr:row>
                    <xdr:rowOff>190500</xdr:rowOff>
                  </to>
                </anchor>
              </controlPr>
            </control>
          </mc:Choice>
        </mc:AlternateContent>
        <mc:AlternateContent xmlns:mc="http://schemas.openxmlformats.org/markup-compatibility/2006">
          <mc:Choice Requires="x14">
            <control shapeId="1672" r:id="rId112" name="Check Box 648">
              <controlPr defaultSize="0" autoFill="0" autoLine="0" autoPict="0">
                <anchor moveWithCells="1">
                  <from>
                    <xdr:col>1</xdr:col>
                    <xdr:colOff>171450</xdr:colOff>
                    <xdr:row>59</xdr:row>
                    <xdr:rowOff>38100</xdr:rowOff>
                  </from>
                  <to>
                    <xdr:col>1</xdr:col>
                    <xdr:colOff>695325</xdr:colOff>
                    <xdr:row>59</xdr:row>
                    <xdr:rowOff>180975</xdr:rowOff>
                  </to>
                </anchor>
              </controlPr>
            </control>
          </mc:Choice>
        </mc:AlternateContent>
        <mc:AlternateContent xmlns:mc="http://schemas.openxmlformats.org/markup-compatibility/2006">
          <mc:Choice Requires="x14">
            <control shapeId="1673" r:id="rId113" name="Check Box 649">
              <controlPr defaultSize="0" autoFill="0" autoLine="0" autoPict="0">
                <anchor moveWithCells="1">
                  <from>
                    <xdr:col>1</xdr:col>
                    <xdr:colOff>171450</xdr:colOff>
                    <xdr:row>60</xdr:row>
                    <xdr:rowOff>38100</xdr:rowOff>
                  </from>
                  <to>
                    <xdr:col>1</xdr:col>
                    <xdr:colOff>695325</xdr:colOff>
                    <xdr:row>60</xdr:row>
                    <xdr:rowOff>180975</xdr:rowOff>
                  </to>
                </anchor>
              </controlPr>
            </control>
          </mc:Choice>
        </mc:AlternateContent>
        <mc:AlternateContent xmlns:mc="http://schemas.openxmlformats.org/markup-compatibility/2006">
          <mc:Choice Requires="x14">
            <control shapeId="1674" r:id="rId114" name="Check Box 650">
              <controlPr defaultSize="0" autoFill="0" autoLine="0" autoPict="0">
                <anchor moveWithCells="1">
                  <from>
                    <xdr:col>1</xdr:col>
                    <xdr:colOff>171450</xdr:colOff>
                    <xdr:row>61</xdr:row>
                    <xdr:rowOff>38100</xdr:rowOff>
                  </from>
                  <to>
                    <xdr:col>1</xdr:col>
                    <xdr:colOff>695325</xdr:colOff>
                    <xdr:row>61</xdr:row>
                    <xdr:rowOff>180975</xdr:rowOff>
                  </to>
                </anchor>
              </controlPr>
            </control>
          </mc:Choice>
        </mc:AlternateContent>
        <mc:AlternateContent xmlns:mc="http://schemas.openxmlformats.org/markup-compatibility/2006">
          <mc:Choice Requires="x14">
            <control shapeId="1675" r:id="rId115" name="Check Box 651">
              <controlPr defaultSize="0" autoFill="0" autoLine="0" autoPict="0">
                <anchor moveWithCells="1">
                  <from>
                    <xdr:col>1</xdr:col>
                    <xdr:colOff>171450</xdr:colOff>
                    <xdr:row>62</xdr:row>
                    <xdr:rowOff>38100</xdr:rowOff>
                  </from>
                  <to>
                    <xdr:col>1</xdr:col>
                    <xdr:colOff>695325</xdr:colOff>
                    <xdr:row>62</xdr:row>
                    <xdr:rowOff>180975</xdr:rowOff>
                  </to>
                </anchor>
              </controlPr>
            </control>
          </mc:Choice>
        </mc:AlternateContent>
        <mc:AlternateContent xmlns:mc="http://schemas.openxmlformats.org/markup-compatibility/2006">
          <mc:Choice Requires="x14">
            <control shapeId="1676" r:id="rId116" name="Check Box 652">
              <controlPr defaultSize="0" autoFill="0" autoLine="0" autoPict="0">
                <anchor moveWithCells="1">
                  <from>
                    <xdr:col>1</xdr:col>
                    <xdr:colOff>171450</xdr:colOff>
                    <xdr:row>63</xdr:row>
                    <xdr:rowOff>38100</xdr:rowOff>
                  </from>
                  <to>
                    <xdr:col>1</xdr:col>
                    <xdr:colOff>695325</xdr:colOff>
                    <xdr:row>63</xdr:row>
                    <xdr:rowOff>180975</xdr:rowOff>
                  </to>
                </anchor>
              </controlPr>
            </control>
          </mc:Choice>
        </mc:AlternateContent>
        <mc:AlternateContent xmlns:mc="http://schemas.openxmlformats.org/markup-compatibility/2006">
          <mc:Choice Requires="x14">
            <control shapeId="1677" r:id="rId117" name="Check Box 653">
              <controlPr defaultSize="0" autoFill="0" autoLine="0" autoPict="0">
                <anchor moveWithCells="1">
                  <from>
                    <xdr:col>1</xdr:col>
                    <xdr:colOff>171450</xdr:colOff>
                    <xdr:row>64</xdr:row>
                    <xdr:rowOff>38100</xdr:rowOff>
                  </from>
                  <to>
                    <xdr:col>1</xdr:col>
                    <xdr:colOff>695325</xdr:colOff>
                    <xdr:row>64</xdr:row>
                    <xdr:rowOff>180975</xdr:rowOff>
                  </to>
                </anchor>
              </controlPr>
            </control>
          </mc:Choice>
        </mc:AlternateContent>
        <mc:AlternateContent xmlns:mc="http://schemas.openxmlformats.org/markup-compatibility/2006">
          <mc:Choice Requires="x14">
            <control shapeId="1678" r:id="rId118" name="Check Box 654">
              <controlPr defaultSize="0" autoFill="0" autoLine="0" autoPict="0">
                <anchor moveWithCells="1">
                  <from>
                    <xdr:col>1</xdr:col>
                    <xdr:colOff>171450</xdr:colOff>
                    <xdr:row>65</xdr:row>
                    <xdr:rowOff>38100</xdr:rowOff>
                  </from>
                  <to>
                    <xdr:col>1</xdr:col>
                    <xdr:colOff>695325</xdr:colOff>
                    <xdr:row>65</xdr:row>
                    <xdr:rowOff>180975</xdr:rowOff>
                  </to>
                </anchor>
              </controlPr>
            </control>
          </mc:Choice>
        </mc:AlternateContent>
        <mc:AlternateContent xmlns:mc="http://schemas.openxmlformats.org/markup-compatibility/2006">
          <mc:Choice Requires="x14">
            <control shapeId="1679" r:id="rId119" name="Check Box 655">
              <controlPr defaultSize="0" autoFill="0" autoLine="0" autoPict="0">
                <anchor moveWithCells="1">
                  <from>
                    <xdr:col>1</xdr:col>
                    <xdr:colOff>171450</xdr:colOff>
                    <xdr:row>66</xdr:row>
                    <xdr:rowOff>38100</xdr:rowOff>
                  </from>
                  <to>
                    <xdr:col>1</xdr:col>
                    <xdr:colOff>695325</xdr:colOff>
                    <xdr:row>66</xdr:row>
                    <xdr:rowOff>190500</xdr:rowOff>
                  </to>
                </anchor>
              </controlPr>
            </control>
          </mc:Choice>
        </mc:AlternateContent>
        <mc:AlternateContent xmlns:mc="http://schemas.openxmlformats.org/markup-compatibility/2006">
          <mc:Choice Requires="x14">
            <control shapeId="1680" r:id="rId120" name="Check Box 656">
              <controlPr defaultSize="0" autoFill="0" autoLine="0" autoPict="0">
                <anchor moveWithCells="1">
                  <from>
                    <xdr:col>1</xdr:col>
                    <xdr:colOff>171450</xdr:colOff>
                    <xdr:row>67</xdr:row>
                    <xdr:rowOff>38100</xdr:rowOff>
                  </from>
                  <to>
                    <xdr:col>1</xdr:col>
                    <xdr:colOff>695325</xdr:colOff>
                    <xdr:row>67</xdr:row>
                    <xdr:rowOff>190500</xdr:rowOff>
                  </to>
                </anchor>
              </controlPr>
            </control>
          </mc:Choice>
        </mc:AlternateContent>
        <mc:AlternateContent xmlns:mc="http://schemas.openxmlformats.org/markup-compatibility/2006">
          <mc:Choice Requires="x14">
            <control shapeId="1681" r:id="rId121" name="Check Box 657">
              <controlPr defaultSize="0" autoFill="0" autoLine="0" autoPict="0">
                <anchor moveWithCells="1">
                  <from>
                    <xdr:col>1</xdr:col>
                    <xdr:colOff>171450</xdr:colOff>
                    <xdr:row>68</xdr:row>
                    <xdr:rowOff>38100</xdr:rowOff>
                  </from>
                  <to>
                    <xdr:col>1</xdr:col>
                    <xdr:colOff>695325</xdr:colOff>
                    <xdr:row>68</xdr:row>
                    <xdr:rowOff>190500</xdr:rowOff>
                  </to>
                </anchor>
              </controlPr>
            </control>
          </mc:Choice>
        </mc:AlternateContent>
        <mc:AlternateContent xmlns:mc="http://schemas.openxmlformats.org/markup-compatibility/2006">
          <mc:Choice Requires="x14">
            <control shapeId="1682" r:id="rId122" name="Check Box 658">
              <controlPr defaultSize="0" autoFill="0" autoLine="0" autoPict="0">
                <anchor moveWithCells="1">
                  <from>
                    <xdr:col>1</xdr:col>
                    <xdr:colOff>171450</xdr:colOff>
                    <xdr:row>76</xdr:row>
                    <xdr:rowOff>38100</xdr:rowOff>
                  </from>
                  <to>
                    <xdr:col>1</xdr:col>
                    <xdr:colOff>695325</xdr:colOff>
                    <xdr:row>76</xdr:row>
                    <xdr:rowOff>190500</xdr:rowOff>
                  </to>
                </anchor>
              </controlPr>
            </control>
          </mc:Choice>
        </mc:AlternateContent>
        <mc:AlternateContent xmlns:mc="http://schemas.openxmlformats.org/markup-compatibility/2006">
          <mc:Choice Requires="x14">
            <control shapeId="1683" r:id="rId123" name="Check Box 659">
              <controlPr defaultSize="0" autoFill="0" autoLine="0" autoPict="0">
                <anchor moveWithCells="1">
                  <from>
                    <xdr:col>1</xdr:col>
                    <xdr:colOff>171450</xdr:colOff>
                    <xdr:row>77</xdr:row>
                    <xdr:rowOff>38100</xdr:rowOff>
                  </from>
                  <to>
                    <xdr:col>1</xdr:col>
                    <xdr:colOff>695325</xdr:colOff>
                    <xdr:row>77</xdr:row>
                    <xdr:rowOff>190500</xdr:rowOff>
                  </to>
                </anchor>
              </controlPr>
            </control>
          </mc:Choice>
        </mc:AlternateContent>
        <mc:AlternateContent xmlns:mc="http://schemas.openxmlformats.org/markup-compatibility/2006">
          <mc:Choice Requires="x14">
            <control shapeId="1684" r:id="rId124" name="Check Box 660">
              <controlPr defaultSize="0" autoFill="0" autoLine="0" autoPict="0">
                <anchor moveWithCells="1">
                  <from>
                    <xdr:col>1</xdr:col>
                    <xdr:colOff>171450</xdr:colOff>
                    <xdr:row>78</xdr:row>
                    <xdr:rowOff>38100</xdr:rowOff>
                  </from>
                  <to>
                    <xdr:col>1</xdr:col>
                    <xdr:colOff>695325</xdr:colOff>
                    <xdr:row>78</xdr:row>
                    <xdr:rowOff>190500</xdr:rowOff>
                  </to>
                </anchor>
              </controlPr>
            </control>
          </mc:Choice>
        </mc:AlternateContent>
        <mc:AlternateContent xmlns:mc="http://schemas.openxmlformats.org/markup-compatibility/2006">
          <mc:Choice Requires="x14">
            <control shapeId="1685" r:id="rId125" name="Check Box 661">
              <controlPr defaultSize="0" autoFill="0" autoLine="0" autoPict="0">
                <anchor moveWithCells="1">
                  <from>
                    <xdr:col>1</xdr:col>
                    <xdr:colOff>171450</xdr:colOff>
                    <xdr:row>79</xdr:row>
                    <xdr:rowOff>38100</xdr:rowOff>
                  </from>
                  <to>
                    <xdr:col>1</xdr:col>
                    <xdr:colOff>695325</xdr:colOff>
                    <xdr:row>79</xdr:row>
                    <xdr:rowOff>190500</xdr:rowOff>
                  </to>
                </anchor>
              </controlPr>
            </control>
          </mc:Choice>
        </mc:AlternateContent>
        <mc:AlternateContent xmlns:mc="http://schemas.openxmlformats.org/markup-compatibility/2006">
          <mc:Choice Requires="x14">
            <control shapeId="1686" r:id="rId126" name="Check Box 662">
              <controlPr defaultSize="0" autoFill="0" autoLine="0" autoPict="0">
                <anchor moveWithCells="1">
                  <from>
                    <xdr:col>1</xdr:col>
                    <xdr:colOff>171450</xdr:colOff>
                    <xdr:row>71</xdr:row>
                    <xdr:rowOff>38100</xdr:rowOff>
                  </from>
                  <to>
                    <xdr:col>1</xdr:col>
                    <xdr:colOff>695325</xdr:colOff>
                    <xdr:row>71</xdr:row>
                    <xdr:rowOff>190500</xdr:rowOff>
                  </to>
                </anchor>
              </controlPr>
            </control>
          </mc:Choice>
        </mc:AlternateContent>
        <mc:AlternateContent xmlns:mc="http://schemas.openxmlformats.org/markup-compatibility/2006">
          <mc:Choice Requires="x14">
            <control shapeId="1687" r:id="rId127" name="Check Box 663">
              <controlPr defaultSize="0" autoFill="0" autoLine="0" autoPict="0">
                <anchor moveWithCells="1">
                  <from>
                    <xdr:col>1</xdr:col>
                    <xdr:colOff>171450</xdr:colOff>
                    <xdr:row>72</xdr:row>
                    <xdr:rowOff>38100</xdr:rowOff>
                  </from>
                  <to>
                    <xdr:col>1</xdr:col>
                    <xdr:colOff>695325</xdr:colOff>
                    <xdr:row>72</xdr:row>
                    <xdr:rowOff>190500</xdr:rowOff>
                  </to>
                </anchor>
              </controlPr>
            </control>
          </mc:Choice>
        </mc:AlternateContent>
        <mc:AlternateContent xmlns:mc="http://schemas.openxmlformats.org/markup-compatibility/2006">
          <mc:Choice Requires="x14">
            <control shapeId="1688" r:id="rId128" name="Check Box 664">
              <controlPr defaultSize="0" autoFill="0" autoLine="0" autoPict="0">
                <anchor moveWithCells="1">
                  <from>
                    <xdr:col>1</xdr:col>
                    <xdr:colOff>171450</xdr:colOff>
                    <xdr:row>74</xdr:row>
                    <xdr:rowOff>38100</xdr:rowOff>
                  </from>
                  <to>
                    <xdr:col>1</xdr:col>
                    <xdr:colOff>695325</xdr:colOff>
                    <xdr:row>74</xdr:row>
                    <xdr:rowOff>190500</xdr:rowOff>
                  </to>
                </anchor>
              </controlPr>
            </control>
          </mc:Choice>
        </mc:AlternateContent>
        <mc:AlternateContent xmlns:mc="http://schemas.openxmlformats.org/markup-compatibility/2006">
          <mc:Choice Requires="x14">
            <control shapeId="1689" r:id="rId129" name="Check Box 665">
              <controlPr defaultSize="0" autoFill="0" autoLine="0" autoPict="0">
                <anchor moveWithCells="1">
                  <from>
                    <xdr:col>1</xdr:col>
                    <xdr:colOff>171450</xdr:colOff>
                    <xdr:row>75</xdr:row>
                    <xdr:rowOff>38100</xdr:rowOff>
                  </from>
                  <to>
                    <xdr:col>1</xdr:col>
                    <xdr:colOff>695325</xdr:colOff>
                    <xdr:row>75</xdr:row>
                    <xdr:rowOff>190500</xdr:rowOff>
                  </to>
                </anchor>
              </controlPr>
            </control>
          </mc:Choice>
        </mc:AlternateContent>
        <mc:AlternateContent xmlns:mc="http://schemas.openxmlformats.org/markup-compatibility/2006">
          <mc:Choice Requires="x14">
            <control shapeId="1690" r:id="rId130" name="Check Box 666">
              <controlPr defaultSize="0" autoFill="0" autoLine="0" autoPict="0">
                <anchor moveWithCells="1">
                  <from>
                    <xdr:col>1</xdr:col>
                    <xdr:colOff>171450</xdr:colOff>
                    <xdr:row>70</xdr:row>
                    <xdr:rowOff>38100</xdr:rowOff>
                  </from>
                  <to>
                    <xdr:col>1</xdr:col>
                    <xdr:colOff>695325</xdr:colOff>
                    <xdr:row>70</xdr:row>
                    <xdr:rowOff>190500</xdr:rowOff>
                  </to>
                </anchor>
              </controlPr>
            </control>
          </mc:Choice>
        </mc:AlternateContent>
        <mc:AlternateContent xmlns:mc="http://schemas.openxmlformats.org/markup-compatibility/2006">
          <mc:Choice Requires="x14">
            <control shapeId="1691" r:id="rId131" name="Check Box 667">
              <controlPr defaultSize="0" autoFill="0" autoLine="0" autoPict="0">
                <anchor moveWithCells="1">
                  <from>
                    <xdr:col>1</xdr:col>
                    <xdr:colOff>171450</xdr:colOff>
                    <xdr:row>73</xdr:row>
                    <xdr:rowOff>38100</xdr:rowOff>
                  </from>
                  <to>
                    <xdr:col>1</xdr:col>
                    <xdr:colOff>695325</xdr:colOff>
                    <xdr:row>73</xdr:row>
                    <xdr:rowOff>190500</xdr:rowOff>
                  </to>
                </anchor>
              </controlPr>
            </control>
          </mc:Choice>
        </mc:AlternateContent>
        <mc:AlternateContent xmlns:mc="http://schemas.openxmlformats.org/markup-compatibility/2006">
          <mc:Choice Requires="x14">
            <control shapeId="1692" r:id="rId132" name="Check Box 668">
              <controlPr defaultSize="0" autoFill="0" autoLine="0" autoPict="0">
                <anchor moveWithCells="1">
                  <from>
                    <xdr:col>1</xdr:col>
                    <xdr:colOff>171450</xdr:colOff>
                    <xdr:row>69</xdr:row>
                    <xdr:rowOff>38100</xdr:rowOff>
                  </from>
                  <to>
                    <xdr:col>1</xdr:col>
                    <xdr:colOff>695325</xdr:colOff>
                    <xdr:row>69</xdr:row>
                    <xdr:rowOff>190500</xdr:rowOff>
                  </to>
                </anchor>
              </controlPr>
            </control>
          </mc:Choice>
        </mc:AlternateContent>
        <mc:AlternateContent xmlns:mc="http://schemas.openxmlformats.org/markup-compatibility/2006">
          <mc:Choice Requires="x14">
            <control shapeId="1693" r:id="rId133" name="Check Box 669">
              <controlPr defaultSize="0" autoFill="0" autoLine="0" autoPict="0">
                <anchor moveWithCells="1">
                  <from>
                    <xdr:col>1</xdr:col>
                    <xdr:colOff>171450</xdr:colOff>
                    <xdr:row>89</xdr:row>
                    <xdr:rowOff>38100</xdr:rowOff>
                  </from>
                  <to>
                    <xdr:col>1</xdr:col>
                    <xdr:colOff>695325</xdr:colOff>
                    <xdr:row>89</xdr:row>
                    <xdr:rowOff>180975</xdr:rowOff>
                  </to>
                </anchor>
              </controlPr>
            </control>
          </mc:Choice>
        </mc:AlternateContent>
        <mc:AlternateContent xmlns:mc="http://schemas.openxmlformats.org/markup-compatibility/2006">
          <mc:Choice Requires="x14">
            <control shapeId="1694" r:id="rId134" name="Check Box 670">
              <controlPr defaultSize="0" autoFill="0" autoLine="0" autoPict="0">
                <anchor moveWithCells="1">
                  <from>
                    <xdr:col>1</xdr:col>
                    <xdr:colOff>171450</xdr:colOff>
                    <xdr:row>90</xdr:row>
                    <xdr:rowOff>38100</xdr:rowOff>
                  </from>
                  <to>
                    <xdr:col>1</xdr:col>
                    <xdr:colOff>695325</xdr:colOff>
                    <xdr:row>90</xdr:row>
                    <xdr:rowOff>180975</xdr:rowOff>
                  </to>
                </anchor>
              </controlPr>
            </control>
          </mc:Choice>
        </mc:AlternateContent>
        <mc:AlternateContent xmlns:mc="http://schemas.openxmlformats.org/markup-compatibility/2006">
          <mc:Choice Requires="x14">
            <control shapeId="1695" r:id="rId135" name="Check Box 671">
              <controlPr defaultSize="0" autoFill="0" autoLine="0" autoPict="0">
                <anchor moveWithCells="1">
                  <from>
                    <xdr:col>1</xdr:col>
                    <xdr:colOff>171450</xdr:colOff>
                    <xdr:row>91</xdr:row>
                    <xdr:rowOff>38100</xdr:rowOff>
                  </from>
                  <to>
                    <xdr:col>1</xdr:col>
                    <xdr:colOff>695325</xdr:colOff>
                    <xdr:row>91</xdr:row>
                    <xdr:rowOff>180975</xdr:rowOff>
                  </to>
                </anchor>
              </controlPr>
            </control>
          </mc:Choice>
        </mc:AlternateContent>
        <mc:AlternateContent xmlns:mc="http://schemas.openxmlformats.org/markup-compatibility/2006">
          <mc:Choice Requires="x14">
            <control shapeId="1696" r:id="rId136" name="Check Box 672">
              <controlPr defaultSize="0" autoFill="0" autoLine="0" autoPict="0">
                <anchor moveWithCells="1">
                  <from>
                    <xdr:col>1</xdr:col>
                    <xdr:colOff>171450</xdr:colOff>
                    <xdr:row>92</xdr:row>
                    <xdr:rowOff>38100</xdr:rowOff>
                  </from>
                  <to>
                    <xdr:col>1</xdr:col>
                    <xdr:colOff>695325</xdr:colOff>
                    <xdr:row>92</xdr:row>
                    <xdr:rowOff>180975</xdr:rowOff>
                  </to>
                </anchor>
              </controlPr>
            </control>
          </mc:Choice>
        </mc:AlternateContent>
        <mc:AlternateContent xmlns:mc="http://schemas.openxmlformats.org/markup-compatibility/2006">
          <mc:Choice Requires="x14">
            <control shapeId="1697" r:id="rId137" name="Check Box 673">
              <controlPr defaultSize="0" autoFill="0" autoLine="0" autoPict="0">
                <anchor moveWithCells="1">
                  <from>
                    <xdr:col>1</xdr:col>
                    <xdr:colOff>171450</xdr:colOff>
                    <xdr:row>93</xdr:row>
                    <xdr:rowOff>38100</xdr:rowOff>
                  </from>
                  <to>
                    <xdr:col>1</xdr:col>
                    <xdr:colOff>695325</xdr:colOff>
                    <xdr:row>93</xdr:row>
                    <xdr:rowOff>180975</xdr:rowOff>
                  </to>
                </anchor>
              </controlPr>
            </control>
          </mc:Choice>
        </mc:AlternateContent>
        <mc:AlternateContent xmlns:mc="http://schemas.openxmlformats.org/markup-compatibility/2006">
          <mc:Choice Requires="x14">
            <control shapeId="1698" r:id="rId138" name="Check Box 674">
              <controlPr defaultSize="0" autoFill="0" autoLine="0" autoPict="0">
                <anchor moveWithCells="1">
                  <from>
                    <xdr:col>1</xdr:col>
                    <xdr:colOff>171450</xdr:colOff>
                    <xdr:row>94</xdr:row>
                    <xdr:rowOff>38100</xdr:rowOff>
                  </from>
                  <to>
                    <xdr:col>1</xdr:col>
                    <xdr:colOff>695325</xdr:colOff>
                    <xdr:row>94</xdr:row>
                    <xdr:rowOff>180975</xdr:rowOff>
                  </to>
                </anchor>
              </controlPr>
            </control>
          </mc:Choice>
        </mc:AlternateContent>
        <mc:AlternateContent xmlns:mc="http://schemas.openxmlformats.org/markup-compatibility/2006">
          <mc:Choice Requires="x14">
            <control shapeId="1699" r:id="rId139" name="Check Box 675">
              <controlPr defaultSize="0" autoFill="0" autoLine="0" autoPict="0">
                <anchor moveWithCells="1">
                  <from>
                    <xdr:col>1</xdr:col>
                    <xdr:colOff>171450</xdr:colOff>
                    <xdr:row>95</xdr:row>
                    <xdr:rowOff>38100</xdr:rowOff>
                  </from>
                  <to>
                    <xdr:col>1</xdr:col>
                    <xdr:colOff>695325</xdr:colOff>
                    <xdr:row>95</xdr:row>
                    <xdr:rowOff>180975</xdr:rowOff>
                  </to>
                </anchor>
              </controlPr>
            </control>
          </mc:Choice>
        </mc:AlternateContent>
        <mc:AlternateContent xmlns:mc="http://schemas.openxmlformats.org/markup-compatibility/2006">
          <mc:Choice Requires="x14">
            <control shapeId="1700" r:id="rId140" name="Check Box 676">
              <controlPr defaultSize="0" autoFill="0" autoLine="0" autoPict="0">
                <anchor moveWithCells="1">
                  <from>
                    <xdr:col>1</xdr:col>
                    <xdr:colOff>171450</xdr:colOff>
                    <xdr:row>96</xdr:row>
                    <xdr:rowOff>38100</xdr:rowOff>
                  </from>
                  <to>
                    <xdr:col>1</xdr:col>
                    <xdr:colOff>695325</xdr:colOff>
                    <xdr:row>96</xdr:row>
                    <xdr:rowOff>190500</xdr:rowOff>
                  </to>
                </anchor>
              </controlPr>
            </control>
          </mc:Choice>
        </mc:AlternateContent>
        <mc:AlternateContent xmlns:mc="http://schemas.openxmlformats.org/markup-compatibility/2006">
          <mc:Choice Requires="x14">
            <control shapeId="1701" r:id="rId141" name="Check Box 677">
              <controlPr defaultSize="0" autoFill="0" autoLine="0" autoPict="0">
                <anchor moveWithCells="1">
                  <from>
                    <xdr:col>1</xdr:col>
                    <xdr:colOff>171450</xdr:colOff>
                    <xdr:row>97</xdr:row>
                    <xdr:rowOff>38100</xdr:rowOff>
                  </from>
                  <to>
                    <xdr:col>1</xdr:col>
                    <xdr:colOff>695325</xdr:colOff>
                    <xdr:row>97</xdr:row>
                    <xdr:rowOff>190500</xdr:rowOff>
                  </to>
                </anchor>
              </controlPr>
            </control>
          </mc:Choice>
        </mc:AlternateContent>
        <mc:AlternateContent xmlns:mc="http://schemas.openxmlformats.org/markup-compatibility/2006">
          <mc:Choice Requires="x14">
            <control shapeId="1702" r:id="rId142" name="Check Box 678">
              <controlPr defaultSize="0" autoFill="0" autoLine="0" autoPict="0">
                <anchor moveWithCells="1">
                  <from>
                    <xdr:col>1</xdr:col>
                    <xdr:colOff>171450</xdr:colOff>
                    <xdr:row>98</xdr:row>
                    <xdr:rowOff>38100</xdr:rowOff>
                  </from>
                  <to>
                    <xdr:col>1</xdr:col>
                    <xdr:colOff>695325</xdr:colOff>
                    <xdr:row>98</xdr:row>
                    <xdr:rowOff>190500</xdr:rowOff>
                  </to>
                </anchor>
              </controlPr>
            </control>
          </mc:Choice>
        </mc:AlternateContent>
        <mc:AlternateContent xmlns:mc="http://schemas.openxmlformats.org/markup-compatibility/2006">
          <mc:Choice Requires="x14">
            <control shapeId="1703" r:id="rId143" name="Check Box 679">
              <controlPr defaultSize="0" autoFill="0" autoLine="0" autoPict="0">
                <anchor moveWithCells="1">
                  <from>
                    <xdr:col>1</xdr:col>
                    <xdr:colOff>171450</xdr:colOff>
                    <xdr:row>106</xdr:row>
                    <xdr:rowOff>38100</xdr:rowOff>
                  </from>
                  <to>
                    <xdr:col>1</xdr:col>
                    <xdr:colOff>695325</xdr:colOff>
                    <xdr:row>106</xdr:row>
                    <xdr:rowOff>190500</xdr:rowOff>
                  </to>
                </anchor>
              </controlPr>
            </control>
          </mc:Choice>
        </mc:AlternateContent>
        <mc:AlternateContent xmlns:mc="http://schemas.openxmlformats.org/markup-compatibility/2006">
          <mc:Choice Requires="x14">
            <control shapeId="1704" r:id="rId144" name="Check Box 680">
              <controlPr defaultSize="0" autoFill="0" autoLine="0" autoPict="0">
                <anchor moveWithCells="1">
                  <from>
                    <xdr:col>1</xdr:col>
                    <xdr:colOff>171450</xdr:colOff>
                    <xdr:row>107</xdr:row>
                    <xdr:rowOff>38100</xdr:rowOff>
                  </from>
                  <to>
                    <xdr:col>1</xdr:col>
                    <xdr:colOff>695325</xdr:colOff>
                    <xdr:row>107</xdr:row>
                    <xdr:rowOff>190500</xdr:rowOff>
                  </to>
                </anchor>
              </controlPr>
            </control>
          </mc:Choice>
        </mc:AlternateContent>
        <mc:AlternateContent xmlns:mc="http://schemas.openxmlformats.org/markup-compatibility/2006">
          <mc:Choice Requires="x14">
            <control shapeId="1705" r:id="rId145" name="Check Box 681">
              <controlPr defaultSize="0" autoFill="0" autoLine="0" autoPict="0">
                <anchor moveWithCells="1">
                  <from>
                    <xdr:col>1</xdr:col>
                    <xdr:colOff>171450</xdr:colOff>
                    <xdr:row>108</xdr:row>
                    <xdr:rowOff>38100</xdr:rowOff>
                  </from>
                  <to>
                    <xdr:col>1</xdr:col>
                    <xdr:colOff>695325</xdr:colOff>
                    <xdr:row>108</xdr:row>
                    <xdr:rowOff>190500</xdr:rowOff>
                  </to>
                </anchor>
              </controlPr>
            </control>
          </mc:Choice>
        </mc:AlternateContent>
        <mc:AlternateContent xmlns:mc="http://schemas.openxmlformats.org/markup-compatibility/2006">
          <mc:Choice Requires="x14">
            <control shapeId="1706" r:id="rId146" name="Check Box 682">
              <controlPr defaultSize="0" autoFill="0" autoLine="0" autoPict="0">
                <anchor moveWithCells="1">
                  <from>
                    <xdr:col>1</xdr:col>
                    <xdr:colOff>171450</xdr:colOff>
                    <xdr:row>109</xdr:row>
                    <xdr:rowOff>38100</xdr:rowOff>
                  </from>
                  <to>
                    <xdr:col>1</xdr:col>
                    <xdr:colOff>695325</xdr:colOff>
                    <xdr:row>109</xdr:row>
                    <xdr:rowOff>190500</xdr:rowOff>
                  </to>
                </anchor>
              </controlPr>
            </control>
          </mc:Choice>
        </mc:AlternateContent>
        <mc:AlternateContent xmlns:mc="http://schemas.openxmlformats.org/markup-compatibility/2006">
          <mc:Choice Requires="x14">
            <control shapeId="1707" r:id="rId147" name="Check Box 683">
              <controlPr defaultSize="0" autoFill="0" autoLine="0" autoPict="0">
                <anchor moveWithCells="1">
                  <from>
                    <xdr:col>1</xdr:col>
                    <xdr:colOff>171450</xdr:colOff>
                    <xdr:row>101</xdr:row>
                    <xdr:rowOff>38100</xdr:rowOff>
                  </from>
                  <to>
                    <xdr:col>1</xdr:col>
                    <xdr:colOff>695325</xdr:colOff>
                    <xdr:row>101</xdr:row>
                    <xdr:rowOff>190500</xdr:rowOff>
                  </to>
                </anchor>
              </controlPr>
            </control>
          </mc:Choice>
        </mc:AlternateContent>
        <mc:AlternateContent xmlns:mc="http://schemas.openxmlformats.org/markup-compatibility/2006">
          <mc:Choice Requires="x14">
            <control shapeId="1708" r:id="rId148" name="Check Box 684">
              <controlPr defaultSize="0" autoFill="0" autoLine="0" autoPict="0">
                <anchor moveWithCells="1">
                  <from>
                    <xdr:col>1</xdr:col>
                    <xdr:colOff>171450</xdr:colOff>
                    <xdr:row>102</xdr:row>
                    <xdr:rowOff>38100</xdr:rowOff>
                  </from>
                  <to>
                    <xdr:col>1</xdr:col>
                    <xdr:colOff>695325</xdr:colOff>
                    <xdr:row>102</xdr:row>
                    <xdr:rowOff>190500</xdr:rowOff>
                  </to>
                </anchor>
              </controlPr>
            </control>
          </mc:Choice>
        </mc:AlternateContent>
        <mc:AlternateContent xmlns:mc="http://schemas.openxmlformats.org/markup-compatibility/2006">
          <mc:Choice Requires="x14">
            <control shapeId="1709" r:id="rId149" name="Check Box 685">
              <controlPr defaultSize="0" autoFill="0" autoLine="0" autoPict="0">
                <anchor moveWithCells="1">
                  <from>
                    <xdr:col>1</xdr:col>
                    <xdr:colOff>171450</xdr:colOff>
                    <xdr:row>104</xdr:row>
                    <xdr:rowOff>38100</xdr:rowOff>
                  </from>
                  <to>
                    <xdr:col>1</xdr:col>
                    <xdr:colOff>695325</xdr:colOff>
                    <xdr:row>104</xdr:row>
                    <xdr:rowOff>190500</xdr:rowOff>
                  </to>
                </anchor>
              </controlPr>
            </control>
          </mc:Choice>
        </mc:AlternateContent>
        <mc:AlternateContent xmlns:mc="http://schemas.openxmlformats.org/markup-compatibility/2006">
          <mc:Choice Requires="x14">
            <control shapeId="1710" r:id="rId150" name="Check Box 686">
              <controlPr defaultSize="0" autoFill="0" autoLine="0" autoPict="0">
                <anchor moveWithCells="1">
                  <from>
                    <xdr:col>1</xdr:col>
                    <xdr:colOff>171450</xdr:colOff>
                    <xdr:row>105</xdr:row>
                    <xdr:rowOff>38100</xdr:rowOff>
                  </from>
                  <to>
                    <xdr:col>1</xdr:col>
                    <xdr:colOff>695325</xdr:colOff>
                    <xdr:row>105</xdr:row>
                    <xdr:rowOff>190500</xdr:rowOff>
                  </to>
                </anchor>
              </controlPr>
            </control>
          </mc:Choice>
        </mc:AlternateContent>
        <mc:AlternateContent xmlns:mc="http://schemas.openxmlformats.org/markup-compatibility/2006">
          <mc:Choice Requires="x14">
            <control shapeId="1711" r:id="rId151" name="Check Box 687">
              <controlPr defaultSize="0" autoFill="0" autoLine="0" autoPict="0">
                <anchor moveWithCells="1">
                  <from>
                    <xdr:col>1</xdr:col>
                    <xdr:colOff>171450</xdr:colOff>
                    <xdr:row>100</xdr:row>
                    <xdr:rowOff>38100</xdr:rowOff>
                  </from>
                  <to>
                    <xdr:col>1</xdr:col>
                    <xdr:colOff>695325</xdr:colOff>
                    <xdr:row>100</xdr:row>
                    <xdr:rowOff>190500</xdr:rowOff>
                  </to>
                </anchor>
              </controlPr>
            </control>
          </mc:Choice>
        </mc:AlternateContent>
        <mc:AlternateContent xmlns:mc="http://schemas.openxmlformats.org/markup-compatibility/2006">
          <mc:Choice Requires="x14">
            <control shapeId="1712" r:id="rId152" name="Check Box 688">
              <controlPr defaultSize="0" autoFill="0" autoLine="0" autoPict="0">
                <anchor moveWithCells="1">
                  <from>
                    <xdr:col>1</xdr:col>
                    <xdr:colOff>171450</xdr:colOff>
                    <xdr:row>103</xdr:row>
                    <xdr:rowOff>38100</xdr:rowOff>
                  </from>
                  <to>
                    <xdr:col>1</xdr:col>
                    <xdr:colOff>695325</xdr:colOff>
                    <xdr:row>103</xdr:row>
                    <xdr:rowOff>190500</xdr:rowOff>
                  </to>
                </anchor>
              </controlPr>
            </control>
          </mc:Choice>
        </mc:AlternateContent>
        <mc:AlternateContent xmlns:mc="http://schemas.openxmlformats.org/markup-compatibility/2006">
          <mc:Choice Requires="x14">
            <control shapeId="1713" r:id="rId153" name="Check Box 689">
              <controlPr defaultSize="0" autoFill="0" autoLine="0" autoPict="0">
                <anchor moveWithCells="1">
                  <from>
                    <xdr:col>1</xdr:col>
                    <xdr:colOff>171450</xdr:colOff>
                    <xdr:row>99</xdr:row>
                    <xdr:rowOff>38100</xdr:rowOff>
                  </from>
                  <to>
                    <xdr:col>1</xdr:col>
                    <xdr:colOff>695325</xdr:colOff>
                    <xdr:row>99</xdr:row>
                    <xdr:rowOff>190500</xdr:rowOff>
                  </to>
                </anchor>
              </controlPr>
            </control>
          </mc:Choice>
        </mc:AlternateContent>
        <mc:AlternateContent xmlns:mc="http://schemas.openxmlformats.org/markup-compatibility/2006">
          <mc:Choice Requires="x14">
            <control shapeId="1714" r:id="rId154" name="Check Box 690">
              <controlPr defaultSize="0" autoFill="0" autoLine="0" autoPict="0">
                <anchor moveWithCells="1">
                  <from>
                    <xdr:col>1</xdr:col>
                    <xdr:colOff>171450</xdr:colOff>
                    <xdr:row>120</xdr:row>
                    <xdr:rowOff>38100</xdr:rowOff>
                  </from>
                  <to>
                    <xdr:col>1</xdr:col>
                    <xdr:colOff>695325</xdr:colOff>
                    <xdr:row>120</xdr:row>
                    <xdr:rowOff>180975</xdr:rowOff>
                  </to>
                </anchor>
              </controlPr>
            </control>
          </mc:Choice>
        </mc:AlternateContent>
        <mc:AlternateContent xmlns:mc="http://schemas.openxmlformats.org/markup-compatibility/2006">
          <mc:Choice Requires="x14">
            <control shapeId="1715" r:id="rId155" name="Check Box 691">
              <controlPr defaultSize="0" autoFill="0" autoLine="0" autoPict="0">
                <anchor moveWithCells="1">
                  <from>
                    <xdr:col>1</xdr:col>
                    <xdr:colOff>171450</xdr:colOff>
                    <xdr:row>121</xdr:row>
                    <xdr:rowOff>38100</xdr:rowOff>
                  </from>
                  <to>
                    <xdr:col>1</xdr:col>
                    <xdr:colOff>695325</xdr:colOff>
                    <xdr:row>121</xdr:row>
                    <xdr:rowOff>180975</xdr:rowOff>
                  </to>
                </anchor>
              </controlPr>
            </control>
          </mc:Choice>
        </mc:AlternateContent>
        <mc:AlternateContent xmlns:mc="http://schemas.openxmlformats.org/markup-compatibility/2006">
          <mc:Choice Requires="x14">
            <control shapeId="1716" r:id="rId156" name="Check Box 692">
              <controlPr defaultSize="0" autoFill="0" autoLine="0" autoPict="0">
                <anchor moveWithCells="1">
                  <from>
                    <xdr:col>1</xdr:col>
                    <xdr:colOff>171450</xdr:colOff>
                    <xdr:row>122</xdr:row>
                    <xdr:rowOff>38100</xdr:rowOff>
                  </from>
                  <to>
                    <xdr:col>1</xdr:col>
                    <xdr:colOff>695325</xdr:colOff>
                    <xdr:row>122</xdr:row>
                    <xdr:rowOff>180975</xdr:rowOff>
                  </to>
                </anchor>
              </controlPr>
            </control>
          </mc:Choice>
        </mc:AlternateContent>
        <mc:AlternateContent xmlns:mc="http://schemas.openxmlformats.org/markup-compatibility/2006">
          <mc:Choice Requires="x14">
            <control shapeId="1717" r:id="rId157" name="Check Box 693">
              <controlPr defaultSize="0" autoFill="0" autoLine="0" autoPict="0">
                <anchor moveWithCells="1">
                  <from>
                    <xdr:col>1</xdr:col>
                    <xdr:colOff>171450</xdr:colOff>
                    <xdr:row>123</xdr:row>
                    <xdr:rowOff>38100</xdr:rowOff>
                  </from>
                  <to>
                    <xdr:col>1</xdr:col>
                    <xdr:colOff>695325</xdr:colOff>
                    <xdr:row>123</xdr:row>
                    <xdr:rowOff>180975</xdr:rowOff>
                  </to>
                </anchor>
              </controlPr>
            </control>
          </mc:Choice>
        </mc:AlternateContent>
        <mc:AlternateContent xmlns:mc="http://schemas.openxmlformats.org/markup-compatibility/2006">
          <mc:Choice Requires="x14">
            <control shapeId="1718" r:id="rId158" name="Check Box 694">
              <controlPr defaultSize="0" autoFill="0" autoLine="0" autoPict="0">
                <anchor moveWithCells="1">
                  <from>
                    <xdr:col>1</xdr:col>
                    <xdr:colOff>171450</xdr:colOff>
                    <xdr:row>124</xdr:row>
                    <xdr:rowOff>38100</xdr:rowOff>
                  </from>
                  <to>
                    <xdr:col>1</xdr:col>
                    <xdr:colOff>695325</xdr:colOff>
                    <xdr:row>124</xdr:row>
                    <xdr:rowOff>180975</xdr:rowOff>
                  </to>
                </anchor>
              </controlPr>
            </control>
          </mc:Choice>
        </mc:AlternateContent>
        <mc:AlternateContent xmlns:mc="http://schemas.openxmlformats.org/markup-compatibility/2006">
          <mc:Choice Requires="x14">
            <control shapeId="1719" r:id="rId159" name="Check Box 695">
              <controlPr defaultSize="0" autoFill="0" autoLine="0" autoPict="0">
                <anchor moveWithCells="1">
                  <from>
                    <xdr:col>1</xdr:col>
                    <xdr:colOff>171450</xdr:colOff>
                    <xdr:row>125</xdr:row>
                    <xdr:rowOff>38100</xdr:rowOff>
                  </from>
                  <to>
                    <xdr:col>1</xdr:col>
                    <xdr:colOff>695325</xdr:colOff>
                    <xdr:row>125</xdr:row>
                    <xdr:rowOff>180975</xdr:rowOff>
                  </to>
                </anchor>
              </controlPr>
            </control>
          </mc:Choice>
        </mc:AlternateContent>
        <mc:AlternateContent xmlns:mc="http://schemas.openxmlformats.org/markup-compatibility/2006">
          <mc:Choice Requires="x14">
            <control shapeId="1720" r:id="rId160" name="Check Box 696">
              <controlPr defaultSize="0" autoFill="0" autoLine="0" autoPict="0">
                <anchor moveWithCells="1">
                  <from>
                    <xdr:col>1</xdr:col>
                    <xdr:colOff>171450</xdr:colOff>
                    <xdr:row>126</xdr:row>
                    <xdr:rowOff>38100</xdr:rowOff>
                  </from>
                  <to>
                    <xdr:col>1</xdr:col>
                    <xdr:colOff>695325</xdr:colOff>
                    <xdr:row>126</xdr:row>
                    <xdr:rowOff>180975</xdr:rowOff>
                  </to>
                </anchor>
              </controlPr>
            </control>
          </mc:Choice>
        </mc:AlternateContent>
        <mc:AlternateContent xmlns:mc="http://schemas.openxmlformats.org/markup-compatibility/2006">
          <mc:Choice Requires="x14">
            <control shapeId="1721" r:id="rId161" name="Check Box 697">
              <controlPr defaultSize="0" autoFill="0" autoLine="0" autoPict="0">
                <anchor moveWithCells="1">
                  <from>
                    <xdr:col>1</xdr:col>
                    <xdr:colOff>171450</xdr:colOff>
                    <xdr:row>127</xdr:row>
                    <xdr:rowOff>38100</xdr:rowOff>
                  </from>
                  <to>
                    <xdr:col>1</xdr:col>
                    <xdr:colOff>695325</xdr:colOff>
                    <xdr:row>127</xdr:row>
                    <xdr:rowOff>190500</xdr:rowOff>
                  </to>
                </anchor>
              </controlPr>
            </control>
          </mc:Choice>
        </mc:AlternateContent>
        <mc:AlternateContent xmlns:mc="http://schemas.openxmlformats.org/markup-compatibility/2006">
          <mc:Choice Requires="x14">
            <control shapeId="1722" r:id="rId162" name="Check Box 698">
              <controlPr defaultSize="0" autoFill="0" autoLine="0" autoPict="0">
                <anchor moveWithCells="1">
                  <from>
                    <xdr:col>1</xdr:col>
                    <xdr:colOff>171450</xdr:colOff>
                    <xdr:row>128</xdr:row>
                    <xdr:rowOff>38100</xdr:rowOff>
                  </from>
                  <to>
                    <xdr:col>1</xdr:col>
                    <xdr:colOff>695325</xdr:colOff>
                    <xdr:row>128</xdr:row>
                    <xdr:rowOff>190500</xdr:rowOff>
                  </to>
                </anchor>
              </controlPr>
            </control>
          </mc:Choice>
        </mc:AlternateContent>
        <mc:AlternateContent xmlns:mc="http://schemas.openxmlformats.org/markup-compatibility/2006">
          <mc:Choice Requires="x14">
            <control shapeId="1723" r:id="rId163" name="Check Box 699">
              <controlPr defaultSize="0" autoFill="0" autoLine="0" autoPict="0">
                <anchor moveWithCells="1">
                  <from>
                    <xdr:col>1</xdr:col>
                    <xdr:colOff>171450</xdr:colOff>
                    <xdr:row>129</xdr:row>
                    <xdr:rowOff>38100</xdr:rowOff>
                  </from>
                  <to>
                    <xdr:col>1</xdr:col>
                    <xdr:colOff>695325</xdr:colOff>
                    <xdr:row>129</xdr:row>
                    <xdr:rowOff>190500</xdr:rowOff>
                  </to>
                </anchor>
              </controlPr>
            </control>
          </mc:Choice>
        </mc:AlternateContent>
        <mc:AlternateContent xmlns:mc="http://schemas.openxmlformats.org/markup-compatibility/2006">
          <mc:Choice Requires="x14">
            <control shapeId="1724" r:id="rId164" name="Check Box 700">
              <controlPr defaultSize="0" autoFill="0" autoLine="0" autoPict="0">
                <anchor moveWithCells="1">
                  <from>
                    <xdr:col>1</xdr:col>
                    <xdr:colOff>171450</xdr:colOff>
                    <xdr:row>137</xdr:row>
                    <xdr:rowOff>38100</xdr:rowOff>
                  </from>
                  <to>
                    <xdr:col>1</xdr:col>
                    <xdr:colOff>695325</xdr:colOff>
                    <xdr:row>137</xdr:row>
                    <xdr:rowOff>190500</xdr:rowOff>
                  </to>
                </anchor>
              </controlPr>
            </control>
          </mc:Choice>
        </mc:AlternateContent>
        <mc:AlternateContent xmlns:mc="http://schemas.openxmlformats.org/markup-compatibility/2006">
          <mc:Choice Requires="x14">
            <control shapeId="1725" r:id="rId165" name="Check Box 701">
              <controlPr defaultSize="0" autoFill="0" autoLine="0" autoPict="0">
                <anchor moveWithCells="1">
                  <from>
                    <xdr:col>1</xdr:col>
                    <xdr:colOff>171450</xdr:colOff>
                    <xdr:row>138</xdr:row>
                    <xdr:rowOff>38100</xdr:rowOff>
                  </from>
                  <to>
                    <xdr:col>1</xdr:col>
                    <xdr:colOff>695325</xdr:colOff>
                    <xdr:row>138</xdr:row>
                    <xdr:rowOff>190500</xdr:rowOff>
                  </to>
                </anchor>
              </controlPr>
            </control>
          </mc:Choice>
        </mc:AlternateContent>
        <mc:AlternateContent xmlns:mc="http://schemas.openxmlformats.org/markup-compatibility/2006">
          <mc:Choice Requires="x14">
            <control shapeId="1726" r:id="rId166" name="Check Box 702">
              <controlPr defaultSize="0" autoFill="0" autoLine="0" autoPict="0">
                <anchor moveWithCells="1">
                  <from>
                    <xdr:col>1</xdr:col>
                    <xdr:colOff>171450</xdr:colOff>
                    <xdr:row>139</xdr:row>
                    <xdr:rowOff>38100</xdr:rowOff>
                  </from>
                  <to>
                    <xdr:col>1</xdr:col>
                    <xdr:colOff>695325</xdr:colOff>
                    <xdr:row>139</xdr:row>
                    <xdr:rowOff>190500</xdr:rowOff>
                  </to>
                </anchor>
              </controlPr>
            </control>
          </mc:Choice>
        </mc:AlternateContent>
        <mc:AlternateContent xmlns:mc="http://schemas.openxmlformats.org/markup-compatibility/2006">
          <mc:Choice Requires="x14">
            <control shapeId="1727" r:id="rId167" name="Check Box 703">
              <controlPr defaultSize="0" autoFill="0" autoLine="0" autoPict="0">
                <anchor moveWithCells="1">
                  <from>
                    <xdr:col>1</xdr:col>
                    <xdr:colOff>171450</xdr:colOff>
                    <xdr:row>140</xdr:row>
                    <xdr:rowOff>38100</xdr:rowOff>
                  </from>
                  <to>
                    <xdr:col>1</xdr:col>
                    <xdr:colOff>695325</xdr:colOff>
                    <xdr:row>140</xdr:row>
                    <xdr:rowOff>190500</xdr:rowOff>
                  </to>
                </anchor>
              </controlPr>
            </control>
          </mc:Choice>
        </mc:AlternateContent>
        <mc:AlternateContent xmlns:mc="http://schemas.openxmlformats.org/markup-compatibility/2006">
          <mc:Choice Requires="x14">
            <control shapeId="1728" r:id="rId168" name="Check Box 704">
              <controlPr defaultSize="0" autoFill="0" autoLine="0" autoPict="0">
                <anchor moveWithCells="1">
                  <from>
                    <xdr:col>1</xdr:col>
                    <xdr:colOff>171450</xdr:colOff>
                    <xdr:row>132</xdr:row>
                    <xdr:rowOff>38100</xdr:rowOff>
                  </from>
                  <to>
                    <xdr:col>1</xdr:col>
                    <xdr:colOff>695325</xdr:colOff>
                    <xdr:row>132</xdr:row>
                    <xdr:rowOff>190500</xdr:rowOff>
                  </to>
                </anchor>
              </controlPr>
            </control>
          </mc:Choice>
        </mc:AlternateContent>
        <mc:AlternateContent xmlns:mc="http://schemas.openxmlformats.org/markup-compatibility/2006">
          <mc:Choice Requires="x14">
            <control shapeId="1729" r:id="rId169" name="Check Box 705">
              <controlPr defaultSize="0" autoFill="0" autoLine="0" autoPict="0">
                <anchor moveWithCells="1">
                  <from>
                    <xdr:col>1</xdr:col>
                    <xdr:colOff>171450</xdr:colOff>
                    <xdr:row>133</xdr:row>
                    <xdr:rowOff>38100</xdr:rowOff>
                  </from>
                  <to>
                    <xdr:col>1</xdr:col>
                    <xdr:colOff>695325</xdr:colOff>
                    <xdr:row>133</xdr:row>
                    <xdr:rowOff>190500</xdr:rowOff>
                  </to>
                </anchor>
              </controlPr>
            </control>
          </mc:Choice>
        </mc:AlternateContent>
        <mc:AlternateContent xmlns:mc="http://schemas.openxmlformats.org/markup-compatibility/2006">
          <mc:Choice Requires="x14">
            <control shapeId="1730" r:id="rId170" name="Check Box 706">
              <controlPr defaultSize="0" autoFill="0" autoLine="0" autoPict="0">
                <anchor moveWithCells="1">
                  <from>
                    <xdr:col>1</xdr:col>
                    <xdr:colOff>171450</xdr:colOff>
                    <xdr:row>135</xdr:row>
                    <xdr:rowOff>38100</xdr:rowOff>
                  </from>
                  <to>
                    <xdr:col>1</xdr:col>
                    <xdr:colOff>695325</xdr:colOff>
                    <xdr:row>135</xdr:row>
                    <xdr:rowOff>190500</xdr:rowOff>
                  </to>
                </anchor>
              </controlPr>
            </control>
          </mc:Choice>
        </mc:AlternateContent>
        <mc:AlternateContent xmlns:mc="http://schemas.openxmlformats.org/markup-compatibility/2006">
          <mc:Choice Requires="x14">
            <control shapeId="1731" r:id="rId171" name="Check Box 707">
              <controlPr defaultSize="0" autoFill="0" autoLine="0" autoPict="0">
                <anchor moveWithCells="1">
                  <from>
                    <xdr:col>1</xdr:col>
                    <xdr:colOff>171450</xdr:colOff>
                    <xdr:row>136</xdr:row>
                    <xdr:rowOff>38100</xdr:rowOff>
                  </from>
                  <to>
                    <xdr:col>1</xdr:col>
                    <xdr:colOff>695325</xdr:colOff>
                    <xdr:row>136</xdr:row>
                    <xdr:rowOff>190500</xdr:rowOff>
                  </to>
                </anchor>
              </controlPr>
            </control>
          </mc:Choice>
        </mc:AlternateContent>
        <mc:AlternateContent xmlns:mc="http://schemas.openxmlformats.org/markup-compatibility/2006">
          <mc:Choice Requires="x14">
            <control shapeId="1732" r:id="rId172" name="Check Box 708">
              <controlPr defaultSize="0" autoFill="0" autoLine="0" autoPict="0">
                <anchor moveWithCells="1">
                  <from>
                    <xdr:col>1</xdr:col>
                    <xdr:colOff>171450</xdr:colOff>
                    <xdr:row>131</xdr:row>
                    <xdr:rowOff>38100</xdr:rowOff>
                  </from>
                  <to>
                    <xdr:col>1</xdr:col>
                    <xdr:colOff>695325</xdr:colOff>
                    <xdr:row>131</xdr:row>
                    <xdr:rowOff>190500</xdr:rowOff>
                  </to>
                </anchor>
              </controlPr>
            </control>
          </mc:Choice>
        </mc:AlternateContent>
        <mc:AlternateContent xmlns:mc="http://schemas.openxmlformats.org/markup-compatibility/2006">
          <mc:Choice Requires="x14">
            <control shapeId="1733" r:id="rId173" name="Check Box 709">
              <controlPr defaultSize="0" autoFill="0" autoLine="0" autoPict="0">
                <anchor moveWithCells="1">
                  <from>
                    <xdr:col>1</xdr:col>
                    <xdr:colOff>171450</xdr:colOff>
                    <xdr:row>134</xdr:row>
                    <xdr:rowOff>38100</xdr:rowOff>
                  </from>
                  <to>
                    <xdr:col>1</xdr:col>
                    <xdr:colOff>695325</xdr:colOff>
                    <xdr:row>134</xdr:row>
                    <xdr:rowOff>190500</xdr:rowOff>
                  </to>
                </anchor>
              </controlPr>
            </control>
          </mc:Choice>
        </mc:AlternateContent>
        <mc:AlternateContent xmlns:mc="http://schemas.openxmlformats.org/markup-compatibility/2006">
          <mc:Choice Requires="x14">
            <control shapeId="1734" r:id="rId174" name="Check Box 710">
              <controlPr defaultSize="0" autoFill="0" autoLine="0" autoPict="0">
                <anchor moveWithCells="1">
                  <from>
                    <xdr:col>1</xdr:col>
                    <xdr:colOff>171450</xdr:colOff>
                    <xdr:row>130</xdr:row>
                    <xdr:rowOff>38100</xdr:rowOff>
                  </from>
                  <to>
                    <xdr:col>1</xdr:col>
                    <xdr:colOff>695325</xdr:colOff>
                    <xdr:row>130</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308" yWindow="234" count="2">
        <x14:dataValidation type="list" allowBlank="1" showInputMessage="1" showErrorMessage="1" promptTitle="申請人規模：" prompt="會影響美國案、加拿大案的【官方費用】" xr:uid="{00000000-0002-0000-0000-000017000000}">
          <x14:formula1>
            <xm:f>選項!$G$2:$G$4</xm:f>
          </x14:formula1>
          <xm:sqref>B10</xm:sqref>
        </x14:dataValidation>
        <x14:dataValidation type="list" allowBlank="1" showInputMessage="1" showErrorMessage="1" promptTitle="申請人屬性：" prompt="會影響台灣案在年費階段的【官方費用】，請注意，企業需符合經濟部的中小企業認定標準才能算【中小企業】" xr:uid="{00000000-0002-0000-0000-000018000000}">
          <x14:formula1>
            <xm:f>選項!$H$2:$H$5</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2"/>
  <dimension ref="A1:DR93"/>
  <sheetViews>
    <sheetView topLeftCell="A4" zoomScale="85" zoomScaleNormal="85" workbookViewId="0">
      <selection activeCell="K2" sqref="K2"/>
    </sheetView>
  </sheetViews>
  <sheetFormatPr defaultRowHeight="16.5" x14ac:dyDescent="0.25"/>
  <cols>
    <col min="1" max="1" width="11.75" customWidth="1"/>
    <col min="2" max="2" width="11.625" bestFit="1" customWidth="1"/>
    <col min="3" max="3" width="11.625" customWidth="1"/>
    <col min="4" max="4" width="13.375" customWidth="1"/>
    <col min="5" max="5" width="13.875" style="142" customWidth="1"/>
    <col min="6" max="6" width="5.75" customWidth="1"/>
    <col min="7" max="7" width="9.75" customWidth="1"/>
    <col min="8" max="8" width="11.625" customWidth="1"/>
    <col min="9" max="9" width="9.75" customWidth="1"/>
    <col min="10" max="10" width="24" customWidth="1"/>
    <col min="11" max="12" width="11.625" customWidth="1"/>
    <col min="13" max="13" width="15.25" bestFit="1" customWidth="1"/>
    <col min="14" max="15" width="9.75" customWidth="1"/>
    <col min="16" max="16" width="8.625" customWidth="1"/>
    <col min="17" max="17" width="9.5" customWidth="1"/>
    <col min="18" max="18" width="14.375" customWidth="1"/>
    <col min="19" max="19" width="9" customWidth="1"/>
    <col min="20" max="20" width="11.625" customWidth="1"/>
    <col min="21" max="21" width="10.625" customWidth="1"/>
    <col min="22" max="22" width="14.125" customWidth="1"/>
    <col min="23" max="23" width="11.125" customWidth="1"/>
    <col min="24" max="24" width="10" bestFit="1" customWidth="1"/>
    <col min="25" max="25" width="7.5" customWidth="1"/>
    <col min="26" max="26" width="11.625" customWidth="1"/>
    <col min="27" max="27" width="12.5" customWidth="1"/>
    <col min="28" max="28" width="16.75" customWidth="1"/>
    <col min="29" max="29" width="9.5" customWidth="1"/>
    <col min="30" max="30" width="9.75" bestFit="1" customWidth="1"/>
    <col min="31" max="31" width="11.25" bestFit="1" customWidth="1"/>
    <col min="32" max="32" width="9.75" bestFit="1" customWidth="1"/>
    <col min="33" max="34" width="9.875" customWidth="1"/>
    <col min="35" max="36" width="9" customWidth="1"/>
    <col min="37" max="37" width="5.75" customWidth="1"/>
    <col min="38" max="39" width="14.125" bestFit="1" customWidth="1"/>
    <col min="40" max="40" width="12.875" customWidth="1"/>
    <col min="41" max="41" width="12.875" bestFit="1" customWidth="1"/>
    <col min="42" max="42" width="12.75" bestFit="1" customWidth="1"/>
    <col min="43" max="43" width="5.75" customWidth="1"/>
    <col min="44" max="44" width="11.625" bestFit="1" customWidth="1"/>
    <col min="45" max="46" width="9.5" customWidth="1"/>
    <col min="47" max="47" width="11.625" bestFit="1" customWidth="1"/>
    <col min="48" max="48" width="12.75" bestFit="1" customWidth="1"/>
    <col min="49" max="49" width="14.125" bestFit="1" customWidth="1"/>
    <col min="50" max="50" width="16.125" bestFit="1" customWidth="1"/>
    <col min="51" max="51" width="11.625" bestFit="1" customWidth="1"/>
    <col min="52" max="52" width="17.875" customWidth="1"/>
    <col min="53" max="53" width="9.5" customWidth="1"/>
    <col min="54" max="54" width="12.75" bestFit="1" customWidth="1"/>
    <col min="55" max="56" width="11.625" bestFit="1" customWidth="1"/>
    <col min="58" max="58" width="13.875" bestFit="1" customWidth="1"/>
    <col min="59" max="59" width="11.625" bestFit="1" customWidth="1"/>
    <col min="60" max="60" width="11.625" customWidth="1"/>
    <col min="61" max="61" width="12.75" bestFit="1" customWidth="1"/>
    <col min="62" max="66" width="12.75" customWidth="1"/>
    <col min="67" max="67" width="15.75" customWidth="1"/>
    <col min="69" max="69" width="15.625" customWidth="1"/>
    <col min="70" max="70" width="16.375" bestFit="1" customWidth="1"/>
    <col min="72" max="72" width="13.875" bestFit="1" customWidth="1"/>
    <col min="73" max="74" width="13.875" customWidth="1"/>
    <col min="75" max="75" width="16.375" bestFit="1" customWidth="1"/>
    <col min="77" max="77" width="17.125" customWidth="1"/>
    <col min="78" max="78" width="16" bestFit="1" customWidth="1"/>
    <col min="80" max="80" width="15.5" customWidth="1"/>
    <col min="81" max="81" width="20.25" customWidth="1"/>
  </cols>
  <sheetData>
    <row r="1" spans="1:81" x14ac:dyDescent="0.25">
      <c r="A1" s="9" t="s">
        <v>68</v>
      </c>
    </row>
    <row r="2" spans="1:81" ht="16.5" customHeight="1" x14ac:dyDescent="0.25">
      <c r="A2" s="9" t="s">
        <v>59</v>
      </c>
    </row>
    <row r="3" spans="1:81" ht="16.5" customHeight="1" x14ac:dyDescent="0.25">
      <c r="A3" s="9"/>
    </row>
    <row r="4" spans="1:81" ht="16.5" customHeight="1" x14ac:dyDescent="0.25">
      <c r="A4" s="254" t="s">
        <v>27</v>
      </c>
      <c r="B4" s="255"/>
      <c r="C4" s="1"/>
      <c r="D4" s="1"/>
      <c r="K4" s="254" t="s">
        <v>145</v>
      </c>
      <c r="L4" s="256"/>
      <c r="M4" s="256"/>
      <c r="N4" s="255"/>
      <c r="T4" s="257" t="s">
        <v>224</v>
      </c>
      <c r="U4" s="258"/>
      <c r="V4" s="257" t="s">
        <v>141</v>
      </c>
      <c r="W4" s="258"/>
    </row>
    <row r="5" spans="1:81" ht="16.5" customHeight="1" x14ac:dyDescent="0.25">
      <c r="A5" s="6" t="s">
        <v>34</v>
      </c>
      <c r="B5" s="12">
        <f>'發明(新型)案成本估算'!B5</f>
        <v>7500</v>
      </c>
      <c r="C5" t="s">
        <v>91</v>
      </c>
      <c r="D5" s="139"/>
      <c r="K5" s="6" t="s">
        <v>81</v>
      </c>
      <c r="L5" s="13">
        <f>'發明(新型)案成本估算'!K5</f>
        <v>33.200000000000003</v>
      </c>
      <c r="M5" s="6" t="s">
        <v>80</v>
      </c>
      <c r="N5" s="13">
        <f>'發明(新型)案成本估算'!M5</f>
        <v>4.5999999999999996</v>
      </c>
      <c r="T5" s="5" t="s">
        <v>1</v>
      </c>
      <c r="U5" s="5" t="b">
        <v>1</v>
      </c>
      <c r="V5" s="5" t="s">
        <v>142</v>
      </c>
      <c r="W5" s="5" t="b">
        <v>1</v>
      </c>
    </row>
    <row r="6" spans="1:81" ht="16.5" customHeight="1" x14ac:dyDescent="0.25">
      <c r="A6" s="6" t="s">
        <v>35</v>
      </c>
      <c r="B6" s="12">
        <f>'發明(新型)案成本估算'!B6</f>
        <v>5000</v>
      </c>
      <c r="C6" t="s">
        <v>92</v>
      </c>
      <c r="D6" s="139"/>
      <c r="K6" s="3" t="s">
        <v>82</v>
      </c>
      <c r="L6" s="13">
        <f>'發明(新型)案成本估算'!K6</f>
        <v>34.6</v>
      </c>
      <c r="M6" s="3" t="s">
        <v>85</v>
      </c>
      <c r="N6" s="13">
        <f>'發明(新型)案成本估算'!M6</f>
        <v>25</v>
      </c>
      <c r="T6" s="5" t="s">
        <v>223</v>
      </c>
      <c r="U6" s="5" t="b">
        <v>1</v>
      </c>
      <c r="V6" s="5" t="s">
        <v>143</v>
      </c>
      <c r="W6" s="5" t="b">
        <v>1</v>
      </c>
    </row>
    <row r="7" spans="1:81" ht="16.5" customHeight="1" x14ac:dyDescent="0.25">
      <c r="A7" s="6" t="s">
        <v>25</v>
      </c>
      <c r="B7" s="12">
        <f>'發明(新型)案成本估算'!B7</f>
        <v>10</v>
      </c>
      <c r="C7" t="s">
        <v>94</v>
      </c>
      <c r="D7" s="139"/>
      <c r="K7" s="3" t="s">
        <v>83</v>
      </c>
      <c r="L7" s="13">
        <f>'發明(新型)案成本估算'!K7</f>
        <v>0.22</v>
      </c>
      <c r="M7" s="3" t="s">
        <v>86</v>
      </c>
      <c r="N7" s="13">
        <f>'發明(新型)案成本估算'!M7</f>
        <v>1.5E-3</v>
      </c>
      <c r="T7" s="5" t="s">
        <v>222</v>
      </c>
      <c r="U7" s="5" t="b">
        <v>1</v>
      </c>
      <c r="V7" s="5" t="s">
        <v>144</v>
      </c>
      <c r="W7" s="5" t="b">
        <v>1</v>
      </c>
    </row>
    <row r="8" spans="1:81" ht="16.5" customHeight="1" x14ac:dyDescent="0.25">
      <c r="A8" s="6" t="s">
        <v>26</v>
      </c>
      <c r="B8" s="12">
        <f>'發明(新型)案成本估算'!B8</f>
        <v>3</v>
      </c>
      <c r="C8" t="s">
        <v>93</v>
      </c>
      <c r="D8" s="139"/>
      <c r="K8" s="3" t="s">
        <v>84</v>
      </c>
      <c r="L8" s="13">
        <f>'發明(新型)案成本估算'!K8</f>
        <v>2.5999999999999999E-2</v>
      </c>
      <c r="M8" s="3" t="s">
        <v>88</v>
      </c>
      <c r="N8" s="13">
        <f>'發明(新型)案成本估算'!M8</f>
        <v>7.9</v>
      </c>
      <c r="T8" s="5" t="s">
        <v>215</v>
      </c>
      <c r="U8" s="5" t="b">
        <v>1</v>
      </c>
    </row>
    <row r="9" spans="1:81" ht="16.5" customHeight="1" x14ac:dyDescent="0.25">
      <c r="A9" s="6" t="s">
        <v>58</v>
      </c>
      <c r="B9" s="12">
        <f>'發明(新型)案成本估算'!B9</f>
        <v>10</v>
      </c>
      <c r="C9" t="s">
        <v>97</v>
      </c>
      <c r="D9" s="139"/>
      <c r="K9" s="3" t="s">
        <v>87</v>
      </c>
      <c r="L9" s="13">
        <f>'發明(新型)案成本估算'!K9</f>
        <v>1.03</v>
      </c>
      <c r="M9" s="3" t="s">
        <v>89</v>
      </c>
      <c r="N9" s="13">
        <f>'發明(新型)案成本估算'!M9</f>
        <v>23.5</v>
      </c>
    </row>
    <row r="10" spans="1:81" ht="16.5" customHeight="1" x14ac:dyDescent="0.25">
      <c r="A10" s="6" t="s">
        <v>37</v>
      </c>
      <c r="B10" s="21" t="str">
        <f>'發明(新型)案成本估算'!B10</f>
        <v>少於100人</v>
      </c>
      <c r="C10" t="s">
        <v>90</v>
      </c>
      <c r="D10" s="140"/>
    </row>
    <row r="11" spans="1:81" ht="16.5" customHeight="1" x14ac:dyDescent="0.25">
      <c r="A11" s="6" t="s">
        <v>67</v>
      </c>
      <c r="B11" s="21" t="str">
        <f>'發明(新型)案成本估算'!B11</f>
        <v>中小企業</v>
      </c>
      <c r="C11" t="s">
        <v>98</v>
      </c>
      <c r="D11" s="140"/>
    </row>
    <row r="12" spans="1:81" ht="16.5" customHeight="1" x14ac:dyDescent="0.25">
      <c r="A12" s="9"/>
      <c r="BF12" t="s">
        <v>261</v>
      </c>
    </row>
    <row r="13" spans="1:81" ht="16.5" customHeight="1" x14ac:dyDescent="0.25">
      <c r="A13" s="30" t="s">
        <v>206</v>
      </c>
      <c r="AI13" s="30" t="s">
        <v>220</v>
      </c>
      <c r="AJ13" s="31"/>
      <c r="AK13" s="31"/>
      <c r="AL13" s="31"/>
      <c r="AM13" s="31"/>
      <c r="AN13" s="31"/>
      <c r="AO13" s="31"/>
      <c r="AP13" s="31"/>
      <c r="AQ13" s="31"/>
      <c r="AR13" s="31"/>
      <c r="AS13" s="31"/>
      <c r="AT13" s="31"/>
      <c r="AU13" s="31"/>
      <c r="AV13" s="31"/>
    </row>
    <row r="14" spans="1:81" ht="16.5" customHeight="1" thickBot="1" x14ac:dyDescent="0.3">
      <c r="A14" s="259" t="s">
        <v>207</v>
      </c>
      <c r="B14" s="260"/>
      <c r="C14" s="260"/>
      <c r="D14" s="260"/>
      <c r="E14" s="260"/>
      <c r="F14" s="260"/>
      <c r="G14" s="260"/>
      <c r="H14" s="260"/>
      <c r="I14" s="260"/>
      <c r="J14" s="260"/>
      <c r="K14" s="260"/>
      <c r="L14" s="260"/>
      <c r="M14" s="260"/>
      <c r="N14" s="260"/>
      <c r="O14" s="260"/>
      <c r="P14" s="260"/>
      <c r="Q14" s="260"/>
      <c r="R14" s="260"/>
      <c r="S14" s="260"/>
      <c r="T14" s="260"/>
      <c r="U14" s="260"/>
      <c r="V14" s="261"/>
      <c r="W14" s="261"/>
      <c r="X14" s="261"/>
      <c r="Y14" s="261"/>
      <c r="Z14" s="261"/>
      <c r="AA14" s="261"/>
      <c r="AB14" s="262"/>
      <c r="AD14" s="229" t="s">
        <v>62</v>
      </c>
      <c r="AE14" s="230"/>
      <c r="AF14" s="230"/>
      <c r="AI14" s="264" t="s">
        <v>208</v>
      </c>
      <c r="AJ14" s="265"/>
      <c r="AK14" s="265"/>
      <c r="AL14" s="265"/>
      <c r="AM14" s="265"/>
      <c r="AN14" s="265"/>
      <c r="AO14" s="265"/>
      <c r="AP14" s="265"/>
      <c r="AQ14" s="265"/>
      <c r="AR14" s="265"/>
      <c r="AS14" s="265"/>
      <c r="AT14" s="265"/>
      <c r="AU14" s="265"/>
      <c r="AV14" s="265"/>
      <c r="AW14" s="265"/>
      <c r="AX14" s="265"/>
      <c r="AY14" s="265"/>
      <c r="AZ14" s="265"/>
      <c r="BA14" s="265"/>
      <c r="BB14" s="229" t="s">
        <v>213</v>
      </c>
      <c r="BC14" s="230"/>
      <c r="BD14" s="230"/>
      <c r="BF14" s="229" t="s">
        <v>266</v>
      </c>
      <c r="BG14" s="230"/>
      <c r="BH14" s="230"/>
      <c r="BI14" s="230"/>
      <c r="BJ14" s="230"/>
      <c r="BK14" s="275"/>
      <c r="BL14" s="275"/>
      <c r="BM14" s="275"/>
      <c r="BN14" s="275"/>
      <c r="BO14" s="276"/>
      <c r="BQ14" s="229" t="s">
        <v>96</v>
      </c>
      <c r="BR14" s="230"/>
      <c r="BT14" s="229" t="s">
        <v>269</v>
      </c>
      <c r="BU14" s="277"/>
      <c r="BV14" s="277"/>
      <c r="BW14" s="277"/>
      <c r="BY14" s="271" t="s">
        <v>268</v>
      </c>
      <c r="BZ14" s="272"/>
      <c r="CB14" s="271" t="s">
        <v>270</v>
      </c>
      <c r="CC14" s="272"/>
    </row>
    <row r="15" spans="1:81" ht="33" customHeight="1" thickTop="1" x14ac:dyDescent="0.25">
      <c r="A15" s="231" t="s">
        <v>114</v>
      </c>
      <c r="B15" s="231" t="s">
        <v>0</v>
      </c>
      <c r="C15" s="263" t="s">
        <v>310</v>
      </c>
      <c r="D15" s="263" t="s">
        <v>314</v>
      </c>
      <c r="E15" s="232" t="s">
        <v>315</v>
      </c>
      <c r="F15" s="234" t="s">
        <v>60</v>
      </c>
      <c r="G15" s="235"/>
      <c r="H15" s="235"/>
      <c r="I15" s="235"/>
      <c r="J15" s="235"/>
      <c r="K15" s="236"/>
      <c r="L15" s="237"/>
      <c r="M15" s="234" t="s">
        <v>36</v>
      </c>
      <c r="N15" s="235"/>
      <c r="O15" s="235"/>
      <c r="P15" s="235"/>
      <c r="Q15" s="235"/>
      <c r="R15" s="235"/>
      <c r="S15" s="235"/>
      <c r="T15" s="236"/>
      <c r="U15" s="237"/>
      <c r="V15" s="15" t="s">
        <v>240</v>
      </c>
      <c r="W15" s="238" t="s">
        <v>32</v>
      </c>
      <c r="X15" s="239"/>
      <c r="Y15" s="239"/>
      <c r="Z15" s="237"/>
      <c r="AA15" s="240" t="s">
        <v>241</v>
      </c>
      <c r="AB15" s="240" t="s">
        <v>242</v>
      </c>
      <c r="AC15" s="241" t="s">
        <v>115</v>
      </c>
      <c r="AD15" s="246" t="s">
        <v>77</v>
      </c>
      <c r="AE15" s="246" t="s">
        <v>76</v>
      </c>
      <c r="AF15" s="242" t="s">
        <v>243</v>
      </c>
      <c r="AG15" s="263" t="s">
        <v>314</v>
      </c>
      <c r="AH15" s="248" t="s">
        <v>95</v>
      </c>
      <c r="AI15" s="241" t="s">
        <v>114</v>
      </c>
      <c r="AJ15" s="245" t="s">
        <v>0</v>
      </c>
      <c r="AK15" s="250" t="s">
        <v>279</v>
      </c>
      <c r="AL15" s="251"/>
      <c r="AM15" s="251"/>
      <c r="AN15" s="251"/>
      <c r="AO15" s="252"/>
      <c r="AP15" s="253"/>
      <c r="AQ15" s="250" t="s">
        <v>280</v>
      </c>
      <c r="AR15" s="251"/>
      <c r="AS15" s="251"/>
      <c r="AT15" s="251"/>
      <c r="AU15" s="252"/>
      <c r="AV15" s="253"/>
      <c r="AW15" s="25" t="s">
        <v>281</v>
      </c>
      <c r="AX15" s="18" t="s">
        <v>32</v>
      </c>
      <c r="AY15" s="244" t="s">
        <v>282</v>
      </c>
      <c r="AZ15" s="244" t="s">
        <v>283</v>
      </c>
      <c r="BA15" s="241" t="s">
        <v>115</v>
      </c>
      <c r="BB15" s="246" t="s">
        <v>284</v>
      </c>
      <c r="BC15" s="246" t="s">
        <v>285</v>
      </c>
      <c r="BD15" s="242" t="s">
        <v>286</v>
      </c>
      <c r="BF15" s="216" t="s">
        <v>116</v>
      </c>
      <c r="BG15" s="278" t="s">
        <v>262</v>
      </c>
      <c r="BH15" s="242" t="s">
        <v>263</v>
      </c>
      <c r="BI15" s="242" t="s">
        <v>287</v>
      </c>
      <c r="BJ15" s="279" t="s">
        <v>264</v>
      </c>
      <c r="BK15" s="273" t="s">
        <v>265</v>
      </c>
      <c r="BL15" s="280" t="s">
        <v>288</v>
      </c>
      <c r="BM15" s="280" t="s">
        <v>289</v>
      </c>
      <c r="BN15" s="273" t="s">
        <v>293</v>
      </c>
      <c r="BO15" s="273" t="s">
        <v>290</v>
      </c>
      <c r="BQ15" s="246" t="s">
        <v>244</v>
      </c>
      <c r="BR15" s="246" t="s">
        <v>291</v>
      </c>
      <c r="BT15" s="246" t="s">
        <v>77</v>
      </c>
      <c r="BU15" s="246" t="s">
        <v>76</v>
      </c>
      <c r="BV15" s="242" t="s">
        <v>243</v>
      </c>
      <c r="BW15" s="246" t="s">
        <v>292</v>
      </c>
      <c r="BY15" s="246" t="s">
        <v>296</v>
      </c>
      <c r="BZ15" s="273" t="s">
        <v>290</v>
      </c>
      <c r="CB15" s="246" t="s">
        <v>267</v>
      </c>
      <c r="CC15" s="273" t="s">
        <v>290</v>
      </c>
    </row>
    <row r="16" spans="1:81" x14ac:dyDescent="0.25">
      <c r="A16" s="231"/>
      <c r="B16" s="231"/>
      <c r="C16" s="241"/>
      <c r="D16" s="241"/>
      <c r="E16" s="233"/>
      <c r="F16" s="4" t="s">
        <v>13</v>
      </c>
      <c r="G16" s="3" t="s">
        <v>1</v>
      </c>
      <c r="H16" s="3" t="s">
        <v>44</v>
      </c>
      <c r="I16" s="3" t="s">
        <v>28</v>
      </c>
      <c r="J16" s="3" t="s">
        <v>343</v>
      </c>
      <c r="K16" s="4" t="s">
        <v>56</v>
      </c>
      <c r="L16" s="4" t="s">
        <v>47</v>
      </c>
      <c r="M16" s="4" t="s">
        <v>13</v>
      </c>
      <c r="N16" s="3" t="s">
        <v>1</v>
      </c>
      <c r="O16" s="3" t="s">
        <v>33</v>
      </c>
      <c r="P16" s="3" t="s">
        <v>44</v>
      </c>
      <c r="Q16" s="3" t="s">
        <v>28</v>
      </c>
      <c r="R16" s="3" t="s">
        <v>29</v>
      </c>
      <c r="S16" s="3" t="s">
        <v>45</v>
      </c>
      <c r="T16" s="4" t="s">
        <v>56</v>
      </c>
      <c r="U16" s="4" t="s">
        <v>47</v>
      </c>
      <c r="V16" s="4" t="s">
        <v>47</v>
      </c>
      <c r="W16" s="3" t="s">
        <v>24</v>
      </c>
      <c r="X16" s="3" t="s">
        <v>30</v>
      </c>
      <c r="Y16" s="3" t="s">
        <v>31</v>
      </c>
      <c r="Z16" s="3" t="s">
        <v>46</v>
      </c>
      <c r="AA16" s="231"/>
      <c r="AB16" s="231"/>
      <c r="AC16" s="241"/>
      <c r="AD16" s="247"/>
      <c r="AE16" s="247"/>
      <c r="AF16" s="243"/>
      <c r="AG16" s="241"/>
      <c r="AH16" s="249"/>
      <c r="AI16" s="241"/>
      <c r="AJ16" s="245"/>
      <c r="AK16" s="26" t="s">
        <v>13</v>
      </c>
      <c r="AL16" s="3" t="s">
        <v>66</v>
      </c>
      <c r="AM16" s="3" t="s">
        <v>28</v>
      </c>
      <c r="AN16" s="3" t="s">
        <v>29</v>
      </c>
      <c r="AO16" s="26" t="s">
        <v>56</v>
      </c>
      <c r="AP16" s="26" t="s">
        <v>47</v>
      </c>
      <c r="AQ16" s="26" t="s">
        <v>13</v>
      </c>
      <c r="AR16" s="3" t="s">
        <v>66</v>
      </c>
      <c r="AS16" s="3" t="s">
        <v>28</v>
      </c>
      <c r="AT16" s="3" t="s">
        <v>29</v>
      </c>
      <c r="AU16" s="26" t="s">
        <v>56</v>
      </c>
      <c r="AV16" s="26" t="s">
        <v>47</v>
      </c>
      <c r="AW16" s="26" t="s">
        <v>47</v>
      </c>
      <c r="AX16" s="3" t="s">
        <v>66</v>
      </c>
      <c r="AY16" s="245"/>
      <c r="AZ16" s="245"/>
      <c r="BA16" s="241"/>
      <c r="BB16" s="247"/>
      <c r="BC16" s="247"/>
      <c r="BD16" s="243"/>
      <c r="BF16" s="241"/>
      <c r="BG16" s="247"/>
      <c r="BH16" s="242"/>
      <c r="BI16" s="242"/>
      <c r="BJ16" s="279"/>
      <c r="BK16" s="274"/>
      <c r="BL16" s="281"/>
      <c r="BM16" s="281"/>
      <c r="BN16" s="274"/>
      <c r="BO16" s="274"/>
      <c r="BQ16" s="247"/>
      <c r="BR16" s="247"/>
      <c r="BT16" s="247"/>
      <c r="BU16" s="247"/>
      <c r="BV16" s="243"/>
      <c r="BW16" s="247"/>
      <c r="BY16" s="247"/>
      <c r="BZ16" s="274"/>
      <c r="CB16" s="247"/>
      <c r="CC16" s="274"/>
    </row>
    <row r="17" spans="1:75" x14ac:dyDescent="0.25">
      <c r="A17" s="215" t="s">
        <v>2</v>
      </c>
      <c r="B17" s="98" t="s">
        <v>311</v>
      </c>
      <c r="C17" s="11" t="b">
        <v>1</v>
      </c>
      <c r="D17" s="228">
        <v>1</v>
      </c>
      <c r="E17" s="148" t="str">
        <f>IF(C17=FALSE,"不申請",IF($D$17=1,"初稿案",IF(AND($D$17=2,OR(C19=TRUE,C20=TRUE)),"同語言轉換案",IF(OR(D17=3,D17=4,D17=5,D17=6,D17=7),"翻譯案","異常"))))</f>
        <v>初稿案</v>
      </c>
      <c r="F17" s="3" t="s">
        <v>14</v>
      </c>
      <c r="G17" s="7">
        <f>IF($W$5=FALSE,0,IF(C17=FALSE,0,2100))</f>
        <v>2100</v>
      </c>
      <c r="H17" s="7">
        <f>IF($W$5=FALSE,0,IF(C17=FALSE,0,IF($B$7&lt;11,7000,7000+800*($B$7-10))))</f>
        <v>7000</v>
      </c>
      <c r="I17" s="88"/>
      <c r="J17" s="88"/>
      <c r="K17" s="7">
        <f t="shared" ref="K17:K37" si="0">IF($U$5=FALSE,0,SUM(G17:J17))</f>
        <v>9100</v>
      </c>
      <c r="L17" s="23">
        <f>K17*1</f>
        <v>9100</v>
      </c>
      <c r="M17" s="3" t="s">
        <v>14</v>
      </c>
      <c r="N17" s="7"/>
      <c r="O17" s="7"/>
      <c r="P17" s="7"/>
      <c r="Q17" s="7"/>
      <c r="R17" s="7"/>
      <c r="S17" s="7"/>
      <c r="T17" s="7">
        <f t="shared" ref="T17:T37" si="1">IF($U$5=FALSE,0,SUM(N17:S17))</f>
        <v>0</v>
      </c>
      <c r="U17" s="23">
        <f>T17*1</f>
        <v>0</v>
      </c>
      <c r="V17" s="23">
        <f>L17+U17</f>
        <v>9100</v>
      </c>
      <c r="W17" s="7">
        <f>IF($W$7=FALSE,0,IF(C17=FALSE,0,IF(E17="初稿案",85000,IF(E17="翻譯案",50000,IF(E17="同語言轉換案",15000,999999)))))</f>
        <v>85000</v>
      </c>
      <c r="X17" s="7">
        <f>IF($W$7=FALSE,0,IF(C17=FALSE,0,IF(E17="初稿案",IF($B$5&lt;7500,0,700*(ROUNDDOWN($B$5/100,0)-75)),IF(E17="翻譯案",IF($B$5&lt;7500,0,700*(ROUNDDOWN($B$5/100,0)-75)),IF(E17="同語言轉換案",0,0)))))</f>
        <v>0</v>
      </c>
      <c r="Y17" s="7">
        <f>IF($W$7=FALSE,0,IF(C17=FALSE,0,IF(E17="初稿案",IF($B$9&lt;11,0,1000*($B$9-10)),IF(E17="翻譯案",IF($B$9&lt;11,0,1000*($B$9-10)),IF(E17="同語言轉換案",0,0)))))</f>
        <v>0</v>
      </c>
      <c r="Z17" s="7"/>
      <c r="AA17" s="23">
        <f t="shared" ref="AA17:AA37" si="2">IF($U$5=FALSE,0,SUM(W17:Z17))</f>
        <v>85000</v>
      </c>
      <c r="AB17" s="23">
        <f t="shared" ref="AB17:AB37" si="3">V17+AA17</f>
        <v>94100</v>
      </c>
      <c r="AC17" s="228" t="str">
        <f>$A$17</f>
        <v>台灣</v>
      </c>
      <c r="AD17" s="27">
        <f t="shared" ref="AD17:AD38" si="4">L17</f>
        <v>9100</v>
      </c>
      <c r="AE17" s="27">
        <f t="shared" ref="AE17:AE38" si="5">U17</f>
        <v>0</v>
      </c>
      <c r="AF17" s="27">
        <f t="shared" ref="AF17:AF38" si="6">AA17</f>
        <v>85000</v>
      </c>
      <c r="AG17" s="228">
        <v>1</v>
      </c>
      <c r="AH17" s="266">
        <f>IF($D$17=AG17,MAX(AA17,AA18),0)</f>
        <v>85000</v>
      </c>
      <c r="AI17" s="228" t="str">
        <f>$A$17</f>
        <v>台灣</v>
      </c>
      <c r="AJ17" s="11" t="str">
        <f t="shared" ref="AJ17:AJ37" si="7">B17</f>
        <v>發明</v>
      </c>
      <c r="AK17" s="3" t="str">
        <f>F17</f>
        <v>NTD</v>
      </c>
      <c r="AL17" s="7">
        <f>IF($W$5=FALSE,0,IF(C17=FALSE,0,IF($B$11="大企業",1000+2500,1000+1700)))</f>
        <v>2700</v>
      </c>
      <c r="AM17" s="7"/>
      <c r="AN17" s="7"/>
      <c r="AO17" s="7">
        <f t="shared" ref="AO17:AO37" si="8">IF($U$6=FALSE,0,SUM(AL17:AN17))</f>
        <v>2700</v>
      </c>
      <c r="AP17" s="22">
        <f>AO17*1</f>
        <v>2700</v>
      </c>
      <c r="AQ17" s="3" t="str">
        <f>M17</f>
        <v>NTD</v>
      </c>
      <c r="AR17" s="7"/>
      <c r="AS17" s="7"/>
      <c r="AT17" s="7"/>
      <c r="AU17" s="7">
        <f t="shared" ref="AU17:AU37" si="9">IF($U$6=FALSE,0,SUM(AR17:AT17))</f>
        <v>0</v>
      </c>
      <c r="AV17" s="22">
        <f>AU17*1</f>
        <v>0</v>
      </c>
      <c r="AW17" s="22">
        <f t="shared" ref="AW17:AW37" si="10">AP17+AV17</f>
        <v>2700</v>
      </c>
      <c r="AX17" s="7">
        <f t="shared" ref="AX17:AX37" si="11">IF($W$7=FALSE,0,IF(C17=FALSE,0,0))</f>
        <v>0</v>
      </c>
      <c r="AY17" s="22">
        <f>IF($U$6=FALSE,0,SUM(AX17:AX17))</f>
        <v>0</v>
      </c>
      <c r="AZ17" s="22">
        <f t="shared" ref="AZ17:AZ37" si="12">AW17+AY17</f>
        <v>2700</v>
      </c>
      <c r="BA17" s="228" t="str">
        <f>$A$17</f>
        <v>台灣</v>
      </c>
      <c r="BB17" s="27">
        <f>AP17</f>
        <v>2700</v>
      </c>
      <c r="BC17" s="27">
        <f>AV17</f>
        <v>0</v>
      </c>
      <c r="BD17" s="27">
        <f>AY17</f>
        <v>0</v>
      </c>
      <c r="BF17" s="3" t="s">
        <v>99</v>
      </c>
      <c r="BG17" s="27">
        <f>AB17</f>
        <v>94100</v>
      </c>
      <c r="BH17" s="27">
        <f t="shared" ref="BH17:BH37" si="13">AB46</f>
        <v>25000</v>
      </c>
      <c r="BI17" s="27">
        <f t="shared" ref="BI17:BI37" si="14">AZ17</f>
        <v>2700</v>
      </c>
      <c r="BJ17" s="92">
        <f t="shared" ref="BJ17:BJ37" si="15">AZ46</f>
        <v>271800</v>
      </c>
      <c r="BK17" s="93">
        <f t="shared" ref="BK17:BK38" si="16">BG17+BH17</f>
        <v>119100</v>
      </c>
      <c r="BL17" s="96">
        <f>BG17+BI17</f>
        <v>96800</v>
      </c>
      <c r="BM17" s="96">
        <f>BG17+BH17+BI17</f>
        <v>121800</v>
      </c>
      <c r="BN17" s="93">
        <f>BI17+BJ17</f>
        <v>274500</v>
      </c>
      <c r="BO17" s="93">
        <f t="shared" ref="BO17:BO37" si="17">BK17+BN17</f>
        <v>393600</v>
      </c>
      <c r="BQ17" s="27">
        <f t="shared" ref="BQ17:BQ37" si="18">AB17</f>
        <v>94100</v>
      </c>
      <c r="BR17" s="27">
        <f t="shared" ref="BR17:BR37" si="19">AZ17</f>
        <v>2700</v>
      </c>
      <c r="BT17" s="27">
        <f t="shared" ref="BT17:BT37" si="20">AD17</f>
        <v>9100</v>
      </c>
      <c r="BU17" s="27">
        <f t="shared" ref="BU17:BU37" si="21">AE17</f>
        <v>0</v>
      </c>
      <c r="BV17" s="27">
        <f t="shared" ref="BV17:BV37" si="22">AF17</f>
        <v>85000</v>
      </c>
      <c r="BW17" s="27">
        <f t="shared" ref="BW17:BW37" si="23">BH17+BI17+BJ17</f>
        <v>299500</v>
      </c>
    </row>
    <row r="18" spans="1:75" x14ac:dyDescent="0.25">
      <c r="A18" s="216"/>
      <c r="B18" s="98" t="s">
        <v>312</v>
      </c>
      <c r="C18" s="11" t="b">
        <v>0</v>
      </c>
      <c r="D18" s="216"/>
      <c r="E18" s="148" t="str">
        <f>IF(C18=FALSE,"不申請",IF(C17=TRUE,"同語言轉換案",IF($D$17=1,"初稿案",IF(AND($D$17=2,OR(C19=TRUE,C20=TRUE)),"同語言轉換案",IF(OR(D17=3,D17=4,D17=5,D17=6,D17=7),"翻譯案","異常")))))</f>
        <v>不申請</v>
      </c>
      <c r="F18" s="3" t="s">
        <v>14</v>
      </c>
      <c r="G18" s="7">
        <f>IF($W$5=FALSE,0,IF(C18=FALSE,0,2400))</f>
        <v>0</v>
      </c>
      <c r="H18" s="7">
        <f>IF($W$5=FALSE,0,IF(C18=FALSE,0,0))</f>
        <v>0</v>
      </c>
      <c r="I18" s="88"/>
      <c r="J18" s="88"/>
      <c r="K18" s="7">
        <f t="shared" si="0"/>
        <v>0</v>
      </c>
      <c r="L18" s="23">
        <f>K18*1</f>
        <v>0</v>
      </c>
      <c r="M18" s="3" t="s">
        <v>14</v>
      </c>
      <c r="N18" s="7"/>
      <c r="O18" s="7"/>
      <c r="P18" s="7"/>
      <c r="Q18" s="7"/>
      <c r="R18" s="7"/>
      <c r="S18" s="7"/>
      <c r="T18" s="7">
        <f t="shared" si="1"/>
        <v>0</v>
      </c>
      <c r="U18" s="23">
        <f>T18*1</f>
        <v>0</v>
      </c>
      <c r="V18" s="23">
        <f t="shared" ref="V18:V37" si="24">L18+U18</f>
        <v>0</v>
      </c>
      <c r="W18" s="7">
        <f>IF($W$7=FALSE,0,IF(C18=FALSE,0,IF(E18="初稿案",85000,IF(E18="翻譯案",50000,IF(E18="同語言轉換案",15000,999999)))))</f>
        <v>0</v>
      </c>
      <c r="X18" s="7">
        <f>IF($W$7=FALSE,0,IF(C18=FALSE,0,IF(E18="初稿案",IF($B$5&lt;7500,0,700*(ROUNDDOWN($B$5/100,0)-75)),IF(E18="翻譯案",IF($B$5&lt;7500,0,700*(ROUNDDOWN($B$5/100,0)-75)),IF(E18="同語言轉換案",0,0)))))</f>
        <v>0</v>
      </c>
      <c r="Y18" s="7">
        <f>IF($W$7=FALSE,0,IF(C18=FALSE,0,IF(E18="初稿案",IF($B$9&lt;11,0,1000*($B$9-10)),IF(E18="翻譯案",IF($B$9&lt;11,0,1000*($B$9-10)),IF(E18="同語言轉換案",0,0)))))</f>
        <v>0</v>
      </c>
      <c r="Z18" s="7"/>
      <c r="AA18" s="23">
        <f t="shared" si="2"/>
        <v>0</v>
      </c>
      <c r="AB18" s="23">
        <f t="shared" si="3"/>
        <v>0</v>
      </c>
      <c r="AC18" s="216"/>
      <c r="AD18" s="27">
        <f t="shared" si="4"/>
        <v>0</v>
      </c>
      <c r="AE18" s="27">
        <f t="shared" si="5"/>
        <v>0</v>
      </c>
      <c r="AF18" s="27">
        <f t="shared" si="6"/>
        <v>0</v>
      </c>
      <c r="AG18" s="216"/>
      <c r="AH18" s="267"/>
      <c r="AI18" s="216"/>
      <c r="AJ18" s="11" t="str">
        <f t="shared" si="7"/>
        <v>新型</v>
      </c>
      <c r="AK18" s="3" t="str">
        <f t="shared" ref="AK18:AK37" si="25">F18</f>
        <v>NTD</v>
      </c>
      <c r="AL18" s="7">
        <f>IF($W$5=FALSE,0,IF(C18=FALSE,0,IF($B$11="大企業",1000+2500,1000+1700)))</f>
        <v>0</v>
      </c>
      <c r="AM18" s="7"/>
      <c r="AN18" s="7"/>
      <c r="AO18" s="7">
        <f t="shared" si="8"/>
        <v>0</v>
      </c>
      <c r="AP18" s="22">
        <f>AO18*1</f>
        <v>0</v>
      </c>
      <c r="AQ18" s="3" t="str">
        <f t="shared" ref="AQ18:AQ37" si="26">M18</f>
        <v>NTD</v>
      </c>
      <c r="AR18" s="7"/>
      <c r="AS18" s="7"/>
      <c r="AT18" s="7"/>
      <c r="AU18" s="7">
        <f t="shared" si="9"/>
        <v>0</v>
      </c>
      <c r="AV18" s="22">
        <f>AU18*1</f>
        <v>0</v>
      </c>
      <c r="AW18" s="22">
        <f t="shared" si="10"/>
        <v>0</v>
      </c>
      <c r="AX18" s="7">
        <f t="shared" si="11"/>
        <v>0</v>
      </c>
      <c r="AY18" s="22">
        <f t="shared" ref="AY18:AY37" si="27">IF($U$6=FALSE,0,SUM(AX18:AX18))</f>
        <v>0</v>
      </c>
      <c r="AZ18" s="22">
        <f t="shared" si="12"/>
        <v>0</v>
      </c>
      <c r="BA18" s="216"/>
      <c r="BB18" s="27">
        <f t="shared" ref="BB18:BB37" si="28">AP18</f>
        <v>0</v>
      </c>
      <c r="BC18" s="27">
        <f t="shared" ref="BC18:BC37" si="29">AV18</f>
        <v>0</v>
      </c>
      <c r="BD18" s="27">
        <f t="shared" ref="BD18:BD37" si="30">AY18</f>
        <v>0</v>
      </c>
      <c r="BF18" s="3" t="s">
        <v>100</v>
      </c>
      <c r="BG18" s="27">
        <f t="shared" ref="BG18:BG37" si="31">AB18</f>
        <v>0</v>
      </c>
      <c r="BH18" s="27">
        <f t="shared" si="13"/>
        <v>0</v>
      </c>
      <c r="BI18" s="27">
        <f t="shared" si="14"/>
        <v>0</v>
      </c>
      <c r="BJ18" s="92">
        <f t="shared" si="15"/>
        <v>0</v>
      </c>
      <c r="BK18" s="93">
        <f t="shared" si="16"/>
        <v>0</v>
      </c>
      <c r="BL18" s="96">
        <f t="shared" ref="BL18:BM38" si="32">BG18+BI18</f>
        <v>0</v>
      </c>
      <c r="BM18" s="96">
        <f t="shared" ref="BM18:BM37" si="33">BG18+BH18+BI18</f>
        <v>0</v>
      </c>
      <c r="BN18" s="93">
        <f t="shared" ref="BN18:BN38" si="34">BI18+BJ18</f>
        <v>0</v>
      </c>
      <c r="BO18" s="93">
        <f t="shared" si="17"/>
        <v>0</v>
      </c>
      <c r="BQ18" s="27">
        <f t="shared" si="18"/>
        <v>0</v>
      </c>
      <c r="BR18" s="27">
        <f t="shared" si="19"/>
        <v>0</v>
      </c>
      <c r="BT18" s="27">
        <f t="shared" si="20"/>
        <v>0</v>
      </c>
      <c r="BU18" s="27">
        <f t="shared" si="21"/>
        <v>0</v>
      </c>
      <c r="BV18" s="27">
        <f t="shared" si="22"/>
        <v>0</v>
      </c>
      <c r="BW18" s="27">
        <f t="shared" si="23"/>
        <v>0</v>
      </c>
    </row>
    <row r="19" spans="1:75" x14ac:dyDescent="0.25">
      <c r="A19" s="215" t="s">
        <v>3</v>
      </c>
      <c r="B19" s="98" t="s">
        <v>311</v>
      </c>
      <c r="C19" s="11" t="b">
        <v>1</v>
      </c>
      <c r="D19" s="268" t="s">
        <v>319</v>
      </c>
      <c r="E19" s="148" t="str">
        <f>IF(C19=FALSE,"不申請",IF($D$17=2,"初稿案",IF(AND($D$17=1,OR(C17=TRUE,C18=TRUE)),"同語言轉換案",IF(OR(C17=TRUE,C18=TRUE),"同語言轉換案",IF(OR(D17=3,D17=4,D17=5,D17=6,D17=7),"翻譯案","異常")))))</f>
        <v>同語言轉換案</v>
      </c>
      <c r="F19" s="3" t="s">
        <v>15</v>
      </c>
      <c r="G19" s="7">
        <f>IF($W$5=FALSE,0,IF(C19=FALSE,0,950))</f>
        <v>950</v>
      </c>
      <c r="H19" s="7">
        <f>IF($W$5=FALSE,0,IF(C19=FALSE,0,2500))</f>
        <v>2500</v>
      </c>
      <c r="I19" s="7">
        <f>IF($W$5=FALSE,0,IF(C19=FALSE,0,IF($B$7&lt;11,0,150*($B$7-10))))</f>
        <v>0</v>
      </c>
      <c r="J19" s="7"/>
      <c r="K19" s="7">
        <f t="shared" si="0"/>
        <v>3450</v>
      </c>
      <c r="L19" s="23">
        <f>K19*$N$5</f>
        <v>15869.999999999998</v>
      </c>
      <c r="M19" s="3" t="s">
        <v>15</v>
      </c>
      <c r="N19" s="7">
        <f>IF($W$6=FALSE,0,IF(C19=FALSE,0,1500))</f>
        <v>1500</v>
      </c>
      <c r="O19" s="7"/>
      <c r="P19" s="7">
        <f>IF($W$6=FALSE,0,IF(C19=FALSE,0,200))</f>
        <v>200</v>
      </c>
      <c r="Q19" s="7"/>
      <c r="R19" s="7"/>
      <c r="S19" s="7"/>
      <c r="T19" s="7">
        <f t="shared" si="1"/>
        <v>1700</v>
      </c>
      <c r="U19" s="23">
        <f>T19*$N$5</f>
        <v>7819.9999999999991</v>
      </c>
      <c r="V19" s="23">
        <f t="shared" si="24"/>
        <v>23689.999999999996</v>
      </c>
      <c r="W19" s="7">
        <f>IF($W$7=FALSE,0,IF(E19="不申請",0,IF(E19="初稿案",90000,IF(E19="翻譯案",55000,IF(E19="同語言轉換案",20000,999999)))))</f>
        <v>20000</v>
      </c>
      <c r="X19" s="7">
        <f>IF($W$7=FALSE,0,IF(C19=FALSE,0,IF(E19="初稿案",IF($B$5&lt;7500,0,700*(ROUNDDOWN($B$5/100,0)-75)),IF(E19="翻譯案",IF($B$5&lt;7500,0,700*(ROUNDDOWN($B$5/100,0)-75)),IF(E19="同語言轉換案",0,0)))))</f>
        <v>0</v>
      </c>
      <c r="Y19" s="7">
        <f>IF($W$7=FALSE,0,IF(C19=FALSE,0,IF(E19="初稿案",IF($B$9&lt;11,0,1000*($B$9-10)),IF(E19="翻譯案",IF($B$9&lt;11,0,1000*($B$9-10)),IF(E19="同語言轉換案",0,0)))))</f>
        <v>0</v>
      </c>
      <c r="Z19" s="7"/>
      <c r="AA19" s="23">
        <f t="shared" si="2"/>
        <v>20000</v>
      </c>
      <c r="AB19" s="23">
        <f t="shared" si="3"/>
        <v>43690</v>
      </c>
      <c r="AC19" s="228" t="str">
        <f>$A$19</f>
        <v>大陸</v>
      </c>
      <c r="AD19" s="27">
        <f t="shared" si="4"/>
        <v>15869.999999999998</v>
      </c>
      <c r="AE19" s="27">
        <f t="shared" si="5"/>
        <v>7819.9999999999991</v>
      </c>
      <c r="AF19" s="27">
        <f t="shared" si="6"/>
        <v>20000</v>
      </c>
      <c r="AG19" s="228">
        <v>2</v>
      </c>
      <c r="AH19" s="266">
        <f>IF($D$17=AG19,MAX(AA19,AA20),0)</f>
        <v>0</v>
      </c>
      <c r="AI19" s="228" t="str">
        <f>$A$19</f>
        <v>大陸</v>
      </c>
      <c r="AJ19" s="11" t="str">
        <f t="shared" si="7"/>
        <v>發明</v>
      </c>
      <c r="AK19" s="3" t="str">
        <f t="shared" si="25"/>
        <v>CNY</v>
      </c>
      <c r="AL19" s="7">
        <f>IF($W$5=FALSE,0,IF(C19=FALSE,0,5+900))</f>
        <v>905</v>
      </c>
      <c r="AM19" s="7"/>
      <c r="AN19" s="7"/>
      <c r="AO19" s="7">
        <f t="shared" si="8"/>
        <v>905</v>
      </c>
      <c r="AP19" s="22">
        <f>AO19*$N$5</f>
        <v>4163</v>
      </c>
      <c r="AQ19" s="3" t="str">
        <f t="shared" si="26"/>
        <v>CNY</v>
      </c>
      <c r="AR19" s="7">
        <f>IF($W$6=FALSE,0,IF(C19=FALSE,0,200))</f>
        <v>200</v>
      </c>
      <c r="AS19" s="7"/>
      <c r="AT19" s="7"/>
      <c r="AU19" s="7">
        <f t="shared" si="9"/>
        <v>200</v>
      </c>
      <c r="AV19" s="22">
        <f>AU19*$N$5</f>
        <v>919.99999999999989</v>
      </c>
      <c r="AW19" s="22">
        <f t="shared" si="10"/>
        <v>5083</v>
      </c>
      <c r="AX19" s="7">
        <f t="shared" si="11"/>
        <v>0</v>
      </c>
      <c r="AY19" s="22">
        <f t="shared" si="27"/>
        <v>0</v>
      </c>
      <c r="AZ19" s="22">
        <f t="shared" si="12"/>
        <v>5083</v>
      </c>
      <c r="BA19" s="228" t="str">
        <f>$A$19</f>
        <v>大陸</v>
      </c>
      <c r="BB19" s="27">
        <f t="shared" si="28"/>
        <v>4163</v>
      </c>
      <c r="BC19" s="27">
        <f t="shared" si="29"/>
        <v>919.99999999999989</v>
      </c>
      <c r="BD19" s="27">
        <f t="shared" si="30"/>
        <v>0</v>
      </c>
      <c r="BF19" s="3" t="s">
        <v>101</v>
      </c>
      <c r="BG19" s="27">
        <f t="shared" si="31"/>
        <v>43690</v>
      </c>
      <c r="BH19" s="27">
        <f t="shared" si="13"/>
        <v>30520</v>
      </c>
      <c r="BI19" s="27">
        <f t="shared" si="14"/>
        <v>5083</v>
      </c>
      <c r="BJ19" s="92">
        <f t="shared" si="15"/>
        <v>448920</v>
      </c>
      <c r="BK19" s="93">
        <f t="shared" si="16"/>
        <v>74210</v>
      </c>
      <c r="BL19" s="96">
        <f t="shared" si="32"/>
        <v>48773</v>
      </c>
      <c r="BM19" s="96">
        <f t="shared" si="33"/>
        <v>79293</v>
      </c>
      <c r="BN19" s="93">
        <f t="shared" si="34"/>
        <v>454003</v>
      </c>
      <c r="BO19" s="93">
        <f t="shared" si="17"/>
        <v>528213</v>
      </c>
      <c r="BQ19" s="27">
        <f t="shared" si="18"/>
        <v>43690</v>
      </c>
      <c r="BR19" s="27">
        <f t="shared" si="19"/>
        <v>5083</v>
      </c>
      <c r="BT19" s="27">
        <f t="shared" si="20"/>
        <v>15869.999999999998</v>
      </c>
      <c r="BU19" s="27">
        <f t="shared" si="21"/>
        <v>7819.9999999999991</v>
      </c>
      <c r="BV19" s="27">
        <f t="shared" si="22"/>
        <v>20000</v>
      </c>
      <c r="BW19" s="27">
        <f t="shared" si="23"/>
        <v>484523</v>
      </c>
    </row>
    <row r="20" spans="1:75" x14ac:dyDescent="0.25">
      <c r="A20" s="216"/>
      <c r="B20" s="98" t="s">
        <v>312</v>
      </c>
      <c r="C20" s="11" t="b">
        <v>0</v>
      </c>
      <c r="D20" s="269"/>
      <c r="E20" s="148" t="str">
        <f>IF(C20=FALSE,"不申請",IF(C19=TRUE,"同語言轉換案",IF($D$17=2,"初稿案",IF(AND($D$17=1,OR(C17=TRUE,C18=TRUE)),"同語言轉換案",IF(OR(D17=3,D17=4,D17=5,D17=6,D17=7),"翻譯案","異常")))))</f>
        <v>不申請</v>
      </c>
      <c r="F20" s="3" t="s">
        <v>15</v>
      </c>
      <c r="G20" s="7">
        <f>IF($W$5=FALSE,0,IF(C20=FALSE,0,500))</f>
        <v>0</v>
      </c>
      <c r="H20" s="7">
        <f>IF($W$5=FALSE,0,IF(C20=FALSE,0,0))</f>
        <v>0</v>
      </c>
      <c r="I20" s="7">
        <f>IF($W$5=FALSE,0,IF(C20=FALSE,0,IF($B$7&lt;11,0,150*($B$7-10))))</f>
        <v>0</v>
      </c>
      <c r="J20" s="7"/>
      <c r="K20" s="7">
        <f t="shared" si="0"/>
        <v>0</v>
      </c>
      <c r="L20" s="23">
        <f>K20*$N$5</f>
        <v>0</v>
      </c>
      <c r="M20" s="3" t="s">
        <v>15</v>
      </c>
      <c r="N20" s="7">
        <f>IF($W$6=FALSE,0,IF(C20=FALSE,0,1200))</f>
        <v>0</v>
      </c>
      <c r="O20" s="7"/>
      <c r="P20" s="7">
        <f>IF($W$6=FALSE,0,IF(C20=FALSE,0,0))</f>
        <v>0</v>
      </c>
      <c r="Q20" s="7"/>
      <c r="R20" s="7"/>
      <c r="S20" s="7"/>
      <c r="T20" s="7">
        <f t="shared" si="1"/>
        <v>0</v>
      </c>
      <c r="U20" s="23">
        <f>T20*$N$5</f>
        <v>0</v>
      </c>
      <c r="V20" s="23">
        <f t="shared" si="24"/>
        <v>0</v>
      </c>
      <c r="W20" s="7">
        <f>IF($W$7=FALSE,0,IF(E20="不申請",0,IF(E20="初稿案",90000,IF(E20="翻譯案",5500,IF(E20="同語言轉換案",20000,999999)))))</f>
        <v>0</v>
      </c>
      <c r="X20" s="7">
        <f>IF($W$7=FALSE,0,IF(C20=FALSE,0,IF(E20="初稿案",IF($B$5&lt;7500,0,700*(ROUNDDOWN($B$5/100,0)-75)),IF(E20="翻譯案",IF($B$5&lt;7500,0,700*(ROUNDDOWN($B$5/100,0)-75)),IF(E20="同語言轉換案",0,0)))))</f>
        <v>0</v>
      </c>
      <c r="Y20" s="7">
        <f>IF($W$7=FALSE,0,IF(C20=FALSE,0,IF(E20="初稿案",IF($B$9&lt;11,0,1000*($B$9-10)),IF(E20="翻譯案",IF($B$9&lt;11,0,1000*($B$9-10)),IF(E20="同語言轉換案",0,0)))))</f>
        <v>0</v>
      </c>
      <c r="Z20" s="7"/>
      <c r="AA20" s="23">
        <f t="shared" si="2"/>
        <v>0</v>
      </c>
      <c r="AB20" s="23">
        <f t="shared" si="3"/>
        <v>0</v>
      </c>
      <c r="AC20" s="216"/>
      <c r="AD20" s="27">
        <f t="shared" si="4"/>
        <v>0</v>
      </c>
      <c r="AE20" s="27">
        <f t="shared" si="5"/>
        <v>0</v>
      </c>
      <c r="AF20" s="27">
        <f t="shared" si="6"/>
        <v>0</v>
      </c>
      <c r="AG20" s="216"/>
      <c r="AH20" s="267"/>
      <c r="AI20" s="216"/>
      <c r="AJ20" s="11" t="str">
        <f t="shared" si="7"/>
        <v>新型</v>
      </c>
      <c r="AK20" s="3" t="str">
        <f t="shared" si="25"/>
        <v>CNY</v>
      </c>
      <c r="AL20" s="7">
        <f>IF($W$5=FALSE,0,IF(C20=FALSE,0,5+600))</f>
        <v>0</v>
      </c>
      <c r="AM20" s="7"/>
      <c r="AN20" s="7"/>
      <c r="AO20" s="7">
        <f t="shared" si="8"/>
        <v>0</v>
      </c>
      <c r="AP20" s="22">
        <f>AO20*$N$5</f>
        <v>0</v>
      </c>
      <c r="AQ20" s="3" t="str">
        <f t="shared" si="26"/>
        <v>CNY</v>
      </c>
      <c r="AR20" s="7">
        <f>IF($W$6=FALSE,0,IF(C20=FALSE,0,200))</f>
        <v>0</v>
      </c>
      <c r="AS20" s="7"/>
      <c r="AT20" s="7"/>
      <c r="AU20" s="7">
        <f t="shared" si="9"/>
        <v>0</v>
      </c>
      <c r="AV20" s="22">
        <f>AU20*$N$5</f>
        <v>0</v>
      </c>
      <c r="AW20" s="22">
        <f t="shared" si="10"/>
        <v>0</v>
      </c>
      <c r="AX20" s="7">
        <f t="shared" si="11"/>
        <v>0</v>
      </c>
      <c r="AY20" s="22">
        <f t="shared" si="27"/>
        <v>0</v>
      </c>
      <c r="AZ20" s="22">
        <f t="shared" si="12"/>
        <v>0</v>
      </c>
      <c r="BA20" s="216"/>
      <c r="BB20" s="27">
        <f t="shared" si="28"/>
        <v>0</v>
      </c>
      <c r="BC20" s="27">
        <f t="shared" si="29"/>
        <v>0</v>
      </c>
      <c r="BD20" s="27">
        <f t="shared" si="30"/>
        <v>0</v>
      </c>
      <c r="BF20" s="3" t="s">
        <v>102</v>
      </c>
      <c r="BG20" s="27">
        <f t="shared" si="31"/>
        <v>0</v>
      </c>
      <c r="BH20" s="27">
        <f t="shared" si="13"/>
        <v>0</v>
      </c>
      <c r="BI20" s="27">
        <f t="shared" si="14"/>
        <v>0</v>
      </c>
      <c r="BJ20" s="92">
        <f t="shared" si="15"/>
        <v>0</v>
      </c>
      <c r="BK20" s="93">
        <f t="shared" si="16"/>
        <v>0</v>
      </c>
      <c r="BL20" s="96">
        <f t="shared" si="32"/>
        <v>0</v>
      </c>
      <c r="BM20" s="96">
        <f t="shared" si="33"/>
        <v>0</v>
      </c>
      <c r="BN20" s="93">
        <f t="shared" si="34"/>
        <v>0</v>
      </c>
      <c r="BO20" s="93">
        <f t="shared" si="17"/>
        <v>0</v>
      </c>
      <c r="BQ20" s="27">
        <f t="shared" si="18"/>
        <v>0</v>
      </c>
      <c r="BR20" s="27">
        <f t="shared" si="19"/>
        <v>0</v>
      </c>
      <c r="BT20" s="27">
        <f t="shared" si="20"/>
        <v>0</v>
      </c>
      <c r="BU20" s="27">
        <f t="shared" si="21"/>
        <v>0</v>
      </c>
      <c r="BV20" s="27">
        <f t="shared" si="22"/>
        <v>0</v>
      </c>
      <c r="BW20" s="27">
        <f t="shared" si="23"/>
        <v>0</v>
      </c>
    </row>
    <row r="21" spans="1:75" x14ac:dyDescent="0.25">
      <c r="A21" s="3" t="s">
        <v>4</v>
      </c>
      <c r="B21" s="98" t="s">
        <v>311</v>
      </c>
      <c r="C21" s="11" t="b">
        <v>1</v>
      </c>
      <c r="D21" s="269"/>
      <c r="E21" s="148" t="str">
        <f>IF(C21=FALSE,"不申請",IF($D$17=3,"初稿案",IF(OR(AND(D17=4,C28=TRUE),AND(D17=5,C31=TRUE),AND(D17=6,OR(C29=TRUE,C30=TRUE)),AND(D17=7,C27=TRUE)),"同語言轉換案",IF(OR(AND(D17=1,OR(C17=TRUE,C18=TRUE)),AND(D17=2,OR(C19=TRUE,C20=TRUE))),"翻譯案","異常"))))</f>
        <v>翻譯案</v>
      </c>
      <c r="F21" s="3" t="s">
        <v>16</v>
      </c>
      <c r="G21" s="7">
        <f>IF($W$5=FALSE,0,IF(C21=FALSE,0,IF($B$10="500人以上",2000,730)))</f>
        <v>730</v>
      </c>
      <c r="H21" s="7"/>
      <c r="I21" s="7">
        <f>IF($W$5=FALSE,0,IF(C21=FALSE,0,IF($B$7&lt;21,0,IF($B$10="500人以上",200*($B$7-20),80*($B$7-20)))))</f>
        <v>0</v>
      </c>
      <c r="J21" s="7">
        <f>IF($W$5=FALSE,0,IF(C21=FALSE,0,IF($B$8&lt;4,0,IF($B$10="500人以上",600*($B$8-3),240*($B$8-3)))))</f>
        <v>0</v>
      </c>
      <c r="K21" s="7">
        <f t="shared" si="0"/>
        <v>730</v>
      </c>
      <c r="L21" s="23">
        <f>K21*$L$5</f>
        <v>24236.000000000004</v>
      </c>
      <c r="M21" s="3" t="s">
        <v>16</v>
      </c>
      <c r="N21" s="7">
        <f>IF($W$6=FALSE,0,IF(C21=FALSE,0,550+100))</f>
        <v>650</v>
      </c>
      <c r="O21" s="7"/>
      <c r="P21" s="7"/>
      <c r="Q21" s="7"/>
      <c r="R21" s="7"/>
      <c r="S21" s="7"/>
      <c r="T21" s="7">
        <f t="shared" si="1"/>
        <v>650</v>
      </c>
      <c r="U21" s="23">
        <f>T21*$L$5</f>
        <v>21580.000000000004</v>
      </c>
      <c r="V21" s="23">
        <f t="shared" si="24"/>
        <v>45816.000000000007</v>
      </c>
      <c r="W21" s="7">
        <f>IF($W$7=FALSE,0,IF(E21="不申請",0,IF(E21="初稿案",95000,IF(E21="翻譯案",60000,IF(E21="同語言轉換案",30000,999999)))))</f>
        <v>60000</v>
      </c>
      <c r="X21" s="7">
        <f>IF($W$7=FALSE,0,IF(E21="不申請",0,IF(E21="初稿案",IF($B$6&lt;5000,0,1000*(ROUNDDOWN($B$6/100,0)-50)),IF(E21="翻譯案",IF($B$6&lt;5000,0,1000*(ROUNDDOWN($B$6/100,0)-50)),IF(E21="同語言轉換案",0,0)))))</f>
        <v>0</v>
      </c>
      <c r="Y21" s="7">
        <f>IF($W$7=FALSE,0,IF(E21="不申請",0,IF(E21="初稿案",IF($B$9&lt;11,0,1000*($B$9-10)),IF(E21="翻譯案",IF($B$9&lt;11,0,1000*($B$9-10)),IF(E21="同語言轉換案",0,0)))))</f>
        <v>0</v>
      </c>
      <c r="Z21" s="7"/>
      <c r="AA21" s="23">
        <f t="shared" si="2"/>
        <v>60000</v>
      </c>
      <c r="AB21" s="23">
        <f t="shared" si="3"/>
        <v>105816</v>
      </c>
      <c r="AC21" s="14" t="str">
        <f>$A$21</f>
        <v>美國</v>
      </c>
      <c r="AD21" s="27">
        <f t="shared" si="4"/>
        <v>24236.000000000004</v>
      </c>
      <c r="AE21" s="27">
        <f t="shared" si="5"/>
        <v>21580.000000000004</v>
      </c>
      <c r="AF21" s="27">
        <f t="shared" si="6"/>
        <v>60000</v>
      </c>
      <c r="AG21" s="14">
        <v>3</v>
      </c>
      <c r="AH21" s="147">
        <f>IF($D$17=AG21,AA21,0)</f>
        <v>0</v>
      </c>
      <c r="AI21" s="14" t="str">
        <f>$A$21</f>
        <v>美國</v>
      </c>
      <c r="AJ21" s="11" t="str">
        <f t="shared" si="7"/>
        <v>發明</v>
      </c>
      <c r="AK21" s="3" t="str">
        <f t="shared" si="25"/>
        <v>USD</v>
      </c>
      <c r="AL21" s="7">
        <f>IF($W$5=FALSE,0,IF(C21=FALSE,0,IF($B$10="500人以上",1290,516)))</f>
        <v>516</v>
      </c>
      <c r="AM21" s="7"/>
      <c r="AN21" s="7"/>
      <c r="AO21" s="7">
        <f t="shared" si="8"/>
        <v>516</v>
      </c>
      <c r="AP21" s="22">
        <f>AO21*$L$5</f>
        <v>17131.2</v>
      </c>
      <c r="AQ21" s="3" t="str">
        <f t="shared" si="26"/>
        <v>USD</v>
      </c>
      <c r="AR21" s="7">
        <f>IF($W$6=FALSE,0,IF(C21=FALSE,0,350))</f>
        <v>350</v>
      </c>
      <c r="AS21" s="7"/>
      <c r="AT21" s="7"/>
      <c r="AU21" s="7">
        <f t="shared" si="9"/>
        <v>350</v>
      </c>
      <c r="AV21" s="22">
        <f>AU21*$L$5</f>
        <v>11620.000000000002</v>
      </c>
      <c r="AW21" s="22">
        <f t="shared" si="10"/>
        <v>28751.200000000004</v>
      </c>
      <c r="AX21" s="7">
        <f t="shared" si="11"/>
        <v>0</v>
      </c>
      <c r="AY21" s="22">
        <f t="shared" si="27"/>
        <v>0</v>
      </c>
      <c r="AZ21" s="22">
        <f t="shared" si="12"/>
        <v>28751.200000000004</v>
      </c>
      <c r="BA21" s="14" t="str">
        <f>$A$21</f>
        <v>美國</v>
      </c>
      <c r="BB21" s="27">
        <f t="shared" si="28"/>
        <v>17131.2</v>
      </c>
      <c r="BC21" s="27">
        <f t="shared" si="29"/>
        <v>11620.000000000002</v>
      </c>
      <c r="BD21" s="27">
        <f t="shared" si="30"/>
        <v>0</v>
      </c>
      <c r="BF21" s="3" t="str">
        <f>A21</f>
        <v>美國</v>
      </c>
      <c r="BG21" s="27">
        <f t="shared" si="31"/>
        <v>105816</v>
      </c>
      <c r="BH21" s="27">
        <f t="shared" si="13"/>
        <v>83824</v>
      </c>
      <c r="BI21" s="27">
        <f t="shared" si="14"/>
        <v>28751.200000000004</v>
      </c>
      <c r="BJ21" s="92">
        <f t="shared" si="15"/>
        <v>219711.2</v>
      </c>
      <c r="BK21" s="93">
        <f t="shared" si="16"/>
        <v>189640</v>
      </c>
      <c r="BL21" s="96">
        <f t="shared" si="32"/>
        <v>134567.20000000001</v>
      </c>
      <c r="BM21" s="96">
        <f t="shared" si="33"/>
        <v>218391.2</v>
      </c>
      <c r="BN21" s="93">
        <f t="shared" si="34"/>
        <v>248462.40000000002</v>
      </c>
      <c r="BO21" s="93">
        <f t="shared" si="17"/>
        <v>438102.4</v>
      </c>
      <c r="BQ21" s="27">
        <f t="shared" si="18"/>
        <v>105816</v>
      </c>
      <c r="BR21" s="27">
        <f t="shared" si="19"/>
        <v>28751.200000000004</v>
      </c>
      <c r="BT21" s="27">
        <f t="shared" si="20"/>
        <v>24236.000000000004</v>
      </c>
      <c r="BU21" s="27">
        <f t="shared" si="21"/>
        <v>21580.000000000004</v>
      </c>
      <c r="BV21" s="27">
        <f t="shared" si="22"/>
        <v>60000</v>
      </c>
      <c r="BW21" s="27">
        <f t="shared" si="23"/>
        <v>332286.40000000002</v>
      </c>
    </row>
    <row r="22" spans="1:75" x14ac:dyDescent="0.25">
      <c r="A22" s="3" t="s">
        <v>5</v>
      </c>
      <c r="B22" s="98" t="s">
        <v>311</v>
      </c>
      <c r="C22" s="11" t="b">
        <v>1</v>
      </c>
      <c r="D22" s="269"/>
      <c r="E22" s="148" t="str">
        <f>IF(C22=FALSE,"不申請",IF(OR(AND(D17=3,C21=TRUE),AND(D17=4,C27=TRUE),AND(D17=5,C28=TRUE),AND(D17=6,OR(C29=TRUE,C30=TRUE)),AND(D17=7,C31=TRUE)),"同語言轉換案",IF(OR(C21=TRUE,C27=TRUE,C28=TRUE,C29=TRUE,C30=TRUE,C31=TRUE),"同語言轉換案",IF(OR(AND(D17=1,OR(C17=TRUE,C18=TRUE)),AND(D17=2,OR(C19=TRUE,C20=TRUE))),"翻譯案","異常"))))</f>
        <v>同語言轉換案</v>
      </c>
      <c r="F22" s="3" t="s">
        <v>17</v>
      </c>
      <c r="G22" s="7">
        <f>IF($W$5=FALSE,0,IF(C22=FALSE,0,1655))</f>
        <v>1655</v>
      </c>
      <c r="H22" s="27">
        <f>IF($W$5=FALSE,0,IF(C22=FALSE,0,0))</f>
        <v>0</v>
      </c>
      <c r="I22" s="7">
        <f>IF($W$5=FALSE,0,IF(C22=FALSE,0,IF($B$7&lt;15,0,IF($B$7&lt;51,275*($B$7-15),275*35+660*($B$7-50)))))</f>
        <v>0</v>
      </c>
      <c r="J22" s="7"/>
      <c r="K22" s="7">
        <f t="shared" si="0"/>
        <v>1655</v>
      </c>
      <c r="L22" s="23">
        <f>K22*$L$6</f>
        <v>57263</v>
      </c>
      <c r="M22" s="3" t="s">
        <v>17</v>
      </c>
      <c r="N22" s="7">
        <f>IF($W$6=FALSE,0,IF(C22=FALSE,0,460))</f>
        <v>460</v>
      </c>
      <c r="O22" s="7"/>
      <c r="P22" s="27">
        <f>IF($W$6=FALSE,0,IF(C22=FALSE,0,0))</f>
        <v>0</v>
      </c>
      <c r="Q22" s="7"/>
      <c r="R22" s="7"/>
      <c r="S22" s="7"/>
      <c r="T22" s="7">
        <f t="shared" si="1"/>
        <v>460</v>
      </c>
      <c r="U22" s="23">
        <f>T22*$L$6</f>
        <v>15916</v>
      </c>
      <c r="V22" s="23">
        <f t="shared" si="24"/>
        <v>73179</v>
      </c>
      <c r="W22" s="7">
        <f>IF($W$7=FALSE,0,IF(E22="不申請",0,IF(E22="初稿案",95000,IF(E22="翻譯案",75000,IF(E22="同語言轉換案",40000,999999)))))</f>
        <v>40000</v>
      </c>
      <c r="X22" s="7">
        <f>IF($W$7=FALSE,0,IF(E22="不申請",0,IF(E22="初稿案",IF($B$6&lt;5000,0,1000*(ROUNDDOWN($B$6/100,0)-50)),IF(E22="翻譯案",IF($B$6&lt;5000,0,1000*(ROUNDDOWN($B$6/100,0)-50)),IF(E22="同語言轉換案",0,0)))))</f>
        <v>0</v>
      </c>
      <c r="Y22" s="7">
        <f>IF($W$7=FALSE,0,IF(E22="不申請",0,IF(E22="初稿案",IF($B$9&lt;11,0,1000*($B$9-10)),IF(E22="翻譯案",IF($B$9&lt;11,0,1000*($B$9-10)),IF(E22="同語言轉換案",0,0)))))</f>
        <v>0</v>
      </c>
      <c r="Z22" s="7"/>
      <c r="AA22" s="23">
        <f t="shared" si="2"/>
        <v>40000</v>
      </c>
      <c r="AB22" s="23">
        <f t="shared" si="3"/>
        <v>113179</v>
      </c>
      <c r="AC22" s="14" t="str">
        <f>$A$22</f>
        <v>歐洲</v>
      </c>
      <c r="AD22" s="27">
        <f t="shared" si="4"/>
        <v>57263</v>
      </c>
      <c r="AE22" s="27">
        <f t="shared" si="5"/>
        <v>15916</v>
      </c>
      <c r="AF22" s="27">
        <f t="shared" si="6"/>
        <v>40000</v>
      </c>
      <c r="AG22" s="14"/>
      <c r="AH22" s="147"/>
      <c r="AI22" s="14" t="str">
        <f>$A$22</f>
        <v>歐洲</v>
      </c>
      <c r="AJ22" s="11" t="str">
        <f t="shared" si="7"/>
        <v>發明</v>
      </c>
      <c r="AK22" s="3" t="str">
        <f t="shared" si="25"/>
        <v>EUR</v>
      </c>
      <c r="AL22" s="10">
        <f>IF($W$5=FALSE,0,IF(C22=FALSE,0,1080))</f>
        <v>1080</v>
      </c>
      <c r="AM22" s="7"/>
      <c r="AN22" s="7"/>
      <c r="AO22" s="7">
        <f t="shared" si="8"/>
        <v>1080</v>
      </c>
      <c r="AP22" s="22">
        <f>AO22*$L$6</f>
        <v>37368</v>
      </c>
      <c r="AQ22" s="3" t="str">
        <f t="shared" si="26"/>
        <v>EUR</v>
      </c>
      <c r="AR22" s="10">
        <f>IF($W$6=FALSE,0,IF(C22=FALSE,0,530+100+100+100+1000))</f>
        <v>1830</v>
      </c>
      <c r="AS22" s="7"/>
      <c r="AT22" s="7"/>
      <c r="AU22" s="7">
        <f t="shared" si="9"/>
        <v>1830</v>
      </c>
      <c r="AV22" s="22">
        <f>AU22*$L$6</f>
        <v>63318</v>
      </c>
      <c r="AW22" s="22">
        <f t="shared" si="10"/>
        <v>100686</v>
      </c>
      <c r="AX22" s="10">
        <f>IF($W$7=FALSE,0,IF(C22=FALSE,0,10000+3*5000))</f>
        <v>25000</v>
      </c>
      <c r="AY22" s="22">
        <f t="shared" si="27"/>
        <v>25000</v>
      </c>
      <c r="AZ22" s="22">
        <f t="shared" si="12"/>
        <v>125686</v>
      </c>
      <c r="BA22" s="14" t="str">
        <f>$A$22</f>
        <v>歐洲</v>
      </c>
      <c r="BB22" s="27">
        <f t="shared" si="28"/>
        <v>37368</v>
      </c>
      <c r="BC22" s="27">
        <f t="shared" si="29"/>
        <v>63318</v>
      </c>
      <c r="BD22" s="27">
        <f t="shared" si="30"/>
        <v>25000</v>
      </c>
      <c r="BF22" s="3" t="str">
        <f>A22</f>
        <v>歐洲</v>
      </c>
      <c r="BG22" s="27">
        <f t="shared" si="31"/>
        <v>113179</v>
      </c>
      <c r="BH22" s="27">
        <f t="shared" si="13"/>
        <v>195008</v>
      </c>
      <c r="BI22" s="27">
        <f t="shared" si="14"/>
        <v>125686</v>
      </c>
      <c r="BJ22" s="92">
        <f t="shared" si="15"/>
        <v>1523960.1080000002</v>
      </c>
      <c r="BK22" s="93">
        <f t="shared" si="16"/>
        <v>308187</v>
      </c>
      <c r="BL22" s="96">
        <f t="shared" si="32"/>
        <v>238865</v>
      </c>
      <c r="BM22" s="96">
        <f t="shared" si="33"/>
        <v>433873</v>
      </c>
      <c r="BN22" s="93">
        <f t="shared" si="34"/>
        <v>1649646.1080000002</v>
      </c>
      <c r="BO22" s="93">
        <f t="shared" si="17"/>
        <v>1957833.1080000002</v>
      </c>
      <c r="BQ22" s="27">
        <f t="shared" si="18"/>
        <v>113179</v>
      </c>
      <c r="BR22" s="27">
        <f t="shared" si="19"/>
        <v>125686</v>
      </c>
      <c r="BT22" s="27">
        <f t="shared" si="20"/>
        <v>57263</v>
      </c>
      <c r="BU22" s="27">
        <f t="shared" si="21"/>
        <v>15916</v>
      </c>
      <c r="BV22" s="27">
        <f t="shared" si="22"/>
        <v>40000</v>
      </c>
      <c r="BW22" s="27">
        <f t="shared" si="23"/>
        <v>1844654.1080000002</v>
      </c>
    </row>
    <row r="23" spans="1:75" x14ac:dyDescent="0.25">
      <c r="A23" s="215" t="s">
        <v>6</v>
      </c>
      <c r="B23" s="98" t="s">
        <v>311</v>
      </c>
      <c r="C23" s="11" t="b">
        <v>1</v>
      </c>
      <c r="D23" s="269"/>
      <c r="E23" s="148" t="str">
        <f>IF(C23=FALSE,"不申請",IF(OR(C17=TRUE,C18=TRUE,C19=TRUE,C20=TRUE,C21=TRUE,C22=TRUE,C28=TRUE,C31=TRUE,C29=TRUE,C30=TRUE,C27=TRUE),"翻譯案","異常"))</f>
        <v>翻譯案</v>
      </c>
      <c r="F23" s="3" t="s">
        <v>18</v>
      </c>
      <c r="G23" s="7">
        <f>IF($W$5=FALSE,0,IF(C23=FALSE,0,14000))</f>
        <v>14000</v>
      </c>
      <c r="H23" s="7">
        <f>IF($W$5=FALSE,0,IF(C23=FALSE,0,138000))</f>
        <v>138000</v>
      </c>
      <c r="I23" s="7">
        <f>IF($W$5=FALSE,0,IF(C23=FALSE,0,4000*$B$7))</f>
        <v>40000</v>
      </c>
      <c r="J23" s="7"/>
      <c r="K23" s="7">
        <f t="shared" si="0"/>
        <v>192000</v>
      </c>
      <c r="L23" s="23">
        <f>K23*$L$7</f>
        <v>42240</v>
      </c>
      <c r="M23" s="3" t="s">
        <v>18</v>
      </c>
      <c r="N23" s="7">
        <f>IF($W$6=FALSE,0,IF(C23=FALSE,0,120000+8500))</f>
        <v>128500</v>
      </c>
      <c r="O23" s="10">
        <f>IF($W$6=FALSE,0,IF(C23=FALSE,0,IF(OR(C21=TRUE,C22=TRUE,C28=TRUE,C31=TRUE,C29=TRUE,C30=TRUE,C27=TRUE),$B$6*32,IF(OR(C17=TRUE,C18=TRUE,C19=TRUE,C20=TRUE),$B$5*14,"欠缺英文案及中文案"))))</f>
        <v>160000</v>
      </c>
      <c r="P23" s="7">
        <f>IF($W$6=FALSE,0,IF(C23=FALSE,0,14000))</f>
        <v>14000</v>
      </c>
      <c r="Q23" s="7"/>
      <c r="R23" s="7"/>
      <c r="S23" s="7">
        <f>IF($W$6=FALSE,0,IF(C23=FALSE,0,200*$B$9))</f>
        <v>2000</v>
      </c>
      <c r="T23" s="7">
        <f t="shared" si="1"/>
        <v>304500</v>
      </c>
      <c r="U23" s="23">
        <f>T23*$L$7</f>
        <v>66990</v>
      </c>
      <c r="V23" s="23">
        <f t="shared" si="24"/>
        <v>109230</v>
      </c>
      <c r="W23" s="10">
        <f>IF($W$7=FALSE,0,IF(E23="不申請",0,IF(E23="初稿案",30000,IF(E23="翻譯案",30000,IF(E23="同語言轉換案",30000,999999)))))</f>
        <v>30000</v>
      </c>
      <c r="X23" s="10"/>
      <c r="Y23" s="10"/>
      <c r="Z23" s="7"/>
      <c r="AA23" s="23">
        <f t="shared" si="2"/>
        <v>30000</v>
      </c>
      <c r="AB23" s="23">
        <f t="shared" si="3"/>
        <v>139230</v>
      </c>
      <c r="AC23" s="228" t="str">
        <f>$A$23</f>
        <v>日本</v>
      </c>
      <c r="AD23" s="27">
        <f t="shared" si="4"/>
        <v>42240</v>
      </c>
      <c r="AE23" s="27">
        <f t="shared" si="5"/>
        <v>66990</v>
      </c>
      <c r="AF23" s="27">
        <f t="shared" si="6"/>
        <v>30000</v>
      </c>
      <c r="AG23" s="228"/>
      <c r="AH23" s="266"/>
      <c r="AI23" s="228" t="str">
        <f>$A$23</f>
        <v>日本</v>
      </c>
      <c r="AJ23" s="11" t="str">
        <f t="shared" si="7"/>
        <v>發明</v>
      </c>
      <c r="AK23" s="3" t="str">
        <f t="shared" si="25"/>
        <v>JPY</v>
      </c>
      <c r="AL23" s="7">
        <f>IF($W$5=FALSE,0,IF(C23=FALSE,0,4300*3))</f>
        <v>12900</v>
      </c>
      <c r="AM23" s="7">
        <f>IF($W$5=FALSE,0,IF(C23=FALSE,0,300*$B$7*3))</f>
        <v>9000</v>
      </c>
      <c r="AN23" s="7"/>
      <c r="AO23" s="7">
        <f t="shared" si="8"/>
        <v>21900</v>
      </c>
      <c r="AP23" s="22">
        <f>AO23*$L$7</f>
        <v>4818</v>
      </c>
      <c r="AQ23" s="3" t="str">
        <f t="shared" si="26"/>
        <v>JPY</v>
      </c>
      <c r="AR23" s="7">
        <f>IF($W$6=FALSE,0,IF(C23=FALSE,0,25000))</f>
        <v>25000</v>
      </c>
      <c r="AS23" s="7"/>
      <c r="AT23" s="7"/>
      <c r="AU23" s="7">
        <f t="shared" si="9"/>
        <v>25000</v>
      </c>
      <c r="AV23" s="22">
        <f>AU23*$L$7</f>
        <v>5500</v>
      </c>
      <c r="AW23" s="22">
        <f t="shared" si="10"/>
        <v>10318</v>
      </c>
      <c r="AX23" s="7">
        <f t="shared" si="11"/>
        <v>0</v>
      </c>
      <c r="AY23" s="22">
        <f t="shared" si="27"/>
        <v>0</v>
      </c>
      <c r="AZ23" s="22">
        <f t="shared" si="12"/>
        <v>10318</v>
      </c>
      <c r="BA23" s="228" t="str">
        <f>$A$23</f>
        <v>日本</v>
      </c>
      <c r="BB23" s="27">
        <f t="shared" si="28"/>
        <v>4818</v>
      </c>
      <c r="BC23" s="27">
        <f t="shared" si="29"/>
        <v>5500</v>
      </c>
      <c r="BD23" s="27">
        <f t="shared" si="30"/>
        <v>0</v>
      </c>
      <c r="BF23" s="3" t="s">
        <v>103</v>
      </c>
      <c r="BG23" s="27">
        <f t="shared" si="31"/>
        <v>139230</v>
      </c>
      <c r="BH23" s="27">
        <f t="shared" si="13"/>
        <v>87300</v>
      </c>
      <c r="BI23" s="27">
        <f t="shared" si="14"/>
        <v>10318</v>
      </c>
      <c r="BJ23" s="92">
        <f t="shared" si="15"/>
        <v>423954</v>
      </c>
      <c r="BK23" s="93">
        <f t="shared" si="16"/>
        <v>226530</v>
      </c>
      <c r="BL23" s="96">
        <f t="shared" si="32"/>
        <v>149548</v>
      </c>
      <c r="BM23" s="96">
        <f t="shared" si="33"/>
        <v>236848</v>
      </c>
      <c r="BN23" s="93">
        <f t="shared" si="34"/>
        <v>434272</v>
      </c>
      <c r="BO23" s="93">
        <f t="shared" si="17"/>
        <v>660802</v>
      </c>
      <c r="BQ23" s="27">
        <f t="shared" si="18"/>
        <v>139230</v>
      </c>
      <c r="BR23" s="27">
        <f t="shared" si="19"/>
        <v>10318</v>
      </c>
      <c r="BT23" s="27">
        <f t="shared" si="20"/>
        <v>42240</v>
      </c>
      <c r="BU23" s="27">
        <f t="shared" si="21"/>
        <v>66990</v>
      </c>
      <c r="BV23" s="27">
        <f t="shared" si="22"/>
        <v>30000</v>
      </c>
      <c r="BW23" s="27">
        <f t="shared" si="23"/>
        <v>521572</v>
      </c>
    </row>
    <row r="24" spans="1:75" x14ac:dyDescent="0.25">
      <c r="A24" s="216"/>
      <c r="B24" s="98" t="s">
        <v>312</v>
      </c>
      <c r="C24" s="11" t="b">
        <v>0</v>
      </c>
      <c r="D24" s="269"/>
      <c r="E24" s="148" t="str">
        <f>IF(C24=FALSE,"不申請",IF(OR(C17=TRUE,C18=TRUE,C19=TRUE,C20=TRUE,C21=TRUE,C22=TRUE,C28=TRUE,C31=TRUE,C29=TRUE,C30=TRUE,C27=TRUE),"翻譯案","異常"))</f>
        <v>不申請</v>
      </c>
      <c r="F24" s="3" t="s">
        <v>18</v>
      </c>
      <c r="G24" s="7">
        <f>IF($W$5=FALSE,0,IF(C24=FALSE,0,14000))</f>
        <v>0</v>
      </c>
      <c r="H24" s="7">
        <f>IF($W$5=FALSE,0,IF(C24=FALSE,0,0))</f>
        <v>0</v>
      </c>
      <c r="I24" s="7">
        <f>IF($W$5=FALSE,0,IF(C24=FALSE,0,0))</f>
        <v>0</v>
      </c>
      <c r="J24" s="7"/>
      <c r="K24" s="7">
        <f t="shared" si="0"/>
        <v>0</v>
      </c>
      <c r="L24" s="23">
        <f>K24*$L$7</f>
        <v>0</v>
      </c>
      <c r="M24" s="3" t="s">
        <v>18</v>
      </c>
      <c r="N24" s="7">
        <f>IF($W$6=FALSE,0,IF(C24=FALSE,0,130000+8500))</f>
        <v>0</v>
      </c>
      <c r="O24" s="10">
        <f>IF($W$6=FALSE,0,IF(C24=FALSE,0,IF(OR(C21=TRUE,C22=TRUE,C28=TRUE,C31=TRUE,C29=TRUE,C30=TRUE,C27=TRUE),$B$6*36,IF(OR(C17=TRUE,C18=TRUE,C19=TRUE,C20=TRUE),$B$5*26,"欠缺英文案及中文案"))))</f>
        <v>0</v>
      </c>
      <c r="P24" s="7">
        <f>IF($W$6=FALSE,0,IF(C24=FALSE,0,0))</f>
        <v>0</v>
      </c>
      <c r="Q24" s="7"/>
      <c r="R24" s="7"/>
      <c r="S24" s="7">
        <f>IF($W$6=FALSE,0,IF(C24=FALSE,0,200*$B$9))</f>
        <v>0</v>
      </c>
      <c r="T24" s="7">
        <f t="shared" si="1"/>
        <v>0</v>
      </c>
      <c r="U24" s="23">
        <f>T24*$L$7</f>
        <v>0</v>
      </c>
      <c r="V24" s="23">
        <f t="shared" si="24"/>
        <v>0</v>
      </c>
      <c r="W24" s="10">
        <f>IF($W$7=FALSE,0,IF(E24="不申請",0,IF(E24="初稿案",30000,IF(E24="翻譯案",30000,IF(E24="同語言轉換案",30000,999999)))))</f>
        <v>0</v>
      </c>
      <c r="X24" s="10"/>
      <c r="Y24" s="10"/>
      <c r="Z24" s="7"/>
      <c r="AA24" s="23">
        <f t="shared" si="2"/>
        <v>0</v>
      </c>
      <c r="AB24" s="23">
        <f t="shared" si="3"/>
        <v>0</v>
      </c>
      <c r="AC24" s="216"/>
      <c r="AD24" s="27">
        <f t="shared" si="4"/>
        <v>0</v>
      </c>
      <c r="AE24" s="27">
        <f t="shared" si="5"/>
        <v>0</v>
      </c>
      <c r="AF24" s="27">
        <f t="shared" si="6"/>
        <v>0</v>
      </c>
      <c r="AG24" s="216"/>
      <c r="AH24" s="267"/>
      <c r="AI24" s="216"/>
      <c r="AJ24" s="11" t="str">
        <f t="shared" si="7"/>
        <v>新型</v>
      </c>
      <c r="AK24" s="3" t="str">
        <f t="shared" si="25"/>
        <v>JPY</v>
      </c>
      <c r="AL24" s="7">
        <f>IF($W$5=FALSE,0,IF(C24=FALSE,0,6300*3))</f>
        <v>0</v>
      </c>
      <c r="AM24" s="7">
        <f>IF($W$5=FALSE,0,IF(C24=FALSE,0,300*$B$7*3))</f>
        <v>0</v>
      </c>
      <c r="AN24" s="7"/>
      <c r="AO24" s="7">
        <f t="shared" si="8"/>
        <v>0</v>
      </c>
      <c r="AP24" s="22">
        <f>AO24*$L$7</f>
        <v>0</v>
      </c>
      <c r="AQ24" s="3" t="str">
        <f t="shared" si="26"/>
        <v>JPY</v>
      </c>
      <c r="AR24" s="7">
        <f>IF($W$6=FALSE,0,IF(C24=FALSE,0,10000))</f>
        <v>0</v>
      </c>
      <c r="AS24" s="7"/>
      <c r="AT24" s="7"/>
      <c r="AU24" s="7">
        <f t="shared" si="9"/>
        <v>0</v>
      </c>
      <c r="AV24" s="22">
        <f>AU24*$L$7</f>
        <v>0</v>
      </c>
      <c r="AW24" s="22">
        <f t="shared" si="10"/>
        <v>0</v>
      </c>
      <c r="AX24" s="7">
        <f t="shared" si="11"/>
        <v>0</v>
      </c>
      <c r="AY24" s="22">
        <f t="shared" si="27"/>
        <v>0</v>
      </c>
      <c r="AZ24" s="22">
        <f t="shared" si="12"/>
        <v>0</v>
      </c>
      <c r="BA24" s="216"/>
      <c r="BB24" s="27">
        <f t="shared" si="28"/>
        <v>0</v>
      </c>
      <c r="BC24" s="27">
        <f t="shared" si="29"/>
        <v>0</v>
      </c>
      <c r="BD24" s="27">
        <f t="shared" si="30"/>
        <v>0</v>
      </c>
      <c r="BF24" s="3" t="s">
        <v>104</v>
      </c>
      <c r="BG24" s="27">
        <f t="shared" si="31"/>
        <v>0</v>
      </c>
      <c r="BH24" s="27">
        <f t="shared" si="13"/>
        <v>0</v>
      </c>
      <c r="BI24" s="27">
        <f t="shared" si="14"/>
        <v>0</v>
      </c>
      <c r="BJ24" s="92">
        <f t="shared" si="15"/>
        <v>0</v>
      </c>
      <c r="BK24" s="93">
        <f t="shared" si="16"/>
        <v>0</v>
      </c>
      <c r="BL24" s="96">
        <f t="shared" si="32"/>
        <v>0</v>
      </c>
      <c r="BM24" s="96">
        <f t="shared" si="33"/>
        <v>0</v>
      </c>
      <c r="BN24" s="93">
        <f t="shared" si="34"/>
        <v>0</v>
      </c>
      <c r="BO24" s="93">
        <f t="shared" si="17"/>
        <v>0</v>
      </c>
      <c r="BQ24" s="27">
        <f t="shared" si="18"/>
        <v>0</v>
      </c>
      <c r="BR24" s="27">
        <f t="shared" si="19"/>
        <v>0</v>
      </c>
      <c r="BT24" s="27">
        <f t="shared" si="20"/>
        <v>0</v>
      </c>
      <c r="BU24" s="27">
        <f t="shared" si="21"/>
        <v>0</v>
      </c>
      <c r="BV24" s="27">
        <f t="shared" si="22"/>
        <v>0</v>
      </c>
      <c r="BW24" s="27">
        <f t="shared" si="23"/>
        <v>0</v>
      </c>
    </row>
    <row r="25" spans="1:75" x14ac:dyDescent="0.25">
      <c r="A25" s="215" t="s">
        <v>7</v>
      </c>
      <c r="B25" s="98" t="s">
        <v>311</v>
      </c>
      <c r="C25" s="11" t="b">
        <v>1</v>
      </c>
      <c r="D25" s="269"/>
      <c r="E25" s="148" t="str">
        <f>IF(C25=FALSE,"不申請",IF(OR(C17=TRUE,C18=TRUE,C19=TRUE,C20=TRUE,C21=TRUE,C22=TRUE,C28=TRUE,C31=TRUE,C29=TRUE,C30=TRUE,C27=TRUE),"翻譯案","異常"))</f>
        <v>翻譯案</v>
      </c>
      <c r="F25" s="3" t="s">
        <v>19</v>
      </c>
      <c r="G25" s="7">
        <f>IF($W$5=FALSE,0,IF(C25=FALSE,0,46000))</f>
        <v>46000</v>
      </c>
      <c r="H25" s="7">
        <f>IF($W$5=FALSE,0,IF(C25=FALSE,0,166000))</f>
        <v>166000</v>
      </c>
      <c r="I25" s="7">
        <f>IF($W$5=FALSE,0,IF(C25=FALSE,0,51000*$B$7))</f>
        <v>510000</v>
      </c>
      <c r="J25" s="7"/>
      <c r="K25" s="7">
        <f t="shared" si="0"/>
        <v>722000</v>
      </c>
      <c r="L25" s="23">
        <f>K25*$L$8</f>
        <v>18772</v>
      </c>
      <c r="M25" s="3" t="s">
        <v>16</v>
      </c>
      <c r="N25" s="7">
        <f>IF($W$6=FALSE,0,IF(C25=FALSE,0,850))</f>
        <v>850</v>
      </c>
      <c r="O25" s="10">
        <f>IF($W$6=FALSE,0,IF(C25=FALSE,0,IF(OR(C21=TRUE,C22=TRUE,C28=TRUE,C31=TRUE,C29=TRUE,C30=TRUE,C27=TRUE),$B$6/100*26,IF(OR(C17=TRUE,C18=TRUE,C19=TRUE,C20=TRUE),$B$5/100*24,"欠缺英文案及中文案"))))</f>
        <v>1300</v>
      </c>
      <c r="P25" s="7">
        <f>IF($W$6=FALSE,0,IF(C25=FALSE,0,120))</f>
        <v>120</v>
      </c>
      <c r="Q25" s="7">
        <f>IF($W$6=FALSE,0,IF(C25=FALSE,0,24*$B$7))</f>
        <v>240</v>
      </c>
      <c r="R25" s="7"/>
      <c r="S25" s="7">
        <f>IF($W$6=FALSE,0,IF(C25=FALSE,0,20*$B$9))</f>
        <v>200</v>
      </c>
      <c r="T25" s="7">
        <f t="shared" si="1"/>
        <v>2710</v>
      </c>
      <c r="U25" s="23">
        <f>T25*$L$5</f>
        <v>89972.000000000015</v>
      </c>
      <c r="V25" s="23">
        <f t="shared" si="24"/>
        <v>108744.00000000001</v>
      </c>
      <c r="W25" s="10">
        <f>IF($W$7=FALSE,0,IF(E25="不申請",0,IF(E25="初稿案",30000,IF(E25="翻譯案",30000,IF(E25="同語言轉換案",30000,999999)))))</f>
        <v>30000</v>
      </c>
      <c r="X25" s="10"/>
      <c r="Y25" s="10"/>
      <c r="Z25" s="7"/>
      <c r="AA25" s="23">
        <f t="shared" si="2"/>
        <v>30000</v>
      </c>
      <c r="AB25" s="23">
        <f t="shared" si="3"/>
        <v>138744</v>
      </c>
      <c r="AC25" s="228" t="str">
        <f>$A$25</f>
        <v>韓國</v>
      </c>
      <c r="AD25" s="27">
        <f t="shared" si="4"/>
        <v>18772</v>
      </c>
      <c r="AE25" s="27">
        <f t="shared" si="5"/>
        <v>89972.000000000015</v>
      </c>
      <c r="AF25" s="27">
        <f t="shared" si="6"/>
        <v>30000</v>
      </c>
      <c r="AG25" s="228"/>
      <c r="AH25" s="266"/>
      <c r="AI25" s="228" t="str">
        <f>$A$25</f>
        <v>韓國</v>
      </c>
      <c r="AJ25" s="11" t="str">
        <f t="shared" si="7"/>
        <v>發明</v>
      </c>
      <c r="AK25" s="3" t="str">
        <f t="shared" si="25"/>
        <v>KRW</v>
      </c>
      <c r="AL25" s="7">
        <f>IF($W$5=FALSE,0,IF(C25=FALSE,0,39000))</f>
        <v>39000</v>
      </c>
      <c r="AM25" s="7">
        <f>IF($W$5=FALSE,0,IF(C25=FALSE,0,36000*$B$7))</f>
        <v>360000</v>
      </c>
      <c r="AN25" s="7"/>
      <c r="AO25" s="7">
        <f t="shared" si="8"/>
        <v>399000</v>
      </c>
      <c r="AP25" s="22">
        <f>AO25*$L$8</f>
        <v>10374</v>
      </c>
      <c r="AQ25" s="3" t="str">
        <f t="shared" si="26"/>
        <v>USD</v>
      </c>
      <c r="AR25" s="7">
        <f>IF($W$6=FALSE,0,IF(C25=FALSE,0,120+120))</f>
        <v>240</v>
      </c>
      <c r="AS25" s="7"/>
      <c r="AT25" s="7"/>
      <c r="AU25" s="7">
        <f t="shared" si="9"/>
        <v>240</v>
      </c>
      <c r="AV25" s="22">
        <f>AU25*$L$5</f>
        <v>7968.0000000000009</v>
      </c>
      <c r="AW25" s="22">
        <f t="shared" si="10"/>
        <v>18342</v>
      </c>
      <c r="AX25" s="7">
        <f t="shared" si="11"/>
        <v>0</v>
      </c>
      <c r="AY25" s="22">
        <f t="shared" si="27"/>
        <v>0</v>
      </c>
      <c r="AZ25" s="22">
        <f t="shared" si="12"/>
        <v>18342</v>
      </c>
      <c r="BA25" s="228" t="str">
        <f>$A$25</f>
        <v>韓國</v>
      </c>
      <c r="BB25" s="27">
        <f t="shared" si="28"/>
        <v>10374</v>
      </c>
      <c r="BC25" s="27">
        <f t="shared" si="29"/>
        <v>7968.0000000000009</v>
      </c>
      <c r="BD25" s="27">
        <f t="shared" si="30"/>
        <v>0</v>
      </c>
      <c r="BF25" s="3" t="s">
        <v>105</v>
      </c>
      <c r="BG25" s="27">
        <f t="shared" si="31"/>
        <v>138744</v>
      </c>
      <c r="BH25" s="27">
        <f t="shared" si="13"/>
        <v>106504</v>
      </c>
      <c r="BI25" s="27">
        <f t="shared" si="14"/>
        <v>18342</v>
      </c>
      <c r="BJ25" s="92">
        <f t="shared" si="15"/>
        <v>462256</v>
      </c>
      <c r="BK25" s="93">
        <f t="shared" si="16"/>
        <v>245248</v>
      </c>
      <c r="BL25" s="96">
        <f t="shared" si="32"/>
        <v>157086</v>
      </c>
      <c r="BM25" s="96">
        <f t="shared" si="33"/>
        <v>263590</v>
      </c>
      <c r="BN25" s="93">
        <f t="shared" si="34"/>
        <v>480598</v>
      </c>
      <c r="BO25" s="93">
        <f t="shared" si="17"/>
        <v>725846</v>
      </c>
      <c r="BQ25" s="27">
        <f t="shared" si="18"/>
        <v>138744</v>
      </c>
      <c r="BR25" s="27">
        <f t="shared" si="19"/>
        <v>18342</v>
      </c>
      <c r="BT25" s="27">
        <f t="shared" si="20"/>
        <v>18772</v>
      </c>
      <c r="BU25" s="27">
        <f t="shared" si="21"/>
        <v>89972.000000000015</v>
      </c>
      <c r="BV25" s="27">
        <f t="shared" si="22"/>
        <v>30000</v>
      </c>
      <c r="BW25" s="27">
        <f t="shared" si="23"/>
        <v>587102</v>
      </c>
    </row>
    <row r="26" spans="1:75" x14ac:dyDescent="0.25">
      <c r="A26" s="216"/>
      <c r="B26" s="98" t="s">
        <v>312</v>
      </c>
      <c r="C26" s="11" t="b">
        <v>0</v>
      </c>
      <c r="D26" s="269"/>
      <c r="E26" s="148" t="str">
        <f>IF(C26=FALSE,"不申請",IF(OR(C17=TRUE,C18=TRUE,C19=TRUE,C20=TRUE,C21=TRUE,C22=TRUE,C28=TRUE,C31=TRUE,C29=TRUE,C30=TRUE,C27=TRUE),"翻譯案","異常"))</f>
        <v>不申請</v>
      </c>
      <c r="F26" s="3" t="s">
        <v>19</v>
      </c>
      <c r="G26" s="7">
        <f>IF($W$5=FALSE,0,IF(C26=FALSE,0,20000))</f>
        <v>0</v>
      </c>
      <c r="H26" s="7">
        <f>IF($W$5=FALSE,0,IF(C26=FALSE,0,71000))</f>
        <v>0</v>
      </c>
      <c r="I26" s="7">
        <f>IF($W$5=FALSE,0,IF(C26=FALSE,0,19000*$B$7))</f>
        <v>0</v>
      </c>
      <c r="J26" s="7"/>
      <c r="K26" s="7">
        <f t="shared" si="0"/>
        <v>0</v>
      </c>
      <c r="L26" s="23">
        <f>K26*$L$8</f>
        <v>0</v>
      </c>
      <c r="M26" s="3" t="s">
        <v>16</v>
      </c>
      <c r="N26" s="7">
        <f>IF($W$6=FALSE,0,IF(C26=FALSE,0,820))</f>
        <v>0</v>
      </c>
      <c r="O26" s="10">
        <f>IF($W$6=FALSE,0,IF(C26=FALSE,0,IF(OR(C21=TRUE,C22=TRUE,C28=TRUE,C31=TRUE,C29=TRUE,C30=TRUE,C27=TRUE),$B$6/100*26,IF(OR(C17=TRUE,C18=TRUE,C19=TRUE,C20=TRUE),$B$5/100*24,"欠缺英文案及中文案"))))</f>
        <v>0</v>
      </c>
      <c r="P26" s="7">
        <f>IF($W$6=FALSE,0,IF(C26=FALSE,0,120))</f>
        <v>0</v>
      </c>
      <c r="Q26" s="7">
        <f>IF($W$6=FALSE,0,IF(C26=FALSE,0,24*$B$7))</f>
        <v>0</v>
      </c>
      <c r="R26" s="7"/>
      <c r="S26" s="7">
        <f>IF($W$6=FALSE,0,IF(C26=FALSE,0,20*$B$9))</f>
        <v>0</v>
      </c>
      <c r="T26" s="7">
        <f t="shared" si="1"/>
        <v>0</v>
      </c>
      <c r="U26" s="23">
        <f>T26*$L$5</f>
        <v>0</v>
      </c>
      <c r="V26" s="23">
        <f t="shared" si="24"/>
        <v>0</v>
      </c>
      <c r="W26" s="10">
        <f>IF($W$7=FALSE,0,IF(E26="不申請",0,IF(E26="初稿案",30000,IF(E26="翻譯案",30000,IF(E26="同語言轉換案",30000,999999)))))</f>
        <v>0</v>
      </c>
      <c r="X26" s="10"/>
      <c r="Y26" s="10"/>
      <c r="Z26" s="7"/>
      <c r="AA26" s="23">
        <f t="shared" si="2"/>
        <v>0</v>
      </c>
      <c r="AB26" s="23">
        <f t="shared" si="3"/>
        <v>0</v>
      </c>
      <c r="AC26" s="216"/>
      <c r="AD26" s="27">
        <f t="shared" si="4"/>
        <v>0</v>
      </c>
      <c r="AE26" s="27">
        <f t="shared" si="5"/>
        <v>0</v>
      </c>
      <c r="AF26" s="27">
        <f t="shared" si="6"/>
        <v>0</v>
      </c>
      <c r="AG26" s="216"/>
      <c r="AH26" s="267"/>
      <c r="AI26" s="216"/>
      <c r="AJ26" s="11" t="str">
        <f t="shared" si="7"/>
        <v>新型</v>
      </c>
      <c r="AK26" s="3" t="str">
        <f t="shared" si="25"/>
        <v>KRW</v>
      </c>
      <c r="AL26" s="7">
        <f>IF($W$5=FALSE,0,IF(C26=FALSE,0,36000))</f>
        <v>0</v>
      </c>
      <c r="AM26" s="7">
        <f>IF($W$5=FALSE,0,IF(C26=FALSE,0,12000*$B$7))</f>
        <v>0</v>
      </c>
      <c r="AN26" s="7"/>
      <c r="AO26" s="7">
        <f t="shared" si="8"/>
        <v>0</v>
      </c>
      <c r="AP26" s="22">
        <f>AO26*$L$8</f>
        <v>0</v>
      </c>
      <c r="AQ26" s="3" t="str">
        <f t="shared" si="26"/>
        <v>USD</v>
      </c>
      <c r="AR26" s="7">
        <f>IF($W$6=FALSE,0,IF(C26=FALSE,0,120+120))</f>
        <v>0</v>
      </c>
      <c r="AS26" s="7"/>
      <c r="AT26" s="7"/>
      <c r="AU26" s="7">
        <f t="shared" si="9"/>
        <v>0</v>
      </c>
      <c r="AV26" s="22">
        <f>AU26*$L$5</f>
        <v>0</v>
      </c>
      <c r="AW26" s="22">
        <f t="shared" si="10"/>
        <v>0</v>
      </c>
      <c r="AX26" s="7">
        <f t="shared" si="11"/>
        <v>0</v>
      </c>
      <c r="AY26" s="22">
        <f t="shared" si="27"/>
        <v>0</v>
      </c>
      <c r="AZ26" s="22">
        <f t="shared" si="12"/>
        <v>0</v>
      </c>
      <c r="BA26" s="216"/>
      <c r="BB26" s="27">
        <f t="shared" si="28"/>
        <v>0</v>
      </c>
      <c r="BC26" s="27">
        <f t="shared" si="29"/>
        <v>0</v>
      </c>
      <c r="BD26" s="27">
        <f t="shared" si="30"/>
        <v>0</v>
      </c>
      <c r="BF26" s="3" t="s">
        <v>106</v>
      </c>
      <c r="BG26" s="27">
        <f t="shared" si="31"/>
        <v>0</v>
      </c>
      <c r="BH26" s="27">
        <f t="shared" si="13"/>
        <v>0</v>
      </c>
      <c r="BI26" s="27">
        <f t="shared" si="14"/>
        <v>0</v>
      </c>
      <c r="BJ26" s="92">
        <f t="shared" si="15"/>
        <v>0</v>
      </c>
      <c r="BK26" s="93">
        <f t="shared" si="16"/>
        <v>0</v>
      </c>
      <c r="BL26" s="96">
        <f t="shared" si="32"/>
        <v>0</v>
      </c>
      <c r="BM26" s="96">
        <f t="shared" si="33"/>
        <v>0</v>
      </c>
      <c r="BN26" s="93">
        <f t="shared" si="34"/>
        <v>0</v>
      </c>
      <c r="BO26" s="93">
        <f t="shared" si="17"/>
        <v>0</v>
      </c>
      <c r="BQ26" s="27">
        <f t="shared" si="18"/>
        <v>0</v>
      </c>
      <c r="BR26" s="27">
        <f t="shared" si="19"/>
        <v>0</v>
      </c>
      <c r="BT26" s="27">
        <f t="shared" si="20"/>
        <v>0</v>
      </c>
      <c r="BU26" s="27">
        <f t="shared" si="21"/>
        <v>0</v>
      </c>
      <c r="BV26" s="27">
        <f t="shared" si="22"/>
        <v>0</v>
      </c>
      <c r="BW26" s="27">
        <f t="shared" si="23"/>
        <v>0</v>
      </c>
    </row>
    <row r="27" spans="1:75" x14ac:dyDescent="0.25">
      <c r="A27" s="3" t="s">
        <v>42</v>
      </c>
      <c r="B27" s="98" t="s">
        <v>311</v>
      </c>
      <c r="C27" s="11" t="b">
        <v>1</v>
      </c>
      <c r="D27" s="269"/>
      <c r="E27" s="148" t="str">
        <f>IF(C27=FALSE,"不申請",IF($D$17=4,"初稿案",IF(OR(AND(D17=3,C21=TRUE),AND(D17=5,C28=TRUE),AND(D17=6,OR(C29=TRUE,C30=TRUE)),AND(D17=7,C31=TRUE)),"同語言轉換案",IF(C21=TRUE,"同語言轉換案",IF(OR(AND(D17=1,OR(C17=TRUE,C18=TRUE)),AND(D17=2,OR(C19=TRUE,C20=TRUE))),"翻譯案","異常")))))</f>
        <v>同語言轉換案</v>
      </c>
      <c r="F27" s="3" t="s">
        <v>43</v>
      </c>
      <c r="G27" s="7">
        <f>IF($W$5=FALSE,0,IF(C27=FALSE,0,IF($B$10="少於100人",234.9,579.42)))</f>
        <v>234.9</v>
      </c>
      <c r="H27" s="7">
        <f>IF($W$5=FALSE,0,IF(C27=FALSE,0,IF($B$10="少於100人",469.8,1158.84)))</f>
        <v>469.8</v>
      </c>
      <c r="I27" s="7">
        <f>IF($W$5=FALSE,0,IF(C27=FALSE,0,IF($B$7&lt;21,0,IF($B$10="少於100人",57.42*($B$7-20),114.84*($B$7-20)))))</f>
        <v>0</v>
      </c>
      <c r="J27" s="7">
        <f>IF($W$5=FALSE,0,IF(C27=FALSE,0,125))</f>
        <v>125</v>
      </c>
      <c r="K27" s="7">
        <f>IF($U$5=FALSE,0,SUM(G27:J27))</f>
        <v>829.7</v>
      </c>
      <c r="L27" s="23">
        <f>K27*$N$9</f>
        <v>19497.95</v>
      </c>
      <c r="M27" s="3" t="s">
        <v>43</v>
      </c>
      <c r="N27" s="7">
        <f>IF($W$6=FALSE,0,IF(C27=FALSE,0,800))</f>
        <v>800</v>
      </c>
      <c r="O27" s="7"/>
      <c r="P27" s="7">
        <v>0</v>
      </c>
      <c r="Q27" s="7"/>
      <c r="R27" s="7"/>
      <c r="S27" s="7"/>
      <c r="T27" s="7">
        <f>IF($U$5=FALSE,0,SUM(N27:S27))</f>
        <v>800</v>
      </c>
      <c r="U27" s="23">
        <f>T27*$N$9</f>
        <v>18800</v>
      </c>
      <c r="V27" s="23">
        <f>L27+U27</f>
        <v>38297.949999999997</v>
      </c>
      <c r="W27" s="7">
        <f>IF($W$7=FALSE,0,IF(E27="不申請",0,IF(E27="初稿案",95000,IF(E27="翻譯案",60000,IF(E27="同語言轉換案",30000,999999)))))</f>
        <v>30000</v>
      </c>
      <c r="X27" s="7">
        <f>IF($W$7=FALSE,0,IF(E27="不申請",0,IF(E27="初稿案",IF($B$6&lt;5000,0,1000*(ROUNDDOWN($B$6/100,0)-50)),IF(E27="翻譯案",IF($B$6&lt;5000,0,1000*(ROUNDDOWN($B$6/100,0)-50)),IF(E27="同語言轉換案",0,0)))))</f>
        <v>0</v>
      </c>
      <c r="Y27" s="7">
        <f>IF($W$7=FALSE,0,IF(E27="不申請",0,IF(E27="初稿案",IF($B$9&lt;11,0,1000*($B$9-10)),IF(E27="翻譯案",IF($B$9&lt;11,0,1000*($B$9-10)),IF(E27="同語言轉換案",0,0)))))</f>
        <v>0</v>
      </c>
      <c r="Z27" s="7"/>
      <c r="AA27" s="23">
        <f>IF($U$5=FALSE,0,SUM(W27:Z27))</f>
        <v>30000</v>
      </c>
      <c r="AB27" s="23">
        <f>V27+AA27</f>
        <v>68297.95</v>
      </c>
      <c r="AC27" s="14" t="str">
        <f>$A$27</f>
        <v>加拿大</v>
      </c>
      <c r="AD27" s="27">
        <f>L27</f>
        <v>19497.95</v>
      </c>
      <c r="AE27" s="27">
        <f>U27</f>
        <v>18800</v>
      </c>
      <c r="AF27" s="27">
        <f>AA27</f>
        <v>30000</v>
      </c>
      <c r="AG27" s="14">
        <v>7</v>
      </c>
      <c r="AH27" s="147">
        <f>IF($D$17=AG27,AA27,0)</f>
        <v>0</v>
      </c>
      <c r="AI27" s="14" t="str">
        <f>$A$27</f>
        <v>加拿大</v>
      </c>
      <c r="AJ27" s="11" t="str">
        <f>B27</f>
        <v>發明</v>
      </c>
      <c r="AK27" s="3" t="str">
        <f>F27</f>
        <v>CAD</v>
      </c>
      <c r="AL27" s="7">
        <f>IF($W$5=FALSE,0,IF(C27=FALSE,0,IF($B$10="少於100人",176.44,434.3)))</f>
        <v>176.44</v>
      </c>
      <c r="AM27" s="7"/>
      <c r="AN27" s="7"/>
      <c r="AO27" s="7">
        <f>IF($U$6=FALSE,0,SUM(AL27:AN27))</f>
        <v>176.44</v>
      </c>
      <c r="AP27" s="22">
        <f>AO27*$N$9</f>
        <v>4146.34</v>
      </c>
      <c r="AQ27" s="3" t="str">
        <f>M27</f>
        <v>CAD</v>
      </c>
      <c r="AR27" s="7">
        <f>IF($W$6=FALSE,0,IF(C27=FALSE,0,500))</f>
        <v>500</v>
      </c>
      <c r="AS27" s="7"/>
      <c r="AT27" s="7"/>
      <c r="AU27" s="7">
        <f>IF($U$6=FALSE,0,SUM(AR27:AT27))</f>
        <v>500</v>
      </c>
      <c r="AV27" s="22">
        <f>AU27*$N$9</f>
        <v>11750</v>
      </c>
      <c r="AW27" s="22">
        <f>AP27+AV27</f>
        <v>15896.34</v>
      </c>
      <c r="AX27" s="7">
        <f>IF($W$7=FALSE,0,IF(C27=FALSE,0,0))</f>
        <v>0</v>
      </c>
      <c r="AY27" s="22">
        <f>IF($U$6=FALSE,0,SUM(AX27:AX27))</f>
        <v>0</v>
      </c>
      <c r="AZ27" s="22">
        <f>AW27+AY27</f>
        <v>15896.34</v>
      </c>
      <c r="BA27" s="14" t="str">
        <f>$A$27</f>
        <v>加拿大</v>
      </c>
      <c r="BB27" s="27">
        <f>AP27</f>
        <v>4146.34</v>
      </c>
      <c r="BC27" s="27">
        <f>AV27</f>
        <v>11750</v>
      </c>
      <c r="BD27" s="27">
        <f>AY27</f>
        <v>0</v>
      </c>
      <c r="BF27" s="3" t="str">
        <f>A27</f>
        <v>加拿大</v>
      </c>
      <c r="BG27" s="27">
        <f>AB27</f>
        <v>68297.95</v>
      </c>
      <c r="BH27" s="27">
        <f t="shared" si="13"/>
        <v>87000</v>
      </c>
      <c r="BI27" s="27">
        <f>AZ27</f>
        <v>15896.34</v>
      </c>
      <c r="BJ27" s="92">
        <f t="shared" si="15"/>
        <v>262752.96500000003</v>
      </c>
      <c r="BK27" s="93">
        <f>BG27+BH27</f>
        <v>155297.95000000001</v>
      </c>
      <c r="BL27" s="96">
        <f>BG27+BI27</f>
        <v>84194.29</v>
      </c>
      <c r="BM27" s="96">
        <f>BG27+BH27+BI27</f>
        <v>171194.29</v>
      </c>
      <c r="BN27" s="93">
        <f>BI27+BJ27</f>
        <v>278649.30500000005</v>
      </c>
      <c r="BO27" s="93">
        <f>BK27+BN27</f>
        <v>433947.25500000006</v>
      </c>
      <c r="BQ27" s="27">
        <f>AB27</f>
        <v>68297.95</v>
      </c>
      <c r="BR27" s="27">
        <f>AZ27</f>
        <v>15896.34</v>
      </c>
      <c r="BT27" s="27">
        <f>AD27</f>
        <v>19497.95</v>
      </c>
      <c r="BU27" s="27">
        <f>AE27</f>
        <v>18800</v>
      </c>
      <c r="BV27" s="27">
        <f>AF27</f>
        <v>30000</v>
      </c>
      <c r="BW27" s="27">
        <f>BH27+BI27+BJ27</f>
        <v>365649.30500000005</v>
      </c>
    </row>
    <row r="28" spans="1:75" x14ac:dyDescent="0.25">
      <c r="A28" s="3" t="s">
        <v>8</v>
      </c>
      <c r="B28" s="98" t="s">
        <v>311</v>
      </c>
      <c r="C28" s="11" t="b">
        <v>1</v>
      </c>
      <c r="D28" s="269"/>
      <c r="E28" s="148" t="str">
        <f>IF(C28=FALSE,"不申請",IF($D$17=5,"初稿案",IF(OR(AND(D17=3,C21=TRUE),AND(D17=4,C28=TRUE),AND(D17=6,OR(C29=TRUE,C30=TRUE)),AND(D17=7,C31=TRUE)),"同語言轉換案",IF(OR(C21=TRUE,C27=TRUE),"同語言轉換案",IF(OR(AND(D17=1,OR(C17=TRUE,C18=TRUE)),AND(D17=2,OR(C19=TRUE,C20=TRUE))),"翻譯案","異常")))))</f>
        <v>同語言轉換案</v>
      </c>
      <c r="F28" s="3" t="s">
        <v>20</v>
      </c>
      <c r="G28" s="7">
        <f>IF($W$5=FALSE,0,IF(C28=FALSE,0,170))</f>
        <v>170</v>
      </c>
      <c r="H28" s="7">
        <f>IF($W$5=FALSE,0,IF(C28=FALSE,0,2050))</f>
        <v>2050</v>
      </c>
      <c r="I28" s="7">
        <f>IF($W$5=FALSE,0,IF(C28=FALSE,0,IF($B$7&lt;21,0,40*($B$7-20))))</f>
        <v>0</v>
      </c>
      <c r="J28" s="7"/>
      <c r="K28" s="7">
        <f t="shared" si="0"/>
        <v>2220</v>
      </c>
      <c r="L28" s="23">
        <f>K28*$N$6</f>
        <v>55500</v>
      </c>
      <c r="M28" s="3" t="s">
        <v>20</v>
      </c>
      <c r="N28" s="7">
        <f>IF($W$6=FALSE,0,IF(C28=FALSE,0,950))</f>
        <v>950</v>
      </c>
      <c r="O28" s="7"/>
      <c r="P28" s="7">
        <f>IF($W$6=FALSE,0,IF(C28=FALSE,0,650))</f>
        <v>650</v>
      </c>
      <c r="Q28" s="7"/>
      <c r="R28" s="7"/>
      <c r="S28" s="7"/>
      <c r="T28" s="7">
        <f t="shared" si="1"/>
        <v>1600</v>
      </c>
      <c r="U28" s="23">
        <f>T28*$N$6</f>
        <v>40000</v>
      </c>
      <c r="V28" s="23">
        <f t="shared" si="24"/>
        <v>95500</v>
      </c>
      <c r="W28" s="7">
        <f>IF($W$7=FALSE,0,IF(E28="不申請",0,IF(E28="初稿案",95000,IF(E28="翻譯案",60000,IF(E28="同語言轉換案",30000,999999)))))</f>
        <v>30000</v>
      </c>
      <c r="X28" s="7">
        <f>IF($W$7=FALSE,0,IF(E28="不申請",0,IF(E28="初稿案",IF($B$6&lt;5000,0,1000*(ROUNDDOWN($B$6/100,0)-50)),IF(E28="翻譯案",IF($B$6&lt;5000,0,1000*(ROUNDDOWN($B$6/100,0)-50)),IF(E28="同語言轉換案",0,0)))))</f>
        <v>0</v>
      </c>
      <c r="Y28" s="7">
        <f t="shared" ref="Y28:Y31" si="35">IF($W$7=FALSE,0,IF(E28="不申請",0,IF(E28="初稿案",IF($B$9&lt;11,0,1000*($B$9-10)),IF(E28="翻譯案",IF($B$9&lt;11,0,1000*($B$9-10)),IF(E28="同語言轉換案",0,0)))))</f>
        <v>0</v>
      </c>
      <c r="Z28" s="7"/>
      <c r="AA28" s="23">
        <f t="shared" si="2"/>
        <v>30000</v>
      </c>
      <c r="AB28" s="23">
        <f t="shared" si="3"/>
        <v>125500</v>
      </c>
      <c r="AC28" s="14" t="str">
        <f>$A$28</f>
        <v>新加坡</v>
      </c>
      <c r="AD28" s="27">
        <f t="shared" si="4"/>
        <v>55500</v>
      </c>
      <c r="AE28" s="27">
        <f t="shared" si="5"/>
        <v>40000</v>
      </c>
      <c r="AF28" s="27">
        <f t="shared" si="6"/>
        <v>30000</v>
      </c>
      <c r="AG28" s="14">
        <v>4</v>
      </c>
      <c r="AH28" s="147">
        <f>IF($D$17=AG28,AA28,0)</f>
        <v>0</v>
      </c>
      <c r="AI28" s="14" t="str">
        <f>$A$28</f>
        <v>新加坡</v>
      </c>
      <c r="AJ28" s="11" t="str">
        <f t="shared" si="7"/>
        <v>發明</v>
      </c>
      <c r="AK28" s="3" t="str">
        <f t="shared" si="25"/>
        <v>SGD</v>
      </c>
      <c r="AL28" s="7">
        <f>IF($W$5=FALSE,0,IF(C28=FALSE,0,210))</f>
        <v>210</v>
      </c>
      <c r="AM28" s="7">
        <f>IF($W$5=FALSE,0,IF(C28=FALSE,0,IF($B$7&gt;20,40*($B$7-20),0)))</f>
        <v>0</v>
      </c>
      <c r="AN28" s="7"/>
      <c r="AO28" s="7">
        <f t="shared" si="8"/>
        <v>210</v>
      </c>
      <c r="AP28" s="22">
        <f>AO28*$N$6</f>
        <v>5250</v>
      </c>
      <c r="AQ28" s="3" t="str">
        <f t="shared" si="26"/>
        <v>SGD</v>
      </c>
      <c r="AR28" s="7">
        <f>IF($W$6=FALSE,0,IF(C28=FALSE,0,400+250+600+300))</f>
        <v>1550</v>
      </c>
      <c r="AS28" s="7"/>
      <c r="AT28" s="7"/>
      <c r="AU28" s="7">
        <f t="shared" si="9"/>
        <v>1550</v>
      </c>
      <c r="AV28" s="22">
        <f>AU28*$N$6</f>
        <v>38750</v>
      </c>
      <c r="AW28" s="22">
        <f t="shared" si="10"/>
        <v>44000</v>
      </c>
      <c r="AX28" s="7">
        <f t="shared" si="11"/>
        <v>0</v>
      </c>
      <c r="AY28" s="22">
        <f t="shared" si="27"/>
        <v>0</v>
      </c>
      <c r="AZ28" s="22">
        <f t="shared" si="12"/>
        <v>44000</v>
      </c>
      <c r="BA28" s="14" t="str">
        <f>$A$28</f>
        <v>新加坡</v>
      </c>
      <c r="BB28" s="27">
        <f t="shared" si="28"/>
        <v>5250</v>
      </c>
      <c r="BC28" s="27">
        <f t="shared" si="29"/>
        <v>38750</v>
      </c>
      <c r="BD28" s="27">
        <f t="shared" si="30"/>
        <v>0</v>
      </c>
      <c r="BF28" s="3" t="str">
        <f>A28</f>
        <v>新加坡</v>
      </c>
      <c r="BG28" s="27">
        <f t="shared" si="31"/>
        <v>125500</v>
      </c>
      <c r="BH28" s="27">
        <f t="shared" si="13"/>
        <v>87500</v>
      </c>
      <c r="BI28" s="27">
        <f t="shared" si="14"/>
        <v>44000</v>
      </c>
      <c r="BJ28" s="92">
        <f t="shared" si="15"/>
        <v>461625</v>
      </c>
      <c r="BK28" s="93">
        <f t="shared" si="16"/>
        <v>213000</v>
      </c>
      <c r="BL28" s="96">
        <f t="shared" si="32"/>
        <v>169500</v>
      </c>
      <c r="BM28" s="96">
        <f t="shared" si="33"/>
        <v>257000</v>
      </c>
      <c r="BN28" s="93">
        <f t="shared" si="34"/>
        <v>505625</v>
      </c>
      <c r="BO28" s="93">
        <f t="shared" si="17"/>
        <v>718625</v>
      </c>
      <c r="BQ28" s="27">
        <f t="shared" si="18"/>
        <v>125500</v>
      </c>
      <c r="BR28" s="27">
        <f t="shared" si="19"/>
        <v>44000</v>
      </c>
      <c r="BT28" s="27">
        <f t="shared" si="20"/>
        <v>55500</v>
      </c>
      <c r="BU28" s="27">
        <f t="shared" si="21"/>
        <v>40000</v>
      </c>
      <c r="BV28" s="27">
        <f t="shared" si="22"/>
        <v>30000</v>
      </c>
      <c r="BW28" s="27">
        <f t="shared" si="23"/>
        <v>593125</v>
      </c>
    </row>
    <row r="29" spans="1:75" x14ac:dyDescent="0.25">
      <c r="A29" s="215" t="s">
        <v>11</v>
      </c>
      <c r="B29" s="98" t="s">
        <v>311</v>
      </c>
      <c r="C29" s="11" t="b">
        <v>1</v>
      </c>
      <c r="D29" s="269"/>
      <c r="E29" s="148" t="str">
        <f>IF(C29=FALSE,"不申請",IF($D$17=6,"初稿案",IF(OR(AND(D17=3,C21=TRUE),AND(D17=4,C27=TRUE),AND(D17=5,C28=TRUE),AND(D17=7,C31=TRUE)),"同語言轉換案",IF(OR(C21=TRUE,C27=TRUE,C28=TRUE),"同語言轉換案",IF(OR(AND(D17=1,OR(C17=TRUE,C18=TRUE)),AND(D17=2,OR(C19=TRUE,C20=TRUE))),"翻譯案","異常")))))</f>
        <v>同語言轉換案</v>
      </c>
      <c r="F29" s="3" t="s">
        <v>23</v>
      </c>
      <c r="G29" s="7">
        <f>IF($W$5=FALSE,0,IF(C29=FALSE,0,290+100))</f>
        <v>390</v>
      </c>
      <c r="H29" s="7">
        <f>IF($W$5=FALSE,0,IF(C29=FALSE,0,1100))</f>
        <v>1100</v>
      </c>
      <c r="I29" s="10">
        <f>IF($W$5=FALSE,0,IF(C29=FALSE,0,IF(B29="發明",IF($B$7&gt;40,50*($B$7-40)+40*10+30*10+20*10,IF($B$7&gt;30,40*($B$7-30)+30*10+20*10,IF($B$7&gt;20,30*($B$7-20)+20*10,IF($B$7&gt;10,20*($B$7-10),0)))))))</f>
        <v>0</v>
      </c>
      <c r="J29" s="7">
        <f>IF($W$5=FALSE,0,IF(C29=FALSE,0,100))</f>
        <v>100</v>
      </c>
      <c r="K29" s="7">
        <f>IF($U$5=FALSE,0,SUM(G29:J29))</f>
        <v>1590</v>
      </c>
      <c r="L29" s="23">
        <f>K29*$N$8</f>
        <v>12561</v>
      </c>
      <c r="M29" s="3" t="s">
        <v>23</v>
      </c>
      <c r="N29" s="7">
        <f>IF($W$6=FALSE,0,IF(C29=FALSE,0,742+25+106))</f>
        <v>873</v>
      </c>
      <c r="O29" s="7"/>
      <c r="P29" s="7">
        <f>IF($W$6=FALSE,0,IF(C29=FALSE,0,1060))</f>
        <v>1060</v>
      </c>
      <c r="Q29" s="7">
        <f>IF($W$5=FALSE,0,IF(C29=FALSE,0,IF($B$7&lt;11,0,26.5*($B$7-10))))</f>
        <v>0</v>
      </c>
      <c r="R29" s="7"/>
      <c r="S29" s="7"/>
      <c r="T29" s="7">
        <f>IF($U$5=FALSE,0,SUM(N29:S29))</f>
        <v>1933</v>
      </c>
      <c r="U29" s="23">
        <f>T29*$N$8</f>
        <v>15270.7</v>
      </c>
      <c r="V29" s="23">
        <f>L29+U29</f>
        <v>27831.7</v>
      </c>
      <c r="W29" s="7">
        <f>IF($W$7=FALSE,0,IF(E29="不申請",0,IF(E29="初稿案",95000,IF(E29="翻譯案",60000,IF(E29="同語言轉換案",30000,999999)))))</f>
        <v>30000</v>
      </c>
      <c r="X29" s="7">
        <f>IF($W$7=FALSE,0,IF(E29="不申請",0,IF(E29="初稿案",IF($B$6&lt;5000,0,1000*(ROUNDDOWN($B$6/100,0)-50)),IF(E29="翻譯案",IF($B$6&lt;5000,0,1000*(ROUNDDOWN($B$6/100,0)-50)),IF(E29="同語言轉換案",0,0)))))</f>
        <v>0</v>
      </c>
      <c r="Y29" s="7">
        <f t="shared" ref="Y29:Y30" si="36">IF($W$7=FALSE,0,IF(E29="不申請",0,IF(E29="初稿案",IF($B$9&lt;11,0,1000*($B$9-10)),IF(E29="翻譯案",IF($B$9&lt;11,0,1000*($B$9-10)),IF(E29="同語言轉換案",0,0)))))</f>
        <v>0</v>
      </c>
      <c r="Z29" s="7"/>
      <c r="AA29" s="23">
        <f>IF($U$5=FALSE,0,SUM(W29:Z29))</f>
        <v>30000</v>
      </c>
      <c r="AB29" s="23">
        <f>V29+AA29</f>
        <v>57831.7</v>
      </c>
      <c r="AC29" s="228" t="str">
        <f>$A$29</f>
        <v>馬來西亞</v>
      </c>
      <c r="AD29" s="27">
        <f>L29</f>
        <v>12561</v>
      </c>
      <c r="AE29" s="27">
        <f>U29</f>
        <v>15270.7</v>
      </c>
      <c r="AF29" s="27">
        <f>AA29</f>
        <v>30000</v>
      </c>
      <c r="AG29" s="228">
        <v>6</v>
      </c>
      <c r="AH29" s="266">
        <f>IF($D$17=AG29,MAX(AA29,AA30),0)</f>
        <v>0</v>
      </c>
      <c r="AI29" s="228" t="str">
        <f>$A$29</f>
        <v>馬來西亞</v>
      </c>
      <c r="AJ29" s="11" t="str">
        <f>B29</f>
        <v>發明</v>
      </c>
      <c r="AK29" s="3" t="str">
        <f>F29</f>
        <v>MYR</v>
      </c>
      <c r="AL29" s="7">
        <f>IF($W$5=FALSE,0,IF(C29=FALSE,0,0))</f>
        <v>0</v>
      </c>
      <c r="AM29" s="7"/>
      <c r="AN29" s="7"/>
      <c r="AO29" s="7">
        <f>IF($U$6=FALSE,0,SUM(AL29:AN29))</f>
        <v>0</v>
      </c>
      <c r="AP29" s="22">
        <f>AO29*$N$8</f>
        <v>0</v>
      </c>
      <c r="AQ29" s="3" t="str">
        <f>M29</f>
        <v>MYR</v>
      </c>
      <c r="AR29" s="7">
        <f>IF($W$6=FALSE,0,IF(C29=FALSE,0,530))</f>
        <v>530</v>
      </c>
      <c r="AS29" s="7"/>
      <c r="AT29" s="7"/>
      <c r="AU29" s="7">
        <f>IF($U$6=FALSE,0,SUM(AR29:AT29))</f>
        <v>530</v>
      </c>
      <c r="AV29" s="22">
        <f>AU29*$N$8</f>
        <v>4187</v>
      </c>
      <c r="AW29" s="22">
        <f>AP29+AV29</f>
        <v>4187</v>
      </c>
      <c r="AX29" s="7">
        <f>IF($W$7=FALSE,0,IF(C29=FALSE,0,0))</f>
        <v>0</v>
      </c>
      <c r="AY29" s="22">
        <f>IF($U$6=FALSE,0,SUM(AX29:AX29))</f>
        <v>0</v>
      </c>
      <c r="AZ29" s="22">
        <f>AW29+AY29</f>
        <v>4187</v>
      </c>
      <c r="BA29" s="228" t="str">
        <f>$A$29</f>
        <v>馬來西亞</v>
      </c>
      <c r="BB29" s="27">
        <f>AP29</f>
        <v>0</v>
      </c>
      <c r="BC29" s="27">
        <f>AV29</f>
        <v>4187</v>
      </c>
      <c r="BD29" s="27">
        <f>AY29</f>
        <v>0</v>
      </c>
      <c r="BF29" s="3" t="s">
        <v>111</v>
      </c>
      <c r="BG29" s="27">
        <f>AB29</f>
        <v>57831.7</v>
      </c>
      <c r="BH29" s="27">
        <f t="shared" si="13"/>
        <v>69324.800000000003</v>
      </c>
      <c r="BI29" s="27">
        <f>AZ29</f>
        <v>4187</v>
      </c>
      <c r="BJ29" s="92">
        <f t="shared" si="15"/>
        <v>328721.5</v>
      </c>
      <c r="BK29" s="93">
        <f>BG29+BH29</f>
        <v>127156.5</v>
      </c>
      <c r="BL29" s="96">
        <f>BG29+BI29</f>
        <v>62018.7</v>
      </c>
      <c r="BM29" s="96">
        <f>BG29+BH29+BI29</f>
        <v>131343.5</v>
      </c>
      <c r="BN29" s="93">
        <f>BI29+BJ29</f>
        <v>332908.5</v>
      </c>
      <c r="BO29" s="93">
        <f>BK29+BN29</f>
        <v>460065</v>
      </c>
      <c r="BQ29" s="27">
        <f>AB29</f>
        <v>57831.7</v>
      </c>
      <c r="BR29" s="27">
        <f>AZ29</f>
        <v>4187</v>
      </c>
      <c r="BT29" s="27">
        <f t="shared" ref="BT29:BV30" si="37">AD29</f>
        <v>12561</v>
      </c>
      <c r="BU29" s="27">
        <f t="shared" si="37"/>
        <v>15270.7</v>
      </c>
      <c r="BV29" s="27">
        <f t="shared" si="37"/>
        <v>30000</v>
      </c>
      <c r="BW29" s="27">
        <f>BH29+BI29+BJ29</f>
        <v>402233.3</v>
      </c>
    </row>
    <row r="30" spans="1:75" x14ac:dyDescent="0.25">
      <c r="A30" s="216"/>
      <c r="B30" s="98" t="s">
        <v>312</v>
      </c>
      <c r="C30" s="11" t="b">
        <v>0</v>
      </c>
      <c r="D30" s="269"/>
      <c r="E30" s="148" t="str">
        <f>IF(C30=FALSE,"不申請",IF(C29=TRUE,"同語言轉換案",IF($D$17=6,"初稿案",IF(OR(AND(D17=3,C21=TRUE),AND(D17=4,C27=TRUE),AND(D17=5,C28=TRUE),AND(D17=7,C31=TRUE)),"同語言轉換案",IF(OR(C21=TRUE,C27=TRUE,C28=TRUE),"同語言轉換案",IF(OR(AND(D17=1,OR(C17=TRUE,C18=TRUE)),AND(D17=2,OR(C19=TRUE,C20=TRUE))),"翻譯案","異常"))))))</f>
        <v>不申請</v>
      </c>
      <c r="F30" s="3" t="s">
        <v>23</v>
      </c>
      <c r="G30" s="7">
        <f>IF($W$5=FALSE,0,IF(C30=FALSE,0,140+100))</f>
        <v>0</v>
      </c>
      <c r="H30" s="7">
        <f>IF($W$5=FALSE,0,IF(C30=FALSE,0,1100))</f>
        <v>0</v>
      </c>
      <c r="I30" s="7">
        <f>IF($W$5=FALSE,0,IF(C30=FALSE,0,0))</f>
        <v>0</v>
      </c>
      <c r="J30" s="7">
        <f>IF($W$5=FALSE,0,IF(C30=FALSE,0,100))</f>
        <v>0</v>
      </c>
      <c r="K30" s="7">
        <f>IF($U$5=FALSE,0,SUM(G30:J30))</f>
        <v>0</v>
      </c>
      <c r="L30" s="23">
        <f>K30*$N$8</f>
        <v>0</v>
      </c>
      <c r="M30" s="3" t="s">
        <v>23</v>
      </c>
      <c r="N30" s="7">
        <f>IF($W$6=FALSE,0,IF(C30=FALSE,0,742+25+106))</f>
        <v>0</v>
      </c>
      <c r="O30" s="7"/>
      <c r="P30" s="7">
        <f>IF($W$6=FALSE,0,IF(C30=FALSE,0,1060))</f>
        <v>0</v>
      </c>
      <c r="Q30" s="7"/>
      <c r="R30" s="7"/>
      <c r="S30" s="7"/>
      <c r="T30" s="7">
        <f>IF($U$5=FALSE,0,SUM(N30:S30))</f>
        <v>0</v>
      </c>
      <c r="U30" s="23">
        <f>T30*$N$8</f>
        <v>0</v>
      </c>
      <c r="V30" s="23">
        <f>L30+U30</f>
        <v>0</v>
      </c>
      <c r="W30" s="7">
        <f>IF($W$7=FALSE,0,IF(E30="不申請",0,IF(E30="初稿案",95000,IF(E30="翻譯案",60000,IF(E30="同語言轉換案",30000,999999)))))</f>
        <v>0</v>
      </c>
      <c r="X30" s="7">
        <f>IF($W$7=FALSE,0,IF(E30="不申請",0,IF(E30="初稿案",IF($B$6&lt;5000,0,1000*(ROUNDDOWN($B$6/100,0)-50)),IF(E30="翻譯案",IF($B$6&lt;5000,0,1000*(ROUNDDOWN($B$6/100,0)-50)),IF(E30="同語言轉換案",0,0)))))</f>
        <v>0</v>
      </c>
      <c r="Y30" s="7">
        <f t="shared" si="36"/>
        <v>0</v>
      </c>
      <c r="Z30" s="7"/>
      <c r="AA30" s="23">
        <f>IF($U$5=FALSE,0,SUM(W30:Z30))</f>
        <v>0</v>
      </c>
      <c r="AB30" s="23">
        <f>V30+AA30</f>
        <v>0</v>
      </c>
      <c r="AC30" s="216"/>
      <c r="AD30" s="27">
        <f>L30</f>
        <v>0</v>
      </c>
      <c r="AE30" s="27">
        <f>U30</f>
        <v>0</v>
      </c>
      <c r="AF30" s="27">
        <f>AA30</f>
        <v>0</v>
      </c>
      <c r="AG30" s="216"/>
      <c r="AH30" s="267"/>
      <c r="AI30" s="216"/>
      <c r="AJ30" s="11" t="str">
        <f>B30</f>
        <v>新型</v>
      </c>
      <c r="AK30" s="3" t="str">
        <f>F30</f>
        <v>MYR</v>
      </c>
      <c r="AL30" s="7">
        <f>IF($W$5=FALSE,0,IF(C30=FALSE,0,0))</f>
        <v>0</v>
      </c>
      <c r="AM30" s="7"/>
      <c r="AN30" s="7"/>
      <c r="AO30" s="7">
        <f>IF($U$6=FALSE,0,SUM(AL30:AN30))</f>
        <v>0</v>
      </c>
      <c r="AP30" s="22">
        <f>AO30*$N$8</f>
        <v>0</v>
      </c>
      <c r="AQ30" s="3" t="str">
        <f>M30</f>
        <v>MYR</v>
      </c>
      <c r="AR30" s="7">
        <f>IF($W$6=FALSE,0,IF(C30=FALSE,0,530))</f>
        <v>0</v>
      </c>
      <c r="AS30" s="7"/>
      <c r="AT30" s="7"/>
      <c r="AU30" s="7">
        <f>IF($U$6=FALSE,0,SUM(AR30:AT30))</f>
        <v>0</v>
      </c>
      <c r="AV30" s="22">
        <f>AU30*$N$8</f>
        <v>0</v>
      </c>
      <c r="AW30" s="22">
        <f>AP30+AV30</f>
        <v>0</v>
      </c>
      <c r="AX30" s="7">
        <f>IF($W$7=FALSE,0,IF(C30=FALSE,0,0))</f>
        <v>0</v>
      </c>
      <c r="AY30" s="22">
        <f>IF($U$6=FALSE,0,SUM(AX30:AX30))</f>
        <v>0</v>
      </c>
      <c r="AZ30" s="22">
        <f>AW30+AY30</f>
        <v>0</v>
      </c>
      <c r="BA30" s="216"/>
      <c r="BB30" s="27">
        <f>AP30</f>
        <v>0</v>
      </c>
      <c r="BC30" s="27">
        <f>AV30</f>
        <v>0</v>
      </c>
      <c r="BD30" s="27">
        <f>AY30</f>
        <v>0</v>
      </c>
      <c r="BF30" s="3" t="s">
        <v>112</v>
      </c>
      <c r="BG30" s="27">
        <f>AB30</f>
        <v>0</v>
      </c>
      <c r="BH30" s="27">
        <f t="shared" si="13"/>
        <v>0</v>
      </c>
      <c r="BI30" s="27">
        <f>AZ30</f>
        <v>0</v>
      </c>
      <c r="BJ30" s="92">
        <f t="shared" si="15"/>
        <v>0</v>
      </c>
      <c r="BK30" s="93">
        <f>BG30+BH30</f>
        <v>0</v>
      </c>
      <c r="BL30" s="96">
        <f>BG30+BI30</f>
        <v>0</v>
      </c>
      <c r="BM30" s="96">
        <f>BG30+BH30+BI30</f>
        <v>0</v>
      </c>
      <c r="BN30" s="93">
        <f>BI30+BJ30</f>
        <v>0</v>
      </c>
      <c r="BO30" s="93">
        <f>BK30+BN30</f>
        <v>0</v>
      </c>
      <c r="BQ30" s="27">
        <f>AB30</f>
        <v>0</v>
      </c>
      <c r="BR30" s="27">
        <f>AZ30</f>
        <v>0</v>
      </c>
      <c r="BT30" s="27">
        <f t="shared" si="37"/>
        <v>0</v>
      </c>
      <c r="BU30" s="27">
        <f t="shared" si="37"/>
        <v>0</v>
      </c>
      <c r="BV30" s="27">
        <f t="shared" si="37"/>
        <v>0</v>
      </c>
      <c r="BW30" s="27">
        <f>BH30+BI30+BJ30</f>
        <v>0</v>
      </c>
    </row>
    <row r="31" spans="1:75" x14ac:dyDescent="0.25">
      <c r="A31" s="54" t="s">
        <v>146</v>
      </c>
      <c r="B31" s="98" t="s">
        <v>311</v>
      </c>
      <c r="C31" s="11" t="b">
        <v>0</v>
      </c>
      <c r="D31" s="269"/>
      <c r="E31" s="148" t="str">
        <f>IF(C31=FALSE,"不申請",IF($D$17=7,"初稿案",IF(OR(AND(D17=3,C21=TRUE),AND(D17=4,C27=TRUE),AND(D17=5,C28=TRUE),AND(D17=6,OR(C29=TRUE,C30=TRUE))),"同語言轉換案",IF(OR(C21=TRUE,C27=TRUE,C28=TRUE,C29=TRUE,C30=TRUE),"同語言轉換案",IF(OR(AND(D17=1,OR(C17=TRUE,C18=TRUE)),AND(D17=2,OR(C19=TRUE,C20=TRUE))),"翻譯案","異常")))))</f>
        <v>不申請</v>
      </c>
      <c r="F31" s="3" t="s">
        <v>16</v>
      </c>
      <c r="G31" s="7">
        <f>IF($W$5=FALSE,0,IF(C31=FALSE,0,97+22))</f>
        <v>0</v>
      </c>
      <c r="H31" s="7">
        <f>IF($W$5=FALSE,0,IF(C31=FALSE,0,95))</f>
        <v>0</v>
      </c>
      <c r="I31" s="7">
        <f>IF($W$5=FALSE,0,IF(C31=FALSE,0,IF($B$7&lt;6,0,9*($B$7-5))))</f>
        <v>0</v>
      </c>
      <c r="J31" s="7"/>
      <c r="K31" s="7">
        <f t="shared" si="0"/>
        <v>0</v>
      </c>
      <c r="L31" s="23">
        <f>K31*$L$5</f>
        <v>0</v>
      </c>
      <c r="M31" s="3" t="s">
        <v>16</v>
      </c>
      <c r="N31" s="7">
        <f>IF($W$6=FALSE,0,IF(C31=FALSE,0,300+100))</f>
        <v>0</v>
      </c>
      <c r="O31" s="7"/>
      <c r="P31" s="7">
        <f>IF($W$6=FALSE,0,IF(C31=FALSE,0,100))</f>
        <v>0</v>
      </c>
      <c r="Q31" s="7">
        <f>IF($W$6=FALSE,0,IF(C31=FALSE,0,IF($B$7&lt;6,0,10*($B$7-5))))</f>
        <v>0</v>
      </c>
      <c r="R31" s="7"/>
      <c r="S31" s="7">
        <f>IF($W$6=FALSE,0,IF(C31=FALSE,0,10*$B$9))</f>
        <v>0</v>
      </c>
      <c r="T31" s="7">
        <f t="shared" si="1"/>
        <v>0</v>
      </c>
      <c r="U31" s="23">
        <f>T31*$L$5</f>
        <v>0</v>
      </c>
      <c r="V31" s="23">
        <f>L31+U31</f>
        <v>0</v>
      </c>
      <c r="W31" s="7">
        <f>IF($W$7=FALSE,0,IF(E31="不申請",0,IF(E31="初稿案",95000,IF(E31="翻譯案",60000,IF(E31="同語言轉換案",30000,999999)))))</f>
        <v>0</v>
      </c>
      <c r="X31" s="7">
        <f>IF($W$7=FALSE,0,IF(E31="不申請",0,IF(E31="初稿案",IF($B$6&lt;5000,0,1000*(ROUNDDOWN($B$6/100,0)-50)),IF(E31="翻譯案",IF($B$6&lt;5000,0,1000*(ROUNDDOWN($B$6/100,0)-50)),IF(E31="同語言轉換案",0,0)))))</f>
        <v>0</v>
      </c>
      <c r="Y31" s="7">
        <f t="shared" si="35"/>
        <v>0</v>
      </c>
      <c r="Z31" s="7"/>
      <c r="AA31" s="23">
        <f t="shared" si="2"/>
        <v>0</v>
      </c>
      <c r="AB31" s="23">
        <f>V31+AA31</f>
        <v>0</v>
      </c>
      <c r="AC31" s="14" t="str">
        <f>$A$31</f>
        <v>菲律賓</v>
      </c>
      <c r="AD31" s="27">
        <f>L31</f>
        <v>0</v>
      </c>
      <c r="AE31" s="27">
        <f>U31</f>
        <v>0</v>
      </c>
      <c r="AF31" s="27">
        <f>AA31</f>
        <v>0</v>
      </c>
      <c r="AG31" s="14">
        <v>5</v>
      </c>
      <c r="AH31" s="147">
        <f>IF($D$17=AG31,AA31,0)</f>
        <v>0</v>
      </c>
      <c r="AI31" s="14" t="str">
        <f>$A$31</f>
        <v>菲律賓</v>
      </c>
      <c r="AJ31" s="11" t="str">
        <f t="shared" si="7"/>
        <v>發明</v>
      </c>
      <c r="AK31" s="3" t="str">
        <f>F31</f>
        <v>USD</v>
      </c>
      <c r="AL31" s="7">
        <f>IF($W$5=FALSE,0,IF(C31=FALSE,0,22+27))</f>
        <v>0</v>
      </c>
      <c r="AM31" s="7"/>
      <c r="AN31" s="7"/>
      <c r="AO31" s="7">
        <f t="shared" si="8"/>
        <v>0</v>
      </c>
      <c r="AP31" s="22">
        <f>AO31*$L$5</f>
        <v>0</v>
      </c>
      <c r="AQ31" s="3" t="str">
        <f>M31</f>
        <v>USD</v>
      </c>
      <c r="AR31" s="7">
        <f>IF($W$6=FALSE,0,IF(C31=FALSE,0,100+150))</f>
        <v>0</v>
      </c>
      <c r="AS31" s="7"/>
      <c r="AT31" s="7"/>
      <c r="AU31" s="7">
        <f t="shared" si="9"/>
        <v>0</v>
      </c>
      <c r="AV31" s="22">
        <f>AU31*$L$5</f>
        <v>0</v>
      </c>
      <c r="AW31" s="22">
        <f>AP31+AV31</f>
        <v>0</v>
      </c>
      <c r="AX31" s="7">
        <f t="shared" si="11"/>
        <v>0</v>
      </c>
      <c r="AY31" s="22">
        <f t="shared" si="27"/>
        <v>0</v>
      </c>
      <c r="AZ31" s="22">
        <f>AW31+AY31</f>
        <v>0</v>
      </c>
      <c r="BA31" s="14" t="str">
        <f>$A$31</f>
        <v>菲律賓</v>
      </c>
      <c r="BB31" s="27">
        <f>AP31</f>
        <v>0</v>
      </c>
      <c r="BC31" s="27">
        <f>AV31</f>
        <v>0</v>
      </c>
      <c r="BD31" s="27">
        <f>AY31</f>
        <v>0</v>
      </c>
      <c r="BF31" s="3" t="str">
        <f>A31</f>
        <v>菲律賓</v>
      </c>
      <c r="BG31" s="27">
        <f>AB31</f>
        <v>0</v>
      </c>
      <c r="BH31" s="27">
        <f t="shared" si="13"/>
        <v>0</v>
      </c>
      <c r="BI31" s="27">
        <f t="shared" si="14"/>
        <v>0</v>
      </c>
      <c r="BJ31" s="92">
        <f t="shared" si="15"/>
        <v>0</v>
      </c>
      <c r="BK31" s="93">
        <f t="shared" si="16"/>
        <v>0</v>
      </c>
      <c r="BL31" s="96">
        <f t="shared" si="32"/>
        <v>0</v>
      </c>
      <c r="BM31" s="96">
        <f t="shared" si="33"/>
        <v>0</v>
      </c>
      <c r="BN31" s="93">
        <f t="shared" si="34"/>
        <v>0</v>
      </c>
      <c r="BO31" s="93">
        <f t="shared" si="17"/>
        <v>0</v>
      </c>
      <c r="BQ31" s="27">
        <f t="shared" si="18"/>
        <v>0</v>
      </c>
      <c r="BR31" s="27">
        <f t="shared" si="19"/>
        <v>0</v>
      </c>
      <c r="BT31" s="27">
        <f t="shared" si="20"/>
        <v>0</v>
      </c>
      <c r="BU31" s="27">
        <f t="shared" si="21"/>
        <v>0</v>
      </c>
      <c r="BV31" s="27">
        <f t="shared" si="22"/>
        <v>0</v>
      </c>
      <c r="BW31" s="27">
        <f t="shared" si="23"/>
        <v>0</v>
      </c>
    </row>
    <row r="32" spans="1:75" x14ac:dyDescent="0.25">
      <c r="A32" s="215" t="s">
        <v>131</v>
      </c>
      <c r="B32" s="98" t="s">
        <v>311</v>
      </c>
      <c r="C32" s="11" t="b">
        <v>0</v>
      </c>
      <c r="D32" s="269"/>
      <c r="E32" s="148" t="str">
        <f>IF(C32=FALSE,"不申請",IF(OR(C21=TRUE,C22=TRUE,C28=TRUE,C31=TRUE,C29=TRUE,C30=TRUE,C27=TRUE),"翻譯案","異常"))</f>
        <v>不申請</v>
      </c>
      <c r="F32" s="3" t="s">
        <v>16</v>
      </c>
      <c r="G32" s="7">
        <f>IF($W$5=FALSE,0,IF(C32=FALSE,0,125))</f>
        <v>0</v>
      </c>
      <c r="H32" s="7">
        <f>IF($W$5=FALSE,0,IF(C32=FALSE,0,300))</f>
        <v>0</v>
      </c>
      <c r="I32" s="7">
        <f>IF($W$5=FALSE,0,IF(C32=FALSE,0,IF($B$7&lt;11,0,7.5*($B$7-10))))</f>
        <v>0</v>
      </c>
      <c r="J32" s="7"/>
      <c r="K32" s="7">
        <f>IF($U$5=FALSE,0,SUM(G32:J32))</f>
        <v>0</v>
      </c>
      <c r="L32" s="23">
        <f>K32*$L$5</f>
        <v>0</v>
      </c>
      <c r="M32" s="3" t="s">
        <v>16</v>
      </c>
      <c r="N32" s="7">
        <f>IF($W$6=FALSE,0,IF(C32=FALSE,0,800))</f>
        <v>0</v>
      </c>
      <c r="O32" s="10">
        <f>IF($W$6=FALSE,0,IF(C32=FALSE,0,IF(OR(C21=TRUE,C22=TRUE,C28=TRUE,C31=TRUE,C29=TRUE,C30=TRUE,C27=TRUE),$B$6/100*30,"欠缺英文案")))</f>
        <v>0</v>
      </c>
      <c r="P32" s="7">
        <f>IF($W$6=FALSE,0,IF(C32=FALSE,0,500))</f>
        <v>0</v>
      </c>
      <c r="Q32" s="7"/>
      <c r="R32" s="7"/>
      <c r="S32" s="7">
        <f>IF($W$6=FALSE,0,IF(C32=FALSE,0,30*$B$9))</f>
        <v>0</v>
      </c>
      <c r="T32" s="7">
        <f>IF($U$5=FALSE,0,SUM(N32:S32))</f>
        <v>0</v>
      </c>
      <c r="U32" s="23">
        <f>T32*$L$5</f>
        <v>0</v>
      </c>
      <c r="V32" s="23">
        <f>L32+U32</f>
        <v>0</v>
      </c>
      <c r="W32" s="10">
        <f t="shared" ref="W32:W33" si="38">IF($W$7=FALSE,0,IF(E32="不申請",0,IF(E32="初稿案",30000,IF(E32="翻譯案",30000,IF(E32="同語言轉換案",30000,999999)))))</f>
        <v>0</v>
      </c>
      <c r="X32" s="10"/>
      <c r="Y32" s="10"/>
      <c r="Z32" s="7"/>
      <c r="AA32" s="23">
        <f>IF($U$5=FALSE,0,SUM(W32:Z32))</f>
        <v>0</v>
      </c>
      <c r="AB32" s="23">
        <f>V32+AA32</f>
        <v>0</v>
      </c>
      <c r="AC32" s="228" t="str">
        <f>$A$32</f>
        <v>印尼</v>
      </c>
      <c r="AD32" s="27">
        <f>L32</f>
        <v>0</v>
      </c>
      <c r="AE32" s="27">
        <f>U32</f>
        <v>0</v>
      </c>
      <c r="AF32" s="27">
        <f>AA32</f>
        <v>0</v>
      </c>
      <c r="AG32" s="228"/>
      <c r="AH32" s="266"/>
      <c r="AI32" s="228" t="str">
        <f>$A$32</f>
        <v>印尼</v>
      </c>
      <c r="AJ32" s="11" t="str">
        <f>B32</f>
        <v>發明</v>
      </c>
      <c r="AK32" s="3" t="s">
        <v>16</v>
      </c>
      <c r="AL32" s="7">
        <f>IF($W$5=FALSE,0,IF(C32=FALSE,0,100))</f>
        <v>0</v>
      </c>
      <c r="AM32" s="7">
        <f>IF($W$5=FALSE,0,IF(C32=FALSE,0,7.5*$B$7))</f>
        <v>0</v>
      </c>
      <c r="AN32" s="7"/>
      <c r="AO32" s="7">
        <f>IF($U$6=FALSE,0,SUM(AL32:AN32))</f>
        <v>0</v>
      </c>
      <c r="AP32" s="22">
        <f>AO32*$L$5</f>
        <v>0</v>
      </c>
      <c r="AQ32" s="3" t="s">
        <v>16</v>
      </c>
      <c r="AR32" s="7">
        <f>IF($W$6=FALSE,0,IF(C32=FALSE,0,300+170))</f>
        <v>0</v>
      </c>
      <c r="AS32" s="7"/>
      <c r="AT32" s="7"/>
      <c r="AU32" s="7">
        <f>IF($U$6=FALSE,0,SUM(AR32:AT32))</f>
        <v>0</v>
      </c>
      <c r="AV32" s="22">
        <f>AU32*$L$5</f>
        <v>0</v>
      </c>
      <c r="AW32" s="22">
        <f>AP32+AV32</f>
        <v>0</v>
      </c>
      <c r="AX32" s="7">
        <f>IF($W$7=FALSE,0,IF(C32=FALSE,0,0))</f>
        <v>0</v>
      </c>
      <c r="AY32" s="22">
        <f>IF($U$6=FALSE,0,SUM(AX32:AX32))</f>
        <v>0</v>
      </c>
      <c r="AZ32" s="22">
        <f>AW32+AY32</f>
        <v>0</v>
      </c>
      <c r="BA32" s="228" t="str">
        <f>$A$32</f>
        <v>印尼</v>
      </c>
      <c r="BB32" s="27">
        <f>AP32</f>
        <v>0</v>
      </c>
      <c r="BC32" s="27">
        <f>AV32</f>
        <v>0</v>
      </c>
      <c r="BD32" s="27">
        <f>AY32</f>
        <v>0</v>
      </c>
      <c r="BF32" s="3" t="s">
        <v>132</v>
      </c>
      <c r="BG32" s="27">
        <f>AB32</f>
        <v>0</v>
      </c>
      <c r="BH32" s="27">
        <f t="shared" si="13"/>
        <v>0</v>
      </c>
      <c r="BI32" s="27">
        <f>AZ32</f>
        <v>0</v>
      </c>
      <c r="BJ32" s="92">
        <f t="shared" si="15"/>
        <v>0</v>
      </c>
      <c r="BK32" s="93">
        <f>BG32+BH32</f>
        <v>0</v>
      </c>
      <c r="BL32" s="96">
        <f>BG32+BI32</f>
        <v>0</v>
      </c>
      <c r="BM32" s="96">
        <f>BG32+BH32+BI32</f>
        <v>0</v>
      </c>
      <c r="BN32" s="93">
        <f>BI32+BJ32</f>
        <v>0</v>
      </c>
      <c r="BO32" s="93">
        <f>BK32+BN32</f>
        <v>0</v>
      </c>
      <c r="BQ32" s="27">
        <f>AB32</f>
        <v>0</v>
      </c>
      <c r="BR32" s="27">
        <f>AZ32</f>
        <v>0</v>
      </c>
      <c r="BT32" s="27">
        <f t="shared" ref="BT32:BV33" si="39">AD32</f>
        <v>0</v>
      </c>
      <c r="BU32" s="27">
        <f t="shared" si="39"/>
        <v>0</v>
      </c>
      <c r="BV32" s="27">
        <f t="shared" si="39"/>
        <v>0</v>
      </c>
      <c r="BW32" s="27">
        <f>BH32+BI32+BJ32</f>
        <v>0</v>
      </c>
    </row>
    <row r="33" spans="1:82" x14ac:dyDescent="0.25">
      <c r="A33" s="216"/>
      <c r="B33" s="98" t="s">
        <v>312</v>
      </c>
      <c r="C33" s="11" t="b">
        <v>0</v>
      </c>
      <c r="D33" s="269"/>
      <c r="E33" s="148" t="str">
        <f>IF(C33=FALSE,"不申請",IF(OR(C21=TRUE,C22=TRUE,C28=TRUE,C31=TRUE,C29=TRUE,C30=TRUE,C27=TRUE),"翻譯案","異常"))</f>
        <v>不申請</v>
      </c>
      <c r="F33" s="3" t="s">
        <v>16</v>
      </c>
      <c r="G33" s="7">
        <f>IF($W$5=FALSE,0,IF(C33=FALSE,0,80))</f>
        <v>0</v>
      </c>
      <c r="H33" s="7">
        <f>IF($W$5=FALSE,0,IF(C33=FALSE,0,50))</f>
        <v>0</v>
      </c>
      <c r="I33" s="7">
        <f>IF($W$5=FALSE,0,IF(C33=FALSE,0,IF($B$7&lt;11,0,7.5*($B$7-10))))</f>
        <v>0</v>
      </c>
      <c r="J33" s="7"/>
      <c r="K33" s="7">
        <f>IF($U$5=FALSE,0,SUM(G33:J33))</f>
        <v>0</v>
      </c>
      <c r="L33" s="23">
        <f>K33*$L$5</f>
        <v>0</v>
      </c>
      <c r="M33" s="3" t="s">
        <v>16</v>
      </c>
      <c r="N33" s="7">
        <f>IF($W$6=FALSE,0,IF(C33=FALSE,0,650))</f>
        <v>0</v>
      </c>
      <c r="O33" s="10">
        <f>IF($W$6=FALSE,0,IF(C33=FALSE,0,IF(OR(C21=TRUE,C22=TRUE,C28=TRUE,C31=TRUE,C29=TRUE,C30=TRUE,C27=TRUE),$B$6/100*30,"欠缺英文案")))</f>
        <v>0</v>
      </c>
      <c r="P33" s="7">
        <f>IF($W$6=FALSE,0,IF(C33=FALSE,0,500))</f>
        <v>0</v>
      </c>
      <c r="Q33" s="7"/>
      <c r="R33" s="7"/>
      <c r="S33" s="7">
        <f>IF($W$6=FALSE,0,IF(C33=FALSE,0,30*$B$9))</f>
        <v>0</v>
      </c>
      <c r="T33" s="7">
        <f>IF($U$5=FALSE,0,SUM(N33:S33))</f>
        <v>0</v>
      </c>
      <c r="U33" s="23">
        <f>T33*$L$5</f>
        <v>0</v>
      </c>
      <c r="V33" s="23">
        <f>L33+U33</f>
        <v>0</v>
      </c>
      <c r="W33" s="10">
        <f t="shared" si="38"/>
        <v>0</v>
      </c>
      <c r="X33" s="10"/>
      <c r="Y33" s="10"/>
      <c r="Z33" s="7"/>
      <c r="AA33" s="23">
        <f>IF($U$5=FALSE,0,SUM(W33:Z33))</f>
        <v>0</v>
      </c>
      <c r="AB33" s="23">
        <f>V33+AA33</f>
        <v>0</v>
      </c>
      <c r="AC33" s="216"/>
      <c r="AD33" s="27">
        <f>L33</f>
        <v>0</v>
      </c>
      <c r="AE33" s="27">
        <f>U33</f>
        <v>0</v>
      </c>
      <c r="AF33" s="27">
        <f>AA33</f>
        <v>0</v>
      </c>
      <c r="AG33" s="216"/>
      <c r="AH33" s="267"/>
      <c r="AI33" s="216"/>
      <c r="AJ33" s="11" t="str">
        <f>B33</f>
        <v>新型</v>
      </c>
      <c r="AK33" s="3" t="s">
        <v>16</v>
      </c>
      <c r="AL33" s="7">
        <f>IF($W$5=FALSE,0,IF(C33=FALSE,0,75))</f>
        <v>0</v>
      </c>
      <c r="AM33" s="7">
        <f>IF($W$5=FALSE,0,IF(C33=FALSE,0,5*$B$7))</f>
        <v>0</v>
      </c>
      <c r="AN33" s="7"/>
      <c r="AO33" s="7">
        <f>IF($U$6=FALSE,0,SUM(AL33:AN33))</f>
        <v>0</v>
      </c>
      <c r="AP33" s="22">
        <f>AO33*$L$5</f>
        <v>0</v>
      </c>
      <c r="AQ33" s="3" t="s">
        <v>16</v>
      </c>
      <c r="AR33" s="7">
        <f>IF($W$6=FALSE,0,IF(C33=FALSE,0,300+150))</f>
        <v>0</v>
      </c>
      <c r="AS33" s="7"/>
      <c r="AT33" s="7"/>
      <c r="AU33" s="7">
        <f>IF($U$6=FALSE,0,SUM(AR33:AT33))</f>
        <v>0</v>
      </c>
      <c r="AV33" s="22">
        <f>AU33*$L$5</f>
        <v>0</v>
      </c>
      <c r="AW33" s="22">
        <f>AP33+AV33</f>
        <v>0</v>
      </c>
      <c r="AX33" s="7">
        <f>IF($W$7=FALSE,0,IF(C33=FALSE,0,0))</f>
        <v>0</v>
      </c>
      <c r="AY33" s="22">
        <f>IF($U$6=FALSE,0,SUM(AX33:AX33))</f>
        <v>0</v>
      </c>
      <c r="AZ33" s="22">
        <f>AW33+AY33</f>
        <v>0</v>
      </c>
      <c r="BA33" s="216"/>
      <c r="BB33" s="27">
        <f>AP33</f>
        <v>0</v>
      </c>
      <c r="BC33" s="27">
        <f>AV33</f>
        <v>0</v>
      </c>
      <c r="BD33" s="27">
        <f>AY33</f>
        <v>0</v>
      </c>
      <c r="BF33" s="3" t="s">
        <v>133</v>
      </c>
      <c r="BG33" s="27">
        <f>AB33</f>
        <v>0</v>
      </c>
      <c r="BH33" s="27">
        <f t="shared" si="13"/>
        <v>0</v>
      </c>
      <c r="BI33" s="27">
        <f>AZ33</f>
        <v>0</v>
      </c>
      <c r="BJ33" s="92">
        <f t="shared" si="15"/>
        <v>0</v>
      </c>
      <c r="BK33" s="93">
        <f>BG33+BH33</f>
        <v>0</v>
      </c>
      <c r="BL33" s="96">
        <f>BG33+BI33</f>
        <v>0</v>
      </c>
      <c r="BM33" s="96">
        <f>BG33+BH33+BI33</f>
        <v>0</v>
      </c>
      <c r="BN33" s="93">
        <f>BI33+BJ33</f>
        <v>0</v>
      </c>
      <c r="BO33" s="93">
        <f>BK33+BN33</f>
        <v>0</v>
      </c>
      <c r="BQ33" s="27">
        <f>AB33</f>
        <v>0</v>
      </c>
      <c r="BR33" s="27">
        <f>AZ33</f>
        <v>0</v>
      </c>
      <c r="BT33" s="27">
        <f t="shared" si="39"/>
        <v>0</v>
      </c>
      <c r="BU33" s="27">
        <f t="shared" si="39"/>
        <v>0</v>
      </c>
      <c r="BV33" s="27">
        <f t="shared" si="39"/>
        <v>0</v>
      </c>
      <c r="BW33" s="27">
        <f>BH33+BI33+BJ33</f>
        <v>0</v>
      </c>
    </row>
    <row r="34" spans="1:82" x14ac:dyDescent="0.25">
      <c r="A34" s="215" t="s">
        <v>9</v>
      </c>
      <c r="B34" s="98" t="s">
        <v>311</v>
      </c>
      <c r="C34" s="11" t="b">
        <v>0</v>
      </c>
      <c r="D34" s="269"/>
      <c r="E34" s="148" t="str">
        <f>IF(C34=FALSE,"不申請",IF(OR(C21=TRUE,C22=TRUE,C28=TRUE,C31=TRUE,C29=TRUE,C30=TRUE,C27=TRUE),"翻譯案","異常"))</f>
        <v>不申請</v>
      </c>
      <c r="F34" s="3" t="s">
        <v>21</v>
      </c>
      <c r="G34" s="7">
        <f>IF($W$5=FALSE,0,IF(C34=FALSE,0,150000+120000+60000*($B$9-1)))</f>
        <v>0</v>
      </c>
      <c r="H34" s="7">
        <f>IF($W$5=FALSE,0,IF(C34=FALSE,0,180000+1320000))</f>
        <v>0</v>
      </c>
      <c r="I34" s="7"/>
      <c r="J34" s="7">
        <f>IF($W$5=FALSE,0,IF(C34=FALSE,0,IF($B$8&lt;2,0,(180000+1320000)*($B$8-1))))</f>
        <v>0</v>
      </c>
      <c r="K34" s="7">
        <f t="shared" si="0"/>
        <v>0</v>
      </c>
      <c r="L34" s="23">
        <f>K34*$N$7</f>
        <v>0</v>
      </c>
      <c r="M34" s="3" t="s">
        <v>16</v>
      </c>
      <c r="N34" s="7">
        <f>IF($W$6=FALSE,0,IF(C34=FALSE,0,125+40+10*($B$9-1)))</f>
        <v>0</v>
      </c>
      <c r="O34" s="10">
        <f>IF($W$6=FALSE,0,IF(C34=FALSE,0,IF(OR(C21=TRUE,C22=TRUE,C28=TRUE,C31=TRUE,C29=TRUE,C30=TRUE,C27=TRUE),$B$6/100*12,"欠缺英文案")))</f>
        <v>0</v>
      </c>
      <c r="P34" s="7">
        <f>IF($W$6=FALSE,0,IF(C34=FALSE,0,140+95))</f>
        <v>0</v>
      </c>
      <c r="Q34" s="7"/>
      <c r="R34" s="7">
        <f>IF($W$6=FALSE,0,IF(C34=FALSE,0,IF($B$8&lt;2,0,(68+55)*($B$8-1))))</f>
        <v>0</v>
      </c>
      <c r="S34" s="7"/>
      <c r="T34" s="7">
        <f t="shared" si="1"/>
        <v>0</v>
      </c>
      <c r="U34" s="23">
        <f>T34*$L$5</f>
        <v>0</v>
      </c>
      <c r="V34" s="23">
        <f t="shared" si="24"/>
        <v>0</v>
      </c>
      <c r="W34" s="10">
        <f t="shared" ref="W34:W37" si="40">IF($W$7=FALSE,0,IF(E34="不申請",0,IF(E34="初稿案",30000,IF(E34="翻譯案",30000,IF(E34="同語言轉換案",30000,999999)))))</f>
        <v>0</v>
      </c>
      <c r="X34" s="10"/>
      <c r="Y34" s="10"/>
      <c r="Z34" s="7"/>
      <c r="AA34" s="23">
        <f t="shared" si="2"/>
        <v>0</v>
      </c>
      <c r="AB34" s="23">
        <f t="shared" si="3"/>
        <v>0</v>
      </c>
      <c r="AC34" s="228" t="str">
        <f>$A$34</f>
        <v>越南</v>
      </c>
      <c r="AD34" s="27">
        <f t="shared" si="4"/>
        <v>0</v>
      </c>
      <c r="AE34" s="27">
        <f t="shared" si="5"/>
        <v>0</v>
      </c>
      <c r="AF34" s="27">
        <f t="shared" si="6"/>
        <v>0</v>
      </c>
      <c r="AG34" s="228"/>
      <c r="AH34" s="266"/>
      <c r="AI34" s="228" t="str">
        <f>$A$34</f>
        <v>越南</v>
      </c>
      <c r="AJ34" s="11" t="str">
        <f t="shared" si="7"/>
        <v>發明</v>
      </c>
      <c r="AK34" s="3" t="str">
        <f t="shared" si="25"/>
        <v>VND</v>
      </c>
      <c r="AL34" s="7">
        <f>IF($W$5=FALSE,0,IF(C34=FALSE,0,240000+120000+800000+60000*($B$9-1)))</f>
        <v>0</v>
      </c>
      <c r="AM34" s="7"/>
      <c r="AN34" s="7">
        <f>IF($W$5=FALSE,0,IF(C34=FALSE,0,IF($B$8&lt;2,0,($B$8-1)*(100000+400000))))</f>
        <v>0</v>
      </c>
      <c r="AO34" s="7">
        <f t="shared" si="8"/>
        <v>0</v>
      </c>
      <c r="AP34" s="22">
        <f>AO34*$N$7</f>
        <v>0</v>
      </c>
      <c r="AQ34" s="3" t="str">
        <f t="shared" si="26"/>
        <v>USD</v>
      </c>
      <c r="AR34" s="7">
        <f>IF($W$6=FALSE,0,IF(C34=FALSE,0,160+40+65+10*($B$9-1)))</f>
        <v>0</v>
      </c>
      <c r="AS34" s="7"/>
      <c r="AT34" s="7">
        <f>IF($W$6=FALSE,0,IF(C34=FALSE,0,IF($B$8&lt;2,0,($B$8-1)*(18+11))))</f>
        <v>0</v>
      </c>
      <c r="AU34" s="7">
        <f t="shared" si="9"/>
        <v>0</v>
      </c>
      <c r="AV34" s="22">
        <f>AU34*$L$5</f>
        <v>0</v>
      </c>
      <c r="AW34" s="22">
        <f t="shared" si="10"/>
        <v>0</v>
      </c>
      <c r="AX34" s="7">
        <f t="shared" si="11"/>
        <v>0</v>
      </c>
      <c r="AY34" s="22">
        <f t="shared" si="27"/>
        <v>0</v>
      </c>
      <c r="AZ34" s="22">
        <f t="shared" si="12"/>
        <v>0</v>
      </c>
      <c r="BA34" s="228" t="str">
        <f>$A$34</f>
        <v>越南</v>
      </c>
      <c r="BB34" s="27">
        <f t="shared" si="28"/>
        <v>0</v>
      </c>
      <c r="BC34" s="27">
        <f t="shared" si="29"/>
        <v>0</v>
      </c>
      <c r="BD34" s="27">
        <f t="shared" si="30"/>
        <v>0</v>
      </c>
      <c r="BF34" s="3" t="s">
        <v>107</v>
      </c>
      <c r="BG34" s="27">
        <f t="shared" si="31"/>
        <v>0</v>
      </c>
      <c r="BH34" s="27">
        <f t="shared" si="13"/>
        <v>0</v>
      </c>
      <c r="BI34" s="27">
        <f t="shared" si="14"/>
        <v>0</v>
      </c>
      <c r="BJ34" s="92">
        <f t="shared" si="15"/>
        <v>0</v>
      </c>
      <c r="BK34" s="93">
        <f t="shared" si="16"/>
        <v>0</v>
      </c>
      <c r="BL34" s="96">
        <f t="shared" si="32"/>
        <v>0</v>
      </c>
      <c r="BM34" s="96">
        <f t="shared" si="33"/>
        <v>0</v>
      </c>
      <c r="BN34" s="93">
        <f t="shared" si="34"/>
        <v>0</v>
      </c>
      <c r="BO34" s="93">
        <f t="shared" si="17"/>
        <v>0</v>
      </c>
      <c r="BQ34" s="27">
        <f t="shared" si="18"/>
        <v>0</v>
      </c>
      <c r="BR34" s="27">
        <f t="shared" si="19"/>
        <v>0</v>
      </c>
      <c r="BT34" s="27">
        <f t="shared" si="20"/>
        <v>0</v>
      </c>
      <c r="BU34" s="27">
        <f t="shared" si="21"/>
        <v>0</v>
      </c>
      <c r="BV34" s="27">
        <f t="shared" si="22"/>
        <v>0</v>
      </c>
      <c r="BW34" s="27">
        <f t="shared" si="23"/>
        <v>0</v>
      </c>
    </row>
    <row r="35" spans="1:82" x14ac:dyDescent="0.25">
      <c r="A35" s="216"/>
      <c r="B35" s="98" t="s">
        <v>312</v>
      </c>
      <c r="C35" s="11" t="b">
        <v>0</v>
      </c>
      <c r="D35" s="269"/>
      <c r="E35" s="148" t="str">
        <f>IF(C35=FALSE,"不申請",IF(OR(C21=TRUE,C22=TRUE,C28=TRUE,C31=TRUE,C29=TRUE,C30=TRUE,C27=TRUE),"翻譯案","異常"))</f>
        <v>不申請</v>
      </c>
      <c r="F35" s="3" t="s">
        <v>21</v>
      </c>
      <c r="G35" s="7">
        <f>IF($W$5=FALSE,0,IF(C35=FALSE,0,150000+120000+60000*($B$9-1)))</f>
        <v>0</v>
      </c>
      <c r="H35" s="7">
        <f>IF($W$5=FALSE,0,IF(C35=FALSE,0,180000+1320000))</f>
        <v>0</v>
      </c>
      <c r="I35" s="7"/>
      <c r="J35" s="7">
        <f>IF($W$5=FALSE,0,IF(C35=FALSE,0,IF($B$8&lt;2,0,(180000+1320000)*($B$8-1))))</f>
        <v>0</v>
      </c>
      <c r="K35" s="7">
        <f t="shared" si="0"/>
        <v>0</v>
      </c>
      <c r="L35" s="23">
        <f>K35*$N$7</f>
        <v>0</v>
      </c>
      <c r="M35" s="3" t="s">
        <v>16</v>
      </c>
      <c r="N35" s="7">
        <f>IF($W$6=FALSE,0,IF(C35=FALSE,0,125+40+10*($B$9-1)))</f>
        <v>0</v>
      </c>
      <c r="O35" s="10">
        <f>IF($W$6=FALSE,0,IF(C35=FALSE,0,IF(OR(C21=TRUE,C22=TRUE,C28=TRUE,C31=TRUE,C29=TRUE,C30=TRUE,C27=TRUE),$B$6/100*12,"欠缺英文案")))</f>
        <v>0</v>
      </c>
      <c r="P35" s="7">
        <f>IF($W$6=FALSE,0,IF(C35=FALSE,0,140+95))</f>
        <v>0</v>
      </c>
      <c r="Q35" s="7"/>
      <c r="R35" s="7">
        <f>IF($W$6=FALSE,0,IF(C35=FALSE,0,IF($B$8&lt;2,0,(68+55)*($B$8-1))))</f>
        <v>0</v>
      </c>
      <c r="S35" s="7"/>
      <c r="T35" s="7">
        <f t="shared" si="1"/>
        <v>0</v>
      </c>
      <c r="U35" s="23">
        <f>T35*$L$5</f>
        <v>0</v>
      </c>
      <c r="V35" s="23">
        <f t="shared" si="24"/>
        <v>0</v>
      </c>
      <c r="W35" s="10">
        <f t="shared" si="40"/>
        <v>0</v>
      </c>
      <c r="X35" s="10"/>
      <c r="Y35" s="10"/>
      <c r="Z35" s="7"/>
      <c r="AA35" s="23">
        <f t="shared" si="2"/>
        <v>0</v>
      </c>
      <c r="AB35" s="23">
        <f t="shared" si="3"/>
        <v>0</v>
      </c>
      <c r="AC35" s="216"/>
      <c r="AD35" s="27">
        <f t="shared" si="4"/>
        <v>0</v>
      </c>
      <c r="AE35" s="27">
        <f t="shared" si="5"/>
        <v>0</v>
      </c>
      <c r="AF35" s="27">
        <f t="shared" si="6"/>
        <v>0</v>
      </c>
      <c r="AG35" s="216"/>
      <c r="AH35" s="267"/>
      <c r="AI35" s="216"/>
      <c r="AJ35" s="11" t="str">
        <f t="shared" si="7"/>
        <v>新型</v>
      </c>
      <c r="AK35" s="3" t="str">
        <f t="shared" si="25"/>
        <v>VND</v>
      </c>
      <c r="AL35" s="7">
        <f>IF($W$5=FALSE,0,IF(C35=FALSE,0,240000+120000+800000+60000*($B$9-1)))</f>
        <v>0</v>
      </c>
      <c r="AM35" s="7"/>
      <c r="AN35" s="7">
        <f>IF($W$5=FALSE,0,IF(C35=FALSE,0,IF($B$8&lt;2,0,($B$8-1)*(100000+400000))))</f>
        <v>0</v>
      </c>
      <c r="AO35" s="7">
        <f t="shared" si="8"/>
        <v>0</v>
      </c>
      <c r="AP35" s="22">
        <f>AO35*$N$7</f>
        <v>0</v>
      </c>
      <c r="AQ35" s="3" t="str">
        <f t="shared" si="26"/>
        <v>USD</v>
      </c>
      <c r="AR35" s="7">
        <f>IF($W$6=FALSE,0,IF(C35=FALSE,0,160+40+65+10*($B$9-1)))</f>
        <v>0</v>
      </c>
      <c r="AS35" s="7"/>
      <c r="AT35" s="7">
        <f>IF($W$6=FALSE,0,IF(C35=FALSE,0,IF($B$8&lt;2,0,($B$8-1)*(18+11))))</f>
        <v>0</v>
      </c>
      <c r="AU35" s="7">
        <f t="shared" si="9"/>
        <v>0</v>
      </c>
      <c r="AV35" s="22">
        <f>AU35*$L$5</f>
        <v>0</v>
      </c>
      <c r="AW35" s="22">
        <f t="shared" si="10"/>
        <v>0</v>
      </c>
      <c r="AX35" s="7">
        <f t="shared" si="11"/>
        <v>0</v>
      </c>
      <c r="AY35" s="22">
        <f t="shared" si="27"/>
        <v>0</v>
      </c>
      <c r="AZ35" s="22">
        <f t="shared" si="12"/>
        <v>0</v>
      </c>
      <c r="BA35" s="216"/>
      <c r="BB35" s="27">
        <f t="shared" si="28"/>
        <v>0</v>
      </c>
      <c r="BC35" s="27">
        <f t="shared" si="29"/>
        <v>0</v>
      </c>
      <c r="BD35" s="27">
        <f t="shared" si="30"/>
        <v>0</v>
      </c>
      <c r="BF35" s="3" t="s">
        <v>108</v>
      </c>
      <c r="BG35" s="27">
        <f t="shared" si="31"/>
        <v>0</v>
      </c>
      <c r="BH35" s="27">
        <f t="shared" si="13"/>
        <v>0</v>
      </c>
      <c r="BI35" s="27">
        <f t="shared" si="14"/>
        <v>0</v>
      </c>
      <c r="BJ35" s="92">
        <f t="shared" si="15"/>
        <v>0</v>
      </c>
      <c r="BK35" s="93">
        <f t="shared" si="16"/>
        <v>0</v>
      </c>
      <c r="BL35" s="96">
        <f t="shared" si="32"/>
        <v>0</v>
      </c>
      <c r="BM35" s="96">
        <f t="shared" si="33"/>
        <v>0</v>
      </c>
      <c r="BN35" s="93">
        <f t="shared" si="34"/>
        <v>0</v>
      </c>
      <c r="BO35" s="93">
        <f t="shared" si="17"/>
        <v>0</v>
      </c>
      <c r="BQ35" s="27">
        <f t="shared" si="18"/>
        <v>0</v>
      </c>
      <c r="BR35" s="27">
        <f t="shared" si="19"/>
        <v>0</v>
      </c>
      <c r="BT35" s="27">
        <f t="shared" si="20"/>
        <v>0</v>
      </c>
      <c r="BU35" s="27">
        <f t="shared" si="21"/>
        <v>0</v>
      </c>
      <c r="BV35" s="27">
        <f t="shared" si="22"/>
        <v>0</v>
      </c>
      <c r="BW35" s="27">
        <f t="shared" si="23"/>
        <v>0</v>
      </c>
    </row>
    <row r="36" spans="1:82" x14ac:dyDescent="0.25">
      <c r="A36" s="215" t="s">
        <v>10</v>
      </c>
      <c r="B36" s="98" t="s">
        <v>311</v>
      </c>
      <c r="C36" s="11" t="b">
        <v>0</v>
      </c>
      <c r="D36" s="269"/>
      <c r="E36" s="148" t="str">
        <f>IF(C36=FALSE,"不申請",IF(OR(C21=TRUE,C22=TRUE,C28=TRUE,C31=TRUE,C29=TRUE,C30=TRUE,C27=TRUE),"翻譯案","異常"))</f>
        <v>不申請</v>
      </c>
      <c r="F36" s="3" t="s">
        <v>22</v>
      </c>
      <c r="G36" s="7">
        <f>IF($W$5=FALSE,0,IF(C36=FALSE,0,500))</f>
        <v>0</v>
      </c>
      <c r="H36" s="7">
        <f>IF($W$5=FALSE,0,IF(C36=FALSE,0,250+20000+50))</f>
        <v>0</v>
      </c>
      <c r="I36" s="7"/>
      <c r="J36" s="7"/>
      <c r="K36" s="7">
        <f t="shared" si="0"/>
        <v>0</v>
      </c>
      <c r="L36" s="23">
        <f>K36*$L$9</f>
        <v>0</v>
      </c>
      <c r="M36" s="3" t="s">
        <v>22</v>
      </c>
      <c r="N36" s="7">
        <f>IF($W$6=FALSE,0,IF(C36=FALSE,0,18000))</f>
        <v>0</v>
      </c>
      <c r="O36" s="10">
        <f>IF($W$6=FALSE,0,IF(C36=FALSE,0,IF(OR(C21=TRUE,C22=TRUE,C28=TRUE,C31=TRUE,C29=TRUE,C30=TRUE,C27=TRUE),$B$6/12*70,"欠缺英文案")))</f>
        <v>0</v>
      </c>
      <c r="P36" s="7">
        <f>IF($W$6=FALSE,0,IF(C36=FALSE,0,2800+4800+3600))</f>
        <v>0</v>
      </c>
      <c r="Q36" s="7"/>
      <c r="R36" s="7"/>
      <c r="S36" s="7">
        <f>IF($W$6=FALSE,0,IF(C36=FALSE,0,4000))</f>
        <v>0</v>
      </c>
      <c r="T36" s="7">
        <f t="shared" si="1"/>
        <v>0</v>
      </c>
      <c r="U36" s="23">
        <f>T36*$L$9</f>
        <v>0</v>
      </c>
      <c r="V36" s="23">
        <f t="shared" si="24"/>
        <v>0</v>
      </c>
      <c r="W36" s="10">
        <f t="shared" si="40"/>
        <v>0</v>
      </c>
      <c r="X36" s="10"/>
      <c r="Y36" s="10"/>
      <c r="Z36" s="7"/>
      <c r="AA36" s="23">
        <f t="shared" si="2"/>
        <v>0</v>
      </c>
      <c r="AB36" s="23">
        <f t="shared" si="3"/>
        <v>0</v>
      </c>
      <c r="AC36" s="228" t="str">
        <f>$A$36</f>
        <v>泰國</v>
      </c>
      <c r="AD36" s="27">
        <f t="shared" si="4"/>
        <v>0</v>
      </c>
      <c r="AE36" s="27">
        <f t="shared" si="5"/>
        <v>0</v>
      </c>
      <c r="AF36" s="27">
        <f t="shared" si="6"/>
        <v>0</v>
      </c>
      <c r="AG36" s="228"/>
      <c r="AH36" s="266"/>
      <c r="AI36" s="228" t="str">
        <f>$A$36</f>
        <v>泰國</v>
      </c>
      <c r="AJ36" s="11" t="str">
        <f t="shared" si="7"/>
        <v>發明</v>
      </c>
      <c r="AK36" s="3" t="str">
        <f t="shared" si="25"/>
        <v>THB</v>
      </c>
      <c r="AL36" s="7">
        <f>IF($W$5=FALSE,0,IF(C36=FALSE,0,500))</f>
        <v>0</v>
      </c>
      <c r="AM36" s="7"/>
      <c r="AN36" s="7"/>
      <c r="AO36" s="7">
        <f t="shared" si="8"/>
        <v>0</v>
      </c>
      <c r="AP36" s="22">
        <f>AO36*$L$9</f>
        <v>0</v>
      </c>
      <c r="AQ36" s="3" t="str">
        <f t="shared" si="26"/>
        <v>THB</v>
      </c>
      <c r="AR36" s="7">
        <f>IF($W$6=FALSE,0,IF(C36=FALSE,0,2800))</f>
        <v>0</v>
      </c>
      <c r="AS36" s="7"/>
      <c r="AT36" s="7"/>
      <c r="AU36" s="7">
        <f t="shared" si="9"/>
        <v>0</v>
      </c>
      <c r="AV36" s="22">
        <f>AU36*$L$9</f>
        <v>0</v>
      </c>
      <c r="AW36" s="22">
        <f t="shared" si="10"/>
        <v>0</v>
      </c>
      <c r="AX36" s="7">
        <f t="shared" si="11"/>
        <v>0</v>
      </c>
      <c r="AY36" s="22">
        <f t="shared" si="27"/>
        <v>0</v>
      </c>
      <c r="AZ36" s="22">
        <f t="shared" si="12"/>
        <v>0</v>
      </c>
      <c r="BA36" s="228" t="str">
        <f>$A$36</f>
        <v>泰國</v>
      </c>
      <c r="BB36" s="27">
        <f t="shared" si="28"/>
        <v>0</v>
      </c>
      <c r="BC36" s="27">
        <f t="shared" si="29"/>
        <v>0</v>
      </c>
      <c r="BD36" s="27">
        <f t="shared" si="30"/>
        <v>0</v>
      </c>
      <c r="BF36" s="3" t="s">
        <v>109</v>
      </c>
      <c r="BG36" s="27">
        <f t="shared" si="31"/>
        <v>0</v>
      </c>
      <c r="BH36" s="27">
        <f t="shared" si="13"/>
        <v>0</v>
      </c>
      <c r="BI36" s="27">
        <f t="shared" si="14"/>
        <v>0</v>
      </c>
      <c r="BJ36" s="92">
        <f t="shared" si="15"/>
        <v>0</v>
      </c>
      <c r="BK36" s="93">
        <f t="shared" si="16"/>
        <v>0</v>
      </c>
      <c r="BL36" s="96">
        <f t="shared" si="32"/>
        <v>0</v>
      </c>
      <c r="BM36" s="96">
        <f t="shared" si="33"/>
        <v>0</v>
      </c>
      <c r="BN36" s="93">
        <f t="shared" si="34"/>
        <v>0</v>
      </c>
      <c r="BO36" s="93">
        <f t="shared" si="17"/>
        <v>0</v>
      </c>
      <c r="BQ36" s="27">
        <f t="shared" si="18"/>
        <v>0</v>
      </c>
      <c r="BR36" s="27">
        <f t="shared" si="19"/>
        <v>0</v>
      </c>
      <c r="BT36" s="27">
        <f t="shared" si="20"/>
        <v>0</v>
      </c>
      <c r="BU36" s="27">
        <f t="shared" si="21"/>
        <v>0</v>
      </c>
      <c r="BV36" s="27">
        <f t="shared" si="22"/>
        <v>0</v>
      </c>
      <c r="BW36" s="27">
        <f t="shared" si="23"/>
        <v>0</v>
      </c>
    </row>
    <row r="37" spans="1:82" x14ac:dyDescent="0.25">
      <c r="A37" s="216"/>
      <c r="B37" s="98" t="s">
        <v>312</v>
      </c>
      <c r="C37" s="11" t="b">
        <v>0</v>
      </c>
      <c r="D37" s="270"/>
      <c r="E37" s="148" t="str">
        <f>IF(C37=FALSE,"不申請",IF(OR(C21=TRUE,C22=TRUE,C28=TRUE,C31=TRUE,C29=TRUE,C30=TRUE,C27=TRUE),"翻譯案","異常"))</f>
        <v>不申請</v>
      </c>
      <c r="F37" s="3" t="s">
        <v>22</v>
      </c>
      <c r="G37" s="7">
        <f>IF($W$5=FALSE,0,IF(C37=FALSE,0,250))</f>
        <v>0</v>
      </c>
      <c r="H37" s="7">
        <f>IF($W$5=FALSE,0,IF(C37=FALSE,0,250))</f>
        <v>0</v>
      </c>
      <c r="I37" s="7"/>
      <c r="J37" s="7"/>
      <c r="K37" s="7">
        <f t="shared" si="0"/>
        <v>0</v>
      </c>
      <c r="L37" s="23">
        <f>K37*$L$9</f>
        <v>0</v>
      </c>
      <c r="M37" s="3" t="s">
        <v>22</v>
      </c>
      <c r="N37" s="7">
        <f>IF($W$6=FALSE,0,IF(C37=FALSE,0,14000))</f>
        <v>0</v>
      </c>
      <c r="O37" s="10">
        <f>IF($W$6=FALSE,0,IF(C37=FALSE,0,IF(OR(C21=TRUE,C22=TRUE,C28=TRUE,C31=TRUE,C29=TRUE,C30=TRUE,C27=TRUE),$B$6/12*70,"欠缺英文案")))</f>
        <v>0</v>
      </c>
      <c r="P37" s="7">
        <f>IF($W$6=FALSE,0,IF(C37=FALSE,0,2800))</f>
        <v>0</v>
      </c>
      <c r="Q37" s="7"/>
      <c r="R37" s="7"/>
      <c r="S37" s="7">
        <f>IF($W$6=FALSE,0,IF(C37=FALSE,0,4000))</f>
        <v>0</v>
      </c>
      <c r="T37" s="7">
        <f t="shared" si="1"/>
        <v>0</v>
      </c>
      <c r="U37" s="23">
        <f>T37*$L$9</f>
        <v>0</v>
      </c>
      <c r="V37" s="23">
        <f t="shared" si="24"/>
        <v>0</v>
      </c>
      <c r="W37" s="10">
        <f t="shared" si="40"/>
        <v>0</v>
      </c>
      <c r="X37" s="10"/>
      <c r="Y37" s="10"/>
      <c r="Z37" s="7"/>
      <c r="AA37" s="23">
        <f t="shared" si="2"/>
        <v>0</v>
      </c>
      <c r="AB37" s="23">
        <f t="shared" si="3"/>
        <v>0</v>
      </c>
      <c r="AC37" s="216"/>
      <c r="AD37" s="27">
        <f t="shared" si="4"/>
        <v>0</v>
      </c>
      <c r="AE37" s="27">
        <f t="shared" si="5"/>
        <v>0</v>
      </c>
      <c r="AF37" s="27">
        <f t="shared" si="6"/>
        <v>0</v>
      </c>
      <c r="AG37" s="216"/>
      <c r="AH37" s="267"/>
      <c r="AI37" s="216"/>
      <c r="AJ37" s="11" t="str">
        <f t="shared" si="7"/>
        <v>新型</v>
      </c>
      <c r="AK37" s="3" t="str">
        <f t="shared" si="25"/>
        <v>THB</v>
      </c>
      <c r="AL37" s="7">
        <f>IF($W$5=FALSE,0,IF(C37=FALSE,0,500))</f>
        <v>0</v>
      </c>
      <c r="AM37" s="7"/>
      <c r="AN37" s="7"/>
      <c r="AO37" s="7">
        <f t="shared" si="8"/>
        <v>0</v>
      </c>
      <c r="AP37" s="22">
        <f>AO37*$L$9</f>
        <v>0</v>
      </c>
      <c r="AQ37" s="3" t="str">
        <f t="shared" si="26"/>
        <v>THB</v>
      </c>
      <c r="AR37" s="7">
        <f>IF($W$6=FALSE,0,IF(C37=FALSE,0,2800))</f>
        <v>0</v>
      </c>
      <c r="AS37" s="7"/>
      <c r="AT37" s="7"/>
      <c r="AU37" s="7">
        <f t="shared" si="9"/>
        <v>0</v>
      </c>
      <c r="AV37" s="22">
        <f>AU37*$L$9</f>
        <v>0</v>
      </c>
      <c r="AW37" s="22">
        <f t="shared" si="10"/>
        <v>0</v>
      </c>
      <c r="AX37" s="7">
        <f t="shared" si="11"/>
        <v>0</v>
      </c>
      <c r="AY37" s="22">
        <f t="shared" si="27"/>
        <v>0</v>
      </c>
      <c r="AZ37" s="22">
        <f t="shared" si="12"/>
        <v>0</v>
      </c>
      <c r="BA37" s="216"/>
      <c r="BB37" s="27">
        <f t="shared" si="28"/>
        <v>0</v>
      </c>
      <c r="BC37" s="27">
        <f t="shared" si="29"/>
        <v>0</v>
      </c>
      <c r="BD37" s="27">
        <f t="shared" si="30"/>
        <v>0</v>
      </c>
      <c r="BF37" s="3" t="s">
        <v>110</v>
      </c>
      <c r="BG37" s="27">
        <f t="shared" si="31"/>
        <v>0</v>
      </c>
      <c r="BH37" s="27">
        <f t="shared" si="13"/>
        <v>0</v>
      </c>
      <c r="BI37" s="27">
        <f t="shared" si="14"/>
        <v>0</v>
      </c>
      <c r="BJ37" s="92">
        <f t="shared" si="15"/>
        <v>0</v>
      </c>
      <c r="BK37" s="93">
        <f t="shared" si="16"/>
        <v>0</v>
      </c>
      <c r="BL37" s="96">
        <f t="shared" si="32"/>
        <v>0</v>
      </c>
      <c r="BM37" s="96">
        <f t="shared" si="33"/>
        <v>0</v>
      </c>
      <c r="BN37" s="93">
        <f t="shared" si="34"/>
        <v>0</v>
      </c>
      <c r="BO37" s="93">
        <f t="shared" si="17"/>
        <v>0</v>
      </c>
      <c r="BQ37" s="27">
        <f t="shared" si="18"/>
        <v>0</v>
      </c>
      <c r="BR37" s="27">
        <f t="shared" si="19"/>
        <v>0</v>
      </c>
      <c r="BT37" s="27">
        <f t="shared" si="20"/>
        <v>0</v>
      </c>
      <c r="BU37" s="27">
        <f t="shared" si="21"/>
        <v>0</v>
      </c>
      <c r="BV37" s="27">
        <f t="shared" si="22"/>
        <v>0</v>
      </c>
      <c r="BW37" s="27">
        <f t="shared" si="23"/>
        <v>0</v>
      </c>
    </row>
    <row r="38" spans="1:82" ht="20.25" thickBot="1" x14ac:dyDescent="0.3">
      <c r="A38" s="5"/>
      <c r="B38" s="5"/>
      <c r="C38" s="5"/>
      <c r="D38" s="5"/>
      <c r="E38" s="143"/>
      <c r="F38" s="5"/>
      <c r="G38" s="5"/>
      <c r="H38" s="5"/>
      <c r="I38" s="5"/>
      <c r="J38" s="5"/>
      <c r="K38" s="8" t="s">
        <v>50</v>
      </c>
      <c r="L38" s="24">
        <f>SUM(L17:L37)</f>
        <v>255039.95</v>
      </c>
      <c r="M38" s="5"/>
      <c r="N38" s="5"/>
      <c r="O38" s="5"/>
      <c r="P38" s="5"/>
      <c r="Q38" s="5"/>
      <c r="R38" s="5"/>
      <c r="S38" s="5"/>
      <c r="T38" s="8" t="s">
        <v>50</v>
      </c>
      <c r="U38" s="24">
        <f>SUM(U17:U37)</f>
        <v>276348.7</v>
      </c>
      <c r="V38" s="24">
        <f>SUM(V17:V37)</f>
        <v>531388.65</v>
      </c>
      <c r="W38" s="5"/>
      <c r="X38" s="5"/>
      <c r="Y38" s="5"/>
      <c r="Z38" s="7"/>
      <c r="AA38" s="24">
        <f>SUM(AA17:AA37)</f>
        <v>355000</v>
      </c>
      <c r="AB38" s="24">
        <f>SUM(AB17:AB37)</f>
        <v>886388.64999999991</v>
      </c>
      <c r="AC38" s="3"/>
      <c r="AD38" s="27">
        <f t="shared" si="4"/>
        <v>255039.95</v>
      </c>
      <c r="AE38" s="27">
        <f t="shared" si="5"/>
        <v>276348.7</v>
      </c>
      <c r="AF38" s="27">
        <f t="shared" si="6"/>
        <v>355000</v>
      </c>
      <c r="AG38" s="32"/>
      <c r="AH38" s="21">
        <f>SUM(AH17:AH37)</f>
        <v>85000</v>
      </c>
      <c r="AI38" s="3"/>
      <c r="AJ38" s="3"/>
      <c r="AK38" s="5"/>
      <c r="AL38" s="5"/>
      <c r="AM38" s="5"/>
      <c r="AN38" s="5"/>
      <c r="AO38" s="8" t="s">
        <v>50</v>
      </c>
      <c r="AP38" s="20">
        <f>SUM(AP17:AP37)</f>
        <v>85950.54</v>
      </c>
      <c r="AQ38" s="5"/>
      <c r="AR38" s="5"/>
      <c r="AS38" s="5"/>
      <c r="AT38" s="5"/>
      <c r="AU38" s="8" t="s">
        <v>50</v>
      </c>
      <c r="AV38" s="20">
        <f>SUM(AV17:AV37)</f>
        <v>144013</v>
      </c>
      <c r="AW38" s="20">
        <f>SUM(AW17:AW37)</f>
        <v>229963.54</v>
      </c>
      <c r="AX38" s="5"/>
      <c r="AY38" s="20">
        <f>SUM(AY17:AY37)</f>
        <v>25000</v>
      </c>
      <c r="AZ38" s="20">
        <f>SUM(AZ17:AZ37)</f>
        <v>254963.54</v>
      </c>
      <c r="BA38" s="3"/>
      <c r="BB38" s="19">
        <f>SUM(BB17:BB37)</f>
        <v>85950.54</v>
      </c>
      <c r="BC38" s="19">
        <f>SUM(BC17:BC37)</f>
        <v>144013</v>
      </c>
      <c r="BD38" s="19">
        <f>SUM(BD17:BD37)</f>
        <v>25000</v>
      </c>
      <c r="BF38" s="3"/>
      <c r="BG38" s="19">
        <f>SUM(BG17:BG37)</f>
        <v>886388.64999999991</v>
      </c>
      <c r="BH38" s="27">
        <f t="shared" ref="BH38" si="41">AB67</f>
        <v>771980.80000000005</v>
      </c>
      <c r="BI38" s="19">
        <f>SUM(BI17:BI37)</f>
        <v>254963.54</v>
      </c>
      <c r="BJ38" s="92">
        <f t="shared" ref="BJ38" si="42">AZ67</f>
        <v>4403700.773</v>
      </c>
      <c r="BK38" s="94">
        <f t="shared" si="16"/>
        <v>1658369.45</v>
      </c>
      <c r="BL38" s="97">
        <f t="shared" si="32"/>
        <v>1141352.19</v>
      </c>
      <c r="BM38" s="97">
        <f t="shared" si="32"/>
        <v>5175681.5729999999</v>
      </c>
      <c r="BN38" s="94">
        <f t="shared" si="34"/>
        <v>4658664.3130000001</v>
      </c>
      <c r="BO38" s="95">
        <f>SUM(BO17:BO37)</f>
        <v>6317033.7630000003</v>
      </c>
      <c r="BQ38" s="19">
        <f>SUM(BQ17:BQ37)</f>
        <v>886388.64999999991</v>
      </c>
      <c r="BR38" s="19">
        <f>SUM(BR17:BR37)</f>
        <v>254963.54</v>
      </c>
      <c r="BT38" s="19">
        <f>SUM(BT17:BT37)</f>
        <v>255039.95</v>
      </c>
      <c r="BU38" s="19">
        <f>SUM(BU17:BU37)</f>
        <v>276348.7</v>
      </c>
      <c r="BV38" s="19">
        <f>SUM(BV17:BV37)</f>
        <v>355000</v>
      </c>
      <c r="BW38" s="19">
        <f>SUM(BW17:BW37)</f>
        <v>5430645.1129999999</v>
      </c>
      <c r="BY38" s="19">
        <f>AH38</f>
        <v>85000</v>
      </c>
      <c r="BZ38" s="19">
        <f>BO38</f>
        <v>6317033.7630000003</v>
      </c>
      <c r="CB38" s="75">
        <f>BY38/BZ38</f>
        <v>1.3455682396041675E-2</v>
      </c>
      <c r="CC38" s="75">
        <v>1</v>
      </c>
    </row>
    <row r="39" spans="1:82" ht="20.25" thickTop="1" x14ac:dyDescent="0.25">
      <c r="E39" s="144"/>
      <c r="K39" s="80"/>
      <c r="L39" s="81"/>
      <c r="T39" s="80"/>
      <c r="U39" s="81"/>
      <c r="V39" s="81"/>
      <c r="Z39" s="82"/>
      <c r="AA39" s="81"/>
      <c r="AB39" s="81"/>
      <c r="AC39" s="83"/>
      <c r="AD39" s="82"/>
      <c r="AE39" s="82"/>
      <c r="AF39" s="82"/>
      <c r="AG39" s="87" t="s">
        <v>211</v>
      </c>
      <c r="AH39" s="86">
        <f>AH38/(AB38+AZ38)</f>
        <v>7.4473068650264734E-2</v>
      </c>
      <c r="AI39" s="83"/>
      <c r="AJ39" s="83"/>
      <c r="AL39" s="171" t="s">
        <v>350</v>
      </c>
      <c r="AO39" s="80"/>
      <c r="AP39" s="81"/>
      <c r="AR39" s="171" t="s">
        <v>349</v>
      </c>
      <c r="AU39" s="80"/>
      <c r="AV39" s="81"/>
      <c r="AW39" s="81"/>
      <c r="AY39" s="81"/>
      <c r="AZ39" s="81"/>
      <c r="BA39" s="83"/>
      <c r="BB39" s="81"/>
      <c r="BC39" s="81"/>
      <c r="BD39" s="81"/>
      <c r="BF39" s="83"/>
      <c r="BG39" s="81"/>
      <c r="BH39" s="81"/>
      <c r="BI39" s="81"/>
      <c r="BJ39" s="81"/>
      <c r="BK39" s="81"/>
      <c r="BL39" s="81"/>
      <c r="BM39" s="81"/>
      <c r="BN39" s="81"/>
      <c r="BO39" s="81"/>
      <c r="BQ39" s="81"/>
      <c r="BR39" s="81"/>
      <c r="BT39" s="81"/>
      <c r="BU39" s="81"/>
      <c r="BV39" s="81"/>
      <c r="BW39" s="81"/>
      <c r="BY39" s="81"/>
      <c r="BZ39" s="81"/>
      <c r="CB39" s="84"/>
      <c r="CC39" s="84"/>
    </row>
    <row r="40" spans="1:82" ht="19.5" x14ac:dyDescent="0.25">
      <c r="E40" s="144"/>
      <c r="K40" s="80"/>
      <c r="L40" s="81"/>
      <c r="T40" s="80"/>
      <c r="U40" s="81"/>
      <c r="V40" s="81"/>
      <c r="Z40" s="82"/>
      <c r="AA40" s="81"/>
      <c r="AB40" s="81"/>
      <c r="AC40" s="83"/>
      <c r="AD40" s="82"/>
      <c r="AE40" s="82"/>
      <c r="AF40" s="82"/>
      <c r="AG40" s="72"/>
      <c r="AH40" s="33"/>
      <c r="AI40" s="83"/>
      <c r="AJ40" s="83"/>
      <c r="AO40" s="80"/>
      <c r="AP40" s="81"/>
      <c r="AU40" s="80"/>
      <c r="AV40" s="81"/>
      <c r="AW40" s="81"/>
      <c r="AX40" s="171"/>
      <c r="AY40" s="81"/>
      <c r="AZ40" s="81"/>
      <c r="BA40" s="83"/>
      <c r="BB40" s="81"/>
      <c r="BC40" s="81"/>
      <c r="BD40" s="81"/>
      <c r="BF40" s="83"/>
      <c r="BG40" s="81"/>
      <c r="BH40" s="81"/>
      <c r="BI40" s="81"/>
      <c r="BJ40" s="81"/>
      <c r="BK40" s="81"/>
      <c r="BL40" s="81"/>
      <c r="BM40" s="81"/>
      <c r="BN40" s="81"/>
      <c r="BO40" s="81"/>
      <c r="BQ40" s="81"/>
      <c r="BR40" s="81"/>
      <c r="BT40" s="81"/>
      <c r="BU40" s="81"/>
      <c r="BV40" s="81"/>
      <c r="BW40" s="81"/>
      <c r="BY40" s="81"/>
      <c r="BZ40" s="81"/>
      <c r="CB40" s="84"/>
      <c r="CC40" s="84"/>
    </row>
    <row r="41" spans="1:82" ht="19.5" x14ac:dyDescent="0.25">
      <c r="E41" s="144"/>
      <c r="K41" s="80"/>
      <c r="L41" s="81"/>
      <c r="T41" s="80"/>
      <c r="U41" s="81"/>
      <c r="V41" s="81"/>
      <c r="Z41" s="82"/>
      <c r="AA41" s="81"/>
      <c r="AB41" s="81"/>
      <c r="AC41" s="83"/>
      <c r="AD41" s="82"/>
      <c r="AE41" s="82"/>
      <c r="AF41" s="82"/>
      <c r="AG41" s="72"/>
      <c r="AH41" s="33"/>
      <c r="AI41" s="83"/>
      <c r="AJ41" s="83"/>
      <c r="AO41" s="80"/>
      <c r="AP41" s="81"/>
      <c r="AU41" s="80"/>
      <c r="AV41" s="81"/>
      <c r="AW41" s="81"/>
      <c r="AY41" s="81"/>
      <c r="AZ41" s="81"/>
      <c r="BA41" s="83"/>
      <c r="BB41" s="81"/>
      <c r="BC41" s="81"/>
      <c r="BD41" s="81"/>
      <c r="BF41" s="83"/>
      <c r="BG41" s="81"/>
      <c r="BH41" s="81"/>
      <c r="BI41" s="81"/>
      <c r="BJ41" s="81"/>
      <c r="BK41" s="81"/>
      <c r="BL41" s="81"/>
      <c r="BM41" s="81"/>
      <c r="BN41" s="81"/>
      <c r="BO41" s="81"/>
      <c r="BQ41" s="81"/>
      <c r="BR41" s="81"/>
      <c r="BT41" s="81"/>
      <c r="BU41" s="81"/>
      <c r="BV41" s="81"/>
      <c r="BW41" s="81"/>
      <c r="BY41" s="81"/>
      <c r="BZ41" s="81"/>
      <c r="CB41" s="84"/>
      <c r="CC41" s="84"/>
    </row>
    <row r="42" spans="1:82" ht="19.5" x14ac:dyDescent="0.25">
      <c r="A42" s="9" t="s">
        <v>273</v>
      </c>
      <c r="E42" s="144"/>
      <c r="K42" s="80"/>
      <c r="L42" s="81"/>
      <c r="T42" s="80"/>
      <c r="U42" s="81"/>
      <c r="V42" s="81"/>
      <c r="Z42" s="82"/>
      <c r="AA42" s="81"/>
      <c r="AB42" s="81"/>
      <c r="AC42" s="83"/>
      <c r="AD42" s="82"/>
      <c r="AE42" s="82"/>
      <c r="AF42" s="82"/>
      <c r="AG42" s="72"/>
      <c r="AH42" s="85"/>
      <c r="AI42" s="9" t="s">
        <v>272</v>
      </c>
      <c r="AJ42" s="83"/>
      <c r="AO42" s="80"/>
      <c r="AP42" s="81"/>
      <c r="AU42" s="80"/>
      <c r="AV42" s="81"/>
      <c r="AW42" s="81"/>
      <c r="AY42" s="81"/>
      <c r="AZ42" s="81"/>
      <c r="BA42" s="83"/>
      <c r="BB42" s="81"/>
      <c r="BC42" s="81"/>
      <c r="BD42" s="81"/>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row>
    <row r="43" spans="1:82" ht="16.5" customHeight="1" x14ac:dyDescent="0.25">
      <c r="A43" s="224" t="s">
        <v>210</v>
      </c>
      <c r="B43" s="225"/>
      <c r="C43" s="225"/>
      <c r="D43" s="225"/>
      <c r="E43" s="225"/>
      <c r="F43" s="225"/>
      <c r="G43" s="225"/>
      <c r="H43" s="225"/>
      <c r="I43" s="225"/>
      <c r="J43" s="225"/>
      <c r="K43" s="225"/>
      <c r="L43" s="225"/>
      <c r="M43" s="225"/>
      <c r="N43" s="225"/>
      <c r="O43" s="225"/>
      <c r="P43" s="225"/>
      <c r="Q43" s="225"/>
      <c r="R43" s="225"/>
      <c r="S43" s="225"/>
      <c r="T43" s="225"/>
      <c r="U43" s="225"/>
      <c r="V43" s="226"/>
      <c r="W43" s="226"/>
      <c r="X43" s="226"/>
      <c r="Y43" s="226"/>
      <c r="Z43" s="226"/>
      <c r="AA43" s="226"/>
      <c r="AB43" s="227"/>
      <c r="AD43" s="229" t="s">
        <v>212</v>
      </c>
      <c r="AE43" s="230"/>
      <c r="AF43" s="230"/>
      <c r="AI43" s="264" t="s">
        <v>209</v>
      </c>
      <c r="AJ43" s="265"/>
      <c r="AK43" s="265"/>
      <c r="AL43" s="265"/>
      <c r="AM43" s="265"/>
      <c r="AN43" s="265"/>
      <c r="AO43" s="265"/>
      <c r="AP43" s="265"/>
      <c r="AQ43" s="265"/>
      <c r="AR43" s="265"/>
      <c r="AS43" s="265"/>
      <c r="AT43" s="265"/>
      <c r="AU43" s="265"/>
      <c r="AV43" s="265"/>
      <c r="AW43" s="265"/>
      <c r="AX43" s="265"/>
      <c r="AY43" s="265"/>
      <c r="AZ43" s="265"/>
      <c r="BA43" s="265"/>
      <c r="BB43" s="229" t="s">
        <v>214</v>
      </c>
      <c r="BC43" s="230"/>
      <c r="BD43" s="230"/>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row>
    <row r="44" spans="1:82" ht="33" customHeight="1" x14ac:dyDescent="0.25">
      <c r="A44" s="231" t="s">
        <v>114</v>
      </c>
      <c r="B44" s="231" t="s">
        <v>0</v>
      </c>
      <c r="C44" s="263" t="s">
        <v>310</v>
      </c>
      <c r="D44" s="76"/>
      <c r="E44" s="232" t="s">
        <v>315</v>
      </c>
      <c r="F44" s="234" t="s">
        <v>245</v>
      </c>
      <c r="G44" s="235"/>
      <c r="H44" s="235"/>
      <c r="I44" s="235"/>
      <c r="J44" s="235"/>
      <c r="K44" s="236"/>
      <c r="L44" s="237"/>
      <c r="M44" s="234" t="s">
        <v>246</v>
      </c>
      <c r="N44" s="235"/>
      <c r="O44" s="235"/>
      <c r="P44" s="235"/>
      <c r="Q44" s="235"/>
      <c r="R44" s="235"/>
      <c r="S44" s="235"/>
      <c r="T44" s="236"/>
      <c r="U44" s="237"/>
      <c r="V44" s="15" t="s">
        <v>247</v>
      </c>
      <c r="W44" s="238" t="s">
        <v>32</v>
      </c>
      <c r="X44" s="239"/>
      <c r="Y44" s="239"/>
      <c r="Z44" s="237"/>
      <c r="AA44" s="240" t="s">
        <v>248</v>
      </c>
      <c r="AB44" s="240" t="s">
        <v>249</v>
      </c>
      <c r="AC44" s="241" t="s">
        <v>114</v>
      </c>
      <c r="AD44" s="246" t="s">
        <v>250</v>
      </c>
      <c r="AE44" s="246" t="s">
        <v>251</v>
      </c>
      <c r="AF44" s="242" t="s">
        <v>252</v>
      </c>
      <c r="AG44" s="248"/>
      <c r="AH44" s="248"/>
      <c r="AI44" s="241" t="s">
        <v>114</v>
      </c>
      <c r="AJ44" s="245" t="s">
        <v>0</v>
      </c>
      <c r="AK44" s="250" t="s">
        <v>253</v>
      </c>
      <c r="AL44" s="251"/>
      <c r="AM44" s="251"/>
      <c r="AN44" s="251"/>
      <c r="AO44" s="252"/>
      <c r="AP44" s="253"/>
      <c r="AQ44" s="250" t="s">
        <v>254</v>
      </c>
      <c r="AR44" s="251"/>
      <c r="AS44" s="251"/>
      <c r="AT44" s="251"/>
      <c r="AU44" s="252"/>
      <c r="AV44" s="253"/>
      <c r="AW44" s="25" t="s">
        <v>255</v>
      </c>
      <c r="AX44" s="18" t="s">
        <v>32</v>
      </c>
      <c r="AY44" s="244" t="s">
        <v>256</v>
      </c>
      <c r="AZ44" s="244" t="s">
        <v>257</v>
      </c>
      <c r="BA44" s="241" t="s">
        <v>114</v>
      </c>
      <c r="BB44" s="246" t="s">
        <v>258</v>
      </c>
      <c r="BC44" s="246" t="s">
        <v>259</v>
      </c>
      <c r="BD44" s="242" t="s">
        <v>260</v>
      </c>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row>
    <row r="45" spans="1:82" x14ac:dyDescent="0.25">
      <c r="A45" s="231"/>
      <c r="B45" s="231"/>
      <c r="C45" s="241"/>
      <c r="D45" s="141"/>
      <c r="E45" s="233"/>
      <c r="F45" s="4" t="s">
        <v>13</v>
      </c>
      <c r="G45" s="3" t="s">
        <v>221</v>
      </c>
      <c r="H45" s="3" t="s">
        <v>218</v>
      </c>
      <c r="I45" s="3" t="s">
        <v>28</v>
      </c>
      <c r="J45" s="3" t="s">
        <v>219</v>
      </c>
      <c r="K45" s="4" t="s">
        <v>56</v>
      </c>
      <c r="L45" s="4" t="s">
        <v>47</v>
      </c>
      <c r="M45" s="4" t="s">
        <v>13</v>
      </c>
      <c r="N45" s="3" t="s">
        <v>216</v>
      </c>
      <c r="O45" s="3" t="s">
        <v>215</v>
      </c>
      <c r="P45" s="3" t="s">
        <v>217</v>
      </c>
      <c r="Q45" s="3" t="s">
        <v>218</v>
      </c>
      <c r="R45" s="3" t="s">
        <v>219</v>
      </c>
      <c r="S45" s="3" t="s">
        <v>33</v>
      </c>
      <c r="T45" s="4" t="s">
        <v>56</v>
      </c>
      <c r="U45" s="4" t="s">
        <v>47</v>
      </c>
      <c r="V45" s="4" t="s">
        <v>47</v>
      </c>
      <c r="W45" s="3" t="s">
        <v>215</v>
      </c>
      <c r="X45" s="3" t="s">
        <v>218</v>
      </c>
      <c r="Y45" s="3" t="s">
        <v>31</v>
      </c>
      <c r="Z45" s="3" t="s">
        <v>46</v>
      </c>
      <c r="AA45" s="231"/>
      <c r="AB45" s="231"/>
      <c r="AC45" s="241"/>
      <c r="AD45" s="247"/>
      <c r="AE45" s="247"/>
      <c r="AF45" s="243"/>
      <c r="AG45" s="249"/>
      <c r="AH45" s="249"/>
      <c r="AI45" s="241"/>
      <c r="AJ45" s="245"/>
      <c r="AK45" s="26" t="s">
        <v>13</v>
      </c>
      <c r="AL45" s="3" t="s">
        <v>222</v>
      </c>
      <c r="AM45" s="3"/>
      <c r="AN45" s="3"/>
      <c r="AO45" s="26" t="s">
        <v>56</v>
      </c>
      <c r="AP45" s="26" t="s">
        <v>47</v>
      </c>
      <c r="AQ45" s="26" t="s">
        <v>13</v>
      </c>
      <c r="AR45" s="3" t="s">
        <v>222</v>
      </c>
      <c r="AS45" s="3"/>
      <c r="AT45" s="3"/>
      <c r="AU45" s="26" t="s">
        <v>56</v>
      </c>
      <c r="AV45" s="26" t="s">
        <v>47</v>
      </c>
      <c r="AW45" s="26" t="s">
        <v>47</v>
      </c>
      <c r="AX45" s="3" t="s">
        <v>222</v>
      </c>
      <c r="AY45" s="245"/>
      <c r="AZ45" s="245"/>
      <c r="BA45" s="241"/>
      <c r="BB45" s="247"/>
      <c r="BC45" s="247"/>
      <c r="BD45" s="24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row>
    <row r="46" spans="1:82" x14ac:dyDescent="0.25">
      <c r="A46" s="215" t="s">
        <v>2</v>
      </c>
      <c r="B46" s="11" t="str">
        <f t="shared" ref="B46:C66" si="43">B17</f>
        <v>發明</v>
      </c>
      <c r="C46" s="11" t="b">
        <f t="shared" si="43"/>
        <v>1</v>
      </c>
      <c r="D46" s="11"/>
      <c r="E46" s="148" t="str">
        <f t="shared" ref="E46:E66" si="44">E17</f>
        <v>初稿案</v>
      </c>
      <c r="F46" s="3" t="s">
        <v>14</v>
      </c>
      <c r="G46" s="88"/>
      <c r="H46" s="88"/>
      <c r="I46" s="88"/>
      <c r="J46" s="88"/>
      <c r="K46" s="7">
        <f t="shared" ref="K46:K66" si="45">IF($U$8=FALSE,0,SUM(G46:J46))</f>
        <v>0</v>
      </c>
      <c r="L46" s="23">
        <f>K46*1</f>
        <v>0</v>
      </c>
      <c r="M46" s="3" t="s">
        <v>14</v>
      </c>
      <c r="N46" s="88"/>
      <c r="O46" s="88"/>
      <c r="P46" s="88"/>
      <c r="Q46" s="88"/>
      <c r="R46" s="88"/>
      <c r="S46" s="88"/>
      <c r="T46" s="7">
        <f t="shared" ref="T46:T66" si="46">IF($U$8=FALSE,0,SUM(N46:S46))</f>
        <v>0</v>
      </c>
      <c r="U46" s="23">
        <f>T46*1</f>
        <v>0</v>
      </c>
      <c r="V46" s="23">
        <f>L46+U46</f>
        <v>0</v>
      </c>
      <c r="W46" s="7">
        <f>IF($W$7=FALSE,0,IF(C46=FALSE,0,25000))</f>
        <v>25000</v>
      </c>
      <c r="X46" s="88"/>
      <c r="Y46" s="88"/>
      <c r="Z46" s="88"/>
      <c r="AA46" s="23">
        <f t="shared" ref="AA46:AA66" si="47">IF($U$8=FALSE,0,SUM(W46:Z46))</f>
        <v>25000</v>
      </c>
      <c r="AB46" s="23">
        <f t="shared" ref="AB46:AB66" si="48">V46+AA46</f>
        <v>25000</v>
      </c>
      <c r="AC46" s="228" t="str">
        <f>$A$17</f>
        <v>台灣</v>
      </c>
      <c r="AD46" s="27">
        <f t="shared" ref="AD46:AD67" si="49">L46</f>
        <v>0</v>
      </c>
      <c r="AE46" s="27">
        <f t="shared" ref="AE46:AE67" si="50">U46</f>
        <v>0</v>
      </c>
      <c r="AF46" s="27">
        <f t="shared" ref="AF46:AF67" si="51">AA46</f>
        <v>25000</v>
      </c>
      <c r="AG46" s="32"/>
      <c r="AH46" s="32"/>
      <c r="AI46" s="228" t="str">
        <f>$A$17</f>
        <v>台灣</v>
      </c>
      <c r="AJ46" s="11" t="str">
        <f t="shared" ref="AJ46:AJ66" si="52">B46</f>
        <v>發明</v>
      </c>
      <c r="AK46" s="3" t="str">
        <f>F46</f>
        <v>NTD</v>
      </c>
      <c r="AL46" s="7">
        <f>IF($W$5=FALSE,0,IF(C46=FALSE,0,HLOOKUP(選項!$M$2,'P(M)年費表'!$AH$2:$BG$24,2)))</f>
        <v>214800</v>
      </c>
      <c r="AM46" s="89"/>
      <c r="AN46" s="7"/>
      <c r="AO46" s="7">
        <f t="shared" ref="AO46:AO66" si="53">IF($U$7=FALSE,0,SUM(AL46:AN46))</f>
        <v>214800</v>
      </c>
      <c r="AP46" s="22">
        <f>AO46*1</f>
        <v>214800</v>
      </c>
      <c r="AQ46" s="3" t="str">
        <f>M46</f>
        <v>NTD</v>
      </c>
      <c r="AR46" s="7">
        <f>IF($W$6=FALSE,0,IF(C46=FALSE,0,HLOOKUP(選項!$M$2,'P(M)年費表'!$AH$29:$BG$51,2)))</f>
        <v>0</v>
      </c>
      <c r="AS46" s="7"/>
      <c r="AT46" s="7"/>
      <c r="AU46" s="7">
        <f t="shared" ref="AU46:AU66" si="54">IF($U$7=FALSE,0,SUM(AR46:AT46))</f>
        <v>0</v>
      </c>
      <c r="AV46" s="22">
        <f>AU46*1</f>
        <v>0</v>
      </c>
      <c r="AW46" s="22">
        <f t="shared" ref="AW46:AW66" si="55">AP46+AV46</f>
        <v>214800</v>
      </c>
      <c r="AX46" s="7">
        <f>IF($W$7=FALSE,0,IF(C46=FALSE,0,HLOOKUP(選項!$M$2,'P(M)年費表'!$AH$56:$BG$78,2)))</f>
        <v>57000</v>
      </c>
      <c r="AY46" s="22">
        <f t="shared" ref="AY46:AY66" si="56">IF($U$7=FALSE,0,SUM(AX46:AX46))</f>
        <v>57000</v>
      </c>
      <c r="AZ46" s="22">
        <f t="shared" ref="AZ46:AZ66" si="57">AW46+AY46</f>
        <v>271800</v>
      </c>
      <c r="BA46" s="228" t="str">
        <f>$A$17</f>
        <v>台灣</v>
      </c>
      <c r="BB46" s="27">
        <f>AP46</f>
        <v>214800</v>
      </c>
      <c r="BC46" s="27">
        <f>AV46</f>
        <v>0</v>
      </c>
      <c r="BD46" s="27">
        <f>AY46</f>
        <v>57000</v>
      </c>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row>
    <row r="47" spans="1:82" x14ac:dyDescent="0.25">
      <c r="A47" s="216"/>
      <c r="B47" s="11" t="str">
        <f t="shared" si="43"/>
        <v>新型</v>
      </c>
      <c r="C47" s="11" t="b">
        <f t="shared" si="43"/>
        <v>0</v>
      </c>
      <c r="D47" s="11"/>
      <c r="E47" s="148" t="str">
        <f t="shared" si="44"/>
        <v>不申請</v>
      </c>
      <c r="F47" s="3" t="s">
        <v>14</v>
      </c>
      <c r="G47" s="88"/>
      <c r="H47" s="88"/>
      <c r="I47" s="88"/>
      <c r="J47" s="88"/>
      <c r="K47" s="7">
        <f t="shared" si="45"/>
        <v>0</v>
      </c>
      <c r="L47" s="23">
        <f>K47*1</f>
        <v>0</v>
      </c>
      <c r="M47" s="3" t="s">
        <v>14</v>
      </c>
      <c r="N47" s="88"/>
      <c r="O47" s="88"/>
      <c r="P47" s="88"/>
      <c r="Q47" s="88"/>
      <c r="R47" s="88"/>
      <c r="S47" s="88"/>
      <c r="T47" s="7">
        <f t="shared" si="46"/>
        <v>0</v>
      </c>
      <c r="U47" s="23">
        <f>T47*1</f>
        <v>0</v>
      </c>
      <c r="V47" s="23">
        <f t="shared" ref="V47:V66" si="58">L47+U47</f>
        <v>0</v>
      </c>
      <c r="W47" s="88"/>
      <c r="X47" s="88"/>
      <c r="Y47" s="88"/>
      <c r="Z47" s="88"/>
      <c r="AA47" s="23">
        <f t="shared" si="47"/>
        <v>0</v>
      </c>
      <c r="AB47" s="23">
        <f t="shared" si="48"/>
        <v>0</v>
      </c>
      <c r="AC47" s="216"/>
      <c r="AD47" s="27">
        <f t="shared" si="49"/>
        <v>0</v>
      </c>
      <c r="AE47" s="27">
        <f t="shared" si="50"/>
        <v>0</v>
      </c>
      <c r="AF47" s="27">
        <f t="shared" si="51"/>
        <v>0</v>
      </c>
      <c r="AG47" s="32"/>
      <c r="AH47" s="32"/>
      <c r="AI47" s="216"/>
      <c r="AJ47" s="11" t="str">
        <f t="shared" si="52"/>
        <v>新型</v>
      </c>
      <c r="AK47" s="3" t="str">
        <f t="shared" ref="AK47:AK66" si="59">F47</f>
        <v>NTD</v>
      </c>
      <c r="AL47" s="7">
        <f>IF($W$5=FALSE,0,IF(C47=FALSE,0,HLOOKUP(選項!$M$2,'P(M)年費表'!$AH$2:$BG$24,3)))</f>
        <v>0</v>
      </c>
      <c r="AM47" s="89"/>
      <c r="AN47" s="7"/>
      <c r="AO47" s="7">
        <f t="shared" si="53"/>
        <v>0</v>
      </c>
      <c r="AP47" s="22">
        <f>AO47*1</f>
        <v>0</v>
      </c>
      <c r="AQ47" s="3" t="str">
        <f t="shared" ref="AQ47:AQ66" si="60">M47</f>
        <v>NTD</v>
      </c>
      <c r="AR47" s="7">
        <f>IF($W$6=FALSE,0,IF(C47=FALSE,0,HLOOKUP(選項!$M$2,'P(M)年費表'!$AH$29:$BG$51,3)))</f>
        <v>0</v>
      </c>
      <c r="AS47" s="7"/>
      <c r="AT47" s="7"/>
      <c r="AU47" s="7">
        <f t="shared" si="54"/>
        <v>0</v>
      </c>
      <c r="AV47" s="22">
        <f>AU47*1</f>
        <v>0</v>
      </c>
      <c r="AW47" s="22">
        <f t="shared" si="55"/>
        <v>0</v>
      </c>
      <c r="AX47" s="7">
        <f>IF($W$7=FALSE,0,IF(C47=FALSE,0,HLOOKUP(選項!$M$2,'P(M)年費表'!$AH$56:$BG$78,3)))</f>
        <v>0</v>
      </c>
      <c r="AY47" s="22">
        <f t="shared" si="56"/>
        <v>0</v>
      </c>
      <c r="AZ47" s="22">
        <f t="shared" si="57"/>
        <v>0</v>
      </c>
      <c r="BA47" s="216"/>
      <c r="BB47" s="27">
        <f t="shared" ref="BB47:BB66" si="61">AP47</f>
        <v>0</v>
      </c>
      <c r="BC47" s="27">
        <f t="shared" ref="BC47:BC66" si="62">AV47</f>
        <v>0</v>
      </c>
      <c r="BD47" s="27">
        <f t="shared" ref="BD47:BD66" si="63">AY47</f>
        <v>0</v>
      </c>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row>
    <row r="48" spans="1:82" x14ac:dyDescent="0.25">
      <c r="A48" s="215" t="s">
        <v>3</v>
      </c>
      <c r="B48" s="11" t="str">
        <f t="shared" si="43"/>
        <v>發明</v>
      </c>
      <c r="C48" s="11" t="b">
        <f t="shared" si="43"/>
        <v>1</v>
      </c>
      <c r="D48" s="11"/>
      <c r="E48" s="148" t="str">
        <f t="shared" si="44"/>
        <v>同語言轉換案</v>
      </c>
      <c r="F48" s="3" t="s">
        <v>15</v>
      </c>
      <c r="G48" s="88"/>
      <c r="H48" s="88"/>
      <c r="I48" s="88"/>
      <c r="J48" s="88"/>
      <c r="K48" s="7">
        <f t="shared" si="45"/>
        <v>0</v>
      </c>
      <c r="L48" s="23">
        <f>K48*$N$5</f>
        <v>0</v>
      </c>
      <c r="M48" s="3" t="s">
        <v>15</v>
      </c>
      <c r="N48" s="88"/>
      <c r="O48" s="7">
        <f>IF($W$6=FALSE,0,IF(C48=FALSE,0,200+1000))</f>
        <v>1200</v>
      </c>
      <c r="P48" s="88"/>
      <c r="Q48" s="88"/>
      <c r="R48" s="88"/>
      <c r="S48" s="88"/>
      <c r="T48" s="7">
        <f t="shared" si="46"/>
        <v>1200</v>
      </c>
      <c r="U48" s="23">
        <f>T48*$N$5</f>
        <v>5520</v>
      </c>
      <c r="V48" s="23">
        <f t="shared" si="58"/>
        <v>5520</v>
      </c>
      <c r="W48" s="7">
        <f>IF($W$7=FALSE,0,IF(C48=FALSE,0,25000))</f>
        <v>25000</v>
      </c>
      <c r="X48" s="88"/>
      <c r="Y48" s="88"/>
      <c r="Z48" s="88"/>
      <c r="AA48" s="23">
        <f t="shared" si="47"/>
        <v>25000</v>
      </c>
      <c r="AB48" s="23">
        <f t="shared" si="48"/>
        <v>30520</v>
      </c>
      <c r="AC48" s="228" t="str">
        <f>$A$19</f>
        <v>大陸</v>
      </c>
      <c r="AD48" s="27">
        <f t="shared" si="49"/>
        <v>0</v>
      </c>
      <c r="AE48" s="27">
        <f t="shared" si="50"/>
        <v>5520</v>
      </c>
      <c r="AF48" s="27">
        <f t="shared" si="51"/>
        <v>25000</v>
      </c>
      <c r="AG48" s="32"/>
      <c r="AH48" s="32"/>
      <c r="AI48" s="228" t="str">
        <f>$A$19</f>
        <v>大陸</v>
      </c>
      <c r="AJ48" s="11" t="str">
        <f t="shared" si="52"/>
        <v>發明</v>
      </c>
      <c r="AK48" s="3" t="str">
        <f t="shared" si="59"/>
        <v>CNY</v>
      </c>
      <c r="AL48" s="7">
        <f>IF($W$5=FALSE,0,IF(C48=FALSE,0,HLOOKUP(選項!$M$2,'P(M)年費表'!$AH$2:$BG$24,4)))</f>
        <v>81400</v>
      </c>
      <c r="AM48" s="89"/>
      <c r="AN48" s="7"/>
      <c r="AO48" s="7">
        <f t="shared" si="53"/>
        <v>81400</v>
      </c>
      <c r="AP48" s="22">
        <f>AO48*$N$5</f>
        <v>374440</v>
      </c>
      <c r="AQ48" s="3" t="str">
        <f t="shared" si="60"/>
        <v>CNY</v>
      </c>
      <c r="AR48" s="7">
        <f>IF($W$6=FALSE,0,IF(C48=FALSE,0,HLOOKUP(選項!$M$2,'P(M)年費表'!$AH$29:$BG$51,4)))</f>
        <v>3800</v>
      </c>
      <c r="AS48" s="7"/>
      <c r="AT48" s="7"/>
      <c r="AU48" s="7">
        <f t="shared" si="54"/>
        <v>3800</v>
      </c>
      <c r="AV48" s="22">
        <f>AU48*$N$5</f>
        <v>17480</v>
      </c>
      <c r="AW48" s="22">
        <f t="shared" si="55"/>
        <v>391920</v>
      </c>
      <c r="AX48" s="7">
        <f>IF($W$7=FALSE,0,IF(C48=FALSE,0,HLOOKUP(選項!$M$2,'P(M)年費表'!$AH$56:$BG$78,4)))</f>
        <v>57000</v>
      </c>
      <c r="AY48" s="22">
        <f t="shared" si="56"/>
        <v>57000</v>
      </c>
      <c r="AZ48" s="22">
        <f t="shared" si="57"/>
        <v>448920</v>
      </c>
      <c r="BA48" s="228" t="str">
        <f>$A$19</f>
        <v>大陸</v>
      </c>
      <c r="BB48" s="27">
        <f t="shared" si="61"/>
        <v>374440</v>
      </c>
      <c r="BC48" s="27">
        <f t="shared" si="62"/>
        <v>17480</v>
      </c>
      <c r="BD48" s="27">
        <f t="shared" si="63"/>
        <v>57000</v>
      </c>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row>
    <row r="49" spans="1:82" x14ac:dyDescent="0.25">
      <c r="A49" s="216"/>
      <c r="B49" s="11" t="str">
        <f t="shared" si="43"/>
        <v>新型</v>
      </c>
      <c r="C49" s="11" t="b">
        <f t="shared" si="43"/>
        <v>0</v>
      </c>
      <c r="D49" s="11"/>
      <c r="E49" s="148" t="str">
        <f t="shared" si="44"/>
        <v>不申請</v>
      </c>
      <c r="F49" s="3" t="s">
        <v>15</v>
      </c>
      <c r="G49" s="88"/>
      <c r="H49" s="88"/>
      <c r="I49" s="88"/>
      <c r="J49" s="88"/>
      <c r="K49" s="7">
        <f t="shared" si="45"/>
        <v>0</v>
      </c>
      <c r="L49" s="23">
        <f>K49*$N$5</f>
        <v>0</v>
      </c>
      <c r="M49" s="3" t="s">
        <v>15</v>
      </c>
      <c r="N49" s="88"/>
      <c r="O49" s="88"/>
      <c r="P49" s="88"/>
      <c r="Q49" s="88"/>
      <c r="R49" s="88"/>
      <c r="S49" s="88"/>
      <c r="T49" s="7">
        <f t="shared" si="46"/>
        <v>0</v>
      </c>
      <c r="U49" s="23">
        <f>T49*$N$5</f>
        <v>0</v>
      </c>
      <c r="V49" s="23">
        <f t="shared" si="58"/>
        <v>0</v>
      </c>
      <c r="W49" s="88"/>
      <c r="X49" s="88"/>
      <c r="Y49" s="88"/>
      <c r="Z49" s="88"/>
      <c r="AA49" s="23">
        <f t="shared" si="47"/>
        <v>0</v>
      </c>
      <c r="AB49" s="23">
        <f t="shared" si="48"/>
        <v>0</v>
      </c>
      <c r="AC49" s="216"/>
      <c r="AD49" s="27">
        <f t="shared" si="49"/>
        <v>0</v>
      </c>
      <c r="AE49" s="27">
        <f t="shared" si="50"/>
        <v>0</v>
      </c>
      <c r="AF49" s="27">
        <f t="shared" si="51"/>
        <v>0</v>
      </c>
      <c r="AG49" s="32"/>
      <c r="AH49" s="32"/>
      <c r="AI49" s="216"/>
      <c r="AJ49" s="11" t="str">
        <f t="shared" si="52"/>
        <v>新型</v>
      </c>
      <c r="AK49" s="3" t="str">
        <f t="shared" si="59"/>
        <v>CNY</v>
      </c>
      <c r="AL49" s="7">
        <f>IF($W$5=FALSE,0,IF(C49=FALSE,0,HLOOKUP(選項!$M$2,'P(M)年費表'!$AH$2:$BG$24,5)))</f>
        <v>0</v>
      </c>
      <c r="AM49" s="89"/>
      <c r="AN49" s="7"/>
      <c r="AO49" s="7">
        <f t="shared" si="53"/>
        <v>0</v>
      </c>
      <c r="AP49" s="22">
        <f>AO49*$N$5</f>
        <v>0</v>
      </c>
      <c r="AQ49" s="3" t="str">
        <f t="shared" si="60"/>
        <v>CNY</v>
      </c>
      <c r="AR49" s="7">
        <f>IF($W$6=FALSE,0,IF(C49=FALSE,0,HLOOKUP(選項!$M$2,'P(M)年費表'!$AH$29:$BG$51,5)))</f>
        <v>0</v>
      </c>
      <c r="AS49" s="7"/>
      <c r="AT49" s="7"/>
      <c r="AU49" s="7">
        <f t="shared" si="54"/>
        <v>0</v>
      </c>
      <c r="AV49" s="22">
        <f>AU49*$N$5</f>
        <v>0</v>
      </c>
      <c r="AW49" s="22">
        <f t="shared" si="55"/>
        <v>0</v>
      </c>
      <c r="AX49" s="7">
        <f>IF($W$7=FALSE,0,IF(C49=FALSE,0,HLOOKUP(選項!$M$2,'P(M)年費表'!$AH$56:$BG$78,5)))</f>
        <v>0</v>
      </c>
      <c r="AY49" s="22">
        <f t="shared" si="56"/>
        <v>0</v>
      </c>
      <c r="AZ49" s="22">
        <f t="shared" si="57"/>
        <v>0</v>
      </c>
      <c r="BA49" s="216"/>
      <c r="BB49" s="27">
        <f t="shared" si="61"/>
        <v>0</v>
      </c>
      <c r="BC49" s="27">
        <f t="shared" si="62"/>
        <v>0</v>
      </c>
      <c r="BD49" s="27">
        <f t="shared" si="63"/>
        <v>0</v>
      </c>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row>
    <row r="50" spans="1:82" x14ac:dyDescent="0.25">
      <c r="A50" s="3" t="s">
        <v>4</v>
      </c>
      <c r="B50" s="11" t="str">
        <f t="shared" si="43"/>
        <v>發明</v>
      </c>
      <c r="C50" s="11" t="b">
        <f t="shared" si="43"/>
        <v>1</v>
      </c>
      <c r="D50" s="11"/>
      <c r="E50" s="148" t="str">
        <f t="shared" si="44"/>
        <v>翻譯案</v>
      </c>
      <c r="F50" s="3" t="s">
        <v>16</v>
      </c>
      <c r="G50" s="88"/>
      <c r="H50" s="88"/>
      <c r="I50" s="88"/>
      <c r="J50" s="88"/>
      <c r="K50" s="7">
        <f t="shared" si="45"/>
        <v>0</v>
      </c>
      <c r="L50" s="23">
        <f>K50*$L$5</f>
        <v>0</v>
      </c>
      <c r="M50" s="3" t="s">
        <v>16</v>
      </c>
      <c r="N50" s="7">
        <f>IF($W$6=FALSE,0,IF(C50=FALSE,0,145))</f>
        <v>145</v>
      </c>
      <c r="O50" s="7">
        <f>IF($W$6=FALSE,0,IF(C50=FALSE,0,1100))</f>
        <v>1100</v>
      </c>
      <c r="P50" s="7">
        <f>IF($W$6=FALSE,0,IF(C50=FALSE,0,75))</f>
        <v>75</v>
      </c>
      <c r="Q50" s="88"/>
      <c r="R50" s="88"/>
      <c r="S50" s="88"/>
      <c r="T50" s="7">
        <f t="shared" si="46"/>
        <v>1320</v>
      </c>
      <c r="U50" s="23">
        <f>T50*$L$5</f>
        <v>43824.000000000007</v>
      </c>
      <c r="V50" s="23">
        <f t="shared" si="58"/>
        <v>43824.000000000007</v>
      </c>
      <c r="W50" s="7">
        <f>IF($W$7=FALSE,0,IF(C50=FALSE,0,40000))</f>
        <v>40000</v>
      </c>
      <c r="X50" s="88"/>
      <c r="Y50" s="88"/>
      <c r="Z50" s="88"/>
      <c r="AA50" s="23">
        <f t="shared" si="47"/>
        <v>40000</v>
      </c>
      <c r="AB50" s="23">
        <f t="shared" si="48"/>
        <v>83824</v>
      </c>
      <c r="AC50" s="14" t="str">
        <f>$A$21</f>
        <v>美國</v>
      </c>
      <c r="AD50" s="27">
        <f t="shared" si="49"/>
        <v>0</v>
      </c>
      <c r="AE50" s="27">
        <f t="shared" si="50"/>
        <v>43824.000000000007</v>
      </c>
      <c r="AF50" s="27">
        <f t="shared" si="51"/>
        <v>40000</v>
      </c>
      <c r="AG50" s="32"/>
      <c r="AH50" s="32"/>
      <c r="AI50" s="14" t="str">
        <f>$A$21</f>
        <v>美國</v>
      </c>
      <c r="AJ50" s="11" t="str">
        <f t="shared" si="52"/>
        <v>發明</v>
      </c>
      <c r="AK50" s="3" t="str">
        <f t="shared" si="59"/>
        <v>USD</v>
      </c>
      <c r="AL50" s="7">
        <f>IF($W$5=FALSE,0,IF(C50=FALSE,0,HLOOKUP(選項!$M$2,'P(M)年費表'!$AH$2:$BG$24,6)))</f>
        <v>5788</v>
      </c>
      <c r="AM50" s="89"/>
      <c r="AN50" s="7"/>
      <c r="AO50" s="7">
        <f t="shared" si="53"/>
        <v>5788</v>
      </c>
      <c r="AP50" s="22">
        <f>AO50*$L$5</f>
        <v>192161.6</v>
      </c>
      <c r="AQ50" s="3" t="str">
        <f t="shared" si="60"/>
        <v>USD</v>
      </c>
      <c r="AR50" s="7">
        <f>IF($W$6=FALSE,0,IF(C50=FALSE,0,HLOOKUP(選項!$M$2,'P(M)年費表'!$AH$29:$BG$51,6)))</f>
        <v>378</v>
      </c>
      <c r="AS50" s="7"/>
      <c r="AT50" s="7"/>
      <c r="AU50" s="7">
        <f t="shared" si="54"/>
        <v>378</v>
      </c>
      <c r="AV50" s="22">
        <f>AU50*$L$5</f>
        <v>12549.6</v>
      </c>
      <c r="AW50" s="22">
        <f t="shared" si="55"/>
        <v>204711.2</v>
      </c>
      <c r="AX50" s="7">
        <f>IF($W$7=FALSE,0,IF(C50=FALSE,0,HLOOKUP(選項!$M$2,'P(M)年費表'!$AH$56:$BG$78,6)))</f>
        <v>15000</v>
      </c>
      <c r="AY50" s="22">
        <f t="shared" si="56"/>
        <v>15000</v>
      </c>
      <c r="AZ50" s="22">
        <f t="shared" si="57"/>
        <v>219711.2</v>
      </c>
      <c r="BA50" s="14" t="str">
        <f>$A$21</f>
        <v>美國</v>
      </c>
      <c r="BB50" s="27">
        <f t="shared" si="61"/>
        <v>192161.6</v>
      </c>
      <c r="BC50" s="27">
        <f t="shared" si="62"/>
        <v>12549.6</v>
      </c>
      <c r="BD50" s="27">
        <f t="shared" si="63"/>
        <v>15000</v>
      </c>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row>
    <row r="51" spans="1:82" x14ac:dyDescent="0.25">
      <c r="A51" s="3" t="s">
        <v>5</v>
      </c>
      <c r="B51" s="11" t="str">
        <f t="shared" si="43"/>
        <v>發明</v>
      </c>
      <c r="C51" s="11" t="b">
        <f t="shared" si="43"/>
        <v>1</v>
      </c>
      <c r="D51" s="11"/>
      <c r="E51" s="148" t="str">
        <f t="shared" si="44"/>
        <v>同語言轉換案</v>
      </c>
      <c r="F51" s="3" t="s">
        <v>17</v>
      </c>
      <c r="G51" s="88"/>
      <c r="H51" s="7">
        <f>IF($W$5=FALSE,0,IF(C51=FALSE,0,1840))</f>
        <v>1840</v>
      </c>
      <c r="I51" s="88"/>
      <c r="J51" s="7">
        <f>IF($W$5=FALSE,0,IF(C51=FALSE,0,660))</f>
        <v>660</v>
      </c>
      <c r="K51" s="7">
        <f t="shared" si="45"/>
        <v>2500</v>
      </c>
      <c r="L51" s="23">
        <f>K51*$L$6</f>
        <v>86500</v>
      </c>
      <c r="M51" s="3" t="s">
        <v>17</v>
      </c>
      <c r="N51" s="7">
        <f>IF($W$6=FALSE,0,IF(C51=FALSE,0,0))</f>
        <v>0</v>
      </c>
      <c r="O51" s="7">
        <f>IF($W$6=FALSE,0,IF(C51=FALSE,0,1800))</f>
        <v>1800</v>
      </c>
      <c r="P51" s="88"/>
      <c r="Q51" s="7">
        <f>IF($W$6=FALSE,0,IF(C51=FALSE,0,110))</f>
        <v>110</v>
      </c>
      <c r="R51" s="7">
        <f>IF($W$6=FALSE,0,IF(C51=FALSE,0,70))</f>
        <v>70</v>
      </c>
      <c r="S51" s="88"/>
      <c r="T51" s="7">
        <f t="shared" si="46"/>
        <v>1980</v>
      </c>
      <c r="U51" s="23">
        <f>T51*$L$6</f>
        <v>68508</v>
      </c>
      <c r="V51" s="23">
        <f t="shared" si="58"/>
        <v>155008</v>
      </c>
      <c r="W51" s="7">
        <f>IF($W$7=FALSE,0,IF(C51=FALSE,0,40000))</f>
        <v>40000</v>
      </c>
      <c r="X51" s="88"/>
      <c r="Y51" s="88"/>
      <c r="Z51" s="88"/>
      <c r="AA51" s="23">
        <f t="shared" si="47"/>
        <v>40000</v>
      </c>
      <c r="AB51" s="23">
        <f t="shared" si="48"/>
        <v>195008</v>
      </c>
      <c r="AC51" s="14" t="str">
        <f>$A$22</f>
        <v>歐洲</v>
      </c>
      <c r="AD51" s="27">
        <f t="shared" si="49"/>
        <v>86500</v>
      </c>
      <c r="AE51" s="27">
        <f t="shared" si="50"/>
        <v>68508</v>
      </c>
      <c r="AF51" s="27">
        <f t="shared" si="51"/>
        <v>40000</v>
      </c>
      <c r="AG51" s="32"/>
      <c r="AH51" s="32"/>
      <c r="AI51" s="14" t="str">
        <f>$A$22</f>
        <v>歐洲</v>
      </c>
      <c r="AJ51" s="11" t="str">
        <f t="shared" si="52"/>
        <v>發明</v>
      </c>
      <c r="AK51" s="129" t="s">
        <v>16</v>
      </c>
      <c r="AL51" s="7">
        <f>IF($W$5=FALSE,0,IF(C51=FALSE,0,HLOOKUP(選項!$M$2,'P(M)年費表'!$AH$2:$BG$24,7)))</f>
        <v>31541.410000000003</v>
      </c>
      <c r="AM51" s="89"/>
      <c r="AN51" s="7"/>
      <c r="AO51" s="7">
        <f t="shared" si="53"/>
        <v>31541.410000000003</v>
      </c>
      <c r="AP51" s="91">
        <f>AO51*$L$5</f>
        <v>1047174.8120000002</v>
      </c>
      <c r="AQ51" s="129" t="s">
        <v>16</v>
      </c>
      <c r="AR51" s="7">
        <f>IF($W$6=FALSE,0,IF(C51=FALSE,0,HLOOKUP(選項!$M$2,'P(M)年費表'!$AH$29:$BG$51,7)))</f>
        <v>6680.28</v>
      </c>
      <c r="AS51" s="7"/>
      <c r="AT51" s="7"/>
      <c r="AU51" s="7">
        <f t="shared" si="54"/>
        <v>6680.28</v>
      </c>
      <c r="AV51" s="91">
        <f>AU51*$L$5</f>
        <v>221785.296</v>
      </c>
      <c r="AW51" s="22">
        <f t="shared" si="55"/>
        <v>1268960.1080000002</v>
      </c>
      <c r="AX51" s="7">
        <f>IF($W$7=FALSE,0,IF(C51=FALSE,0,HLOOKUP(選項!$M$2,'P(M)年費表'!$AH$56:$BG$78,7)))</f>
        <v>255000</v>
      </c>
      <c r="AY51" s="22">
        <f t="shared" si="56"/>
        <v>255000</v>
      </c>
      <c r="AZ51" s="22">
        <f t="shared" si="57"/>
        <v>1523960.1080000002</v>
      </c>
      <c r="BA51" s="14" t="str">
        <f>$A$22</f>
        <v>歐洲</v>
      </c>
      <c r="BB51" s="27">
        <f t="shared" si="61"/>
        <v>1047174.8120000002</v>
      </c>
      <c r="BC51" s="27">
        <f t="shared" si="62"/>
        <v>221785.296</v>
      </c>
      <c r="BD51" s="27">
        <f t="shared" si="63"/>
        <v>255000</v>
      </c>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row>
    <row r="52" spans="1:82" x14ac:dyDescent="0.25">
      <c r="A52" s="215" t="s">
        <v>6</v>
      </c>
      <c r="B52" s="11" t="str">
        <f t="shared" si="43"/>
        <v>發明</v>
      </c>
      <c r="C52" s="11" t="b">
        <f t="shared" si="43"/>
        <v>1</v>
      </c>
      <c r="D52" s="11"/>
      <c r="E52" s="148" t="str">
        <f t="shared" si="44"/>
        <v>翻譯案</v>
      </c>
      <c r="F52" s="3" t="s">
        <v>18</v>
      </c>
      <c r="G52" s="88"/>
      <c r="H52" s="88"/>
      <c r="I52" s="88"/>
      <c r="J52" s="88"/>
      <c r="K52" s="7">
        <f t="shared" si="45"/>
        <v>0</v>
      </c>
      <c r="L52" s="23">
        <f>K52*$L$7</f>
        <v>0</v>
      </c>
      <c r="M52" s="3" t="s">
        <v>18</v>
      </c>
      <c r="N52" s="7">
        <f>IF($W$6=FALSE,0,IF(C52=FALSE,0,15000))</f>
        <v>15000</v>
      </c>
      <c r="O52" s="7">
        <f>IF($W$6=FALSE,0,IF(C52=FALSE,0,200000))</f>
        <v>200000</v>
      </c>
      <c r="P52" s="88"/>
      <c r="Q52" s="88"/>
      <c r="R52" s="88"/>
      <c r="S52" s="88"/>
      <c r="T52" s="7">
        <f t="shared" si="46"/>
        <v>215000</v>
      </c>
      <c r="U52" s="23">
        <f>T52*$L$7</f>
        <v>47300</v>
      </c>
      <c r="V52" s="23">
        <f t="shared" si="58"/>
        <v>47300</v>
      </c>
      <c r="W52" s="7">
        <f>IF($W$7=FALSE,0,IF(C52=FALSE,0,40000))</f>
        <v>40000</v>
      </c>
      <c r="X52" s="88"/>
      <c r="Y52" s="88"/>
      <c r="Z52" s="88"/>
      <c r="AA52" s="23">
        <f t="shared" si="47"/>
        <v>40000</v>
      </c>
      <c r="AB52" s="23">
        <f t="shared" si="48"/>
        <v>87300</v>
      </c>
      <c r="AC52" s="228" t="str">
        <f>$A$23</f>
        <v>日本</v>
      </c>
      <c r="AD52" s="27">
        <f t="shared" si="49"/>
        <v>0</v>
      </c>
      <c r="AE52" s="27">
        <f t="shared" si="50"/>
        <v>47300</v>
      </c>
      <c r="AF52" s="27">
        <f t="shared" si="51"/>
        <v>40000</v>
      </c>
      <c r="AG52" s="32"/>
      <c r="AH52" s="32"/>
      <c r="AI52" s="228" t="str">
        <f>$A$23</f>
        <v>日本</v>
      </c>
      <c r="AJ52" s="11" t="str">
        <f t="shared" si="52"/>
        <v>發明</v>
      </c>
      <c r="AK52" s="3" t="str">
        <f t="shared" si="59"/>
        <v>JPY</v>
      </c>
      <c r="AL52" s="7">
        <f>IF($W$5=FALSE,0,IF(C52=FALSE,0,HLOOKUP(選項!$M$2,'P(M)年費表'!$AH$2:$BG$24,8)))</f>
        <v>1345700</v>
      </c>
      <c r="AM52" s="89"/>
      <c r="AN52" s="7"/>
      <c r="AO52" s="7">
        <f t="shared" si="53"/>
        <v>1345700</v>
      </c>
      <c r="AP52" s="22">
        <f>AO52*$L$7</f>
        <v>296054</v>
      </c>
      <c r="AQ52" s="3" t="str">
        <f t="shared" si="60"/>
        <v>JPY</v>
      </c>
      <c r="AR52" s="7">
        <f>IF($W$6=FALSE,0,IF(C52=FALSE,0,HLOOKUP(選項!$M$2,'P(M)年費表'!$AH$29:$BG$51,8)))</f>
        <v>195000</v>
      </c>
      <c r="AS52" s="7"/>
      <c r="AT52" s="7"/>
      <c r="AU52" s="7">
        <f t="shared" si="54"/>
        <v>195000</v>
      </c>
      <c r="AV52" s="22">
        <f>AU52*$L$7</f>
        <v>42900</v>
      </c>
      <c r="AW52" s="22">
        <f t="shared" si="55"/>
        <v>338954</v>
      </c>
      <c r="AX52" s="7">
        <f>IF($W$7=FALSE,0,IF(C52=FALSE,0,HLOOKUP(選項!$M$2,'P(M)年費表'!$AH$56:$BG$78,8)))</f>
        <v>85000</v>
      </c>
      <c r="AY52" s="22">
        <f t="shared" si="56"/>
        <v>85000</v>
      </c>
      <c r="AZ52" s="22">
        <f t="shared" si="57"/>
        <v>423954</v>
      </c>
      <c r="BA52" s="228" t="str">
        <f>$A$23</f>
        <v>日本</v>
      </c>
      <c r="BB52" s="27">
        <f t="shared" si="61"/>
        <v>296054</v>
      </c>
      <c r="BC52" s="27">
        <f t="shared" si="62"/>
        <v>42900</v>
      </c>
      <c r="BD52" s="27">
        <f t="shared" si="63"/>
        <v>85000</v>
      </c>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row>
    <row r="53" spans="1:82" x14ac:dyDescent="0.25">
      <c r="A53" s="216"/>
      <c r="B53" s="11" t="str">
        <f t="shared" si="43"/>
        <v>新型</v>
      </c>
      <c r="C53" s="11" t="b">
        <f t="shared" si="43"/>
        <v>0</v>
      </c>
      <c r="D53" s="11"/>
      <c r="E53" s="148" t="str">
        <f t="shared" si="44"/>
        <v>不申請</v>
      </c>
      <c r="F53" s="3" t="s">
        <v>18</v>
      </c>
      <c r="G53" s="88"/>
      <c r="H53" s="88"/>
      <c r="I53" s="88"/>
      <c r="J53" s="88"/>
      <c r="K53" s="7">
        <f t="shared" si="45"/>
        <v>0</v>
      </c>
      <c r="L53" s="23">
        <f>K53*$L$7</f>
        <v>0</v>
      </c>
      <c r="M53" s="3" t="s">
        <v>18</v>
      </c>
      <c r="N53" s="88"/>
      <c r="O53" s="88"/>
      <c r="P53" s="88"/>
      <c r="Q53" s="88"/>
      <c r="R53" s="88"/>
      <c r="S53" s="88"/>
      <c r="T53" s="7">
        <f t="shared" si="46"/>
        <v>0</v>
      </c>
      <c r="U53" s="23">
        <f>T53*$L$7</f>
        <v>0</v>
      </c>
      <c r="V53" s="23">
        <f t="shared" si="58"/>
        <v>0</v>
      </c>
      <c r="W53" s="88"/>
      <c r="X53" s="88"/>
      <c r="Y53" s="88"/>
      <c r="Z53" s="88"/>
      <c r="AA53" s="23">
        <f t="shared" si="47"/>
        <v>0</v>
      </c>
      <c r="AB53" s="23">
        <f t="shared" si="48"/>
        <v>0</v>
      </c>
      <c r="AC53" s="216"/>
      <c r="AD53" s="27">
        <f t="shared" si="49"/>
        <v>0</v>
      </c>
      <c r="AE53" s="27">
        <f t="shared" si="50"/>
        <v>0</v>
      </c>
      <c r="AF53" s="27">
        <f t="shared" si="51"/>
        <v>0</v>
      </c>
      <c r="AG53" s="32"/>
      <c r="AH53" s="32"/>
      <c r="AI53" s="216"/>
      <c r="AJ53" s="11" t="str">
        <f t="shared" si="52"/>
        <v>新型</v>
      </c>
      <c r="AK53" s="3" t="str">
        <f t="shared" si="59"/>
        <v>JPY</v>
      </c>
      <c r="AL53" s="7">
        <f>IF($W$5=FALSE,0,IF(C53=FALSE,0,HLOOKUP(選項!$M$2,'P(M)年費表'!$AH$2:$BG$24,9)))</f>
        <v>0</v>
      </c>
      <c r="AM53" s="89"/>
      <c r="AN53" s="7"/>
      <c r="AO53" s="7">
        <f t="shared" si="53"/>
        <v>0</v>
      </c>
      <c r="AP53" s="22">
        <f>AO53*$L$7</f>
        <v>0</v>
      </c>
      <c r="AQ53" s="3" t="str">
        <f t="shared" si="60"/>
        <v>JPY</v>
      </c>
      <c r="AR53" s="7">
        <f>IF($W$6=FALSE,0,IF(C53=FALSE,0,HLOOKUP(選項!$M$2,'P(M)年費表'!$AH$29:$BG$51,9)))</f>
        <v>0</v>
      </c>
      <c r="AS53" s="7"/>
      <c r="AT53" s="7"/>
      <c r="AU53" s="7">
        <f t="shared" si="54"/>
        <v>0</v>
      </c>
      <c r="AV53" s="22">
        <f>AU53*$L$7</f>
        <v>0</v>
      </c>
      <c r="AW53" s="22">
        <f t="shared" si="55"/>
        <v>0</v>
      </c>
      <c r="AX53" s="7">
        <f>IF($W$7=FALSE,0,IF(C53=FALSE,0,HLOOKUP(選項!$M$2,'P(M)年費表'!$AH$56:$BG$78,9)))</f>
        <v>0</v>
      </c>
      <c r="AY53" s="22">
        <f t="shared" si="56"/>
        <v>0</v>
      </c>
      <c r="AZ53" s="22">
        <f t="shared" si="57"/>
        <v>0</v>
      </c>
      <c r="BA53" s="216"/>
      <c r="BB53" s="27">
        <f t="shared" si="61"/>
        <v>0</v>
      </c>
      <c r="BC53" s="27">
        <f t="shared" si="62"/>
        <v>0</v>
      </c>
      <c r="BD53" s="27">
        <f t="shared" si="63"/>
        <v>0</v>
      </c>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row>
    <row r="54" spans="1:82" x14ac:dyDescent="0.25">
      <c r="A54" s="215" t="s">
        <v>7</v>
      </c>
      <c r="B54" s="11" t="str">
        <f t="shared" si="43"/>
        <v>發明</v>
      </c>
      <c r="C54" s="11" t="b">
        <f t="shared" si="43"/>
        <v>1</v>
      </c>
      <c r="D54" s="11"/>
      <c r="E54" s="148" t="str">
        <f t="shared" si="44"/>
        <v>翻譯案</v>
      </c>
      <c r="F54" s="3" t="s">
        <v>19</v>
      </c>
      <c r="G54" s="7">
        <f>IF($W$5=FALSE,0,IF(C54=FALSE,0,4000))</f>
        <v>4000</v>
      </c>
      <c r="H54" s="88"/>
      <c r="I54" s="88"/>
      <c r="J54" s="88"/>
      <c r="K54" s="7">
        <f t="shared" si="45"/>
        <v>4000</v>
      </c>
      <c r="L54" s="23">
        <f>K54*$L$8</f>
        <v>104</v>
      </c>
      <c r="M54" s="3" t="s">
        <v>16</v>
      </c>
      <c r="N54" s="88"/>
      <c r="O54" s="7">
        <f>IF($W$6=FALSE,0,IF(C54=FALSE,0,1000))</f>
        <v>1000</v>
      </c>
      <c r="P54" s="88"/>
      <c r="Q54" s="88"/>
      <c r="R54" s="88"/>
      <c r="S54" s="7">
        <f>IF($W$6=FALSE,0,IF(C54=FALSE,0,1000))</f>
        <v>1000</v>
      </c>
      <c r="T54" s="7">
        <f t="shared" si="46"/>
        <v>2000</v>
      </c>
      <c r="U54" s="23">
        <f>T54*$L$5</f>
        <v>66400</v>
      </c>
      <c r="V54" s="23">
        <f t="shared" si="58"/>
        <v>66504</v>
      </c>
      <c r="W54" s="7">
        <f t="shared" ref="W54:W65" si="64">IF($W$7=FALSE,0,IF(C54=FALSE,0,40000))</f>
        <v>40000</v>
      </c>
      <c r="X54" s="88"/>
      <c r="Y54" s="88"/>
      <c r="Z54" s="88"/>
      <c r="AA54" s="23">
        <f t="shared" si="47"/>
        <v>40000</v>
      </c>
      <c r="AB54" s="23">
        <f t="shared" si="48"/>
        <v>106504</v>
      </c>
      <c r="AC54" s="228" t="str">
        <f>$A$25</f>
        <v>韓國</v>
      </c>
      <c r="AD54" s="27">
        <f t="shared" si="49"/>
        <v>104</v>
      </c>
      <c r="AE54" s="27">
        <f t="shared" si="50"/>
        <v>66400</v>
      </c>
      <c r="AF54" s="27">
        <f t="shared" si="51"/>
        <v>40000</v>
      </c>
      <c r="AG54" s="32"/>
      <c r="AH54" s="32"/>
      <c r="AI54" s="228" t="str">
        <f>$A$25</f>
        <v>韓國</v>
      </c>
      <c r="AJ54" s="11" t="str">
        <f t="shared" si="52"/>
        <v>發明</v>
      </c>
      <c r="AK54" s="3" t="str">
        <f t="shared" si="59"/>
        <v>KRW</v>
      </c>
      <c r="AL54" s="7">
        <f>IF($W$5=FALSE,0,IF(C54=FALSE,0,HLOOKUP(選項!$M$2,'P(M)年費表'!$AH$2:$BG$24,10)))</f>
        <v>10628000</v>
      </c>
      <c r="AM54" s="89"/>
      <c r="AN54" s="7"/>
      <c r="AO54" s="7">
        <f t="shared" si="53"/>
        <v>10628000</v>
      </c>
      <c r="AP54" s="22">
        <f>AO54*$L$8</f>
        <v>276328</v>
      </c>
      <c r="AQ54" s="3" t="str">
        <f t="shared" si="60"/>
        <v>USD</v>
      </c>
      <c r="AR54" s="7">
        <f>IF($W$6=FALSE,0,IF(C54=FALSE,0,HLOOKUP(選項!$M$2,'P(M)年費表'!$AH$29:$BG$51,10)))</f>
        <v>3040</v>
      </c>
      <c r="AS54" s="7"/>
      <c r="AT54" s="7"/>
      <c r="AU54" s="7">
        <f t="shared" si="54"/>
        <v>3040</v>
      </c>
      <c r="AV54" s="22">
        <f>AU54*$L$5</f>
        <v>100928.00000000001</v>
      </c>
      <c r="AW54" s="22">
        <f t="shared" si="55"/>
        <v>377256</v>
      </c>
      <c r="AX54" s="7">
        <f>IF($W$7=FALSE,0,IF(C54=FALSE,0,HLOOKUP(選項!$M$2,'P(M)年費表'!$AH$56:$BG$78,10)))</f>
        <v>85000</v>
      </c>
      <c r="AY54" s="22">
        <f t="shared" si="56"/>
        <v>85000</v>
      </c>
      <c r="AZ54" s="22">
        <f t="shared" si="57"/>
        <v>462256</v>
      </c>
      <c r="BA54" s="228" t="str">
        <f>$A$25</f>
        <v>韓國</v>
      </c>
      <c r="BB54" s="27">
        <f t="shared" si="61"/>
        <v>276328</v>
      </c>
      <c r="BC54" s="27">
        <f t="shared" si="62"/>
        <v>100928.00000000001</v>
      </c>
      <c r="BD54" s="27">
        <f t="shared" si="63"/>
        <v>85000</v>
      </c>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row>
    <row r="55" spans="1:82" x14ac:dyDescent="0.25">
      <c r="A55" s="216"/>
      <c r="B55" s="11" t="str">
        <f t="shared" si="43"/>
        <v>新型</v>
      </c>
      <c r="C55" s="11" t="b">
        <f t="shared" si="43"/>
        <v>0</v>
      </c>
      <c r="D55" s="11"/>
      <c r="E55" s="148" t="str">
        <f t="shared" si="44"/>
        <v>不申請</v>
      </c>
      <c r="F55" s="3" t="s">
        <v>19</v>
      </c>
      <c r="G55" s="7">
        <f>IF($W$5=FALSE,0,IF(C55=FALSE,0,4000))</f>
        <v>0</v>
      </c>
      <c r="H55" s="88"/>
      <c r="I55" s="88"/>
      <c r="J55" s="88"/>
      <c r="K55" s="7">
        <f t="shared" si="45"/>
        <v>0</v>
      </c>
      <c r="L55" s="23">
        <f>K55*$L$8</f>
        <v>0</v>
      </c>
      <c r="M55" s="3" t="s">
        <v>16</v>
      </c>
      <c r="N55" s="88"/>
      <c r="O55" s="7">
        <f>IF($W$6=FALSE,0,IF(C55=FALSE,0,1000))</f>
        <v>0</v>
      </c>
      <c r="P55" s="88"/>
      <c r="Q55" s="88"/>
      <c r="R55" s="88"/>
      <c r="S55" s="7">
        <f>IF($W$6=FALSE,0,IF(C55=FALSE,0,1000))</f>
        <v>0</v>
      </c>
      <c r="T55" s="7">
        <f t="shared" si="46"/>
        <v>0</v>
      </c>
      <c r="U55" s="23">
        <f>T55*$L$5</f>
        <v>0</v>
      </c>
      <c r="V55" s="23">
        <f t="shared" si="58"/>
        <v>0</v>
      </c>
      <c r="W55" s="7">
        <f t="shared" si="64"/>
        <v>0</v>
      </c>
      <c r="X55" s="88"/>
      <c r="Y55" s="88"/>
      <c r="Z55" s="88"/>
      <c r="AA55" s="23">
        <f t="shared" si="47"/>
        <v>0</v>
      </c>
      <c r="AB55" s="23">
        <f t="shared" si="48"/>
        <v>0</v>
      </c>
      <c r="AC55" s="216"/>
      <c r="AD55" s="27">
        <f t="shared" si="49"/>
        <v>0</v>
      </c>
      <c r="AE55" s="27">
        <f t="shared" si="50"/>
        <v>0</v>
      </c>
      <c r="AF55" s="27">
        <f t="shared" si="51"/>
        <v>0</v>
      </c>
      <c r="AG55" s="32"/>
      <c r="AH55" s="32"/>
      <c r="AI55" s="216"/>
      <c r="AJ55" s="11" t="str">
        <f t="shared" si="52"/>
        <v>新型</v>
      </c>
      <c r="AK55" s="3" t="str">
        <f t="shared" si="59"/>
        <v>KRW</v>
      </c>
      <c r="AL55" s="7">
        <f>IF($W$5=FALSE,0,IF(C55=FALSE,0,HLOOKUP(選項!$M$2,'P(M)年費表'!$AH$2:$BG$24,11)))</f>
        <v>0</v>
      </c>
      <c r="AM55" s="89"/>
      <c r="AN55" s="7"/>
      <c r="AO55" s="7">
        <f t="shared" si="53"/>
        <v>0</v>
      </c>
      <c r="AP55" s="22">
        <f>AO55*$L$8</f>
        <v>0</v>
      </c>
      <c r="AQ55" s="3" t="str">
        <f t="shared" si="60"/>
        <v>USD</v>
      </c>
      <c r="AR55" s="7">
        <f>IF($W$6=FALSE,0,IF(C55=FALSE,0,HLOOKUP(選項!$M$2,'P(M)年費表'!$AH$29:$BG$51,11)))</f>
        <v>0</v>
      </c>
      <c r="AS55" s="7"/>
      <c r="AT55" s="7"/>
      <c r="AU55" s="7">
        <f t="shared" si="54"/>
        <v>0</v>
      </c>
      <c r="AV55" s="22">
        <f>AU55*$L$5</f>
        <v>0</v>
      </c>
      <c r="AW55" s="22">
        <f t="shared" si="55"/>
        <v>0</v>
      </c>
      <c r="AX55" s="7">
        <f>IF($W$7=FALSE,0,IF(C55=FALSE,0,HLOOKUP(選項!$M$2,'P(M)年費表'!$AH$56:$BG$78,11)))</f>
        <v>0</v>
      </c>
      <c r="AY55" s="22">
        <f t="shared" si="56"/>
        <v>0</v>
      </c>
      <c r="AZ55" s="22">
        <f t="shared" si="57"/>
        <v>0</v>
      </c>
      <c r="BA55" s="216"/>
      <c r="BB55" s="27">
        <f t="shared" si="61"/>
        <v>0</v>
      </c>
      <c r="BC55" s="27">
        <f t="shared" si="62"/>
        <v>0</v>
      </c>
      <c r="BD55" s="27">
        <f t="shared" si="63"/>
        <v>0</v>
      </c>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row>
    <row r="56" spans="1:82" x14ac:dyDescent="0.25">
      <c r="A56" s="3" t="s">
        <v>42</v>
      </c>
      <c r="B56" s="11" t="str">
        <f t="shared" si="43"/>
        <v>發明</v>
      </c>
      <c r="C56" s="11" t="b">
        <f t="shared" si="43"/>
        <v>1</v>
      </c>
      <c r="D56" s="11"/>
      <c r="E56" s="148" t="str">
        <f t="shared" si="44"/>
        <v>同語言轉換案</v>
      </c>
      <c r="F56" s="3" t="s">
        <v>43</v>
      </c>
      <c r="G56" s="88"/>
      <c r="H56" s="88"/>
      <c r="I56" s="88"/>
      <c r="J56" s="88"/>
      <c r="K56" s="7">
        <f>IF($U$8=FALSE,0,SUM(G56:J56))</f>
        <v>0</v>
      </c>
      <c r="L56" s="23">
        <f>K56*$N$9</f>
        <v>0</v>
      </c>
      <c r="M56" s="3" t="s">
        <v>43</v>
      </c>
      <c r="N56" s="88"/>
      <c r="O56" s="7">
        <f>IF($W$6=FALSE,0,IF(C56=FALSE,0,2000))</f>
        <v>2000</v>
      </c>
      <c r="P56" s="88"/>
      <c r="Q56" s="88"/>
      <c r="R56" s="88"/>
      <c r="S56" s="88"/>
      <c r="T56" s="7">
        <f>IF($U$8=FALSE,0,SUM(N56:S56))</f>
        <v>2000</v>
      </c>
      <c r="U56" s="23">
        <f>T56*$N$9</f>
        <v>47000</v>
      </c>
      <c r="V56" s="23">
        <f>L56+U56</f>
        <v>47000</v>
      </c>
      <c r="W56" s="7">
        <f>IF($W$7=FALSE,0,IF(C56=FALSE,0,40000))</f>
        <v>40000</v>
      </c>
      <c r="X56" s="88"/>
      <c r="Y56" s="88"/>
      <c r="Z56" s="88"/>
      <c r="AA56" s="23">
        <f>IF($U$8=FALSE,0,SUM(W56:Z56))</f>
        <v>40000</v>
      </c>
      <c r="AB56" s="23">
        <f>V56+AA56</f>
        <v>87000</v>
      </c>
      <c r="AC56" s="14" t="str">
        <f>$A$27</f>
        <v>加拿大</v>
      </c>
      <c r="AD56" s="27">
        <f>L56</f>
        <v>0</v>
      </c>
      <c r="AE56" s="27">
        <f>U56</f>
        <v>47000</v>
      </c>
      <c r="AF56" s="27">
        <f>AA56</f>
        <v>40000</v>
      </c>
      <c r="AG56" s="32"/>
      <c r="AH56" s="32"/>
      <c r="AI56" s="14" t="str">
        <f>$A$27</f>
        <v>加拿大</v>
      </c>
      <c r="AJ56" s="11" t="str">
        <f>B56</f>
        <v>發明</v>
      </c>
      <c r="AK56" s="3" t="str">
        <f>F56</f>
        <v>CAD</v>
      </c>
      <c r="AL56" s="7">
        <f>IF($W$5=FALSE,0,IF(C56=FALSE,0,HLOOKUP(選項!$M$2,'P(M)年費表'!$AH$2:$BG$24,12)))</f>
        <v>2671.1900000000005</v>
      </c>
      <c r="AM56" s="89"/>
      <c r="AN56" s="7"/>
      <c r="AO56" s="7">
        <f>IF($U$7=FALSE,0,SUM(AL56:AN56))</f>
        <v>2671.1900000000005</v>
      </c>
      <c r="AP56" s="22">
        <f>AO56*$N$9</f>
        <v>62772.965000000011</v>
      </c>
      <c r="AQ56" s="3" t="str">
        <f>M56</f>
        <v>CAD</v>
      </c>
      <c r="AR56" s="7">
        <f>IF($W$6=FALSE,0,IF(C56=FALSE,0,HLOOKUP(選項!$M$2,'P(M)年費表'!$AH$29:$BG$51,12)))</f>
        <v>4680</v>
      </c>
      <c r="AS56" s="7"/>
      <c r="AT56" s="7"/>
      <c r="AU56" s="7">
        <f>IF($U$7=FALSE,0,SUM(AR56:AT56))</f>
        <v>4680</v>
      </c>
      <c r="AV56" s="22">
        <f>AU56*$N$9</f>
        <v>109980</v>
      </c>
      <c r="AW56" s="22">
        <f>AP56+AV56</f>
        <v>172752.96500000003</v>
      </c>
      <c r="AX56" s="7">
        <f>IF($W$7=FALSE,0,IF(C56=FALSE,0,HLOOKUP(選項!$M$2,'P(M)年費表'!$AH$56:$BG$78,12)))</f>
        <v>90000</v>
      </c>
      <c r="AY56" s="22">
        <f>IF($U$7=FALSE,0,SUM(AX56:AX56))</f>
        <v>90000</v>
      </c>
      <c r="AZ56" s="22">
        <f>AW56+AY56</f>
        <v>262752.96500000003</v>
      </c>
      <c r="BA56" s="14" t="str">
        <f>$A$27</f>
        <v>加拿大</v>
      </c>
      <c r="BB56" s="27">
        <f>AP56</f>
        <v>62772.965000000011</v>
      </c>
      <c r="BC56" s="27">
        <f>AV56</f>
        <v>109980</v>
      </c>
      <c r="BD56" s="27">
        <f>AY56</f>
        <v>90000</v>
      </c>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row>
    <row r="57" spans="1:82" x14ac:dyDescent="0.25">
      <c r="A57" s="3" t="s">
        <v>8</v>
      </c>
      <c r="B57" s="11" t="str">
        <f t="shared" si="43"/>
        <v>發明</v>
      </c>
      <c r="C57" s="11" t="b">
        <f t="shared" si="43"/>
        <v>1</v>
      </c>
      <c r="D57" s="11"/>
      <c r="E57" s="148" t="str">
        <f t="shared" si="44"/>
        <v>同語言轉換案</v>
      </c>
      <c r="F57" s="3" t="s">
        <v>20</v>
      </c>
      <c r="G57" s="88"/>
      <c r="H57" s="88"/>
      <c r="I57" s="88"/>
      <c r="J57" s="88"/>
      <c r="K57" s="7">
        <f t="shared" si="45"/>
        <v>0</v>
      </c>
      <c r="L57" s="23">
        <f>K57*$N$6</f>
        <v>0</v>
      </c>
      <c r="M57" s="3" t="s">
        <v>20</v>
      </c>
      <c r="N57" s="7">
        <f>IF($W$6=FALSE,0,IF(C57=FALSE,0,400))</f>
        <v>400</v>
      </c>
      <c r="O57" s="7">
        <f>IF($W$6=FALSE,0,IF(C57=FALSE,0,1500))</f>
        <v>1500</v>
      </c>
      <c r="P57" s="88"/>
      <c r="Q57" s="88"/>
      <c r="R57" s="88"/>
      <c r="S57" s="88"/>
      <c r="T57" s="7">
        <f t="shared" si="46"/>
        <v>1900</v>
      </c>
      <c r="U57" s="23">
        <f>T57*$N$6</f>
        <v>47500</v>
      </c>
      <c r="V57" s="23">
        <f t="shared" si="58"/>
        <v>47500</v>
      </c>
      <c r="W57" s="7">
        <f t="shared" si="64"/>
        <v>40000</v>
      </c>
      <c r="X57" s="88"/>
      <c r="Y57" s="88"/>
      <c r="Z57" s="88"/>
      <c r="AA57" s="23">
        <f t="shared" si="47"/>
        <v>40000</v>
      </c>
      <c r="AB57" s="23">
        <f t="shared" si="48"/>
        <v>87500</v>
      </c>
      <c r="AC57" s="14" t="str">
        <f>$A$28</f>
        <v>新加坡</v>
      </c>
      <c r="AD57" s="27">
        <f t="shared" si="49"/>
        <v>0</v>
      </c>
      <c r="AE57" s="27">
        <f t="shared" si="50"/>
        <v>47500</v>
      </c>
      <c r="AF57" s="27">
        <f t="shared" si="51"/>
        <v>40000</v>
      </c>
      <c r="AG57" s="32"/>
      <c r="AH57" s="32"/>
      <c r="AI57" s="14" t="str">
        <f>$A$28</f>
        <v>新加坡</v>
      </c>
      <c r="AJ57" s="11" t="str">
        <f t="shared" si="52"/>
        <v>發明</v>
      </c>
      <c r="AK57" s="3" t="str">
        <f t="shared" si="59"/>
        <v>SGD</v>
      </c>
      <c r="AL57" s="7">
        <f>IF($W$5=FALSE,0,IF(C57=FALSE,0,HLOOKUP(選項!$M$2,'P(M)年費表'!$AH$2:$BG$24,13)))</f>
        <v>9865</v>
      </c>
      <c r="AM57" s="89"/>
      <c r="AN57" s="7"/>
      <c r="AO57" s="7">
        <f t="shared" si="53"/>
        <v>9865</v>
      </c>
      <c r="AP57" s="22">
        <f>AO57*$N$6</f>
        <v>246625</v>
      </c>
      <c r="AQ57" s="3" t="str">
        <f t="shared" si="60"/>
        <v>SGD</v>
      </c>
      <c r="AR57" s="7">
        <f>IF($W$6=FALSE,0,IF(C57=FALSE,0,HLOOKUP(選項!$M$2,'P(M)年費表'!$AH$29:$BG$51,13)))</f>
        <v>5400</v>
      </c>
      <c r="AS57" s="7"/>
      <c r="AT57" s="7"/>
      <c r="AU57" s="7">
        <f t="shared" si="54"/>
        <v>5400</v>
      </c>
      <c r="AV57" s="22">
        <f>AU57*$N$6</f>
        <v>135000</v>
      </c>
      <c r="AW57" s="22">
        <f t="shared" si="55"/>
        <v>381625</v>
      </c>
      <c r="AX57" s="7">
        <f>IF($W$7=FALSE,0,IF(C57=FALSE,0,HLOOKUP(選項!$M$2,'P(M)年費表'!$AH$56:$BG$78,13)))</f>
        <v>80000</v>
      </c>
      <c r="AY57" s="22">
        <f t="shared" si="56"/>
        <v>80000</v>
      </c>
      <c r="AZ57" s="22">
        <f t="shared" si="57"/>
        <v>461625</v>
      </c>
      <c r="BA57" s="14" t="str">
        <f>$A$28</f>
        <v>新加坡</v>
      </c>
      <c r="BB57" s="27">
        <f t="shared" si="61"/>
        <v>246625</v>
      </c>
      <c r="BC57" s="27">
        <f t="shared" si="62"/>
        <v>135000</v>
      </c>
      <c r="BD57" s="27">
        <f t="shared" si="63"/>
        <v>80000</v>
      </c>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row>
    <row r="58" spans="1:82" x14ac:dyDescent="0.25">
      <c r="A58" s="215" t="s">
        <v>11</v>
      </c>
      <c r="B58" s="11" t="str">
        <f t="shared" si="43"/>
        <v>發明</v>
      </c>
      <c r="C58" s="11" t="b">
        <f t="shared" si="43"/>
        <v>1</v>
      </c>
      <c r="D58" s="11"/>
      <c r="E58" s="148" t="str">
        <f t="shared" si="44"/>
        <v>同語言轉換案</v>
      </c>
      <c r="F58" s="3" t="s">
        <v>23</v>
      </c>
      <c r="G58" s="88"/>
      <c r="H58" s="88"/>
      <c r="I58" s="88"/>
      <c r="J58" s="88"/>
      <c r="K58" s="7">
        <f>IF($U$8=FALSE,0,SUM(G58:J58))</f>
        <v>0</v>
      </c>
      <c r="L58" s="23">
        <f>K58*$N$8</f>
        <v>0</v>
      </c>
      <c r="M58" s="3" t="s">
        <v>23</v>
      </c>
      <c r="N58" s="7">
        <f>IF($W$6=FALSE,0,IF(C58=FALSE,0,212))</f>
        <v>212</v>
      </c>
      <c r="O58" s="7">
        <f>IF($W$6=FALSE,0,IF(C58=FALSE,0,3500))</f>
        <v>3500</v>
      </c>
      <c r="P58" s="88"/>
      <c r="Q58" s="88"/>
      <c r="R58" s="88"/>
      <c r="S58" s="88"/>
      <c r="T58" s="7">
        <f>IF($U$8=FALSE,0,SUM(N58:S58))</f>
        <v>3712</v>
      </c>
      <c r="U58" s="23">
        <f>T58*$N$8</f>
        <v>29324.800000000003</v>
      </c>
      <c r="V58" s="23">
        <f>L58+U58</f>
        <v>29324.800000000003</v>
      </c>
      <c r="W58" s="7">
        <f>IF($W$7=FALSE,0,IF(C58=FALSE,0,40000))</f>
        <v>40000</v>
      </c>
      <c r="X58" s="88"/>
      <c r="Y58" s="88"/>
      <c r="Z58" s="88"/>
      <c r="AA58" s="23">
        <f>IF($U$8=FALSE,0,SUM(W58:Z58))</f>
        <v>40000</v>
      </c>
      <c r="AB58" s="23">
        <f>V58+AA58</f>
        <v>69324.800000000003</v>
      </c>
      <c r="AC58" s="228" t="str">
        <f>$A$29</f>
        <v>馬來西亞</v>
      </c>
      <c r="AD58" s="27">
        <f>L58</f>
        <v>0</v>
      </c>
      <c r="AE58" s="27">
        <f>U58</f>
        <v>29324.800000000003</v>
      </c>
      <c r="AF58" s="27">
        <f>AA58</f>
        <v>40000</v>
      </c>
      <c r="AG58" s="32"/>
      <c r="AH58" s="32"/>
      <c r="AI58" s="228" t="str">
        <f>$A$29</f>
        <v>馬來西亞</v>
      </c>
      <c r="AJ58" s="11" t="str">
        <f>B58</f>
        <v>發明</v>
      </c>
      <c r="AK58" s="3" t="str">
        <f>F58</f>
        <v>MYR</v>
      </c>
      <c r="AL58" s="7">
        <f>IF($W$5=FALSE,0,IF(C58=FALSE,0,HLOOKUP(選項!$M$2,'P(M)年費表'!$AH$2:$BG$24,14)))</f>
        <v>24150</v>
      </c>
      <c r="AM58" s="89"/>
      <c r="AN58" s="7"/>
      <c r="AO58" s="7">
        <f>IF($U$7=FALSE,0,SUM(AL58:AN58))</f>
        <v>24150</v>
      </c>
      <c r="AP58" s="22">
        <f>AO58*$N$8</f>
        <v>190785</v>
      </c>
      <c r="AQ58" s="3" t="str">
        <f>M58</f>
        <v>MYR</v>
      </c>
      <c r="AR58" s="7">
        <f>IF($W$6=FALSE,0,IF(C58=FALSE,0,HLOOKUP(選項!$M$2,'P(M)年費表'!$AH$29:$BG$51,14)))</f>
        <v>5435</v>
      </c>
      <c r="AS58" s="7"/>
      <c r="AT58" s="7"/>
      <c r="AU58" s="7">
        <f>IF($U$7=FALSE,0,SUM(AR58:AT58))</f>
        <v>5435</v>
      </c>
      <c r="AV58" s="22">
        <f>AU58*$N$8</f>
        <v>42936.5</v>
      </c>
      <c r="AW58" s="22">
        <f>AP58+AV58</f>
        <v>233721.5</v>
      </c>
      <c r="AX58" s="7">
        <f>IF($W$7=FALSE,0,IF(C58=FALSE,0,HLOOKUP(選項!$M$2,'P(M)年費表'!$AH$56:$BG$78,14)))</f>
        <v>95000</v>
      </c>
      <c r="AY58" s="22">
        <f>IF($U$7=FALSE,0,SUM(AX58:AX58))</f>
        <v>95000</v>
      </c>
      <c r="AZ58" s="22">
        <f>AW58+AY58</f>
        <v>328721.5</v>
      </c>
      <c r="BA58" s="228" t="str">
        <f>$A$29</f>
        <v>馬來西亞</v>
      </c>
      <c r="BB58" s="27">
        <f>AP58</f>
        <v>190785</v>
      </c>
      <c r="BC58" s="27">
        <f>AV58</f>
        <v>42936.5</v>
      </c>
      <c r="BD58" s="27">
        <f>AY58</f>
        <v>95000</v>
      </c>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row>
    <row r="59" spans="1:82" x14ac:dyDescent="0.25">
      <c r="A59" s="216"/>
      <c r="B59" s="11" t="str">
        <f t="shared" si="43"/>
        <v>新型</v>
      </c>
      <c r="C59" s="11" t="b">
        <f t="shared" si="43"/>
        <v>0</v>
      </c>
      <c r="D59" s="11"/>
      <c r="E59" s="148" t="str">
        <f t="shared" si="44"/>
        <v>不申請</v>
      </c>
      <c r="F59" s="3" t="s">
        <v>23</v>
      </c>
      <c r="G59" s="88"/>
      <c r="H59" s="88"/>
      <c r="I59" s="88"/>
      <c r="J59" s="88"/>
      <c r="K59" s="7">
        <f>IF($U$8=FALSE,0,SUM(G59:J59))</f>
        <v>0</v>
      </c>
      <c r="L59" s="23">
        <f>K59*$N$8</f>
        <v>0</v>
      </c>
      <c r="M59" s="3" t="s">
        <v>23</v>
      </c>
      <c r="N59" s="7">
        <f>IF($W$6=FALSE,0,IF(C59=FALSE,0,212))</f>
        <v>0</v>
      </c>
      <c r="O59" s="7">
        <f>IF($W$6=FALSE,0,IF(C59=FALSE,0,3500))</f>
        <v>0</v>
      </c>
      <c r="P59" s="88"/>
      <c r="Q59" s="88"/>
      <c r="R59" s="88"/>
      <c r="S59" s="88"/>
      <c r="T59" s="7">
        <f>IF($U$8=FALSE,0,SUM(N59:S59))</f>
        <v>0</v>
      </c>
      <c r="U59" s="23">
        <f>T59*$N$8</f>
        <v>0</v>
      </c>
      <c r="V59" s="23">
        <f>L59+U59</f>
        <v>0</v>
      </c>
      <c r="W59" s="7">
        <f>IF($W$7=FALSE,0,IF(C59=FALSE,0,40000))</f>
        <v>0</v>
      </c>
      <c r="X59" s="88"/>
      <c r="Y59" s="88"/>
      <c r="Z59" s="88"/>
      <c r="AA59" s="23">
        <f>IF($U$8=FALSE,0,SUM(W59:Z59))</f>
        <v>0</v>
      </c>
      <c r="AB59" s="23">
        <f>V59+AA59</f>
        <v>0</v>
      </c>
      <c r="AC59" s="216"/>
      <c r="AD59" s="27">
        <f>L59</f>
        <v>0</v>
      </c>
      <c r="AE59" s="27">
        <f>U59</f>
        <v>0</v>
      </c>
      <c r="AF59" s="27">
        <f>AA59</f>
        <v>0</v>
      </c>
      <c r="AG59" s="32"/>
      <c r="AH59" s="32"/>
      <c r="AI59" s="216"/>
      <c r="AJ59" s="11" t="str">
        <f>B59</f>
        <v>新型</v>
      </c>
      <c r="AK59" s="3" t="str">
        <f>F59</f>
        <v>MYR</v>
      </c>
      <c r="AL59" s="7">
        <f>IF($W$5=FALSE,0,IF(C59=FALSE,0,HLOOKUP(選項!$M$2,'P(M)年費表'!$AH$2:$BG$24,15)))</f>
        <v>0</v>
      </c>
      <c r="AM59" s="89"/>
      <c r="AN59" s="7"/>
      <c r="AO59" s="7">
        <f>IF($U$7=FALSE,0,SUM(AL59:AN59))</f>
        <v>0</v>
      </c>
      <c r="AP59" s="22">
        <f>AO59*$N$8</f>
        <v>0</v>
      </c>
      <c r="AQ59" s="3" t="str">
        <f>M59</f>
        <v>MYR</v>
      </c>
      <c r="AR59" s="7">
        <f>IF($W$6=FALSE,0,IF(C59=FALSE,0,HLOOKUP(選項!$M$2,'P(M)年費表'!$AH$29:$BG$51,15)))</f>
        <v>0</v>
      </c>
      <c r="AS59" s="7"/>
      <c r="AT59" s="7"/>
      <c r="AU59" s="7">
        <f>IF($U$7=FALSE,0,SUM(AR59:AT59))</f>
        <v>0</v>
      </c>
      <c r="AV59" s="22">
        <f>AU59*$N$8</f>
        <v>0</v>
      </c>
      <c r="AW59" s="22">
        <f>AP59+AV59</f>
        <v>0</v>
      </c>
      <c r="AX59" s="7">
        <f>IF($W$7=FALSE,0,IF(C59=FALSE,0,HLOOKUP(選項!$M$2,'P(M)年費表'!$AH$56:$BG$78,15)))</f>
        <v>0</v>
      </c>
      <c r="AY59" s="22">
        <f>IF($U$7=FALSE,0,SUM(AX59:AX59))</f>
        <v>0</v>
      </c>
      <c r="AZ59" s="22">
        <f>AW59+AY59</f>
        <v>0</v>
      </c>
      <c r="BA59" s="216"/>
      <c r="BB59" s="27">
        <f>AP59</f>
        <v>0</v>
      </c>
      <c r="BC59" s="27">
        <f>AV59</f>
        <v>0</v>
      </c>
      <c r="BD59" s="27">
        <f>AY59</f>
        <v>0</v>
      </c>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row>
    <row r="60" spans="1:82" x14ac:dyDescent="0.25">
      <c r="A60" s="54" t="s">
        <v>146</v>
      </c>
      <c r="B60" s="11" t="str">
        <f t="shared" si="43"/>
        <v>發明</v>
      </c>
      <c r="C60" s="11" t="b">
        <f t="shared" si="43"/>
        <v>0</v>
      </c>
      <c r="D60" s="11"/>
      <c r="E60" s="148" t="str">
        <f t="shared" si="44"/>
        <v>不申請</v>
      </c>
      <c r="F60" s="3" t="s">
        <v>16</v>
      </c>
      <c r="G60" s="88"/>
      <c r="H60" s="88"/>
      <c r="I60" s="88"/>
      <c r="J60" s="88"/>
      <c r="K60" s="7">
        <f t="shared" si="45"/>
        <v>0</v>
      </c>
      <c r="L60" s="23">
        <f>K60*$L$5</f>
        <v>0</v>
      </c>
      <c r="M60" s="3" t="s">
        <v>16</v>
      </c>
      <c r="N60" s="7">
        <f>IF($W$6=FALSE,0,IF(C60=FALSE,0,150))</f>
        <v>0</v>
      </c>
      <c r="O60" s="7">
        <f>IF($W$6=FALSE,0,IF(C60=FALSE,0,1000))</f>
        <v>0</v>
      </c>
      <c r="P60" s="88"/>
      <c r="Q60" s="88"/>
      <c r="R60" s="88"/>
      <c r="S60" s="88"/>
      <c r="T60" s="7">
        <f t="shared" si="46"/>
        <v>0</v>
      </c>
      <c r="U60" s="23">
        <f>T60*$L$5</f>
        <v>0</v>
      </c>
      <c r="V60" s="23">
        <f t="shared" si="58"/>
        <v>0</v>
      </c>
      <c r="W60" s="7">
        <f t="shared" si="64"/>
        <v>0</v>
      </c>
      <c r="X60" s="88"/>
      <c r="Y60" s="88"/>
      <c r="Z60" s="88"/>
      <c r="AA60" s="23">
        <f t="shared" si="47"/>
        <v>0</v>
      </c>
      <c r="AB60" s="23">
        <f t="shared" si="48"/>
        <v>0</v>
      </c>
      <c r="AC60" s="14" t="str">
        <f>$A$31</f>
        <v>菲律賓</v>
      </c>
      <c r="AD60" s="27">
        <f t="shared" si="49"/>
        <v>0</v>
      </c>
      <c r="AE60" s="27">
        <f t="shared" si="50"/>
        <v>0</v>
      </c>
      <c r="AF60" s="27">
        <f t="shared" si="51"/>
        <v>0</v>
      </c>
      <c r="AG60" s="32"/>
      <c r="AH60" s="32"/>
      <c r="AI60" s="14" t="str">
        <f>$A$31</f>
        <v>菲律賓</v>
      </c>
      <c r="AJ60" s="11" t="str">
        <f t="shared" si="52"/>
        <v>發明</v>
      </c>
      <c r="AK60" s="3" t="str">
        <f t="shared" si="59"/>
        <v>USD</v>
      </c>
      <c r="AL60" s="7">
        <f>IF($W$5=FALSE,0,IF(C60=FALSE,0,HLOOKUP(選項!$M$2,'P(M)年費表'!$AH$2:$BG$24,16)))</f>
        <v>0</v>
      </c>
      <c r="AM60" s="89"/>
      <c r="AN60" s="7"/>
      <c r="AO60" s="7">
        <f t="shared" si="53"/>
        <v>0</v>
      </c>
      <c r="AP60" s="22">
        <f>AO60*$L$5</f>
        <v>0</v>
      </c>
      <c r="AQ60" s="3" t="str">
        <f t="shared" si="60"/>
        <v>USD</v>
      </c>
      <c r="AR60" s="7">
        <f>IF($W$6=FALSE,0,IF(C60=FALSE,0,HLOOKUP(選項!$M$2,'P(M)年費表'!$AH$29:$BG$51,16)))</f>
        <v>0</v>
      </c>
      <c r="AS60" s="7"/>
      <c r="AT60" s="7"/>
      <c r="AU60" s="7">
        <f t="shared" si="54"/>
        <v>0</v>
      </c>
      <c r="AV60" s="22">
        <f>AU60*$L$5</f>
        <v>0</v>
      </c>
      <c r="AW60" s="22">
        <f t="shared" si="55"/>
        <v>0</v>
      </c>
      <c r="AX60" s="7">
        <f>IF($W$7=FALSE,0,IF(C60=FALSE,0,HLOOKUP(選項!$M$2,'P(M)年費表'!$AH$56:$BG$78,16)))</f>
        <v>0</v>
      </c>
      <c r="AY60" s="22">
        <f t="shared" si="56"/>
        <v>0</v>
      </c>
      <c r="AZ60" s="22">
        <f t="shared" si="57"/>
        <v>0</v>
      </c>
      <c r="BA60" s="14" t="str">
        <f>$A$31</f>
        <v>菲律賓</v>
      </c>
      <c r="BB60" s="27">
        <f t="shared" si="61"/>
        <v>0</v>
      </c>
      <c r="BC60" s="27">
        <f t="shared" si="62"/>
        <v>0</v>
      </c>
      <c r="BD60" s="27">
        <f t="shared" si="63"/>
        <v>0</v>
      </c>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row>
    <row r="61" spans="1:82" x14ac:dyDescent="0.25">
      <c r="A61" s="215" t="s">
        <v>131</v>
      </c>
      <c r="B61" s="11" t="str">
        <f t="shared" si="43"/>
        <v>發明</v>
      </c>
      <c r="C61" s="11" t="b">
        <f t="shared" si="43"/>
        <v>0</v>
      </c>
      <c r="D61" s="11"/>
      <c r="E61" s="148" t="str">
        <f t="shared" si="44"/>
        <v>不申請</v>
      </c>
      <c r="F61" s="3" t="s">
        <v>16</v>
      </c>
      <c r="G61" s="88"/>
      <c r="H61" s="88"/>
      <c r="I61" s="88"/>
      <c r="J61" s="88"/>
      <c r="K61" s="7">
        <f>IF($U$8=FALSE,0,SUM(G61:J61))</f>
        <v>0</v>
      </c>
      <c r="L61" s="23">
        <f>K61*$L$5</f>
        <v>0</v>
      </c>
      <c r="M61" s="3" t="s">
        <v>16</v>
      </c>
      <c r="N61" s="7">
        <f>IF($W$6=FALSE,0,IF(C61=FALSE,0,100))</f>
        <v>0</v>
      </c>
      <c r="O61" s="7">
        <f>IF($W$6=FALSE,0,IF(C61=FALSE,0,1000))</f>
        <v>0</v>
      </c>
      <c r="P61" s="88"/>
      <c r="Q61" s="88"/>
      <c r="R61" s="88"/>
      <c r="S61" s="88"/>
      <c r="T61" s="7">
        <f>IF($U$8=FALSE,0,SUM(N61:S61))</f>
        <v>0</v>
      </c>
      <c r="U61" s="23">
        <f>T61*$L$5</f>
        <v>0</v>
      </c>
      <c r="V61" s="23">
        <f>L61+U61</f>
        <v>0</v>
      </c>
      <c r="W61" s="7">
        <f>IF($W$7=FALSE,0,IF(C61=FALSE,0,40000))</f>
        <v>0</v>
      </c>
      <c r="X61" s="88"/>
      <c r="Y61" s="88"/>
      <c r="Z61" s="88"/>
      <c r="AA61" s="23">
        <f>IF($U$8=FALSE,0,SUM(W61:Z61))</f>
        <v>0</v>
      </c>
      <c r="AB61" s="23">
        <f>V61+AA61</f>
        <v>0</v>
      </c>
      <c r="AC61" s="228" t="str">
        <f>$A$32</f>
        <v>印尼</v>
      </c>
      <c r="AD61" s="27">
        <f>L61</f>
        <v>0</v>
      </c>
      <c r="AE61" s="27">
        <f>U61</f>
        <v>0</v>
      </c>
      <c r="AF61" s="27">
        <f>AA61</f>
        <v>0</v>
      </c>
      <c r="AG61" s="32"/>
      <c r="AH61" s="32"/>
      <c r="AI61" s="228" t="str">
        <f>$A$32</f>
        <v>印尼</v>
      </c>
      <c r="AJ61" s="11" t="str">
        <f>B61</f>
        <v>發明</v>
      </c>
      <c r="AK61" s="3" t="s">
        <v>16</v>
      </c>
      <c r="AL61" s="7">
        <f>IF($W$5=FALSE,0,IF(C61=FALSE,0,HLOOKUP(選項!$M$2,'P(M)年費表'!$AH$2:$BG$24,17)))</f>
        <v>0</v>
      </c>
      <c r="AM61" s="89"/>
      <c r="AN61" s="7"/>
      <c r="AO61" s="7">
        <f>IF($U$7=FALSE,0,SUM(AL61:AN61))</f>
        <v>0</v>
      </c>
      <c r="AP61" s="22">
        <f>AO61*$L$5</f>
        <v>0</v>
      </c>
      <c r="AQ61" s="3" t="s">
        <v>16</v>
      </c>
      <c r="AR61" s="7">
        <f>IF($W$6=FALSE,0,IF(C61=FALSE,0,HLOOKUP(選項!$M$2,'P(M)年費表'!$AH$29:$BG$51,17)))</f>
        <v>0</v>
      </c>
      <c r="AS61" s="7"/>
      <c r="AT61" s="7"/>
      <c r="AU61" s="7">
        <f>IF($U$7=FALSE,0,SUM(AR61:AT61))</f>
        <v>0</v>
      </c>
      <c r="AV61" s="22">
        <f>AU61*$L$5</f>
        <v>0</v>
      </c>
      <c r="AW61" s="22">
        <f>AP61+AV61</f>
        <v>0</v>
      </c>
      <c r="AX61" s="7">
        <f>IF($W$7=FALSE,0,IF(C61=FALSE,0,HLOOKUP(選項!$M$2,'P(M)年費表'!$AH$56:$BG$78,17)))</f>
        <v>0</v>
      </c>
      <c r="AY61" s="22">
        <f>IF($U$7=FALSE,0,SUM(AX61:AX61))</f>
        <v>0</v>
      </c>
      <c r="AZ61" s="22">
        <f>AW61+AY61</f>
        <v>0</v>
      </c>
      <c r="BA61" s="228" t="str">
        <f>$A$32</f>
        <v>印尼</v>
      </c>
      <c r="BB61" s="27">
        <f>AP61</f>
        <v>0</v>
      </c>
      <c r="BC61" s="27">
        <f>AV61</f>
        <v>0</v>
      </c>
      <c r="BD61" s="27">
        <f>AY61</f>
        <v>0</v>
      </c>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row>
    <row r="62" spans="1:82" x14ac:dyDescent="0.25">
      <c r="A62" s="216"/>
      <c r="B62" s="11" t="str">
        <f t="shared" si="43"/>
        <v>新型</v>
      </c>
      <c r="C62" s="11" t="b">
        <f t="shared" si="43"/>
        <v>0</v>
      </c>
      <c r="D62" s="11"/>
      <c r="E62" s="148" t="str">
        <f t="shared" si="44"/>
        <v>不申請</v>
      </c>
      <c r="F62" s="3" t="s">
        <v>16</v>
      </c>
      <c r="G62" s="88"/>
      <c r="H62" s="88"/>
      <c r="I62" s="88"/>
      <c r="J62" s="88"/>
      <c r="K62" s="7">
        <f>IF($U$8=FALSE,0,SUM(G62:J62))</f>
        <v>0</v>
      </c>
      <c r="L62" s="23">
        <f>K62*$L$5</f>
        <v>0</v>
      </c>
      <c r="M62" s="3" t="s">
        <v>16</v>
      </c>
      <c r="N62" s="7">
        <f>IF($W$6=FALSE,0,IF(C62=FALSE,0,100))</f>
        <v>0</v>
      </c>
      <c r="O62" s="7">
        <f>IF($W$6=FALSE,0,IF(C62=FALSE,0,1000))</f>
        <v>0</v>
      </c>
      <c r="P62" s="88"/>
      <c r="Q62" s="88"/>
      <c r="R62" s="88"/>
      <c r="S62" s="88"/>
      <c r="T62" s="7">
        <f>IF($U$8=FALSE,0,SUM(N62:S62))</f>
        <v>0</v>
      </c>
      <c r="U62" s="23">
        <f>T62*$L$5</f>
        <v>0</v>
      </c>
      <c r="V62" s="23">
        <f>L62+U62</f>
        <v>0</v>
      </c>
      <c r="W62" s="7">
        <f>IF($W$7=FALSE,0,IF(C62=FALSE,0,40000))</f>
        <v>0</v>
      </c>
      <c r="X62" s="88"/>
      <c r="Y62" s="88"/>
      <c r="Z62" s="88"/>
      <c r="AA62" s="23">
        <f>IF($U$8=FALSE,0,SUM(W62:Z62))</f>
        <v>0</v>
      </c>
      <c r="AB62" s="23">
        <f>V62+AA62</f>
        <v>0</v>
      </c>
      <c r="AC62" s="216"/>
      <c r="AD62" s="27">
        <f>L62</f>
        <v>0</v>
      </c>
      <c r="AE62" s="27">
        <f>U62</f>
        <v>0</v>
      </c>
      <c r="AF62" s="27">
        <f>AA62</f>
        <v>0</v>
      </c>
      <c r="AG62" s="32"/>
      <c r="AH62" s="32"/>
      <c r="AI62" s="216"/>
      <c r="AJ62" s="11" t="str">
        <f>B62</f>
        <v>新型</v>
      </c>
      <c r="AK62" s="3" t="s">
        <v>16</v>
      </c>
      <c r="AL62" s="7">
        <f>IF($W$5=FALSE,0,IF(C62=FALSE,0,HLOOKUP(選項!$M$2,'P(M)年費表'!$AH$2:$BG$24,18)))</f>
        <v>0</v>
      </c>
      <c r="AM62" s="89"/>
      <c r="AN62" s="7"/>
      <c r="AO62" s="7">
        <f>IF($U$7=FALSE,0,SUM(AL62:AN62))</f>
        <v>0</v>
      </c>
      <c r="AP62" s="22">
        <f>AO62*$L$5</f>
        <v>0</v>
      </c>
      <c r="AQ62" s="3" t="s">
        <v>16</v>
      </c>
      <c r="AR62" s="7">
        <f>IF($W$6=FALSE,0,IF(C62=FALSE,0,HLOOKUP(選項!$M$2,'P(M)年費表'!$AH$29:$BG$51,18)))</f>
        <v>0</v>
      </c>
      <c r="AS62" s="7"/>
      <c r="AT62" s="7"/>
      <c r="AU62" s="7">
        <f>IF($U$7=FALSE,0,SUM(AR62:AT62))</f>
        <v>0</v>
      </c>
      <c r="AV62" s="22">
        <f>AU62*$L$5</f>
        <v>0</v>
      </c>
      <c r="AW62" s="22">
        <f>AP62+AV62</f>
        <v>0</v>
      </c>
      <c r="AX62" s="7">
        <f>IF($W$7=FALSE,0,IF(C62=FALSE,0,HLOOKUP(選項!$M$2,'P(M)年費表'!$AH$56:$BG$78,18)))</f>
        <v>0</v>
      </c>
      <c r="AY62" s="22">
        <f>IF($U$7=FALSE,0,SUM(AX62:AX62))</f>
        <v>0</v>
      </c>
      <c r="AZ62" s="22">
        <f>AW62+AY62</f>
        <v>0</v>
      </c>
      <c r="BA62" s="216"/>
      <c r="BB62" s="27">
        <f>AP62</f>
        <v>0</v>
      </c>
      <c r="BC62" s="27">
        <f>AV62</f>
        <v>0</v>
      </c>
      <c r="BD62" s="27">
        <f>AY62</f>
        <v>0</v>
      </c>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row>
    <row r="63" spans="1:82" x14ac:dyDescent="0.25">
      <c r="A63" s="215" t="s">
        <v>9</v>
      </c>
      <c r="B63" s="11" t="str">
        <f t="shared" si="43"/>
        <v>發明</v>
      </c>
      <c r="C63" s="11" t="b">
        <f t="shared" si="43"/>
        <v>0</v>
      </c>
      <c r="D63" s="11"/>
      <c r="E63" s="148" t="str">
        <f t="shared" si="44"/>
        <v>不申請</v>
      </c>
      <c r="F63" s="3" t="s">
        <v>21</v>
      </c>
      <c r="G63" s="88"/>
      <c r="H63" s="88"/>
      <c r="I63" s="88"/>
      <c r="J63" s="88"/>
      <c r="K63" s="7">
        <f t="shared" si="45"/>
        <v>0</v>
      </c>
      <c r="L63" s="23">
        <f>K63*$N$7</f>
        <v>0</v>
      </c>
      <c r="M63" s="3" t="s">
        <v>16</v>
      </c>
      <c r="N63" s="88"/>
      <c r="O63" s="7">
        <f>IF($W$6=FALSE,0,IF(C63=FALSE,0,110+1000))</f>
        <v>0</v>
      </c>
      <c r="P63" s="88"/>
      <c r="Q63" s="88"/>
      <c r="R63" s="88"/>
      <c r="S63" s="88"/>
      <c r="T63" s="7">
        <f t="shared" si="46"/>
        <v>0</v>
      </c>
      <c r="U63" s="23">
        <f>T63*$L$5</f>
        <v>0</v>
      </c>
      <c r="V63" s="23">
        <f t="shared" si="58"/>
        <v>0</v>
      </c>
      <c r="W63" s="7">
        <f t="shared" si="64"/>
        <v>0</v>
      </c>
      <c r="X63" s="88"/>
      <c r="Y63" s="88"/>
      <c r="Z63" s="88"/>
      <c r="AA63" s="23">
        <f t="shared" si="47"/>
        <v>0</v>
      </c>
      <c r="AB63" s="23">
        <f t="shared" si="48"/>
        <v>0</v>
      </c>
      <c r="AC63" s="228" t="str">
        <f>$A$34</f>
        <v>越南</v>
      </c>
      <c r="AD63" s="27">
        <f t="shared" si="49"/>
        <v>0</v>
      </c>
      <c r="AE63" s="27">
        <f t="shared" si="50"/>
        <v>0</v>
      </c>
      <c r="AF63" s="27">
        <f t="shared" si="51"/>
        <v>0</v>
      </c>
      <c r="AG63" s="32"/>
      <c r="AH63" s="32"/>
      <c r="AI63" s="228" t="str">
        <f>$A$34</f>
        <v>越南</v>
      </c>
      <c r="AJ63" s="11" t="str">
        <f t="shared" si="52"/>
        <v>發明</v>
      </c>
      <c r="AK63" s="3" t="str">
        <f t="shared" si="59"/>
        <v>VND</v>
      </c>
      <c r="AL63" s="7">
        <f>IF($W$5=FALSE,0,IF(C63=FALSE,0,HLOOKUP(選項!$M$2,'P(M)年費表'!$AH$2:$BG$24,19)))</f>
        <v>0</v>
      </c>
      <c r="AM63" s="89"/>
      <c r="AN63" s="7"/>
      <c r="AO63" s="7">
        <f t="shared" si="53"/>
        <v>0</v>
      </c>
      <c r="AP63" s="22">
        <f>AO63*$N$7</f>
        <v>0</v>
      </c>
      <c r="AQ63" s="3" t="str">
        <f t="shared" si="60"/>
        <v>USD</v>
      </c>
      <c r="AR63" s="7">
        <f>IF($W$6=FALSE,0,IF(C63=FALSE,0,HLOOKUP(選項!$M$2,'P(M)年費表'!$AH$29:$BG$51,19)))</f>
        <v>0</v>
      </c>
      <c r="AS63" s="7"/>
      <c r="AT63" s="7"/>
      <c r="AU63" s="7">
        <f t="shared" si="54"/>
        <v>0</v>
      </c>
      <c r="AV63" s="22">
        <f>AU63*$L$5</f>
        <v>0</v>
      </c>
      <c r="AW63" s="22">
        <f t="shared" si="55"/>
        <v>0</v>
      </c>
      <c r="AX63" s="7">
        <f>IF($W$7=FALSE,0,IF(C63=FALSE,0,HLOOKUP(選項!$M$2,'P(M)年費表'!$AH$56:$BG$78,19)))</f>
        <v>0</v>
      </c>
      <c r="AY63" s="22">
        <f t="shared" si="56"/>
        <v>0</v>
      </c>
      <c r="AZ63" s="22">
        <f t="shared" si="57"/>
        <v>0</v>
      </c>
      <c r="BA63" s="228" t="str">
        <f>$A$34</f>
        <v>越南</v>
      </c>
      <c r="BB63" s="27">
        <f t="shared" si="61"/>
        <v>0</v>
      </c>
      <c r="BC63" s="27">
        <f t="shared" si="62"/>
        <v>0</v>
      </c>
      <c r="BD63" s="27">
        <f t="shared" si="63"/>
        <v>0</v>
      </c>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row>
    <row r="64" spans="1:82" x14ac:dyDescent="0.25">
      <c r="A64" s="216"/>
      <c r="B64" s="11" t="str">
        <f t="shared" si="43"/>
        <v>新型</v>
      </c>
      <c r="C64" s="11" t="b">
        <f t="shared" si="43"/>
        <v>0</v>
      </c>
      <c r="D64" s="11"/>
      <c r="E64" s="148" t="str">
        <f t="shared" si="44"/>
        <v>不申請</v>
      </c>
      <c r="F64" s="3" t="s">
        <v>21</v>
      </c>
      <c r="G64" s="88"/>
      <c r="H64" s="88"/>
      <c r="I64" s="88"/>
      <c r="J64" s="88"/>
      <c r="K64" s="7">
        <f t="shared" si="45"/>
        <v>0</v>
      </c>
      <c r="L64" s="23">
        <f>K64*$N$7</f>
        <v>0</v>
      </c>
      <c r="M64" s="3" t="s">
        <v>16</v>
      </c>
      <c r="N64" s="88"/>
      <c r="O64" s="7">
        <f>IF($W$6=FALSE,0,IF(C64=FALSE,0,110+1000))</f>
        <v>0</v>
      </c>
      <c r="P64" s="88"/>
      <c r="Q64" s="88"/>
      <c r="R64" s="88"/>
      <c r="S64" s="88"/>
      <c r="T64" s="7">
        <f t="shared" si="46"/>
        <v>0</v>
      </c>
      <c r="U64" s="23">
        <f>T64*$L$5</f>
        <v>0</v>
      </c>
      <c r="V64" s="23">
        <f t="shared" si="58"/>
        <v>0</v>
      </c>
      <c r="W64" s="7">
        <f t="shared" si="64"/>
        <v>0</v>
      </c>
      <c r="X64" s="88"/>
      <c r="Y64" s="88"/>
      <c r="Z64" s="88"/>
      <c r="AA64" s="23">
        <f t="shared" si="47"/>
        <v>0</v>
      </c>
      <c r="AB64" s="23">
        <f t="shared" si="48"/>
        <v>0</v>
      </c>
      <c r="AC64" s="216"/>
      <c r="AD64" s="27">
        <f t="shared" si="49"/>
        <v>0</v>
      </c>
      <c r="AE64" s="27">
        <f t="shared" si="50"/>
        <v>0</v>
      </c>
      <c r="AF64" s="27">
        <f t="shared" si="51"/>
        <v>0</v>
      </c>
      <c r="AG64" s="32"/>
      <c r="AH64" s="32"/>
      <c r="AI64" s="216"/>
      <c r="AJ64" s="11" t="str">
        <f t="shared" si="52"/>
        <v>新型</v>
      </c>
      <c r="AK64" s="3" t="str">
        <f t="shared" si="59"/>
        <v>VND</v>
      </c>
      <c r="AL64" s="7">
        <f>IF($W$5=FALSE,0,IF(C64=FALSE,0,HLOOKUP(選項!$M$2,'P(M)年費表'!$AH$2:$BG$24,20)))</f>
        <v>0</v>
      </c>
      <c r="AM64" s="89"/>
      <c r="AN64" s="7"/>
      <c r="AO64" s="7">
        <f t="shared" si="53"/>
        <v>0</v>
      </c>
      <c r="AP64" s="22">
        <f>AO64*$N$7</f>
        <v>0</v>
      </c>
      <c r="AQ64" s="3" t="str">
        <f t="shared" si="60"/>
        <v>USD</v>
      </c>
      <c r="AR64" s="7">
        <f>IF($W$6=FALSE,0,IF(C64=FALSE,0,HLOOKUP(選項!$M$2,'P(M)年費表'!$AH$29:$BG$51,20)))</f>
        <v>0</v>
      </c>
      <c r="AS64" s="7"/>
      <c r="AT64" s="7"/>
      <c r="AU64" s="7">
        <f t="shared" si="54"/>
        <v>0</v>
      </c>
      <c r="AV64" s="22">
        <f>AU64*$L$5</f>
        <v>0</v>
      </c>
      <c r="AW64" s="22">
        <f t="shared" si="55"/>
        <v>0</v>
      </c>
      <c r="AX64" s="7">
        <f>IF($W$7=FALSE,0,IF(C64=FALSE,0,HLOOKUP(選項!$M$2,'P(M)年費表'!$AH$56:$BG$78,20)))</f>
        <v>0</v>
      </c>
      <c r="AY64" s="22">
        <f t="shared" si="56"/>
        <v>0</v>
      </c>
      <c r="AZ64" s="22">
        <f t="shared" si="57"/>
        <v>0</v>
      </c>
      <c r="BA64" s="216"/>
      <c r="BB64" s="27">
        <f t="shared" si="61"/>
        <v>0</v>
      </c>
      <c r="BC64" s="27">
        <f t="shared" si="62"/>
        <v>0</v>
      </c>
      <c r="BD64" s="27">
        <f t="shared" si="63"/>
        <v>0</v>
      </c>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row>
    <row r="65" spans="1:122" x14ac:dyDescent="0.25">
      <c r="A65" s="215" t="s">
        <v>10</v>
      </c>
      <c r="B65" s="11" t="str">
        <f t="shared" si="43"/>
        <v>發明</v>
      </c>
      <c r="C65" s="11" t="b">
        <f t="shared" si="43"/>
        <v>0</v>
      </c>
      <c r="D65" s="11"/>
      <c r="E65" s="148" t="str">
        <f t="shared" si="44"/>
        <v>不申請</v>
      </c>
      <c r="F65" s="3" t="s">
        <v>22</v>
      </c>
      <c r="G65" s="7">
        <f>IF($W$5=FALSE,0,IF(C65=FALSE,0,60))</f>
        <v>0</v>
      </c>
      <c r="H65" s="88"/>
      <c r="I65" s="88"/>
      <c r="J65" s="88"/>
      <c r="K65" s="7">
        <f t="shared" si="45"/>
        <v>0</v>
      </c>
      <c r="L65" s="23">
        <f>K65*$L$9</f>
        <v>0</v>
      </c>
      <c r="M65" s="3" t="s">
        <v>22</v>
      </c>
      <c r="N65" s="88"/>
      <c r="O65" s="7">
        <f>IF($W$6=FALSE,0,IF(C65=FALSE,0,24000))</f>
        <v>0</v>
      </c>
      <c r="P65" s="88"/>
      <c r="Q65" s="88"/>
      <c r="R65" s="88"/>
      <c r="S65" s="88"/>
      <c r="T65" s="7">
        <f t="shared" si="46"/>
        <v>0</v>
      </c>
      <c r="U65" s="23">
        <f>T65*$L$9</f>
        <v>0</v>
      </c>
      <c r="V65" s="23">
        <f t="shared" si="58"/>
        <v>0</v>
      </c>
      <c r="W65" s="7">
        <f t="shared" si="64"/>
        <v>0</v>
      </c>
      <c r="X65" s="88"/>
      <c r="Y65" s="88"/>
      <c r="Z65" s="88"/>
      <c r="AA65" s="23">
        <f t="shared" si="47"/>
        <v>0</v>
      </c>
      <c r="AB65" s="23">
        <f t="shared" si="48"/>
        <v>0</v>
      </c>
      <c r="AC65" s="228" t="str">
        <f>$A$36</f>
        <v>泰國</v>
      </c>
      <c r="AD65" s="27">
        <f t="shared" si="49"/>
        <v>0</v>
      </c>
      <c r="AE65" s="27">
        <f t="shared" si="50"/>
        <v>0</v>
      </c>
      <c r="AF65" s="27">
        <f t="shared" si="51"/>
        <v>0</v>
      </c>
      <c r="AG65" s="32"/>
      <c r="AH65" s="32"/>
      <c r="AI65" s="228" t="str">
        <f>$A$36</f>
        <v>泰國</v>
      </c>
      <c r="AJ65" s="11" t="str">
        <f t="shared" si="52"/>
        <v>發明</v>
      </c>
      <c r="AK65" s="3" t="str">
        <f t="shared" si="59"/>
        <v>THB</v>
      </c>
      <c r="AL65" s="7">
        <f>IF($W$5=FALSE,0,IF(C65=FALSE,0,HLOOKUP(選項!$M$2,'P(M)年費表'!$AH$2:$BG$24,21)))</f>
        <v>0</v>
      </c>
      <c r="AM65" s="89"/>
      <c r="AN65" s="7"/>
      <c r="AO65" s="7">
        <f t="shared" si="53"/>
        <v>0</v>
      </c>
      <c r="AP65" s="22">
        <f>AO65*$L$9</f>
        <v>0</v>
      </c>
      <c r="AQ65" s="3" t="str">
        <f t="shared" si="60"/>
        <v>THB</v>
      </c>
      <c r="AR65" s="7">
        <f>IF($W$6=FALSE,0,IF(C65=FALSE,0,HLOOKUP(選項!$M$2,'P(M)年費表'!$AH$29:$BG$51,21)))</f>
        <v>0</v>
      </c>
      <c r="AS65" s="7"/>
      <c r="AT65" s="7"/>
      <c r="AU65" s="7">
        <f t="shared" si="54"/>
        <v>0</v>
      </c>
      <c r="AV65" s="22">
        <f>AU65*$L$9</f>
        <v>0</v>
      </c>
      <c r="AW65" s="22">
        <f t="shared" si="55"/>
        <v>0</v>
      </c>
      <c r="AX65" s="7">
        <f>IF($W$7=FALSE,0,IF(C65=FALSE,0,HLOOKUP(選項!$M$2,'P(M)年費表'!$AH$56:$BG$78,21)))</f>
        <v>0</v>
      </c>
      <c r="AY65" s="22">
        <f t="shared" si="56"/>
        <v>0</v>
      </c>
      <c r="AZ65" s="22">
        <f t="shared" si="57"/>
        <v>0</v>
      </c>
      <c r="BA65" s="228" t="str">
        <f>$A$36</f>
        <v>泰國</v>
      </c>
      <c r="BB65" s="27">
        <f t="shared" si="61"/>
        <v>0</v>
      </c>
      <c r="BC65" s="27">
        <f t="shared" si="62"/>
        <v>0</v>
      </c>
      <c r="BD65" s="27">
        <f t="shared" si="63"/>
        <v>0</v>
      </c>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row>
    <row r="66" spans="1:122" x14ac:dyDescent="0.25">
      <c r="A66" s="216"/>
      <c r="B66" s="11" t="str">
        <f t="shared" si="43"/>
        <v>新型</v>
      </c>
      <c r="C66" s="11" t="b">
        <f t="shared" si="43"/>
        <v>0</v>
      </c>
      <c r="D66" s="11"/>
      <c r="E66" s="148" t="str">
        <f t="shared" si="44"/>
        <v>不申請</v>
      </c>
      <c r="F66" s="3" t="s">
        <v>22</v>
      </c>
      <c r="G66" s="88"/>
      <c r="H66" s="88"/>
      <c r="I66" s="88"/>
      <c r="J66" s="88"/>
      <c r="K66" s="7">
        <f t="shared" si="45"/>
        <v>0</v>
      </c>
      <c r="L66" s="23">
        <f>K66*$L$9</f>
        <v>0</v>
      </c>
      <c r="M66" s="3" t="s">
        <v>22</v>
      </c>
      <c r="N66" s="88"/>
      <c r="O66" s="88"/>
      <c r="P66" s="88"/>
      <c r="Q66" s="88"/>
      <c r="R66" s="88"/>
      <c r="S66" s="88"/>
      <c r="T66" s="7">
        <f t="shared" si="46"/>
        <v>0</v>
      </c>
      <c r="U66" s="23">
        <f>T66*$L$9</f>
        <v>0</v>
      </c>
      <c r="V66" s="23">
        <f t="shared" si="58"/>
        <v>0</v>
      </c>
      <c r="W66" s="88"/>
      <c r="X66" s="88"/>
      <c r="Y66" s="88"/>
      <c r="Z66" s="88"/>
      <c r="AA66" s="23">
        <f t="shared" si="47"/>
        <v>0</v>
      </c>
      <c r="AB66" s="23">
        <f t="shared" si="48"/>
        <v>0</v>
      </c>
      <c r="AC66" s="216"/>
      <c r="AD66" s="27">
        <f t="shared" si="49"/>
        <v>0</v>
      </c>
      <c r="AE66" s="27">
        <f t="shared" si="50"/>
        <v>0</v>
      </c>
      <c r="AF66" s="27">
        <f t="shared" si="51"/>
        <v>0</v>
      </c>
      <c r="AG66" s="32"/>
      <c r="AH66" s="32"/>
      <c r="AI66" s="216"/>
      <c r="AJ66" s="11" t="str">
        <f t="shared" si="52"/>
        <v>新型</v>
      </c>
      <c r="AK66" s="3" t="str">
        <f t="shared" si="59"/>
        <v>THB</v>
      </c>
      <c r="AL66" s="7">
        <f>IF($W$5=FALSE,0,IF(C66=FALSE,0,HLOOKUP(選項!$M$2,'P(M)年費表'!$AH$2:$BG$24,22)))</f>
        <v>0</v>
      </c>
      <c r="AM66" s="89"/>
      <c r="AN66" s="7"/>
      <c r="AO66" s="7">
        <f t="shared" si="53"/>
        <v>0</v>
      </c>
      <c r="AP66" s="22">
        <f>AO66*$L$9</f>
        <v>0</v>
      </c>
      <c r="AQ66" s="3" t="str">
        <f t="shared" si="60"/>
        <v>THB</v>
      </c>
      <c r="AR66" s="7">
        <f>IF($W$6=FALSE,0,IF(C66=FALSE,0,HLOOKUP(選項!$M$2,'P(M)年費表'!$AH$29:$BG$51,22)))</f>
        <v>0</v>
      </c>
      <c r="AS66" s="7"/>
      <c r="AT66" s="7"/>
      <c r="AU66" s="7">
        <f t="shared" si="54"/>
        <v>0</v>
      </c>
      <c r="AV66" s="22">
        <f>AU66*$L$9</f>
        <v>0</v>
      </c>
      <c r="AW66" s="22">
        <f t="shared" si="55"/>
        <v>0</v>
      </c>
      <c r="AX66" s="7">
        <f>IF($W$7=FALSE,0,IF(C66=FALSE,0,HLOOKUP(選項!$M$2,'P(M)年費表'!$AH$56:$BG$78,22)))</f>
        <v>0</v>
      </c>
      <c r="AY66" s="22">
        <f t="shared" si="56"/>
        <v>0</v>
      </c>
      <c r="AZ66" s="22">
        <f t="shared" si="57"/>
        <v>0</v>
      </c>
      <c r="BA66" s="216"/>
      <c r="BB66" s="27">
        <f t="shared" si="61"/>
        <v>0</v>
      </c>
      <c r="BC66" s="27">
        <f t="shared" si="62"/>
        <v>0</v>
      </c>
      <c r="BD66" s="27">
        <f t="shared" si="63"/>
        <v>0</v>
      </c>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row>
    <row r="67" spans="1:122" ht="19.5" x14ac:dyDescent="0.25">
      <c r="A67" s="5"/>
      <c r="B67" s="5"/>
      <c r="C67" s="5"/>
      <c r="D67" s="5"/>
      <c r="E67" s="143"/>
      <c r="F67" s="5"/>
      <c r="G67" s="5"/>
      <c r="H67" s="5"/>
      <c r="I67" s="5"/>
      <c r="J67" s="5"/>
      <c r="K67" s="8" t="s">
        <v>50</v>
      </c>
      <c r="L67" s="24">
        <f>SUM(L46:L66)</f>
        <v>86604</v>
      </c>
      <c r="M67" s="5"/>
      <c r="N67" s="5"/>
      <c r="O67" s="5"/>
      <c r="P67" s="5"/>
      <c r="Q67" s="5"/>
      <c r="R67" s="5"/>
      <c r="S67" s="5"/>
      <c r="T67" s="8" t="s">
        <v>50</v>
      </c>
      <c r="U67" s="24">
        <f>SUM(U46:U66)</f>
        <v>355376.8</v>
      </c>
      <c r="V67" s="24">
        <f>SUM(V46:V66)</f>
        <v>441980.8</v>
      </c>
      <c r="W67" s="5"/>
      <c r="X67" s="5"/>
      <c r="Y67" s="5"/>
      <c r="Z67" s="7"/>
      <c r="AA67" s="24">
        <f>SUM(AA46:AA66)</f>
        <v>330000</v>
      </c>
      <c r="AB67" s="24">
        <f>SUM(AB46:AB66)</f>
        <v>771980.80000000005</v>
      </c>
      <c r="AC67" s="3"/>
      <c r="AD67" s="27">
        <f t="shared" si="49"/>
        <v>86604</v>
      </c>
      <c r="AE67" s="27">
        <f t="shared" si="50"/>
        <v>355376.8</v>
      </c>
      <c r="AF67" s="27">
        <f t="shared" si="51"/>
        <v>330000</v>
      </c>
      <c r="AG67" s="32"/>
      <c r="AH67" s="32"/>
      <c r="AI67" s="3"/>
      <c r="AJ67" s="3"/>
      <c r="AK67" s="5"/>
      <c r="AL67" s="5"/>
      <c r="AM67" s="5"/>
      <c r="AN67" s="5"/>
      <c r="AO67" s="8" t="s">
        <v>50</v>
      </c>
      <c r="AP67" s="20">
        <f>SUM(AP46:AP66)</f>
        <v>2901141.3769999999</v>
      </c>
      <c r="AQ67" s="5"/>
      <c r="AR67" s="5"/>
      <c r="AS67" s="5"/>
      <c r="AT67" s="5"/>
      <c r="AU67" s="8" t="s">
        <v>50</v>
      </c>
      <c r="AV67" s="20">
        <f>SUM(AV46:AV66)</f>
        <v>683559.39599999995</v>
      </c>
      <c r="AW67" s="20">
        <f>SUM(AW46:AW66)</f>
        <v>3584700.773</v>
      </c>
      <c r="AX67" s="5"/>
      <c r="AY67" s="20">
        <f>SUM(AY46:AY66)</f>
        <v>819000</v>
      </c>
      <c r="AZ67" s="20">
        <f>SUM(AZ46:AZ66)</f>
        <v>4403700.773</v>
      </c>
      <c r="BA67" s="3"/>
      <c r="BB67" s="19">
        <f>SUM(BB46:BB66)</f>
        <v>2901141.3769999999</v>
      </c>
      <c r="BC67" s="19">
        <f>SUM(BC46:BC66)</f>
        <v>683559.39599999995</v>
      </c>
      <c r="BD67" s="19">
        <f>SUM(BD46:BD66)</f>
        <v>819000</v>
      </c>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row>
    <row r="68" spans="1:122" ht="19.5" x14ac:dyDescent="0.25">
      <c r="E68" s="144"/>
      <c r="K68" s="80"/>
      <c r="L68" s="81"/>
      <c r="T68" s="80"/>
      <c r="U68" s="81"/>
      <c r="V68" s="81"/>
      <c r="Z68" s="82"/>
      <c r="AA68" s="81"/>
      <c r="AB68" s="81"/>
      <c r="AC68" s="83"/>
      <c r="AD68" s="82"/>
      <c r="AE68" s="82"/>
      <c r="AF68" s="82"/>
      <c r="AG68" s="72"/>
      <c r="AH68" s="85"/>
      <c r="AI68" s="9"/>
      <c r="AJ68" s="83"/>
      <c r="AL68" s="83" t="s">
        <v>318</v>
      </c>
      <c r="AO68" s="80"/>
      <c r="AP68" s="81"/>
      <c r="AR68" s="83" t="s">
        <v>318</v>
      </c>
      <c r="AU68" s="80"/>
      <c r="AV68" s="81"/>
      <c r="AW68" s="81"/>
      <c r="AX68" s="83" t="s">
        <v>318</v>
      </c>
      <c r="AY68" s="81"/>
      <c r="AZ68" s="81"/>
      <c r="BA68" s="83"/>
      <c r="BB68" s="81"/>
      <c r="BC68" s="81"/>
      <c r="BD68" s="81"/>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row>
    <row r="69" spans="1:122" ht="19.5" x14ac:dyDescent="0.25">
      <c r="E69" s="144"/>
      <c r="K69" s="80"/>
      <c r="L69" s="81"/>
      <c r="T69" s="80"/>
      <c r="U69" s="81"/>
      <c r="V69" s="81"/>
      <c r="Z69" s="82"/>
      <c r="AA69" s="81"/>
      <c r="AB69" s="81"/>
      <c r="AC69" s="83"/>
      <c r="AD69" s="82"/>
      <c r="AE69" s="82"/>
      <c r="AF69" s="82"/>
      <c r="AG69" s="72"/>
      <c r="AH69" s="85"/>
      <c r="AI69" s="83"/>
      <c r="AJ69" s="83"/>
      <c r="AL69" s="153" t="s">
        <v>317</v>
      </c>
      <c r="AO69" s="80"/>
      <c r="AP69" s="81"/>
      <c r="AU69" s="80"/>
      <c r="AV69" s="81"/>
      <c r="AW69" s="81"/>
      <c r="AY69" s="81"/>
      <c r="AZ69" s="81"/>
      <c r="BA69" s="83"/>
      <c r="BB69" s="81"/>
      <c r="BC69" s="81"/>
      <c r="BD69" s="81"/>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row>
    <row r="70" spans="1:122" ht="19.5" x14ac:dyDescent="0.25">
      <c r="E70" s="144"/>
      <c r="K70" s="80"/>
      <c r="L70" s="81"/>
      <c r="T70" s="80"/>
      <c r="U70" s="81"/>
      <c r="V70" s="81"/>
      <c r="Z70" s="82"/>
      <c r="AA70" s="81"/>
      <c r="AB70" s="81"/>
      <c r="AC70" s="83"/>
      <c r="AD70" s="82"/>
      <c r="AE70" s="82"/>
      <c r="AF70" s="82"/>
      <c r="AG70" s="72"/>
      <c r="AH70" s="85"/>
      <c r="AI70" s="83"/>
      <c r="AJ70" s="83"/>
      <c r="AO70" s="80"/>
      <c r="AP70" s="81"/>
      <c r="AU70" s="80"/>
      <c r="AV70" s="81"/>
      <c r="AW70" s="81"/>
      <c r="AY70" s="81"/>
      <c r="AZ70" s="81"/>
      <c r="BA70" s="83"/>
      <c r="BB70" s="81"/>
      <c r="BC70" s="81"/>
      <c r="BD70" s="81"/>
      <c r="BF70" s="83"/>
      <c r="BG70" s="81"/>
      <c r="BH70" s="81"/>
      <c r="BI70" s="81"/>
      <c r="BJ70" s="81"/>
      <c r="BK70" s="81"/>
      <c r="BL70" s="81"/>
      <c r="BM70" s="81"/>
      <c r="BN70" s="81"/>
      <c r="BO70" s="81"/>
      <c r="BQ70" s="81"/>
      <c r="BR70" s="81"/>
      <c r="BT70" s="81"/>
      <c r="BU70" s="81"/>
      <c r="BV70" s="81"/>
      <c r="BW70" s="81"/>
      <c r="BY70" s="81"/>
      <c r="BZ70" s="81"/>
      <c r="CB70" s="84"/>
      <c r="CC70" s="84"/>
    </row>
    <row r="71" spans="1:122" x14ac:dyDescent="0.25">
      <c r="A71" s="9" t="s">
        <v>48</v>
      </c>
    </row>
    <row r="72" spans="1:122" s="45" customFormat="1" x14ac:dyDescent="0.25">
      <c r="A72" s="41" t="s">
        <v>117</v>
      </c>
      <c r="B72" s="46"/>
      <c r="C72" s="46"/>
      <c r="D72" s="46"/>
      <c r="E72" s="145"/>
      <c r="F72" s="46"/>
      <c r="G72" s="46"/>
      <c r="H72" s="46"/>
      <c r="I72" s="46"/>
      <c r="J72" s="46"/>
      <c r="K72" s="46"/>
      <c r="L72" s="46"/>
      <c r="M72" s="46"/>
      <c r="N72" s="46"/>
      <c r="O72" s="46"/>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row>
    <row r="73" spans="1:122" s="45" customFormat="1" x14ac:dyDescent="0.25">
      <c r="A73" s="41" t="s">
        <v>118</v>
      </c>
      <c r="B73" s="46"/>
      <c r="C73" s="46"/>
      <c r="D73" s="46"/>
      <c r="E73" s="145"/>
      <c r="F73" s="46"/>
      <c r="G73" s="48"/>
      <c r="H73" s="46"/>
      <c r="I73" s="46"/>
      <c r="J73" s="46"/>
      <c r="K73" s="46"/>
      <c r="L73" s="46"/>
      <c r="M73" s="46"/>
      <c r="N73" s="46"/>
      <c r="O73" s="46"/>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row>
    <row r="74" spans="1:122" s="45" customFormat="1" x14ac:dyDescent="0.25">
      <c r="A74" s="53" t="s">
        <v>136</v>
      </c>
      <c r="B74" s="46"/>
      <c r="C74" s="46"/>
      <c r="D74" s="46"/>
      <c r="E74" s="145"/>
      <c r="F74" s="46"/>
      <c r="G74" s="48"/>
      <c r="H74" s="46"/>
      <c r="I74" s="46"/>
      <c r="J74" s="46"/>
      <c r="K74" s="46"/>
      <c r="L74" s="46"/>
      <c r="M74" s="46"/>
      <c r="N74" s="46"/>
      <c r="O74" s="46"/>
      <c r="P74" s="38"/>
      <c r="Q74" s="38"/>
      <c r="R74" s="49"/>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row>
    <row r="75" spans="1:122" s="45" customFormat="1" x14ac:dyDescent="0.25">
      <c r="A75" s="53" t="s">
        <v>137</v>
      </c>
      <c r="B75" s="46"/>
      <c r="C75" s="46"/>
      <c r="D75" s="46"/>
      <c r="E75" s="145"/>
      <c r="F75" s="46"/>
      <c r="G75" s="48"/>
      <c r="H75" s="46"/>
      <c r="I75" s="46"/>
      <c r="J75" s="46"/>
      <c r="K75" s="46"/>
      <c r="L75" s="46"/>
      <c r="M75" s="46"/>
      <c r="N75" s="46"/>
      <c r="O75" s="46"/>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row>
    <row r="76" spans="1:122" s="45" customFormat="1" x14ac:dyDescent="0.25">
      <c r="A76" s="53" t="s">
        <v>138</v>
      </c>
      <c r="B76" s="46"/>
      <c r="C76" s="46"/>
      <c r="D76" s="46"/>
      <c r="E76" s="145"/>
      <c r="F76" s="46"/>
      <c r="G76" s="48"/>
      <c r="H76" s="46"/>
      <c r="I76" s="46"/>
      <c r="J76" s="46"/>
      <c r="K76" s="46"/>
      <c r="L76" s="46"/>
      <c r="M76" s="46"/>
      <c r="N76" s="46"/>
      <c r="O76" s="46"/>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row>
    <row r="77" spans="1:122" s="45" customFormat="1" x14ac:dyDescent="0.25">
      <c r="A77" s="41" t="s">
        <v>119</v>
      </c>
      <c r="B77" s="46"/>
      <c r="C77" s="46"/>
      <c r="D77" s="46"/>
      <c r="E77" s="145"/>
      <c r="F77" s="46"/>
      <c r="G77" s="46"/>
      <c r="H77" s="46"/>
      <c r="I77" s="46"/>
      <c r="J77" s="46"/>
      <c r="K77" s="46"/>
      <c r="L77" s="46"/>
      <c r="M77" s="46"/>
      <c r="N77" s="46"/>
      <c r="O77" s="46"/>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row>
    <row r="78" spans="1:122" s="45" customFormat="1" x14ac:dyDescent="0.25">
      <c r="A78" s="41" t="s">
        <v>140</v>
      </c>
      <c r="B78" s="46"/>
      <c r="C78" s="46"/>
      <c r="D78" s="46"/>
      <c r="E78" s="145"/>
      <c r="F78" s="46"/>
      <c r="G78" s="46"/>
      <c r="H78" s="46"/>
      <c r="I78" s="46"/>
      <c r="J78" s="46"/>
      <c r="K78" s="46"/>
      <c r="L78" s="46"/>
      <c r="M78" s="46"/>
      <c r="N78" s="46"/>
      <c r="O78" s="46"/>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row>
    <row r="79" spans="1:122" s="45" customFormat="1" x14ac:dyDescent="0.25">
      <c r="A79" s="53" t="s">
        <v>139</v>
      </c>
      <c r="B79" s="46"/>
      <c r="C79" s="46"/>
      <c r="D79" s="46"/>
      <c r="E79" s="145"/>
      <c r="F79" s="46"/>
      <c r="G79" s="46"/>
      <c r="H79" s="46"/>
      <c r="I79" s="46"/>
      <c r="J79" s="46"/>
      <c r="K79" s="46"/>
      <c r="L79" s="46"/>
      <c r="M79" s="46"/>
      <c r="N79" s="46"/>
      <c r="O79" s="46"/>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row>
    <row r="80" spans="1:122" s="45" customFormat="1" ht="15.75" x14ac:dyDescent="0.25">
      <c r="A80" s="41" t="s">
        <v>129</v>
      </c>
      <c r="B80" s="46"/>
      <c r="C80" s="46"/>
      <c r="D80" s="46"/>
      <c r="E80" s="145"/>
      <c r="F80" s="46"/>
      <c r="G80" s="46"/>
      <c r="H80" s="46"/>
      <c r="I80" s="46"/>
      <c r="J80" s="46"/>
      <c r="K80" s="46"/>
      <c r="L80" s="46"/>
      <c r="M80" s="46"/>
      <c r="N80" s="46"/>
      <c r="O80" s="46"/>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row>
    <row r="81" spans="1:122" s="45" customFormat="1" x14ac:dyDescent="0.25">
      <c r="A81" s="41" t="s">
        <v>120</v>
      </c>
      <c r="B81" s="46"/>
      <c r="C81" s="46"/>
      <c r="D81" s="46"/>
      <c r="E81" s="145"/>
      <c r="F81" s="46"/>
      <c r="G81" s="46"/>
      <c r="H81" s="46"/>
      <c r="I81" s="46"/>
      <c r="J81" s="46"/>
      <c r="K81" s="46"/>
      <c r="L81" s="46"/>
      <c r="M81" s="46"/>
      <c r="N81" s="46"/>
      <c r="O81" s="46"/>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row>
    <row r="82" spans="1:122" s="45" customFormat="1" x14ac:dyDescent="0.25">
      <c r="A82" s="41" t="s">
        <v>121</v>
      </c>
      <c r="B82" s="46"/>
      <c r="C82" s="46"/>
      <c r="D82" s="46"/>
      <c r="E82" s="145"/>
      <c r="F82" s="46"/>
      <c r="G82" s="46"/>
      <c r="H82" s="46"/>
      <c r="I82" s="46"/>
      <c r="J82" s="46"/>
      <c r="K82" s="46"/>
      <c r="L82" s="46"/>
      <c r="M82" s="46"/>
      <c r="N82" s="46"/>
      <c r="O82" s="46"/>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row>
    <row r="83" spans="1:122" s="45" customFormat="1" x14ac:dyDescent="0.25">
      <c r="A83" s="41" t="s">
        <v>122</v>
      </c>
      <c r="B83" s="46"/>
      <c r="C83" s="46"/>
      <c r="D83" s="46"/>
      <c r="E83" s="145"/>
      <c r="F83" s="46"/>
      <c r="G83" s="46"/>
      <c r="H83" s="46"/>
      <c r="I83" s="46"/>
      <c r="J83" s="46"/>
      <c r="K83" s="46"/>
      <c r="L83" s="46"/>
      <c r="M83" s="46"/>
      <c r="N83" s="46"/>
      <c r="O83" s="46"/>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row>
    <row r="84" spans="1:122" s="45" customFormat="1" x14ac:dyDescent="0.25">
      <c r="A84" s="41" t="s">
        <v>134</v>
      </c>
      <c r="B84" s="46"/>
      <c r="C84" s="46"/>
      <c r="D84" s="46"/>
      <c r="E84" s="145"/>
      <c r="F84" s="46"/>
      <c r="G84" s="46"/>
      <c r="H84" s="46"/>
      <c r="I84" s="46"/>
      <c r="J84" s="46"/>
      <c r="K84" s="46"/>
      <c r="L84" s="46"/>
      <c r="M84" s="46"/>
      <c r="N84" s="46"/>
      <c r="O84" s="46"/>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row>
    <row r="85" spans="1:122" s="45" customFormat="1" x14ac:dyDescent="0.25">
      <c r="A85" s="41" t="s">
        <v>123</v>
      </c>
      <c r="B85" s="46"/>
      <c r="C85" s="46"/>
      <c r="D85" s="46"/>
      <c r="E85" s="145"/>
      <c r="F85" s="46"/>
      <c r="G85" s="46"/>
      <c r="H85" s="46"/>
      <c r="I85" s="46"/>
      <c r="J85" s="46"/>
      <c r="K85" s="46"/>
      <c r="L85" s="46"/>
      <c r="M85" s="46"/>
      <c r="N85" s="46"/>
      <c r="O85" s="46"/>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row>
    <row r="86" spans="1:122" s="45" customFormat="1" x14ac:dyDescent="0.25">
      <c r="A86" s="41" t="s">
        <v>124</v>
      </c>
      <c r="B86" s="46"/>
      <c r="C86" s="46"/>
      <c r="D86" s="46"/>
      <c r="E86" s="145"/>
      <c r="F86" s="46"/>
      <c r="G86" s="46"/>
      <c r="H86" s="46"/>
      <c r="I86" s="46"/>
      <c r="J86" s="46"/>
      <c r="K86" s="46"/>
      <c r="L86" s="46"/>
      <c r="M86" s="46"/>
      <c r="N86" s="46"/>
      <c r="O86" s="46"/>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row>
    <row r="87" spans="1:122" s="45" customFormat="1" x14ac:dyDescent="0.25">
      <c r="A87" s="41" t="s">
        <v>135</v>
      </c>
      <c r="B87" s="46"/>
      <c r="C87" s="46"/>
      <c r="D87" s="46"/>
      <c r="E87" s="145"/>
      <c r="F87" s="46"/>
      <c r="G87" s="46"/>
      <c r="H87" s="46"/>
      <c r="I87" s="46"/>
      <c r="J87" s="46"/>
      <c r="K87" s="46"/>
      <c r="L87" s="46"/>
      <c r="M87" s="46"/>
      <c r="N87" s="46"/>
      <c r="O87" s="46"/>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row>
    <row r="88" spans="1:122" s="45" customFormat="1" x14ac:dyDescent="0.25">
      <c r="A88" s="47" t="s">
        <v>125</v>
      </c>
      <c r="B88" s="46"/>
      <c r="C88" s="46"/>
      <c r="D88" s="46"/>
      <c r="E88" s="145"/>
      <c r="F88" s="46"/>
      <c r="G88" s="46"/>
      <c r="H88" s="46"/>
      <c r="I88" s="46"/>
      <c r="J88" s="46"/>
      <c r="K88" s="46"/>
      <c r="L88" s="46"/>
      <c r="M88" s="46"/>
      <c r="N88" s="46"/>
      <c r="O88" s="46"/>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row>
    <row r="89" spans="1:122" s="45" customFormat="1" x14ac:dyDescent="0.25">
      <c r="A89" s="41" t="s">
        <v>126</v>
      </c>
      <c r="B89" s="46"/>
      <c r="C89" s="46"/>
      <c r="D89" s="46"/>
      <c r="E89" s="145"/>
      <c r="F89" s="46"/>
      <c r="G89" s="46"/>
      <c r="H89" s="46"/>
      <c r="I89" s="46"/>
      <c r="J89" s="46"/>
      <c r="K89" s="46"/>
      <c r="L89" s="46"/>
      <c r="M89" s="46"/>
      <c r="N89" s="46"/>
      <c r="O89" s="46"/>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row>
    <row r="90" spans="1:122" s="45" customFormat="1" x14ac:dyDescent="0.25">
      <c r="A90" s="50" t="s">
        <v>127</v>
      </c>
      <c r="B90" s="46"/>
      <c r="C90" s="46"/>
      <c r="D90" s="46"/>
      <c r="E90" s="145"/>
      <c r="F90" s="46"/>
      <c r="G90" s="46"/>
      <c r="H90" s="46"/>
      <c r="I90" s="46"/>
      <c r="J90" s="51" t="s">
        <v>128</v>
      </c>
      <c r="K90" s="52"/>
      <c r="L90" s="46"/>
      <c r="M90" s="46"/>
      <c r="N90" s="46"/>
      <c r="O90" s="46"/>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row>
    <row r="91" spans="1:122" s="45" customFormat="1" x14ac:dyDescent="0.25">
      <c r="A91" s="50" t="s">
        <v>130</v>
      </c>
      <c r="B91" s="46"/>
      <c r="C91" s="46"/>
      <c r="D91" s="46"/>
      <c r="E91" s="145"/>
      <c r="F91" s="46"/>
      <c r="G91" s="46"/>
      <c r="H91" s="46"/>
      <c r="I91" s="46"/>
      <c r="J91" s="51" t="s">
        <v>128</v>
      </c>
      <c r="K91" s="52"/>
      <c r="L91" s="46"/>
      <c r="M91" s="46"/>
      <c r="N91" s="46"/>
      <c r="O91" s="46"/>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row>
    <row r="92" spans="1:122" x14ac:dyDescent="0.25">
      <c r="A92" s="9"/>
      <c r="F92" s="17"/>
    </row>
    <row r="93" spans="1:122" x14ac:dyDescent="0.25">
      <c r="A93" s="9"/>
    </row>
  </sheetData>
  <mergeCells count="170">
    <mergeCell ref="CB14:CC14"/>
    <mergeCell ref="CB15:CB16"/>
    <mergeCell ref="CC15:CC16"/>
    <mergeCell ref="BY14:BZ14"/>
    <mergeCell ref="BY15:BY16"/>
    <mergeCell ref="BZ15:BZ16"/>
    <mergeCell ref="BO15:BO16"/>
    <mergeCell ref="BF14:BO14"/>
    <mergeCell ref="BT14:BW14"/>
    <mergeCell ref="BQ14:BR14"/>
    <mergeCell ref="BQ15:BQ16"/>
    <mergeCell ref="BR15:BR16"/>
    <mergeCell ref="BW15:BW16"/>
    <mergeCell ref="BT15:BT16"/>
    <mergeCell ref="BU15:BU16"/>
    <mergeCell ref="BV15:BV16"/>
    <mergeCell ref="BF15:BF16"/>
    <mergeCell ref="BG15:BG16"/>
    <mergeCell ref="BH15:BH16"/>
    <mergeCell ref="BJ15:BJ16"/>
    <mergeCell ref="BK15:BK16"/>
    <mergeCell ref="BN15:BN16"/>
    <mergeCell ref="BL15:BL16"/>
    <mergeCell ref="BM15:BM16"/>
    <mergeCell ref="W15:Z15"/>
    <mergeCell ref="AG15:AG16"/>
    <mergeCell ref="AI15:AI16"/>
    <mergeCell ref="AJ15:AJ16"/>
    <mergeCell ref="A36:A37"/>
    <mergeCell ref="A23:A24"/>
    <mergeCell ref="C44:C45"/>
    <mergeCell ref="AI25:AI26"/>
    <mergeCell ref="AI34:AI35"/>
    <mergeCell ref="D17:D18"/>
    <mergeCell ref="AG32:AG33"/>
    <mergeCell ref="AD44:AD45"/>
    <mergeCell ref="AE44:AE45"/>
    <mergeCell ref="AF44:AF45"/>
    <mergeCell ref="AG44:AG45"/>
    <mergeCell ref="AD43:AF43"/>
    <mergeCell ref="AI43:BA43"/>
    <mergeCell ref="AH19:AH20"/>
    <mergeCell ref="AH23:AH24"/>
    <mergeCell ref="AH25:AH26"/>
    <mergeCell ref="AH34:AH35"/>
    <mergeCell ref="AH36:AH37"/>
    <mergeCell ref="AH29:AH30"/>
    <mergeCell ref="AH32:AH33"/>
    <mergeCell ref="AC36:AC37"/>
    <mergeCell ref="AC29:AC30"/>
    <mergeCell ref="A17:A18"/>
    <mergeCell ref="A19:A20"/>
    <mergeCell ref="BA29:BA30"/>
    <mergeCell ref="AI17:AI18"/>
    <mergeCell ref="AI19:AI20"/>
    <mergeCell ref="A25:A26"/>
    <mergeCell ref="A34:A35"/>
    <mergeCell ref="AC17:AC18"/>
    <mergeCell ref="AC19:AC20"/>
    <mergeCell ref="AC23:AC24"/>
    <mergeCell ref="AC25:AC26"/>
    <mergeCell ref="A32:A33"/>
    <mergeCell ref="AC32:AC33"/>
    <mergeCell ref="AI32:AI33"/>
    <mergeCell ref="BA32:BA33"/>
    <mergeCell ref="A29:A30"/>
    <mergeCell ref="AH17:AH18"/>
    <mergeCell ref="D19:D37"/>
    <mergeCell ref="AF15:AF16"/>
    <mergeCell ref="AD15:AD16"/>
    <mergeCell ref="AE15:AE16"/>
    <mergeCell ref="AQ15:AV15"/>
    <mergeCell ref="AI14:BA14"/>
    <mergeCell ref="AK15:AP15"/>
    <mergeCell ref="BA15:BA16"/>
    <mergeCell ref="BA36:BA37"/>
    <mergeCell ref="AG34:AG35"/>
    <mergeCell ref="AG36:AG37"/>
    <mergeCell ref="AG17:AG18"/>
    <mergeCell ref="AG19:AG20"/>
    <mergeCell ref="AG23:AG24"/>
    <mergeCell ref="BA17:BA18"/>
    <mergeCell ref="BA19:BA20"/>
    <mergeCell ref="BA23:BA24"/>
    <mergeCell ref="BA25:BA26"/>
    <mergeCell ref="BA34:BA35"/>
    <mergeCell ref="AI23:AI24"/>
    <mergeCell ref="AG25:AG26"/>
    <mergeCell ref="AG29:AG30"/>
    <mergeCell ref="BI15:BI16"/>
    <mergeCell ref="A4:B4"/>
    <mergeCell ref="K4:N4"/>
    <mergeCell ref="A15:A16"/>
    <mergeCell ref="E15:E16"/>
    <mergeCell ref="M15:U15"/>
    <mergeCell ref="B15:B16"/>
    <mergeCell ref="F15:L15"/>
    <mergeCell ref="V4:W4"/>
    <mergeCell ref="A14:AB14"/>
    <mergeCell ref="T4:U4"/>
    <mergeCell ref="C15:C16"/>
    <mergeCell ref="D15:D16"/>
    <mergeCell ref="AY15:AY16"/>
    <mergeCell ref="AZ15:AZ16"/>
    <mergeCell ref="AH15:AH16"/>
    <mergeCell ref="AC15:AC16"/>
    <mergeCell ref="AA15:AA16"/>
    <mergeCell ref="AB15:AB16"/>
    <mergeCell ref="BB14:BD14"/>
    <mergeCell ref="BB15:BB16"/>
    <mergeCell ref="BC15:BC16"/>
    <mergeCell ref="BD15:BD16"/>
    <mergeCell ref="AD14:AF14"/>
    <mergeCell ref="BB43:BD43"/>
    <mergeCell ref="AC34:AC35"/>
    <mergeCell ref="AI36:AI37"/>
    <mergeCell ref="AI29:AI30"/>
    <mergeCell ref="A44:A45"/>
    <mergeCell ref="B44:B45"/>
    <mergeCell ref="E44:E45"/>
    <mergeCell ref="F44:L44"/>
    <mergeCell ref="M44:U44"/>
    <mergeCell ref="W44:Z44"/>
    <mergeCell ref="AA44:AA45"/>
    <mergeCell ref="AB44:AB45"/>
    <mergeCell ref="AC44:AC45"/>
    <mergeCell ref="BD44:BD45"/>
    <mergeCell ref="AY44:AY45"/>
    <mergeCell ref="AZ44:AZ45"/>
    <mergeCell ref="BA44:BA45"/>
    <mergeCell ref="BB44:BB45"/>
    <mergeCell ref="BC44:BC45"/>
    <mergeCell ref="AH44:AH45"/>
    <mergeCell ref="AI44:AI45"/>
    <mergeCell ref="AJ44:AJ45"/>
    <mergeCell ref="AK44:AP44"/>
    <mergeCell ref="AQ44:AV44"/>
    <mergeCell ref="A63:A64"/>
    <mergeCell ref="AC63:AC64"/>
    <mergeCell ref="AI63:AI64"/>
    <mergeCell ref="BA63:BA64"/>
    <mergeCell ref="A65:A66"/>
    <mergeCell ref="AC65:AC66"/>
    <mergeCell ref="AI65:AI66"/>
    <mergeCell ref="BA65:BA66"/>
    <mergeCell ref="A52:A53"/>
    <mergeCell ref="AC52:AC53"/>
    <mergeCell ref="AI52:AI53"/>
    <mergeCell ref="BA52:BA53"/>
    <mergeCell ref="A54:A55"/>
    <mergeCell ref="AC54:AC55"/>
    <mergeCell ref="AI54:AI55"/>
    <mergeCell ref="BA54:BA55"/>
    <mergeCell ref="A43:AB43"/>
    <mergeCell ref="A58:A59"/>
    <mergeCell ref="AC58:AC59"/>
    <mergeCell ref="AI58:AI59"/>
    <mergeCell ref="BA58:BA59"/>
    <mergeCell ref="A61:A62"/>
    <mergeCell ref="AC61:AC62"/>
    <mergeCell ref="AI61:AI62"/>
    <mergeCell ref="BA61:BA62"/>
    <mergeCell ref="A46:A47"/>
    <mergeCell ref="AC46:AC47"/>
    <mergeCell ref="AI46:AI47"/>
    <mergeCell ref="BA46:BA47"/>
    <mergeCell ref="A48:A49"/>
    <mergeCell ref="AC48:AC49"/>
    <mergeCell ref="AI48:AI49"/>
    <mergeCell ref="BA48:BA49"/>
  </mergeCells>
  <phoneticPr fontId="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FBAF-938D-40CE-97DC-EABC734E4DBF}">
  <sheetPr codeName="工作表3"/>
  <dimension ref="A1:BG79"/>
  <sheetViews>
    <sheetView zoomScale="85" zoomScaleNormal="85" workbookViewId="0">
      <selection activeCell="K2" sqref="K2"/>
    </sheetView>
  </sheetViews>
  <sheetFormatPr defaultRowHeight="16.5" x14ac:dyDescent="0.25"/>
  <cols>
    <col min="4" max="4" width="9" style="101"/>
    <col min="5" max="7" width="10" style="101" bestFit="1" customWidth="1"/>
    <col min="8" max="23" width="11.125" style="101" bestFit="1" customWidth="1"/>
    <col min="24" max="28" width="9" style="101"/>
    <col min="29" max="29" width="13" customWidth="1"/>
    <col min="35" max="35" width="10" bestFit="1" customWidth="1"/>
    <col min="36" max="42" width="11.125" bestFit="1" customWidth="1"/>
    <col min="43" max="50" width="12.25" bestFit="1" customWidth="1"/>
    <col min="51" max="59" width="11.125" bestFit="1" customWidth="1"/>
  </cols>
  <sheetData>
    <row r="1" spans="1:59" s="78" customFormat="1" x14ac:dyDescent="0.25">
      <c r="A1" s="212" t="s">
        <v>199</v>
      </c>
      <c r="B1" s="213"/>
      <c r="C1" s="214"/>
      <c r="D1" s="102" t="s">
        <v>200</v>
      </c>
      <c r="E1" s="103"/>
      <c r="F1" s="103"/>
      <c r="G1" s="103"/>
      <c r="H1" s="103"/>
      <c r="I1" s="103"/>
      <c r="J1" s="103"/>
      <c r="K1" s="103"/>
      <c r="L1" s="103"/>
      <c r="M1" s="103"/>
      <c r="N1" s="103"/>
      <c r="O1" s="103"/>
      <c r="P1" s="103"/>
      <c r="Q1" s="103"/>
      <c r="R1" s="103"/>
      <c r="S1" s="103"/>
      <c r="T1" s="103"/>
      <c r="U1" s="103"/>
      <c r="V1" s="103"/>
      <c r="W1" s="103"/>
      <c r="X1" s="103"/>
      <c r="Y1" s="103"/>
      <c r="Z1" s="103"/>
      <c r="AA1" s="103"/>
      <c r="AB1" s="103"/>
      <c r="AC1" s="76"/>
      <c r="AD1" s="76"/>
      <c r="AE1" s="212" t="s">
        <v>201</v>
      </c>
      <c r="AF1" s="213"/>
      <c r="AG1" s="214"/>
      <c r="AH1" s="79" t="s">
        <v>198</v>
      </c>
      <c r="AI1" s="76"/>
      <c r="AJ1" s="76"/>
      <c r="AK1" s="76"/>
      <c r="AL1" s="76"/>
      <c r="AM1" s="76"/>
      <c r="AN1" s="76"/>
      <c r="AO1" s="76"/>
      <c r="AP1" s="76"/>
      <c r="AQ1" s="76"/>
      <c r="AR1" s="76"/>
      <c r="AS1" s="76"/>
      <c r="AT1" s="76"/>
      <c r="AU1" s="76"/>
      <c r="AV1" s="76"/>
      <c r="AW1" s="76"/>
      <c r="AX1" s="76"/>
      <c r="AY1" s="76"/>
      <c r="AZ1" s="76"/>
      <c r="BA1" s="76"/>
      <c r="BB1" s="76"/>
      <c r="BC1" s="76"/>
      <c r="BD1" s="76"/>
      <c r="BE1" s="76"/>
      <c r="BF1" s="76"/>
      <c r="BG1" s="76"/>
    </row>
    <row r="2" spans="1:59" x14ac:dyDescent="0.25">
      <c r="A2" s="4" t="s">
        <v>114</v>
      </c>
      <c r="B2" s="4" t="s">
        <v>197</v>
      </c>
      <c r="C2" s="4" t="s">
        <v>13</v>
      </c>
      <c r="D2" s="104">
        <v>1</v>
      </c>
      <c r="E2" s="104">
        <v>2</v>
      </c>
      <c r="F2" s="104">
        <v>3</v>
      </c>
      <c r="G2" s="104">
        <v>4</v>
      </c>
      <c r="H2" s="104">
        <v>5</v>
      </c>
      <c r="I2" s="104">
        <v>6</v>
      </c>
      <c r="J2" s="104">
        <v>7</v>
      </c>
      <c r="K2" s="104">
        <v>8</v>
      </c>
      <c r="L2" s="104">
        <v>9</v>
      </c>
      <c r="M2" s="104">
        <v>10</v>
      </c>
      <c r="N2" s="104">
        <v>11</v>
      </c>
      <c r="O2" s="104">
        <v>12</v>
      </c>
      <c r="P2" s="104">
        <v>13</v>
      </c>
      <c r="Q2" s="104">
        <v>14</v>
      </c>
      <c r="R2" s="104">
        <v>15</v>
      </c>
      <c r="S2" s="104">
        <v>16</v>
      </c>
      <c r="T2" s="104">
        <v>17</v>
      </c>
      <c r="U2" s="104">
        <v>18</v>
      </c>
      <c r="V2" s="104">
        <v>19</v>
      </c>
      <c r="W2" s="104">
        <v>20</v>
      </c>
      <c r="X2" s="104">
        <v>21</v>
      </c>
      <c r="Y2" s="104">
        <v>22</v>
      </c>
      <c r="Z2" s="104">
        <v>23</v>
      </c>
      <c r="AA2" s="104">
        <v>24</v>
      </c>
      <c r="AB2" s="104">
        <v>25</v>
      </c>
      <c r="AC2" s="4" t="s">
        <v>196</v>
      </c>
      <c r="AD2" s="4"/>
      <c r="AE2" s="4" t="s">
        <v>114</v>
      </c>
      <c r="AF2" s="4" t="s">
        <v>197</v>
      </c>
      <c r="AG2" s="4" t="s">
        <v>13</v>
      </c>
      <c r="AH2" s="4">
        <v>1</v>
      </c>
      <c r="AI2" s="4">
        <v>2</v>
      </c>
      <c r="AJ2" s="4">
        <v>3</v>
      </c>
      <c r="AK2" s="4">
        <v>4</v>
      </c>
      <c r="AL2" s="4">
        <v>5</v>
      </c>
      <c r="AM2" s="4">
        <v>6</v>
      </c>
      <c r="AN2" s="4">
        <v>7</v>
      </c>
      <c r="AO2" s="4">
        <v>8</v>
      </c>
      <c r="AP2" s="4">
        <v>9</v>
      </c>
      <c r="AQ2" s="4">
        <v>10</v>
      </c>
      <c r="AR2" s="4">
        <v>11</v>
      </c>
      <c r="AS2" s="4">
        <v>12</v>
      </c>
      <c r="AT2" s="4">
        <v>13</v>
      </c>
      <c r="AU2" s="4">
        <v>14</v>
      </c>
      <c r="AV2" s="4">
        <v>15</v>
      </c>
      <c r="AW2" s="4">
        <v>16</v>
      </c>
      <c r="AX2" s="4">
        <v>17</v>
      </c>
      <c r="AY2" s="4">
        <v>18</v>
      </c>
      <c r="AZ2" s="4">
        <v>19</v>
      </c>
      <c r="BA2" s="4">
        <v>20</v>
      </c>
      <c r="BB2" s="4">
        <v>21</v>
      </c>
      <c r="BC2" s="4">
        <v>22</v>
      </c>
      <c r="BD2" s="4">
        <v>23</v>
      </c>
      <c r="BE2" s="4">
        <v>24</v>
      </c>
      <c r="BF2" s="4">
        <v>25</v>
      </c>
      <c r="BG2" s="4" t="s">
        <v>225</v>
      </c>
    </row>
    <row r="3" spans="1:59" x14ac:dyDescent="0.25">
      <c r="A3" s="215" t="s">
        <v>2</v>
      </c>
      <c r="B3" s="11" t="str">
        <f>'P(M)'!B17</f>
        <v>發明</v>
      </c>
      <c r="C3" s="3" t="s">
        <v>14</v>
      </c>
      <c r="D3" s="99"/>
      <c r="E3" s="99">
        <f>IF('發明(新型)案成本估算'!$B$11="大企業",2500,1700)</f>
        <v>1700</v>
      </c>
      <c r="F3" s="99">
        <f>IF('發明(新型)案成本估算'!$B$11="大企業",2500,1700)</f>
        <v>1700</v>
      </c>
      <c r="G3" s="99">
        <f>IF('發明(新型)案成本估算'!$B$11="大企業",5000,3800)</f>
        <v>3800</v>
      </c>
      <c r="H3" s="99">
        <f>IF('發明(新型)案成本估算'!$B$11="大企業",5000,3800)</f>
        <v>3800</v>
      </c>
      <c r="I3" s="99">
        <f>IF('發明(新型)案成本估算'!$B$11="大企業",5000,3800)</f>
        <v>3800</v>
      </c>
      <c r="J3" s="99">
        <v>8000</v>
      </c>
      <c r="K3" s="99">
        <v>8000</v>
      </c>
      <c r="L3" s="99">
        <v>8000</v>
      </c>
      <c r="M3" s="99">
        <v>16000</v>
      </c>
      <c r="N3" s="99">
        <v>16000</v>
      </c>
      <c r="O3" s="99">
        <v>16000</v>
      </c>
      <c r="P3" s="99">
        <v>16000</v>
      </c>
      <c r="Q3" s="99">
        <v>16000</v>
      </c>
      <c r="R3" s="99">
        <v>16000</v>
      </c>
      <c r="S3" s="99">
        <v>16000</v>
      </c>
      <c r="T3" s="99">
        <v>16000</v>
      </c>
      <c r="U3" s="99">
        <v>16000</v>
      </c>
      <c r="V3" s="99">
        <v>16000</v>
      </c>
      <c r="W3" s="99">
        <v>16000</v>
      </c>
      <c r="X3" s="99"/>
      <c r="Y3" s="99"/>
      <c r="Z3" s="99"/>
      <c r="AA3" s="99"/>
      <c r="AB3" s="99"/>
      <c r="AC3" s="77">
        <f>SUM(D3:AB3)</f>
        <v>214800</v>
      </c>
      <c r="AD3" s="11"/>
      <c r="AE3" s="215" t="s">
        <v>2</v>
      </c>
      <c r="AF3" s="11" t="str">
        <f>B3</f>
        <v>發明</v>
      </c>
      <c r="AG3" s="14" t="str">
        <f t="shared" ref="AG3:AG23" si="0">C3</f>
        <v>NTD</v>
      </c>
      <c r="AH3" s="11">
        <f>D3</f>
        <v>0</v>
      </c>
      <c r="AI3" s="77">
        <f t="shared" ref="AI3:BA3" si="1">AH3+E3</f>
        <v>1700</v>
      </c>
      <c r="AJ3" s="77">
        <f t="shared" si="1"/>
        <v>3400</v>
      </c>
      <c r="AK3" s="77">
        <f t="shared" si="1"/>
        <v>7200</v>
      </c>
      <c r="AL3" s="77">
        <f t="shared" si="1"/>
        <v>11000</v>
      </c>
      <c r="AM3" s="77">
        <f t="shared" si="1"/>
        <v>14800</v>
      </c>
      <c r="AN3" s="77">
        <f t="shared" si="1"/>
        <v>22800</v>
      </c>
      <c r="AO3" s="77">
        <f t="shared" si="1"/>
        <v>30800</v>
      </c>
      <c r="AP3" s="77">
        <f t="shared" si="1"/>
        <v>38800</v>
      </c>
      <c r="AQ3" s="77">
        <f t="shared" si="1"/>
        <v>54800</v>
      </c>
      <c r="AR3" s="77">
        <f t="shared" si="1"/>
        <v>70800</v>
      </c>
      <c r="AS3" s="77">
        <f t="shared" si="1"/>
        <v>86800</v>
      </c>
      <c r="AT3" s="77">
        <f t="shared" si="1"/>
        <v>102800</v>
      </c>
      <c r="AU3" s="77">
        <f t="shared" si="1"/>
        <v>118800</v>
      </c>
      <c r="AV3" s="77">
        <f t="shared" si="1"/>
        <v>134800</v>
      </c>
      <c r="AW3" s="77">
        <f t="shared" si="1"/>
        <v>150800</v>
      </c>
      <c r="AX3" s="77">
        <f t="shared" si="1"/>
        <v>166800</v>
      </c>
      <c r="AY3" s="77">
        <f t="shared" si="1"/>
        <v>182800</v>
      </c>
      <c r="AZ3" s="77">
        <f t="shared" si="1"/>
        <v>198800</v>
      </c>
      <c r="BA3" s="77">
        <f t="shared" si="1"/>
        <v>214800</v>
      </c>
      <c r="BB3" s="77">
        <f t="shared" ref="BB3:BF23" si="2">BA3+X3</f>
        <v>214800</v>
      </c>
      <c r="BC3" s="77">
        <f t="shared" si="2"/>
        <v>214800</v>
      </c>
      <c r="BD3" s="77">
        <f t="shared" si="2"/>
        <v>214800</v>
      </c>
      <c r="BE3" s="77">
        <f t="shared" si="2"/>
        <v>214800</v>
      </c>
      <c r="BF3" s="77">
        <f t="shared" si="2"/>
        <v>214800</v>
      </c>
      <c r="BG3" s="77">
        <f>BF3</f>
        <v>214800</v>
      </c>
    </row>
    <row r="4" spans="1:59" x14ac:dyDescent="0.25">
      <c r="A4" s="216"/>
      <c r="B4" s="11" t="str">
        <f>'P(M)'!B18</f>
        <v>新型</v>
      </c>
      <c r="C4" s="3" t="s">
        <v>14</v>
      </c>
      <c r="D4" s="99"/>
      <c r="E4" s="99">
        <f>IF('發明(新型)案成本估算'!$B$11="大企業",2500,1700)</f>
        <v>1700</v>
      </c>
      <c r="F4" s="99">
        <f>IF('發明(新型)案成本估算'!$B$11="大企業",2500,1700)</f>
        <v>1700</v>
      </c>
      <c r="G4" s="99">
        <f>IF('發明(新型)案成本估算'!$B$11="大企業",4000,2800)</f>
        <v>2800</v>
      </c>
      <c r="H4" s="99">
        <f>IF('發明(新型)案成本估算'!$B$11="大企業",4000,2800)</f>
        <v>2800</v>
      </c>
      <c r="I4" s="99">
        <f>IF('發明(新型)案成本估算'!$B$11="大企業",4000,2800)</f>
        <v>2800</v>
      </c>
      <c r="J4" s="99">
        <v>8000</v>
      </c>
      <c r="K4" s="99">
        <v>8000</v>
      </c>
      <c r="L4" s="99">
        <v>8000</v>
      </c>
      <c r="M4" s="99">
        <v>8000</v>
      </c>
      <c r="N4" s="99"/>
      <c r="O4" s="99"/>
      <c r="P4" s="99"/>
      <c r="Q4" s="99"/>
      <c r="R4" s="99"/>
      <c r="S4" s="99"/>
      <c r="T4" s="99"/>
      <c r="U4" s="99"/>
      <c r="V4" s="99"/>
      <c r="W4" s="99"/>
      <c r="X4" s="99"/>
      <c r="Y4" s="99"/>
      <c r="Z4" s="99"/>
      <c r="AA4" s="99"/>
      <c r="AB4" s="99"/>
      <c r="AC4" s="77">
        <f t="shared" ref="AC4:AC24" si="3">SUM(D4:AB4)</f>
        <v>43800</v>
      </c>
      <c r="AD4" s="11"/>
      <c r="AE4" s="216"/>
      <c r="AF4" s="11" t="str">
        <f t="shared" ref="AF4:AF23" si="4">B4</f>
        <v>新型</v>
      </c>
      <c r="AG4" s="14" t="str">
        <f t="shared" si="0"/>
        <v>NTD</v>
      </c>
      <c r="AH4" s="11">
        <f>D4</f>
        <v>0</v>
      </c>
      <c r="AI4" s="77">
        <f t="shared" ref="AI4:AR5" si="5">AH4+E4</f>
        <v>1700</v>
      </c>
      <c r="AJ4" s="77">
        <f t="shared" si="5"/>
        <v>3400</v>
      </c>
      <c r="AK4" s="77">
        <f t="shared" si="5"/>
        <v>6200</v>
      </c>
      <c r="AL4" s="77">
        <f t="shared" si="5"/>
        <v>9000</v>
      </c>
      <c r="AM4" s="77">
        <f t="shared" si="5"/>
        <v>11800</v>
      </c>
      <c r="AN4" s="77">
        <f t="shared" si="5"/>
        <v>19800</v>
      </c>
      <c r="AO4" s="77">
        <f t="shared" si="5"/>
        <v>27800</v>
      </c>
      <c r="AP4" s="77">
        <f t="shared" si="5"/>
        <v>35800</v>
      </c>
      <c r="AQ4" s="77">
        <f t="shared" si="5"/>
        <v>43800</v>
      </c>
      <c r="AR4" s="77">
        <f t="shared" si="5"/>
        <v>43800</v>
      </c>
      <c r="AS4" s="77">
        <f t="shared" ref="AS4:BA5" si="6">AR4+O4</f>
        <v>43800</v>
      </c>
      <c r="AT4" s="77">
        <f t="shared" si="6"/>
        <v>43800</v>
      </c>
      <c r="AU4" s="77">
        <f t="shared" si="6"/>
        <v>43800</v>
      </c>
      <c r="AV4" s="77">
        <f t="shared" si="6"/>
        <v>43800</v>
      </c>
      <c r="AW4" s="77">
        <f t="shared" si="6"/>
        <v>43800</v>
      </c>
      <c r="AX4" s="77">
        <f t="shared" si="6"/>
        <v>43800</v>
      </c>
      <c r="AY4" s="77">
        <f t="shared" si="6"/>
        <v>43800</v>
      </c>
      <c r="AZ4" s="77">
        <f t="shared" si="6"/>
        <v>43800</v>
      </c>
      <c r="BA4" s="77">
        <f t="shared" si="6"/>
        <v>43800</v>
      </c>
      <c r="BB4" s="77">
        <f t="shared" si="2"/>
        <v>43800</v>
      </c>
      <c r="BC4" s="77">
        <f t="shared" si="2"/>
        <v>43800</v>
      </c>
      <c r="BD4" s="77">
        <f t="shared" si="2"/>
        <v>43800</v>
      </c>
      <c r="BE4" s="77">
        <f t="shared" si="2"/>
        <v>43800</v>
      </c>
      <c r="BF4" s="77">
        <f t="shared" si="2"/>
        <v>43800</v>
      </c>
      <c r="BG4" s="77">
        <f t="shared" ref="BG4:BG23" si="7">BF4</f>
        <v>43800</v>
      </c>
    </row>
    <row r="5" spans="1:59" x14ac:dyDescent="0.25">
      <c r="A5" s="215" t="s">
        <v>3</v>
      </c>
      <c r="B5" s="11" t="str">
        <f>'P(M)'!B19</f>
        <v>發明</v>
      </c>
      <c r="C5" s="3" t="s">
        <v>15</v>
      </c>
      <c r="D5" s="99"/>
      <c r="E5" s="128">
        <v>900</v>
      </c>
      <c r="F5" s="128">
        <v>900</v>
      </c>
      <c r="G5" s="128">
        <v>1200</v>
      </c>
      <c r="H5" s="128">
        <v>1200</v>
      </c>
      <c r="I5" s="128">
        <v>1200</v>
      </c>
      <c r="J5" s="128">
        <v>2000</v>
      </c>
      <c r="K5" s="128">
        <v>2000</v>
      </c>
      <c r="L5" s="128">
        <v>2000</v>
      </c>
      <c r="M5" s="128">
        <v>4000</v>
      </c>
      <c r="N5" s="128">
        <v>4000</v>
      </c>
      <c r="O5" s="128">
        <v>4000</v>
      </c>
      <c r="P5" s="128">
        <v>6000</v>
      </c>
      <c r="Q5" s="128">
        <v>6000</v>
      </c>
      <c r="R5" s="128">
        <v>6000</v>
      </c>
      <c r="S5" s="128">
        <v>8000</v>
      </c>
      <c r="T5" s="128">
        <v>8000</v>
      </c>
      <c r="U5" s="128">
        <v>8000</v>
      </c>
      <c r="V5" s="128">
        <v>8000</v>
      </c>
      <c r="W5" s="128">
        <v>8000</v>
      </c>
      <c r="X5" s="99"/>
      <c r="Y5" s="99"/>
      <c r="Z5" s="99"/>
      <c r="AA5" s="99"/>
      <c r="AB5" s="99"/>
      <c r="AC5" s="77">
        <f t="shared" si="3"/>
        <v>81400</v>
      </c>
      <c r="AD5" s="11"/>
      <c r="AE5" s="215" t="s">
        <v>3</v>
      </c>
      <c r="AF5" s="11" t="str">
        <f t="shared" si="4"/>
        <v>發明</v>
      </c>
      <c r="AG5" s="14" t="str">
        <f t="shared" si="0"/>
        <v>CNY</v>
      </c>
      <c r="AH5" s="11">
        <f>D5</f>
        <v>0</v>
      </c>
      <c r="AI5" s="77">
        <f t="shared" si="5"/>
        <v>900</v>
      </c>
      <c r="AJ5" s="77">
        <f t="shared" si="5"/>
        <v>1800</v>
      </c>
      <c r="AK5" s="77">
        <f t="shared" si="5"/>
        <v>3000</v>
      </c>
      <c r="AL5" s="77">
        <f t="shared" si="5"/>
        <v>4200</v>
      </c>
      <c r="AM5" s="77">
        <f t="shared" si="5"/>
        <v>5400</v>
      </c>
      <c r="AN5" s="77">
        <f t="shared" si="5"/>
        <v>7400</v>
      </c>
      <c r="AO5" s="77">
        <f t="shared" si="5"/>
        <v>9400</v>
      </c>
      <c r="AP5" s="77">
        <f t="shared" si="5"/>
        <v>11400</v>
      </c>
      <c r="AQ5" s="77">
        <f t="shared" si="5"/>
        <v>15400</v>
      </c>
      <c r="AR5" s="77">
        <f t="shared" si="5"/>
        <v>19400</v>
      </c>
      <c r="AS5" s="77">
        <f t="shared" si="6"/>
        <v>23400</v>
      </c>
      <c r="AT5" s="77">
        <f t="shared" si="6"/>
        <v>29400</v>
      </c>
      <c r="AU5" s="77">
        <f t="shared" si="6"/>
        <v>35400</v>
      </c>
      <c r="AV5" s="77">
        <f t="shared" si="6"/>
        <v>41400</v>
      </c>
      <c r="AW5" s="77">
        <f t="shared" si="6"/>
        <v>49400</v>
      </c>
      <c r="AX5" s="77">
        <f t="shared" si="6"/>
        <v>57400</v>
      </c>
      <c r="AY5" s="77">
        <f t="shared" si="6"/>
        <v>65400</v>
      </c>
      <c r="AZ5" s="77">
        <f t="shared" si="6"/>
        <v>73400</v>
      </c>
      <c r="BA5" s="77">
        <f t="shared" si="6"/>
        <v>81400</v>
      </c>
      <c r="BB5" s="77">
        <f>BA5+X5</f>
        <v>81400</v>
      </c>
      <c r="BC5" s="77">
        <f>BB5+Y5</f>
        <v>81400</v>
      </c>
      <c r="BD5" s="77">
        <f>BC5+Z5</f>
        <v>81400</v>
      </c>
      <c r="BE5" s="77">
        <f>BD5+AA5</f>
        <v>81400</v>
      </c>
      <c r="BF5" s="77">
        <f>BE5+AB5</f>
        <v>81400</v>
      </c>
      <c r="BG5" s="77">
        <f>BF5</f>
        <v>81400</v>
      </c>
    </row>
    <row r="6" spans="1:59" x14ac:dyDescent="0.25">
      <c r="A6" s="216"/>
      <c r="B6" s="11" t="str">
        <f>'P(M)'!B20</f>
        <v>新型</v>
      </c>
      <c r="C6" s="3" t="s">
        <v>15</v>
      </c>
      <c r="D6" s="99"/>
      <c r="E6" s="99">
        <v>600</v>
      </c>
      <c r="F6" s="99">
        <v>600</v>
      </c>
      <c r="G6" s="99">
        <v>900</v>
      </c>
      <c r="H6" s="99">
        <v>900</v>
      </c>
      <c r="I6" s="99">
        <v>1200</v>
      </c>
      <c r="J6" s="99">
        <v>1200</v>
      </c>
      <c r="K6" s="99">
        <v>1200</v>
      </c>
      <c r="L6" s="99">
        <v>2000</v>
      </c>
      <c r="M6" s="99">
        <v>2000</v>
      </c>
      <c r="N6" s="99"/>
      <c r="O6" s="99"/>
      <c r="P6" s="99"/>
      <c r="Q6" s="99"/>
      <c r="R6" s="99"/>
      <c r="S6" s="99"/>
      <c r="T6" s="99"/>
      <c r="U6" s="99"/>
      <c r="V6" s="99"/>
      <c r="W6" s="99"/>
      <c r="X6" s="99"/>
      <c r="Y6" s="99"/>
      <c r="Z6" s="99"/>
      <c r="AA6" s="99"/>
      <c r="AB6" s="99"/>
      <c r="AC6" s="77">
        <f t="shared" si="3"/>
        <v>10600</v>
      </c>
      <c r="AD6" s="11"/>
      <c r="AE6" s="216"/>
      <c r="AF6" s="11" t="str">
        <f t="shared" si="4"/>
        <v>新型</v>
      </c>
      <c r="AG6" s="14" t="str">
        <f t="shared" si="0"/>
        <v>CNY</v>
      </c>
      <c r="AH6" s="11">
        <f t="shared" ref="AH6:AH23" si="8">D6</f>
        <v>0</v>
      </c>
      <c r="AI6" s="77">
        <f t="shared" ref="AI6:AI23" si="9">AH6+E6</f>
        <v>600</v>
      </c>
      <c r="AJ6" s="77">
        <f t="shared" ref="AJ6:AJ23" si="10">AI6+F6</f>
        <v>1200</v>
      </c>
      <c r="AK6" s="77">
        <f t="shared" ref="AK6:AK23" si="11">AJ6+G6</f>
        <v>2100</v>
      </c>
      <c r="AL6" s="77">
        <f t="shared" ref="AL6:AL23" si="12">AK6+H6</f>
        <v>3000</v>
      </c>
      <c r="AM6" s="77">
        <f t="shared" ref="AM6:AM23" si="13">AL6+I6</f>
        <v>4200</v>
      </c>
      <c r="AN6" s="77">
        <f t="shared" ref="AN6:AN23" si="14">AM6+J6</f>
        <v>5400</v>
      </c>
      <c r="AO6" s="77">
        <f t="shared" ref="AO6:AO23" si="15">AN6+K6</f>
        <v>6600</v>
      </c>
      <c r="AP6" s="77">
        <f t="shared" ref="AP6:AP23" si="16">AO6+L6</f>
        <v>8600</v>
      </c>
      <c r="AQ6" s="77">
        <f t="shared" ref="AQ6:AQ23" si="17">AP6+M6</f>
        <v>10600</v>
      </c>
      <c r="AR6" s="77">
        <f t="shared" ref="AR6:AR23" si="18">AQ6+N6</f>
        <v>10600</v>
      </c>
      <c r="AS6" s="77">
        <f t="shared" ref="AS6:AS23" si="19">AR6+O6</f>
        <v>10600</v>
      </c>
      <c r="AT6" s="77">
        <f t="shared" ref="AT6:AT23" si="20">AS6+P6</f>
        <v>10600</v>
      </c>
      <c r="AU6" s="77">
        <f t="shared" ref="AU6:AU23" si="21">AT6+Q6</f>
        <v>10600</v>
      </c>
      <c r="AV6" s="77">
        <f t="shared" ref="AV6:AV23" si="22">AU6+R6</f>
        <v>10600</v>
      </c>
      <c r="AW6" s="77">
        <f t="shared" ref="AW6:AW23" si="23">AV6+S6</f>
        <v>10600</v>
      </c>
      <c r="AX6" s="77">
        <f t="shared" ref="AX6:AX23" si="24">AW6+T6</f>
        <v>10600</v>
      </c>
      <c r="AY6" s="77">
        <f t="shared" ref="AY6:AY23" si="25">AX6+U6</f>
        <v>10600</v>
      </c>
      <c r="AZ6" s="77">
        <f t="shared" ref="AZ6:AZ23" si="26">AY6+V6</f>
        <v>10600</v>
      </c>
      <c r="BA6" s="77">
        <f t="shared" ref="BA6:BA23" si="27">AZ6+W6</f>
        <v>10600</v>
      </c>
      <c r="BB6" s="77">
        <f t="shared" si="2"/>
        <v>10600</v>
      </c>
      <c r="BC6" s="77">
        <f t="shared" si="2"/>
        <v>10600</v>
      </c>
      <c r="BD6" s="77">
        <f t="shared" si="2"/>
        <v>10600</v>
      </c>
      <c r="BE6" s="77">
        <f t="shared" si="2"/>
        <v>10600</v>
      </c>
      <c r="BF6" s="77">
        <f t="shared" si="2"/>
        <v>10600</v>
      </c>
      <c r="BG6" s="77">
        <f t="shared" si="7"/>
        <v>10600</v>
      </c>
    </row>
    <row r="7" spans="1:59" x14ac:dyDescent="0.25">
      <c r="A7" s="3" t="s">
        <v>4</v>
      </c>
      <c r="B7" s="11" t="str">
        <f>'P(M)'!B21</f>
        <v>發明</v>
      </c>
      <c r="C7" s="3" t="s">
        <v>16</v>
      </c>
      <c r="D7" s="99"/>
      <c r="E7" s="99"/>
      <c r="F7" s="99"/>
      <c r="G7" s="99">
        <f>IF('發明(新型)案成本估算'!$B$10="500人以上",2150,2150*40%)</f>
        <v>860</v>
      </c>
      <c r="H7" s="99"/>
      <c r="I7" s="99"/>
      <c r="J7" s="99"/>
      <c r="K7" s="99">
        <f>IF('發明(新型)案成本估算'!$B$10="500人以上",4040,4040*40%)</f>
        <v>1616</v>
      </c>
      <c r="L7" s="99"/>
      <c r="M7" s="99"/>
      <c r="N7" s="99"/>
      <c r="O7" s="99">
        <f>IF('發明(新型)案成本估算'!$B$10="500人以上",8280,8280*40%)</f>
        <v>3312</v>
      </c>
      <c r="P7" s="99"/>
      <c r="Q7" s="99"/>
      <c r="R7" s="99"/>
      <c r="S7" s="99"/>
      <c r="T7" s="99"/>
      <c r="U7" s="99"/>
      <c r="V7" s="99"/>
      <c r="W7" s="99"/>
      <c r="X7" s="99"/>
      <c r="Y7" s="99"/>
      <c r="Z7" s="99"/>
      <c r="AA7" s="99"/>
      <c r="AB7" s="99"/>
      <c r="AC7" s="77">
        <f t="shared" si="3"/>
        <v>5788</v>
      </c>
      <c r="AD7" s="11"/>
      <c r="AE7" s="3" t="s">
        <v>4</v>
      </c>
      <c r="AF7" s="11" t="str">
        <f t="shared" si="4"/>
        <v>發明</v>
      </c>
      <c r="AG7" s="14" t="str">
        <f t="shared" si="0"/>
        <v>USD</v>
      </c>
      <c r="AH7" s="11">
        <f t="shared" si="8"/>
        <v>0</v>
      </c>
      <c r="AI7" s="77">
        <f t="shared" si="9"/>
        <v>0</v>
      </c>
      <c r="AJ7" s="77">
        <f t="shared" si="10"/>
        <v>0</v>
      </c>
      <c r="AK7" s="77">
        <f t="shared" si="11"/>
        <v>860</v>
      </c>
      <c r="AL7" s="77">
        <f t="shared" si="12"/>
        <v>860</v>
      </c>
      <c r="AM7" s="77">
        <f t="shared" si="13"/>
        <v>860</v>
      </c>
      <c r="AN7" s="77">
        <f t="shared" si="14"/>
        <v>860</v>
      </c>
      <c r="AO7" s="77">
        <f t="shared" si="15"/>
        <v>2476</v>
      </c>
      <c r="AP7" s="77">
        <f t="shared" si="16"/>
        <v>2476</v>
      </c>
      <c r="AQ7" s="77">
        <f t="shared" si="17"/>
        <v>2476</v>
      </c>
      <c r="AR7" s="77">
        <f t="shared" si="18"/>
        <v>2476</v>
      </c>
      <c r="AS7" s="77">
        <f t="shared" si="19"/>
        <v>5788</v>
      </c>
      <c r="AT7" s="77">
        <f t="shared" si="20"/>
        <v>5788</v>
      </c>
      <c r="AU7" s="77">
        <f t="shared" si="21"/>
        <v>5788</v>
      </c>
      <c r="AV7" s="77">
        <f t="shared" si="22"/>
        <v>5788</v>
      </c>
      <c r="AW7" s="77">
        <f t="shared" si="23"/>
        <v>5788</v>
      </c>
      <c r="AX7" s="77">
        <f t="shared" si="24"/>
        <v>5788</v>
      </c>
      <c r="AY7" s="77">
        <f t="shared" si="25"/>
        <v>5788</v>
      </c>
      <c r="AZ7" s="77">
        <f t="shared" si="26"/>
        <v>5788</v>
      </c>
      <c r="BA7" s="77">
        <f t="shared" si="27"/>
        <v>5788</v>
      </c>
      <c r="BB7" s="77">
        <f t="shared" si="2"/>
        <v>5788</v>
      </c>
      <c r="BC7" s="77">
        <f t="shared" si="2"/>
        <v>5788</v>
      </c>
      <c r="BD7" s="77">
        <f t="shared" si="2"/>
        <v>5788</v>
      </c>
      <c r="BE7" s="77">
        <f t="shared" si="2"/>
        <v>5788</v>
      </c>
      <c r="BF7" s="77">
        <f t="shared" si="2"/>
        <v>5788</v>
      </c>
      <c r="BG7" s="77">
        <f t="shared" si="7"/>
        <v>5788</v>
      </c>
    </row>
    <row r="8" spans="1:59" x14ac:dyDescent="0.25">
      <c r="A8" s="3" t="s">
        <v>5</v>
      </c>
      <c r="B8" s="11" t="str">
        <f>'P(M)'!B22</f>
        <v>發明</v>
      </c>
      <c r="C8" s="3" t="s">
        <v>16</v>
      </c>
      <c r="D8" s="105"/>
      <c r="E8" s="105"/>
      <c r="F8" s="105">
        <v>140.10999999999999</v>
      </c>
      <c r="G8" s="105">
        <v>140.10999999999999</v>
      </c>
      <c r="H8" s="105">
        <v>269.18</v>
      </c>
      <c r="I8" s="105">
        <v>399.84999999999997</v>
      </c>
      <c r="J8" s="105">
        <v>520.12</v>
      </c>
      <c r="K8" s="105">
        <v>679.34</v>
      </c>
      <c r="L8" s="105">
        <v>830.76</v>
      </c>
      <c r="M8" s="105">
        <v>989.96999999999991</v>
      </c>
      <c r="N8" s="105">
        <v>1227.04</v>
      </c>
      <c r="O8" s="105">
        <v>1517.76</v>
      </c>
      <c r="P8" s="105">
        <v>1823.19</v>
      </c>
      <c r="Q8" s="105">
        <v>2141.61</v>
      </c>
      <c r="R8" s="105">
        <v>2502.46</v>
      </c>
      <c r="S8" s="105">
        <v>2889.27</v>
      </c>
      <c r="T8" s="105">
        <v>3274.31</v>
      </c>
      <c r="U8" s="105">
        <v>3672.3399999999997</v>
      </c>
      <c r="V8" s="105">
        <v>4070.3599999999997</v>
      </c>
      <c r="W8" s="105">
        <v>4453.63</v>
      </c>
      <c r="X8" s="99"/>
      <c r="Y8" s="99"/>
      <c r="Z8" s="99"/>
      <c r="AA8" s="99"/>
      <c r="AB8" s="99"/>
      <c r="AC8" s="77">
        <f t="shared" si="3"/>
        <v>31541.410000000003</v>
      </c>
      <c r="AD8" s="11"/>
      <c r="AE8" s="3" t="s">
        <v>5</v>
      </c>
      <c r="AF8" s="11" t="str">
        <f t="shared" si="4"/>
        <v>發明</v>
      </c>
      <c r="AG8" s="14" t="str">
        <f t="shared" si="0"/>
        <v>USD</v>
      </c>
      <c r="AH8" s="11">
        <f t="shared" si="8"/>
        <v>0</v>
      </c>
      <c r="AI8" s="77">
        <f t="shared" si="9"/>
        <v>0</v>
      </c>
      <c r="AJ8" s="77">
        <f t="shared" si="10"/>
        <v>140.10999999999999</v>
      </c>
      <c r="AK8" s="77">
        <f t="shared" si="11"/>
        <v>280.21999999999997</v>
      </c>
      <c r="AL8" s="77">
        <f t="shared" si="12"/>
        <v>549.4</v>
      </c>
      <c r="AM8" s="77">
        <f t="shared" si="13"/>
        <v>949.25</v>
      </c>
      <c r="AN8" s="77">
        <f t="shared" si="14"/>
        <v>1469.37</v>
      </c>
      <c r="AO8" s="77">
        <f t="shared" si="15"/>
        <v>2148.71</v>
      </c>
      <c r="AP8" s="77">
        <f t="shared" si="16"/>
        <v>2979.4700000000003</v>
      </c>
      <c r="AQ8" s="77">
        <f t="shared" si="17"/>
        <v>3969.44</v>
      </c>
      <c r="AR8" s="77">
        <f t="shared" si="18"/>
        <v>5196.4799999999996</v>
      </c>
      <c r="AS8" s="77">
        <f t="shared" si="19"/>
        <v>6714.24</v>
      </c>
      <c r="AT8" s="77">
        <f t="shared" si="20"/>
        <v>8537.43</v>
      </c>
      <c r="AU8" s="77">
        <f t="shared" si="21"/>
        <v>10679.04</v>
      </c>
      <c r="AV8" s="77">
        <f t="shared" si="22"/>
        <v>13181.5</v>
      </c>
      <c r="AW8" s="77">
        <f t="shared" si="23"/>
        <v>16070.77</v>
      </c>
      <c r="AX8" s="77">
        <f t="shared" si="24"/>
        <v>19345.080000000002</v>
      </c>
      <c r="AY8" s="77">
        <f t="shared" si="25"/>
        <v>23017.420000000002</v>
      </c>
      <c r="AZ8" s="77">
        <f t="shared" si="26"/>
        <v>27087.780000000002</v>
      </c>
      <c r="BA8" s="77">
        <f t="shared" si="27"/>
        <v>31541.410000000003</v>
      </c>
      <c r="BB8" s="77">
        <f t="shared" si="2"/>
        <v>31541.410000000003</v>
      </c>
      <c r="BC8" s="77">
        <f t="shared" si="2"/>
        <v>31541.410000000003</v>
      </c>
      <c r="BD8" s="77">
        <f t="shared" si="2"/>
        <v>31541.410000000003</v>
      </c>
      <c r="BE8" s="77">
        <f t="shared" si="2"/>
        <v>31541.410000000003</v>
      </c>
      <c r="BF8" s="77">
        <f t="shared" si="2"/>
        <v>31541.410000000003</v>
      </c>
      <c r="BG8" s="77">
        <f t="shared" si="7"/>
        <v>31541.410000000003</v>
      </c>
    </row>
    <row r="9" spans="1:59" x14ac:dyDescent="0.25">
      <c r="A9" s="215" t="s">
        <v>6</v>
      </c>
      <c r="B9" s="11" t="str">
        <f>'P(M)'!B23</f>
        <v>發明</v>
      </c>
      <c r="C9" s="3" t="s">
        <v>18</v>
      </c>
      <c r="D9" s="99"/>
      <c r="E9" s="99"/>
      <c r="F9" s="99"/>
      <c r="G9" s="99">
        <f>IF('發明(新型)案成本估算'!$B$7&gt;0,10300+800*'發明(新型)案成本估算'!$B$7,0)</f>
        <v>18300</v>
      </c>
      <c r="H9" s="99">
        <f>IF('發明(新型)案成本估算'!$B$7&gt;0,10300+800*'發明(新型)案成本估算'!$B$7,0)</f>
        <v>18300</v>
      </c>
      <c r="I9" s="99">
        <f>IF('發明(新型)案成本估算'!$B$7&gt;0,10300+800*'發明(新型)案成本估算'!$B$7,0)</f>
        <v>18300</v>
      </c>
      <c r="J9" s="99">
        <f>IF('發明(新型)案成本估算'!$B$7&gt;0,24800+1900*'發明(新型)案成本估算'!$B$7,0)</f>
        <v>43800</v>
      </c>
      <c r="K9" s="99">
        <f>IF('發明(新型)案成本估算'!$B$7&gt;0,24800+1900*'發明(新型)案成本估算'!$B$7,0)</f>
        <v>43800</v>
      </c>
      <c r="L9" s="99">
        <f>IF('發明(新型)案成本估算'!$B$7&gt;0,24800+1900*'發明(新型)案成本估算'!$B$7,0)</f>
        <v>43800</v>
      </c>
      <c r="M9" s="99">
        <f>IF('發明(新型)案成本估算'!$B$7&gt;0,59400+4600*'發明(新型)案成本估算'!$B$7,0)</f>
        <v>105400</v>
      </c>
      <c r="N9" s="99">
        <f>IF('發明(新型)案成本估算'!$B$7&gt;0,59400+4600*'發明(新型)案成本估算'!$B$7,0)</f>
        <v>105400</v>
      </c>
      <c r="O9" s="99">
        <f>IF('發明(新型)案成本估算'!$B$7&gt;0,59400+4600*'發明(新型)案成本估算'!$B$7,0)</f>
        <v>105400</v>
      </c>
      <c r="P9" s="99">
        <f>IF('發明(新型)案成本估算'!$B$7&gt;0,59400+4600*'發明(新型)案成本估算'!$B$7,0)</f>
        <v>105400</v>
      </c>
      <c r="Q9" s="99">
        <f>IF('發明(新型)案成本估算'!$B$7&gt;0,59400+4600*'發明(新型)案成本估算'!$B$7,0)</f>
        <v>105400</v>
      </c>
      <c r="R9" s="99">
        <f>IF('發明(新型)案成本估算'!$B$7&gt;0,59400+4600*'發明(新型)案成本估算'!$B$7,0)</f>
        <v>105400</v>
      </c>
      <c r="S9" s="99">
        <f>IF('發明(新型)案成本估算'!$B$7&gt;0,59400+4600*'發明(新型)案成本估算'!$B$7,0)</f>
        <v>105400</v>
      </c>
      <c r="T9" s="99">
        <f>IF('發明(新型)案成本估算'!$B$7&gt;0,59400+4600*'發明(新型)案成本估算'!$B$7,0)</f>
        <v>105400</v>
      </c>
      <c r="U9" s="99">
        <f>IF('發明(新型)案成本估算'!$B$7&gt;0,59400+4600*'發明(新型)案成本估算'!$B$7,0)</f>
        <v>105400</v>
      </c>
      <c r="V9" s="99">
        <f>IF('發明(新型)案成本估算'!$B$7&gt;0,59400+4600*'發明(新型)案成本估算'!$B$7,0)</f>
        <v>105400</v>
      </c>
      <c r="W9" s="99">
        <f>IF('發明(新型)案成本估算'!$B$7&gt;0,59400+4600*'發明(新型)案成本估算'!$B$7,0)</f>
        <v>105400</v>
      </c>
      <c r="X9" s="99"/>
      <c r="Y9" s="99"/>
      <c r="Z9" s="99"/>
      <c r="AA9" s="99"/>
      <c r="AB9" s="99"/>
      <c r="AC9" s="77">
        <f t="shared" si="3"/>
        <v>1345700</v>
      </c>
      <c r="AD9" s="11"/>
      <c r="AE9" s="215" t="s">
        <v>6</v>
      </c>
      <c r="AF9" s="11" t="str">
        <f t="shared" si="4"/>
        <v>發明</v>
      </c>
      <c r="AG9" s="14" t="str">
        <f t="shared" si="0"/>
        <v>JPY</v>
      </c>
      <c r="AH9" s="11">
        <f t="shared" si="8"/>
        <v>0</v>
      </c>
      <c r="AI9" s="77">
        <f t="shared" si="9"/>
        <v>0</v>
      </c>
      <c r="AJ9" s="77">
        <f t="shared" si="10"/>
        <v>0</v>
      </c>
      <c r="AK9" s="77">
        <f t="shared" si="11"/>
        <v>18300</v>
      </c>
      <c r="AL9" s="77">
        <f t="shared" si="12"/>
        <v>36600</v>
      </c>
      <c r="AM9" s="77">
        <f t="shared" si="13"/>
        <v>54900</v>
      </c>
      <c r="AN9" s="77">
        <f t="shared" si="14"/>
        <v>98700</v>
      </c>
      <c r="AO9" s="77">
        <f t="shared" si="15"/>
        <v>142500</v>
      </c>
      <c r="AP9" s="77">
        <f t="shared" si="16"/>
        <v>186300</v>
      </c>
      <c r="AQ9" s="77">
        <f t="shared" si="17"/>
        <v>291700</v>
      </c>
      <c r="AR9" s="77">
        <f t="shared" si="18"/>
        <v>397100</v>
      </c>
      <c r="AS9" s="77">
        <f t="shared" si="19"/>
        <v>502500</v>
      </c>
      <c r="AT9" s="77">
        <f t="shared" si="20"/>
        <v>607900</v>
      </c>
      <c r="AU9" s="77">
        <f t="shared" si="21"/>
        <v>713300</v>
      </c>
      <c r="AV9" s="77">
        <f t="shared" si="22"/>
        <v>818700</v>
      </c>
      <c r="AW9" s="77">
        <f t="shared" si="23"/>
        <v>924100</v>
      </c>
      <c r="AX9" s="77">
        <f t="shared" si="24"/>
        <v>1029500</v>
      </c>
      <c r="AY9" s="77">
        <f t="shared" si="25"/>
        <v>1134900</v>
      </c>
      <c r="AZ9" s="77">
        <f t="shared" si="26"/>
        <v>1240300</v>
      </c>
      <c r="BA9" s="77">
        <f t="shared" si="27"/>
        <v>1345700</v>
      </c>
      <c r="BB9" s="77">
        <f t="shared" si="2"/>
        <v>1345700</v>
      </c>
      <c r="BC9" s="77">
        <f t="shared" si="2"/>
        <v>1345700</v>
      </c>
      <c r="BD9" s="77">
        <f t="shared" si="2"/>
        <v>1345700</v>
      </c>
      <c r="BE9" s="77">
        <f t="shared" si="2"/>
        <v>1345700</v>
      </c>
      <c r="BF9" s="77">
        <f t="shared" si="2"/>
        <v>1345700</v>
      </c>
      <c r="BG9" s="77">
        <f t="shared" si="7"/>
        <v>1345700</v>
      </c>
    </row>
    <row r="10" spans="1:59" x14ac:dyDescent="0.25">
      <c r="A10" s="216"/>
      <c r="B10" s="11" t="str">
        <f>'P(M)'!B24</f>
        <v>新型</v>
      </c>
      <c r="C10" s="3" t="s">
        <v>18</v>
      </c>
      <c r="D10" s="99"/>
      <c r="E10" s="99"/>
      <c r="F10" s="99"/>
      <c r="G10" s="99">
        <f>IF('發明(新型)案成本估算'!$B$7&gt;0,6300+300*'發明(新型)案成本估算'!$B$7,0)</f>
        <v>9300</v>
      </c>
      <c r="H10" s="99">
        <f>IF('發明(新型)案成本估算'!$B$7&gt;0,6300+300*'發明(新型)案成本估算'!$B$7,0)</f>
        <v>9300</v>
      </c>
      <c r="I10" s="99">
        <f>IF('發明(新型)案成本估算'!$B$7&gt;0,6300+300*'發明(新型)案成本估算'!$B$7,0)</f>
        <v>9300</v>
      </c>
      <c r="J10" s="99">
        <f>IF('發明(新型)案成本估算'!$B$7&gt;0,18100+900*'發明(新型)案成本估算'!$B$7,0)</f>
        <v>27100</v>
      </c>
      <c r="K10" s="99">
        <f>IF('發明(新型)案成本估算'!$B$7&gt;0,18100+900*'發明(新型)案成本估算'!$B$7,0)</f>
        <v>27100</v>
      </c>
      <c r="L10" s="99">
        <f>IF('發明(新型)案成本估算'!$B$7&gt;0,18100+900*'發明(新型)案成本估算'!$B$7,0)</f>
        <v>27100</v>
      </c>
      <c r="M10" s="99">
        <f>IF('發明(新型)案成本估算'!$B$7&gt;0,18100+900*'發明(新型)案成本估算'!$B$7,0)</f>
        <v>27100</v>
      </c>
      <c r="N10" s="99"/>
      <c r="O10" s="99"/>
      <c r="P10" s="99"/>
      <c r="Q10" s="99"/>
      <c r="R10" s="99"/>
      <c r="S10" s="99"/>
      <c r="T10" s="99"/>
      <c r="U10" s="99"/>
      <c r="V10" s="99"/>
      <c r="W10" s="99"/>
      <c r="X10" s="99"/>
      <c r="Y10" s="99"/>
      <c r="Z10" s="99"/>
      <c r="AA10" s="99"/>
      <c r="AB10" s="99"/>
      <c r="AC10" s="77">
        <f t="shared" si="3"/>
        <v>136300</v>
      </c>
      <c r="AD10" s="11"/>
      <c r="AE10" s="216"/>
      <c r="AF10" s="11" t="str">
        <f t="shared" si="4"/>
        <v>新型</v>
      </c>
      <c r="AG10" s="14" t="str">
        <f t="shared" si="0"/>
        <v>JPY</v>
      </c>
      <c r="AH10" s="11">
        <f t="shared" si="8"/>
        <v>0</v>
      </c>
      <c r="AI10" s="77">
        <f t="shared" si="9"/>
        <v>0</v>
      </c>
      <c r="AJ10" s="77">
        <f t="shared" si="10"/>
        <v>0</v>
      </c>
      <c r="AK10" s="77">
        <f t="shared" si="11"/>
        <v>9300</v>
      </c>
      <c r="AL10" s="77">
        <f t="shared" si="12"/>
        <v>18600</v>
      </c>
      <c r="AM10" s="77">
        <f t="shared" si="13"/>
        <v>27900</v>
      </c>
      <c r="AN10" s="77">
        <f t="shared" si="14"/>
        <v>55000</v>
      </c>
      <c r="AO10" s="77">
        <f t="shared" si="15"/>
        <v>82100</v>
      </c>
      <c r="AP10" s="77">
        <f t="shared" si="16"/>
        <v>109200</v>
      </c>
      <c r="AQ10" s="77">
        <f t="shared" si="17"/>
        <v>136300</v>
      </c>
      <c r="AR10" s="77">
        <f t="shared" si="18"/>
        <v>136300</v>
      </c>
      <c r="AS10" s="77">
        <f t="shared" si="19"/>
        <v>136300</v>
      </c>
      <c r="AT10" s="77">
        <f t="shared" si="20"/>
        <v>136300</v>
      </c>
      <c r="AU10" s="77">
        <f t="shared" si="21"/>
        <v>136300</v>
      </c>
      <c r="AV10" s="77">
        <f t="shared" si="22"/>
        <v>136300</v>
      </c>
      <c r="AW10" s="77">
        <f t="shared" si="23"/>
        <v>136300</v>
      </c>
      <c r="AX10" s="77">
        <f t="shared" si="24"/>
        <v>136300</v>
      </c>
      <c r="AY10" s="77">
        <f t="shared" si="25"/>
        <v>136300</v>
      </c>
      <c r="AZ10" s="77">
        <f t="shared" si="26"/>
        <v>136300</v>
      </c>
      <c r="BA10" s="77">
        <f t="shared" si="27"/>
        <v>136300</v>
      </c>
      <c r="BB10" s="77">
        <f t="shared" si="2"/>
        <v>136300</v>
      </c>
      <c r="BC10" s="77">
        <f t="shared" si="2"/>
        <v>136300</v>
      </c>
      <c r="BD10" s="77">
        <f t="shared" si="2"/>
        <v>136300</v>
      </c>
      <c r="BE10" s="77">
        <f t="shared" si="2"/>
        <v>136300</v>
      </c>
      <c r="BF10" s="77">
        <f t="shared" si="2"/>
        <v>136300</v>
      </c>
      <c r="BG10" s="77">
        <f t="shared" si="7"/>
        <v>136300</v>
      </c>
    </row>
    <row r="11" spans="1:59" x14ac:dyDescent="0.25">
      <c r="A11" s="215" t="s">
        <v>7</v>
      </c>
      <c r="B11" s="11" t="str">
        <f>'P(M)'!B25</f>
        <v>發明</v>
      </c>
      <c r="C11" s="3" t="s">
        <v>19</v>
      </c>
      <c r="D11" s="99"/>
      <c r="E11" s="99"/>
      <c r="F11" s="99"/>
      <c r="G11" s="99">
        <f>IF('發明(新型)案成本估算'!$B$7&gt;0,36000+20000*'發明(新型)案成本估算'!$B$7,0)</f>
        <v>236000</v>
      </c>
      <c r="H11" s="99">
        <f>IF('發明(新型)案成本估算'!$B$7&gt;0,36000+20000*'發明(新型)案成本估算'!$B$7,0)</f>
        <v>236000</v>
      </c>
      <c r="I11" s="99">
        <f>IF('發明(新型)案成本估算'!$B$7&gt;0,36000+20000*'發明(新型)案成本估算'!$B$7,0)</f>
        <v>236000</v>
      </c>
      <c r="J11" s="99">
        <f>IF('發明(新型)案成本估算'!$B$7&gt;0,90000+34000*'發明(新型)案成本估算'!$B$7,0)</f>
        <v>430000</v>
      </c>
      <c r="K11" s="99">
        <f>IF('發明(新型)案成本估算'!$B$7&gt;0,90000+34000*'發明(新型)案成本估算'!$B$7,0)</f>
        <v>430000</v>
      </c>
      <c r="L11" s="99">
        <f>IF('發明(新型)案成本估算'!$B$7&gt;0,90000+34000*'發明(新型)案成本估算'!$B$7,0)</f>
        <v>430000</v>
      </c>
      <c r="M11" s="99">
        <f>IF('發明(新型)案成本估算'!$B$7&gt;0,216000+49000*'發明(新型)案成本估算'!$B$7,0)</f>
        <v>706000</v>
      </c>
      <c r="N11" s="99">
        <f>IF('發明(新型)案成本估算'!$B$7&gt;0,216000+49000*'發明(新型)案成本估算'!$B$7,0)</f>
        <v>706000</v>
      </c>
      <c r="O11" s="99">
        <f>IF('發明(新型)案成本估算'!$B$7&gt;0,216000+49000*'發明(新型)案成本估算'!$B$7,0)</f>
        <v>706000</v>
      </c>
      <c r="P11" s="99">
        <f>IF('發明(新型)案成本估算'!$B$7&gt;0,324000+49000*'發明(新型)案成本估算'!$B$7,0)</f>
        <v>814000</v>
      </c>
      <c r="Q11" s="99">
        <f>IF('發明(新型)案成本估算'!$B$7&gt;0,324000+49000*'發明(新型)案成本估算'!$B$7,0)</f>
        <v>814000</v>
      </c>
      <c r="R11" s="99">
        <f>IF('發明(新型)案成本估算'!$B$7&gt;0,324000+49000*'發明(新型)案成本估算'!$B$7,0)</f>
        <v>814000</v>
      </c>
      <c r="S11" s="99">
        <f>IF('發明(新型)案成本估算'!$B$7&gt;0,324000+49000*'發明(新型)案成本估算'!$B$7,0)</f>
        <v>814000</v>
      </c>
      <c r="T11" s="99">
        <f>IF('發明(新型)案成本估算'!$B$7&gt;0,324000+49000*'發明(新型)案成本估算'!$B$7,0)</f>
        <v>814000</v>
      </c>
      <c r="U11" s="99">
        <f>IF('發明(新型)案成本估算'!$B$7&gt;0,324000+49000*'發明(新型)案成本估算'!$B$7,0)</f>
        <v>814000</v>
      </c>
      <c r="V11" s="99">
        <f>IF('發明(新型)案成本估算'!$B$7&gt;0,324000+49000*'發明(新型)案成本估算'!$B$7,0)</f>
        <v>814000</v>
      </c>
      <c r="W11" s="99">
        <f>IF('發明(新型)案成本估算'!$B$7&gt;0,324000+49000*'發明(新型)案成本估算'!$B$7,0)</f>
        <v>814000</v>
      </c>
      <c r="X11" s="99"/>
      <c r="Y11" s="99"/>
      <c r="Z11" s="99"/>
      <c r="AA11" s="99"/>
      <c r="AB11" s="99"/>
      <c r="AC11" s="77">
        <f t="shared" si="3"/>
        <v>10628000</v>
      </c>
      <c r="AD11" s="11"/>
      <c r="AE11" s="215" t="s">
        <v>7</v>
      </c>
      <c r="AF11" s="11" t="str">
        <f t="shared" si="4"/>
        <v>發明</v>
      </c>
      <c r="AG11" s="14" t="str">
        <f t="shared" si="0"/>
        <v>KRW</v>
      </c>
      <c r="AH11" s="11">
        <f t="shared" si="8"/>
        <v>0</v>
      </c>
      <c r="AI11" s="77">
        <f t="shared" si="9"/>
        <v>0</v>
      </c>
      <c r="AJ11" s="77">
        <f t="shared" si="10"/>
        <v>0</v>
      </c>
      <c r="AK11" s="77">
        <f t="shared" si="11"/>
        <v>236000</v>
      </c>
      <c r="AL11" s="77">
        <f t="shared" si="12"/>
        <v>472000</v>
      </c>
      <c r="AM11" s="77">
        <f t="shared" si="13"/>
        <v>708000</v>
      </c>
      <c r="AN11" s="77">
        <f t="shared" si="14"/>
        <v>1138000</v>
      </c>
      <c r="AO11" s="77">
        <f t="shared" si="15"/>
        <v>1568000</v>
      </c>
      <c r="AP11" s="77">
        <f t="shared" si="16"/>
        <v>1998000</v>
      </c>
      <c r="AQ11" s="77">
        <f t="shared" si="17"/>
        <v>2704000</v>
      </c>
      <c r="AR11" s="77">
        <f t="shared" si="18"/>
        <v>3410000</v>
      </c>
      <c r="AS11" s="77">
        <f t="shared" si="19"/>
        <v>4116000</v>
      </c>
      <c r="AT11" s="77">
        <f t="shared" si="20"/>
        <v>4930000</v>
      </c>
      <c r="AU11" s="77">
        <f t="shared" si="21"/>
        <v>5744000</v>
      </c>
      <c r="AV11" s="77">
        <f t="shared" si="22"/>
        <v>6558000</v>
      </c>
      <c r="AW11" s="77">
        <f t="shared" si="23"/>
        <v>7372000</v>
      </c>
      <c r="AX11" s="77">
        <f t="shared" si="24"/>
        <v>8186000</v>
      </c>
      <c r="AY11" s="77">
        <f t="shared" si="25"/>
        <v>9000000</v>
      </c>
      <c r="AZ11" s="77">
        <f t="shared" si="26"/>
        <v>9814000</v>
      </c>
      <c r="BA11" s="77">
        <f t="shared" si="27"/>
        <v>10628000</v>
      </c>
      <c r="BB11" s="77">
        <f t="shared" si="2"/>
        <v>10628000</v>
      </c>
      <c r="BC11" s="77">
        <f t="shared" si="2"/>
        <v>10628000</v>
      </c>
      <c r="BD11" s="77">
        <f t="shared" si="2"/>
        <v>10628000</v>
      </c>
      <c r="BE11" s="77">
        <f t="shared" si="2"/>
        <v>10628000</v>
      </c>
      <c r="BF11" s="77">
        <f t="shared" si="2"/>
        <v>10628000</v>
      </c>
      <c r="BG11" s="77">
        <f t="shared" si="7"/>
        <v>10628000</v>
      </c>
    </row>
    <row r="12" spans="1:59" x14ac:dyDescent="0.25">
      <c r="A12" s="216"/>
      <c r="B12" s="11" t="str">
        <f>'P(M)'!B26</f>
        <v>新型</v>
      </c>
      <c r="C12" s="3" t="s">
        <v>19</v>
      </c>
      <c r="D12" s="99"/>
      <c r="E12" s="99"/>
      <c r="F12" s="99"/>
      <c r="G12" s="99">
        <f>IF('發明(新型)案成本估算'!$B$7&gt;0,25000+9000*'發明(新型)案成本估算'!$B$7,0)</f>
        <v>115000</v>
      </c>
      <c r="H12" s="99">
        <f>IF('發明(新型)案成本估算'!$B$7&gt;0,25000+9000*'發明(新型)案成本估算'!$B$7,0)</f>
        <v>115000</v>
      </c>
      <c r="I12" s="99">
        <f>IF('發明(新型)案成本估算'!$B$7&gt;0,25000+9000*'發明(新型)案成本估算'!$B$7,0)</f>
        <v>115000</v>
      </c>
      <c r="J12" s="99">
        <f>IF('發明(新型)案成本估算'!$B$7&gt;0,60000+14000*'發明(新型)案成本估算'!$B$7,0)</f>
        <v>200000</v>
      </c>
      <c r="K12" s="99">
        <f>IF('發明(新型)案成本估算'!$B$7&gt;0,60000+14000*'發明(新型)案成本估算'!$B$7,0)</f>
        <v>200000</v>
      </c>
      <c r="L12" s="99">
        <f>IF('發明(新型)案成本估算'!$B$7&gt;0,60000+14000*'發明(新型)案成本估算'!$B$7,0)</f>
        <v>200000</v>
      </c>
      <c r="M12" s="99">
        <f>IF('發明(新型)案成本估算'!$B$7&gt;0,160000+20000*'發明(新型)案成本估算'!$B$7,0)</f>
        <v>360000</v>
      </c>
      <c r="N12" s="99">
        <f>IF('發明(新型)案成本估算'!$B$7&gt;0,160000+20000*'發明(新型)案成本估算'!$B$7,0)</f>
        <v>360000</v>
      </c>
      <c r="O12" s="99">
        <f>IF('發明(新型)案成本估算'!$B$7&gt;0,160000+20000*'發明(新型)案成本估算'!$B$7,0)</f>
        <v>360000</v>
      </c>
      <c r="P12" s="99">
        <f>IF('發明(新型)案成本估算'!$B$7&gt;0,240000+20000*'發明(新型)案成本估算'!$B$7,0)</f>
        <v>440000</v>
      </c>
      <c r="Q12" s="99">
        <f>IF('發明(新型)案成本估算'!$B$7&gt;0,240000+20000*'發明(新型)案成本估算'!$B$7,0)</f>
        <v>440000</v>
      </c>
      <c r="R12" s="99">
        <f>IF('發明(新型)案成本估算'!$B$7&gt;0,240000+20000*'發明(新型)案成本估算'!$B$7,0)</f>
        <v>440000</v>
      </c>
      <c r="S12" s="99"/>
      <c r="T12" s="99"/>
      <c r="U12" s="99"/>
      <c r="V12" s="99"/>
      <c r="W12" s="99"/>
      <c r="X12" s="99"/>
      <c r="Y12" s="99"/>
      <c r="Z12" s="99"/>
      <c r="AA12" s="99"/>
      <c r="AB12" s="99"/>
      <c r="AC12" s="77">
        <f t="shared" si="3"/>
        <v>3345000</v>
      </c>
      <c r="AD12" s="11"/>
      <c r="AE12" s="216"/>
      <c r="AF12" s="11" t="str">
        <f t="shared" si="4"/>
        <v>新型</v>
      </c>
      <c r="AG12" s="14" t="str">
        <f t="shared" si="0"/>
        <v>KRW</v>
      </c>
      <c r="AH12" s="11">
        <f t="shared" si="8"/>
        <v>0</v>
      </c>
      <c r="AI12" s="77">
        <f t="shared" si="9"/>
        <v>0</v>
      </c>
      <c r="AJ12" s="77">
        <f t="shared" si="10"/>
        <v>0</v>
      </c>
      <c r="AK12" s="77">
        <f t="shared" si="11"/>
        <v>115000</v>
      </c>
      <c r="AL12" s="77">
        <f t="shared" si="12"/>
        <v>230000</v>
      </c>
      <c r="AM12" s="77">
        <f t="shared" si="13"/>
        <v>345000</v>
      </c>
      <c r="AN12" s="77">
        <f t="shared" si="14"/>
        <v>545000</v>
      </c>
      <c r="AO12" s="77">
        <f t="shared" si="15"/>
        <v>745000</v>
      </c>
      <c r="AP12" s="77">
        <f t="shared" si="16"/>
        <v>945000</v>
      </c>
      <c r="AQ12" s="77">
        <f t="shared" si="17"/>
        <v>1305000</v>
      </c>
      <c r="AR12" s="77">
        <f t="shared" si="18"/>
        <v>1665000</v>
      </c>
      <c r="AS12" s="77">
        <f t="shared" si="19"/>
        <v>2025000</v>
      </c>
      <c r="AT12" s="77">
        <f t="shared" si="20"/>
        <v>2465000</v>
      </c>
      <c r="AU12" s="77">
        <f t="shared" si="21"/>
        <v>2905000</v>
      </c>
      <c r="AV12" s="77">
        <f t="shared" si="22"/>
        <v>3345000</v>
      </c>
      <c r="AW12" s="77">
        <f t="shared" si="23"/>
        <v>3345000</v>
      </c>
      <c r="AX12" s="77">
        <f t="shared" si="24"/>
        <v>3345000</v>
      </c>
      <c r="AY12" s="77">
        <f t="shared" si="25"/>
        <v>3345000</v>
      </c>
      <c r="AZ12" s="77">
        <f t="shared" si="26"/>
        <v>3345000</v>
      </c>
      <c r="BA12" s="77">
        <f t="shared" si="27"/>
        <v>3345000</v>
      </c>
      <c r="BB12" s="77">
        <f t="shared" si="2"/>
        <v>3345000</v>
      </c>
      <c r="BC12" s="77">
        <f t="shared" si="2"/>
        <v>3345000</v>
      </c>
      <c r="BD12" s="77">
        <f t="shared" si="2"/>
        <v>3345000</v>
      </c>
      <c r="BE12" s="77">
        <f t="shared" si="2"/>
        <v>3345000</v>
      </c>
      <c r="BF12" s="77">
        <f t="shared" si="2"/>
        <v>3345000</v>
      </c>
      <c r="BG12" s="77">
        <f t="shared" si="7"/>
        <v>3345000</v>
      </c>
    </row>
    <row r="13" spans="1:59" x14ac:dyDescent="0.25">
      <c r="A13" s="3" t="s">
        <v>42</v>
      </c>
      <c r="B13" s="11" t="str">
        <f>'P(M)'!B27</f>
        <v>發明</v>
      </c>
      <c r="C13" s="3" t="s">
        <v>43</v>
      </c>
      <c r="D13" s="99"/>
      <c r="E13" s="99">
        <f>IF('發明(新型)案成本估算'!$B$10="少於100人",58.68,130.5)</f>
        <v>58.68</v>
      </c>
      <c r="F13" s="99">
        <f>IF('發明(新型)案成本估算'!$B$10="少於100人",58.68,130.5)</f>
        <v>58.68</v>
      </c>
      <c r="G13" s="99">
        <f>IF('發明(新型)案成本估算'!$B$10="少於100人",58.68,130.5)</f>
        <v>58.68</v>
      </c>
      <c r="H13" s="99">
        <f>IF('發明(新型)案成本估算'!$B$10="少於100人",104.4,289.19)</f>
        <v>104.4</v>
      </c>
      <c r="I13" s="99">
        <f>IF('發明(新型)案成本估算'!$B$10="少於100人",104.4,289.19)</f>
        <v>104.4</v>
      </c>
      <c r="J13" s="99">
        <f>IF('發明(新型)案成本估算'!$B$10="少於100人",104.4,289.19)</f>
        <v>104.4</v>
      </c>
      <c r="K13" s="99">
        <f>IF('發明(新型)案成本估算'!$B$10="少於100人",104.4,289.19)</f>
        <v>104.4</v>
      </c>
      <c r="L13" s="99">
        <f>IF('發明(新型)案成本估算'!$B$10="少於100人",104.4,289.19)</f>
        <v>104.4</v>
      </c>
      <c r="M13" s="99">
        <f>IF('發明(新型)案成本估算'!$B$10="少於100人",130.5,362.27)</f>
        <v>130.5</v>
      </c>
      <c r="N13" s="99">
        <f>IF('發明(新型)案成本估算'!$B$10="少於100人",130.5,362.27)</f>
        <v>130.5</v>
      </c>
      <c r="O13" s="99">
        <f>IF('發明(新型)案成本估算'!$B$10="少於100人",130.5,362.27)</f>
        <v>130.5</v>
      </c>
      <c r="P13" s="99">
        <f>IF('發明(新型)案成本估算'!$B$10="少於100人",130.5,362.27)</f>
        <v>130.5</v>
      </c>
      <c r="Q13" s="99">
        <f>IF('發明(新型)案成本估算'!$B$10="少於100人",130.5,362.27)</f>
        <v>130.5</v>
      </c>
      <c r="R13" s="99">
        <f>IF('發明(新型)案成本估算'!$B$10="少於100人",264.13,651.46)</f>
        <v>264.13</v>
      </c>
      <c r="S13" s="99">
        <f>IF('發明(新型)案成本估算'!$B$10="少於100人",264.13,651.46)</f>
        <v>264.13</v>
      </c>
      <c r="T13" s="99">
        <f>IF('發明(新型)案成本估算'!$B$10="少於100人",264.13,651.46)</f>
        <v>264.13</v>
      </c>
      <c r="U13" s="99">
        <f>IF('發明(新型)案成本估算'!$B$10="少於100人",264.13,651.46)</f>
        <v>264.13</v>
      </c>
      <c r="V13" s="99">
        <f>IF('發明(新型)案成本估算'!$B$10="少於100人",264.13,651.46)</f>
        <v>264.13</v>
      </c>
      <c r="W13" s="99"/>
      <c r="X13" s="99"/>
      <c r="Y13" s="99"/>
      <c r="Z13" s="99"/>
      <c r="AA13" s="99"/>
      <c r="AB13" s="99"/>
      <c r="AC13" s="77">
        <f>SUM(D13:AB13)</f>
        <v>2671.1900000000005</v>
      </c>
      <c r="AD13" s="11"/>
      <c r="AE13" s="3" t="s">
        <v>42</v>
      </c>
      <c r="AF13" s="11" t="str">
        <f>B13</f>
        <v>發明</v>
      </c>
      <c r="AG13" s="14" t="str">
        <f>C13</f>
        <v>CAD</v>
      </c>
      <c r="AH13" s="11">
        <f>D13</f>
        <v>0</v>
      </c>
      <c r="AI13" s="77">
        <f t="shared" ref="AI13:BF13" si="28">AH13+E13</f>
        <v>58.68</v>
      </c>
      <c r="AJ13" s="77">
        <f t="shared" si="28"/>
        <v>117.36</v>
      </c>
      <c r="AK13" s="77">
        <f t="shared" si="28"/>
        <v>176.04</v>
      </c>
      <c r="AL13" s="77">
        <f t="shared" si="28"/>
        <v>280.44</v>
      </c>
      <c r="AM13" s="77">
        <f t="shared" si="28"/>
        <v>384.84000000000003</v>
      </c>
      <c r="AN13" s="77">
        <f t="shared" si="28"/>
        <v>489.24</v>
      </c>
      <c r="AO13" s="77">
        <f t="shared" si="28"/>
        <v>593.64</v>
      </c>
      <c r="AP13" s="77">
        <f t="shared" si="28"/>
        <v>698.04</v>
      </c>
      <c r="AQ13" s="77">
        <f t="shared" si="28"/>
        <v>828.54</v>
      </c>
      <c r="AR13" s="77">
        <f t="shared" si="28"/>
        <v>959.04</v>
      </c>
      <c r="AS13" s="77">
        <f t="shared" si="28"/>
        <v>1089.54</v>
      </c>
      <c r="AT13" s="77">
        <f t="shared" si="28"/>
        <v>1220.04</v>
      </c>
      <c r="AU13" s="77">
        <f t="shared" si="28"/>
        <v>1350.54</v>
      </c>
      <c r="AV13" s="77">
        <f t="shared" si="28"/>
        <v>1614.67</v>
      </c>
      <c r="AW13" s="77">
        <f t="shared" si="28"/>
        <v>1878.8000000000002</v>
      </c>
      <c r="AX13" s="77">
        <f t="shared" si="28"/>
        <v>2142.9300000000003</v>
      </c>
      <c r="AY13" s="77">
        <f t="shared" si="28"/>
        <v>2407.0600000000004</v>
      </c>
      <c r="AZ13" s="77">
        <f t="shared" si="28"/>
        <v>2671.1900000000005</v>
      </c>
      <c r="BA13" s="77">
        <f t="shared" si="28"/>
        <v>2671.1900000000005</v>
      </c>
      <c r="BB13" s="77">
        <f t="shared" si="28"/>
        <v>2671.1900000000005</v>
      </c>
      <c r="BC13" s="77">
        <f t="shared" si="28"/>
        <v>2671.1900000000005</v>
      </c>
      <c r="BD13" s="77">
        <f t="shared" si="28"/>
        <v>2671.1900000000005</v>
      </c>
      <c r="BE13" s="77">
        <f t="shared" si="28"/>
        <v>2671.1900000000005</v>
      </c>
      <c r="BF13" s="77">
        <f t="shared" si="28"/>
        <v>2671.1900000000005</v>
      </c>
      <c r="BG13" s="77">
        <f>BF13</f>
        <v>2671.1900000000005</v>
      </c>
    </row>
    <row r="14" spans="1:59" x14ac:dyDescent="0.25">
      <c r="A14" s="3" t="s">
        <v>8</v>
      </c>
      <c r="B14" s="11" t="str">
        <f>'P(M)'!B28</f>
        <v>發明</v>
      </c>
      <c r="C14" s="3" t="s">
        <v>20</v>
      </c>
      <c r="D14" s="99"/>
      <c r="E14" s="99"/>
      <c r="F14" s="99"/>
      <c r="G14" s="99"/>
      <c r="H14" s="99">
        <v>165</v>
      </c>
      <c r="I14" s="99">
        <v>165</v>
      </c>
      <c r="J14" s="99">
        <v>165</v>
      </c>
      <c r="K14" s="99">
        <v>430</v>
      </c>
      <c r="L14" s="99">
        <v>430</v>
      </c>
      <c r="M14" s="99">
        <v>430</v>
      </c>
      <c r="N14" s="99">
        <v>600</v>
      </c>
      <c r="O14" s="99">
        <v>600</v>
      </c>
      <c r="P14" s="99">
        <v>600</v>
      </c>
      <c r="Q14" s="99">
        <v>775</v>
      </c>
      <c r="R14" s="99">
        <v>775</v>
      </c>
      <c r="S14" s="99">
        <v>775</v>
      </c>
      <c r="T14" s="99">
        <v>945</v>
      </c>
      <c r="U14" s="99">
        <v>945</v>
      </c>
      <c r="V14" s="99">
        <v>945</v>
      </c>
      <c r="W14" s="99">
        <v>1120</v>
      </c>
      <c r="X14" s="99"/>
      <c r="Y14" s="99"/>
      <c r="Z14" s="99"/>
      <c r="AA14" s="99"/>
      <c r="AB14" s="99"/>
      <c r="AC14" s="77">
        <f t="shared" si="3"/>
        <v>9865</v>
      </c>
      <c r="AD14" s="11"/>
      <c r="AE14" s="3" t="s">
        <v>8</v>
      </c>
      <c r="AF14" s="11" t="str">
        <f t="shared" si="4"/>
        <v>發明</v>
      </c>
      <c r="AG14" s="14" t="str">
        <f t="shared" si="0"/>
        <v>SGD</v>
      </c>
      <c r="AH14" s="11">
        <f t="shared" si="8"/>
        <v>0</v>
      </c>
      <c r="AI14" s="77">
        <f t="shared" si="9"/>
        <v>0</v>
      </c>
      <c r="AJ14" s="77">
        <f t="shared" si="10"/>
        <v>0</v>
      </c>
      <c r="AK14" s="77">
        <f t="shared" si="11"/>
        <v>0</v>
      </c>
      <c r="AL14" s="77">
        <f t="shared" si="12"/>
        <v>165</v>
      </c>
      <c r="AM14" s="77">
        <f t="shared" si="13"/>
        <v>330</v>
      </c>
      <c r="AN14" s="77">
        <f t="shared" si="14"/>
        <v>495</v>
      </c>
      <c r="AO14" s="77">
        <f t="shared" si="15"/>
        <v>925</v>
      </c>
      <c r="AP14" s="77">
        <f t="shared" si="16"/>
        <v>1355</v>
      </c>
      <c r="AQ14" s="77">
        <f t="shared" si="17"/>
        <v>1785</v>
      </c>
      <c r="AR14" s="77">
        <f t="shared" si="18"/>
        <v>2385</v>
      </c>
      <c r="AS14" s="77">
        <f t="shared" si="19"/>
        <v>2985</v>
      </c>
      <c r="AT14" s="77">
        <f t="shared" si="20"/>
        <v>3585</v>
      </c>
      <c r="AU14" s="77">
        <f t="shared" si="21"/>
        <v>4360</v>
      </c>
      <c r="AV14" s="77">
        <f t="shared" si="22"/>
        <v>5135</v>
      </c>
      <c r="AW14" s="77">
        <f t="shared" si="23"/>
        <v>5910</v>
      </c>
      <c r="AX14" s="77">
        <f t="shared" si="24"/>
        <v>6855</v>
      </c>
      <c r="AY14" s="77">
        <f t="shared" si="25"/>
        <v>7800</v>
      </c>
      <c r="AZ14" s="77">
        <f t="shared" si="26"/>
        <v>8745</v>
      </c>
      <c r="BA14" s="77">
        <f t="shared" si="27"/>
        <v>9865</v>
      </c>
      <c r="BB14" s="77">
        <f t="shared" si="2"/>
        <v>9865</v>
      </c>
      <c r="BC14" s="77">
        <f t="shared" si="2"/>
        <v>9865</v>
      </c>
      <c r="BD14" s="77">
        <f t="shared" si="2"/>
        <v>9865</v>
      </c>
      <c r="BE14" s="77">
        <f t="shared" si="2"/>
        <v>9865</v>
      </c>
      <c r="BF14" s="77">
        <f t="shared" si="2"/>
        <v>9865</v>
      </c>
      <c r="BG14" s="77">
        <f t="shared" si="7"/>
        <v>9865</v>
      </c>
    </row>
    <row r="15" spans="1:59" x14ac:dyDescent="0.25">
      <c r="A15" s="215" t="s">
        <v>11</v>
      </c>
      <c r="B15" s="11" t="str">
        <f>'P(M)'!B29</f>
        <v>發明</v>
      </c>
      <c r="C15" s="3" t="s">
        <v>23</v>
      </c>
      <c r="D15" s="99"/>
      <c r="E15" s="99">
        <v>290</v>
      </c>
      <c r="F15" s="99">
        <v>360</v>
      </c>
      <c r="G15" s="99">
        <v>440</v>
      </c>
      <c r="H15" s="99">
        <v>530</v>
      </c>
      <c r="I15" s="99">
        <v>630</v>
      </c>
      <c r="J15" s="99">
        <v>730</v>
      </c>
      <c r="K15" s="99">
        <v>830</v>
      </c>
      <c r="L15" s="99">
        <v>910</v>
      </c>
      <c r="M15" s="99">
        <v>990</v>
      </c>
      <c r="N15" s="99">
        <v>1020</v>
      </c>
      <c r="O15" s="99">
        <v>1140</v>
      </c>
      <c r="P15" s="99">
        <v>1280</v>
      </c>
      <c r="Q15" s="99">
        <v>1450</v>
      </c>
      <c r="R15" s="99">
        <v>1550</v>
      </c>
      <c r="S15" s="99">
        <v>1900</v>
      </c>
      <c r="T15" s="99">
        <v>2100</v>
      </c>
      <c r="U15" s="99">
        <v>2400</v>
      </c>
      <c r="V15" s="99">
        <v>2700</v>
      </c>
      <c r="W15" s="99">
        <v>2900</v>
      </c>
      <c r="X15" s="99"/>
      <c r="Y15" s="99"/>
      <c r="Z15" s="99"/>
      <c r="AA15" s="99"/>
      <c r="AB15" s="99"/>
      <c r="AC15" s="77">
        <f>SUM(D15:AB15)</f>
        <v>24150</v>
      </c>
      <c r="AD15" s="11"/>
      <c r="AE15" s="215" t="s">
        <v>11</v>
      </c>
      <c r="AF15" s="11" t="str">
        <f t="shared" ref="AF15:AH16" si="29">B15</f>
        <v>發明</v>
      </c>
      <c r="AG15" s="14" t="str">
        <f t="shared" si="29"/>
        <v>MYR</v>
      </c>
      <c r="AH15" s="11">
        <f t="shared" si="29"/>
        <v>0</v>
      </c>
      <c r="AI15" s="77">
        <f t="shared" ref="AI15:AR16" si="30">AH15+E15</f>
        <v>290</v>
      </c>
      <c r="AJ15" s="77">
        <f t="shared" si="30"/>
        <v>650</v>
      </c>
      <c r="AK15" s="77">
        <f t="shared" si="30"/>
        <v>1090</v>
      </c>
      <c r="AL15" s="77">
        <f t="shared" si="30"/>
        <v>1620</v>
      </c>
      <c r="AM15" s="77">
        <f t="shared" si="30"/>
        <v>2250</v>
      </c>
      <c r="AN15" s="77">
        <f t="shared" si="30"/>
        <v>2980</v>
      </c>
      <c r="AO15" s="77">
        <f t="shared" si="30"/>
        <v>3810</v>
      </c>
      <c r="AP15" s="77">
        <f t="shared" si="30"/>
        <v>4720</v>
      </c>
      <c r="AQ15" s="77">
        <f t="shared" si="30"/>
        <v>5710</v>
      </c>
      <c r="AR15" s="77">
        <f t="shared" si="30"/>
        <v>6730</v>
      </c>
      <c r="AS15" s="77">
        <f t="shared" si="19"/>
        <v>7870</v>
      </c>
      <c r="AT15" s="77">
        <f t="shared" si="20"/>
        <v>9150</v>
      </c>
      <c r="AU15" s="77">
        <f t="shared" si="21"/>
        <v>10600</v>
      </c>
      <c r="AV15" s="77">
        <f t="shared" si="22"/>
        <v>12150</v>
      </c>
      <c r="AW15" s="77">
        <f t="shared" si="23"/>
        <v>14050</v>
      </c>
      <c r="AX15" s="77">
        <f t="shared" si="24"/>
        <v>16150</v>
      </c>
      <c r="AY15" s="77">
        <f t="shared" si="25"/>
        <v>18550</v>
      </c>
      <c r="AZ15" s="77">
        <f t="shared" si="26"/>
        <v>21250</v>
      </c>
      <c r="BA15" s="77">
        <f t="shared" si="27"/>
        <v>24150</v>
      </c>
      <c r="BB15" s="77">
        <f t="shared" si="2"/>
        <v>24150</v>
      </c>
      <c r="BC15" s="77">
        <f t="shared" si="2"/>
        <v>24150</v>
      </c>
      <c r="BD15" s="77">
        <f t="shared" si="2"/>
        <v>24150</v>
      </c>
      <c r="BE15" s="77">
        <f t="shared" si="2"/>
        <v>24150</v>
      </c>
      <c r="BF15" s="77">
        <f t="shared" si="2"/>
        <v>24150</v>
      </c>
      <c r="BG15" s="77">
        <f>BF15</f>
        <v>24150</v>
      </c>
    </row>
    <row r="16" spans="1:59" x14ac:dyDescent="0.25">
      <c r="A16" s="216"/>
      <c r="B16" s="11" t="str">
        <f>'P(M)'!B30</f>
        <v>新型</v>
      </c>
      <c r="C16" s="3" t="s">
        <v>23</v>
      </c>
      <c r="D16" s="99"/>
      <c r="E16" s="99">
        <v>0</v>
      </c>
      <c r="F16" s="99">
        <v>170</v>
      </c>
      <c r="G16" s="99">
        <v>240</v>
      </c>
      <c r="H16" s="99">
        <v>290</v>
      </c>
      <c r="I16" s="99">
        <v>350</v>
      </c>
      <c r="J16" s="99">
        <v>350</v>
      </c>
      <c r="K16" s="99">
        <v>420</v>
      </c>
      <c r="L16" s="99">
        <v>420</v>
      </c>
      <c r="M16" s="99">
        <v>480</v>
      </c>
      <c r="N16" s="99">
        <v>670</v>
      </c>
      <c r="O16" s="99">
        <v>940</v>
      </c>
      <c r="P16" s="99">
        <v>1090</v>
      </c>
      <c r="Q16" s="99">
        <v>1270</v>
      </c>
      <c r="R16" s="99">
        <v>1550</v>
      </c>
      <c r="S16" s="99">
        <v>1650</v>
      </c>
      <c r="T16" s="99">
        <v>1820</v>
      </c>
      <c r="U16" s="99">
        <v>1930</v>
      </c>
      <c r="V16" s="99">
        <v>2090</v>
      </c>
      <c r="W16" s="99">
        <v>2200</v>
      </c>
      <c r="X16" s="99"/>
      <c r="Y16" s="99"/>
      <c r="Z16" s="99"/>
      <c r="AA16" s="99"/>
      <c r="AB16" s="99"/>
      <c r="AC16" s="77">
        <f>SUM(D16:AB16)</f>
        <v>17930</v>
      </c>
      <c r="AD16" s="11"/>
      <c r="AE16" s="216"/>
      <c r="AF16" s="11" t="str">
        <f t="shared" si="29"/>
        <v>新型</v>
      </c>
      <c r="AG16" s="14" t="str">
        <f t="shared" si="29"/>
        <v>MYR</v>
      </c>
      <c r="AH16" s="11">
        <f t="shared" si="29"/>
        <v>0</v>
      </c>
      <c r="AI16" s="77">
        <f t="shared" si="30"/>
        <v>0</v>
      </c>
      <c r="AJ16" s="77">
        <f t="shared" si="30"/>
        <v>170</v>
      </c>
      <c r="AK16" s="77">
        <f t="shared" si="30"/>
        <v>410</v>
      </c>
      <c r="AL16" s="77">
        <f t="shared" si="30"/>
        <v>700</v>
      </c>
      <c r="AM16" s="77">
        <f t="shared" si="30"/>
        <v>1050</v>
      </c>
      <c r="AN16" s="77">
        <f t="shared" si="30"/>
        <v>1400</v>
      </c>
      <c r="AO16" s="77">
        <f t="shared" si="30"/>
        <v>1820</v>
      </c>
      <c r="AP16" s="77">
        <f t="shared" si="30"/>
        <v>2240</v>
      </c>
      <c r="AQ16" s="77">
        <f t="shared" si="30"/>
        <v>2720</v>
      </c>
      <c r="AR16" s="77">
        <f t="shared" si="30"/>
        <v>3390</v>
      </c>
      <c r="AS16" s="77">
        <f t="shared" si="19"/>
        <v>4330</v>
      </c>
      <c r="AT16" s="77">
        <f t="shared" si="20"/>
        <v>5420</v>
      </c>
      <c r="AU16" s="77">
        <f t="shared" si="21"/>
        <v>6690</v>
      </c>
      <c r="AV16" s="77">
        <f t="shared" si="22"/>
        <v>8240</v>
      </c>
      <c r="AW16" s="77">
        <f t="shared" si="23"/>
        <v>9890</v>
      </c>
      <c r="AX16" s="77">
        <f t="shared" si="24"/>
        <v>11710</v>
      </c>
      <c r="AY16" s="77">
        <f t="shared" si="25"/>
        <v>13640</v>
      </c>
      <c r="AZ16" s="77">
        <f t="shared" si="26"/>
        <v>15730</v>
      </c>
      <c r="BA16" s="77">
        <f t="shared" si="27"/>
        <v>17930</v>
      </c>
      <c r="BB16" s="77">
        <f t="shared" si="2"/>
        <v>17930</v>
      </c>
      <c r="BC16" s="77">
        <f t="shared" si="2"/>
        <v>17930</v>
      </c>
      <c r="BD16" s="77">
        <f t="shared" si="2"/>
        <v>17930</v>
      </c>
      <c r="BE16" s="77">
        <f t="shared" si="2"/>
        <v>17930</v>
      </c>
      <c r="BF16" s="77">
        <f t="shared" si="2"/>
        <v>17930</v>
      </c>
      <c r="BG16" s="77">
        <f>BF16</f>
        <v>17930</v>
      </c>
    </row>
    <row r="17" spans="1:59" x14ac:dyDescent="0.25">
      <c r="A17" s="54" t="s">
        <v>146</v>
      </c>
      <c r="B17" s="11" t="str">
        <f>'P(M)'!B31</f>
        <v>發明</v>
      </c>
      <c r="C17" s="3" t="s">
        <v>16</v>
      </c>
      <c r="D17" s="99"/>
      <c r="E17" s="99"/>
      <c r="F17" s="99"/>
      <c r="G17" s="99"/>
      <c r="H17" s="99">
        <f>IF('發明(新型)案成本估算'!$B$7&gt;5,73+10*('發明(新型)案成本估算'!$B$7-5),73)</f>
        <v>123</v>
      </c>
      <c r="I17" s="99">
        <f>IF('發明(新型)案成本估算'!$B$7&gt;5,97+10*('發明(新型)案成本估算'!$B$7-5),97)</f>
        <v>147</v>
      </c>
      <c r="J17" s="99">
        <f>IF('發明(新型)案成本估算'!$B$7&gt;5,122+10*('發明(新型)案成本估算'!$B$7-5),122)</f>
        <v>172</v>
      </c>
      <c r="K17" s="99">
        <f>IF('發明(新型)案成本估算'!$B$7&gt;5,146+10*('發明(新型)案成本估算'!$B$7-5),146)</f>
        <v>196</v>
      </c>
      <c r="L17" s="99">
        <f>IF('發明(新型)案成本估算'!$B$7&gt;5,194+10*('發明(新型)案成本估算'!$B$7-5),194)</f>
        <v>244</v>
      </c>
      <c r="M17" s="99">
        <f>IF('發明(新型)案成本估算'!$B$7&gt;5,243+10*('發明(新型)案成本估算'!$B$7-5),243)</f>
        <v>293</v>
      </c>
      <c r="N17" s="99">
        <f>IF('發明(新型)案成本估算'!$B$7&gt;5,313+10*('發明(新型)案成本估算'!$B$7-5),313)</f>
        <v>363</v>
      </c>
      <c r="O17" s="99">
        <f>IF('發明(新型)案成本估算'!$B$7&gt;5,388+10*('發明(新型)案成本估算'!$B$7-5),388)</f>
        <v>438</v>
      </c>
      <c r="P17" s="99">
        <f>IF('發明(新型)案成本估算'!$B$7&gt;5,458+10*('發明(新型)案成本估算'!$B$7-5),458)</f>
        <v>508</v>
      </c>
      <c r="Q17" s="99">
        <f>IF('發明(新型)案成本估算'!$B$7&gt;5,558+10*('發明(新型)案成本估算'!$B$7-5),558)</f>
        <v>608</v>
      </c>
      <c r="R17" s="99">
        <f>IF('發明(新型)案成本估算'!$B$7&gt;5,655+10*('發明(新型)案成本估算'!$B$7-5),655)</f>
        <v>705</v>
      </c>
      <c r="S17" s="99">
        <f>IF('發明(新型)案成本估算'!$B$7&gt;5,749+10*('發明(新型)案成本估算'!$B$7-5),749)</f>
        <v>799</v>
      </c>
      <c r="T17" s="99">
        <f>IF('發明(新型)案成本估算'!$B$7&gt;5,846+10*('發明(新型)案成本估算'!$B$7-5),846)</f>
        <v>896</v>
      </c>
      <c r="U17" s="99">
        <f>IF('發明(新型)案成本估算'!$B$7&gt;5,1016+10*('發明(新型)案成本估算'!$B$7-5),1016)</f>
        <v>1066</v>
      </c>
      <c r="V17" s="99">
        <f>IF('發明(新型)案成本估算'!$B$7&gt;5,1221+10*('發明(新型)案成本估算'!$B$7-5),1221)</f>
        <v>1271</v>
      </c>
      <c r="W17" s="99">
        <f>IF('發明(新型)案成本估算'!$B$7&gt;5,1463+10*('發明(新型)案成本估算'!$B$7-5),1463)</f>
        <v>1513</v>
      </c>
      <c r="X17" s="99"/>
      <c r="Y17" s="99"/>
      <c r="Z17" s="99"/>
      <c r="AA17" s="99"/>
      <c r="AB17" s="99"/>
      <c r="AC17" s="77">
        <f t="shared" si="3"/>
        <v>9342</v>
      </c>
      <c r="AD17" s="11"/>
      <c r="AE17" s="54" t="s">
        <v>146</v>
      </c>
      <c r="AF17" s="11" t="str">
        <f t="shared" si="4"/>
        <v>發明</v>
      </c>
      <c r="AG17" s="14" t="str">
        <f t="shared" si="0"/>
        <v>USD</v>
      </c>
      <c r="AH17" s="11">
        <f t="shared" si="8"/>
        <v>0</v>
      </c>
      <c r="AI17" s="77">
        <f t="shared" si="9"/>
        <v>0</v>
      </c>
      <c r="AJ17" s="77">
        <f t="shared" si="10"/>
        <v>0</v>
      </c>
      <c r="AK17" s="77">
        <f t="shared" si="11"/>
        <v>0</v>
      </c>
      <c r="AL17" s="77">
        <f t="shared" si="12"/>
        <v>123</v>
      </c>
      <c r="AM17" s="77">
        <f t="shared" si="13"/>
        <v>270</v>
      </c>
      <c r="AN17" s="77">
        <f t="shared" si="14"/>
        <v>442</v>
      </c>
      <c r="AO17" s="77">
        <f t="shared" si="15"/>
        <v>638</v>
      </c>
      <c r="AP17" s="77">
        <f t="shared" si="16"/>
        <v>882</v>
      </c>
      <c r="AQ17" s="77">
        <f t="shared" si="17"/>
        <v>1175</v>
      </c>
      <c r="AR17" s="77">
        <f t="shared" si="18"/>
        <v>1538</v>
      </c>
      <c r="AS17" s="77">
        <f t="shared" si="19"/>
        <v>1976</v>
      </c>
      <c r="AT17" s="77">
        <f t="shared" si="20"/>
        <v>2484</v>
      </c>
      <c r="AU17" s="77">
        <f t="shared" si="21"/>
        <v>3092</v>
      </c>
      <c r="AV17" s="77">
        <f t="shared" si="22"/>
        <v>3797</v>
      </c>
      <c r="AW17" s="77">
        <f t="shared" si="23"/>
        <v>4596</v>
      </c>
      <c r="AX17" s="77">
        <f t="shared" si="24"/>
        <v>5492</v>
      </c>
      <c r="AY17" s="77">
        <f t="shared" si="25"/>
        <v>6558</v>
      </c>
      <c r="AZ17" s="77">
        <f t="shared" si="26"/>
        <v>7829</v>
      </c>
      <c r="BA17" s="77">
        <f t="shared" si="27"/>
        <v>9342</v>
      </c>
      <c r="BB17" s="77">
        <f t="shared" si="2"/>
        <v>9342</v>
      </c>
      <c r="BC17" s="77">
        <f t="shared" si="2"/>
        <v>9342</v>
      </c>
      <c r="BD17" s="77">
        <f t="shared" si="2"/>
        <v>9342</v>
      </c>
      <c r="BE17" s="77">
        <f t="shared" si="2"/>
        <v>9342</v>
      </c>
      <c r="BF17" s="77">
        <f t="shared" si="2"/>
        <v>9342</v>
      </c>
      <c r="BG17" s="77">
        <f t="shared" si="7"/>
        <v>9342</v>
      </c>
    </row>
    <row r="18" spans="1:59" x14ac:dyDescent="0.25">
      <c r="A18" s="215" t="s">
        <v>131</v>
      </c>
      <c r="B18" s="11" t="str">
        <f>'P(M)'!B32</f>
        <v>發明</v>
      </c>
      <c r="C18" s="3" t="s">
        <v>16</v>
      </c>
      <c r="D18" s="99"/>
      <c r="E18" s="99">
        <f>IF('發明(新型)案成本估算'!$B$7&gt;0,100+7.5*'發明(新型)案成本估算'!$B$7,0)</f>
        <v>175</v>
      </c>
      <c r="F18" s="99">
        <f>IF('發明(新型)案成本估算'!$B$7&gt;0,100+7.5*'發明(新型)案成本估算'!$B$7,0)</f>
        <v>175</v>
      </c>
      <c r="G18" s="99">
        <f>IF('發明(新型)案成本估算'!$B$7&gt;0,125+10*'發明(新型)案成本估算'!$B$7,0)</f>
        <v>225</v>
      </c>
      <c r="H18" s="99">
        <f>IF('發明(新型)案成本估算'!$B$7&gt;0,125+10*'發明(新型)案成本估算'!$B$7,0)</f>
        <v>225</v>
      </c>
      <c r="I18" s="99">
        <f>IF('發明(新型)案成本估算'!$B$7&gt;0,175+17.5*'發明(新型)案成本估算'!$B$7,0)</f>
        <v>350</v>
      </c>
      <c r="J18" s="99">
        <f>IF('發明(新型)案成本估算'!$B$7&gt;0,225+22.5*'發明(新型)案成本估算'!$B$7,0)</f>
        <v>450</v>
      </c>
      <c r="K18" s="99">
        <f>IF('發明(新型)案成本估算'!$B$7&gt;0,225+22.5*'發明(新型)案成本估算'!$B$7,0)</f>
        <v>450</v>
      </c>
      <c r="L18" s="99">
        <f>IF('發明(新型)案成本估算'!$B$7&gt;0,300+30*'發明(新型)案成本估算'!$B$7,0)</f>
        <v>600</v>
      </c>
      <c r="M18" s="99">
        <f>IF('發明(新型)案成本估算'!$B$7&gt;0,400+30*'發明(新型)案成本估算'!$B$7,0)</f>
        <v>700</v>
      </c>
      <c r="N18" s="99">
        <f>IF('發明(新型)案成本估算'!$B$7&gt;0,650+50*'發明(新型)案成本估算'!$B$7,0)</f>
        <v>1150</v>
      </c>
      <c r="O18" s="99">
        <f>IF('發明(新型)案成本估算'!$B$7&gt;0,650+50*'發明(新型)案成本估算'!$B$7,0)</f>
        <v>1150</v>
      </c>
      <c r="P18" s="99">
        <f>IF('發明(新型)案成本估算'!$B$7&gt;0,650+50*'發明(新型)案成本估算'!$B$7,0)</f>
        <v>1150</v>
      </c>
      <c r="Q18" s="99">
        <f>IF('發明(新型)案成本估算'!$B$7&gt;0,650+50*'發明(新型)案成本估算'!$B$7,0)</f>
        <v>1150</v>
      </c>
      <c r="R18" s="99">
        <f>IF('發明(新型)案成本估算'!$B$7&gt;0,650+50*'發明(新型)案成本估算'!$B$7,0)</f>
        <v>1150</v>
      </c>
      <c r="S18" s="99">
        <f>IF('發明(新型)案成本估算'!$B$7&gt;0,650+50*'發明(新型)案成本估算'!$B$7,0)</f>
        <v>1150</v>
      </c>
      <c r="T18" s="99">
        <f>IF('發明(新型)案成本估算'!$B$7&gt;0,650+50*'發明(新型)案成本估算'!$B$7,0)</f>
        <v>1150</v>
      </c>
      <c r="U18" s="99">
        <f>IF('發明(新型)案成本估算'!$B$7&gt;0,650+50*'發明(新型)案成本估算'!$B$7,0)</f>
        <v>1150</v>
      </c>
      <c r="V18" s="99">
        <f>IF('發明(新型)案成本估算'!$B$7&gt;0,650+50*'發明(新型)案成本估算'!$B$7,0)</f>
        <v>1150</v>
      </c>
      <c r="W18" s="99">
        <f>IF('發明(新型)案成本估算'!$B$7&gt;0,650+50*'發明(新型)案成本估算'!$B$7,0)</f>
        <v>1150</v>
      </c>
      <c r="X18" s="99"/>
      <c r="Y18" s="99"/>
      <c r="Z18" s="99"/>
      <c r="AA18" s="99"/>
      <c r="AB18" s="99"/>
      <c r="AC18" s="77">
        <f>SUM(D18:AB18)</f>
        <v>14850</v>
      </c>
      <c r="AD18" s="11"/>
      <c r="AE18" s="215" t="s">
        <v>131</v>
      </c>
      <c r="AF18" s="11" t="str">
        <f t="shared" ref="AF18:AH19" si="31">B18</f>
        <v>發明</v>
      </c>
      <c r="AG18" s="14" t="str">
        <f t="shared" si="31"/>
        <v>USD</v>
      </c>
      <c r="AH18" s="11">
        <f t="shared" si="31"/>
        <v>0</v>
      </c>
      <c r="AI18" s="77">
        <f t="shared" ref="AI18:AR19" si="32">AH18+E18</f>
        <v>175</v>
      </c>
      <c r="AJ18" s="77">
        <f t="shared" si="32"/>
        <v>350</v>
      </c>
      <c r="AK18" s="77">
        <f t="shared" si="32"/>
        <v>575</v>
      </c>
      <c r="AL18" s="77">
        <f t="shared" si="32"/>
        <v>800</v>
      </c>
      <c r="AM18" s="77">
        <f t="shared" si="32"/>
        <v>1150</v>
      </c>
      <c r="AN18" s="77">
        <f t="shared" si="32"/>
        <v>1600</v>
      </c>
      <c r="AO18" s="77">
        <f t="shared" si="32"/>
        <v>2050</v>
      </c>
      <c r="AP18" s="77">
        <f t="shared" si="32"/>
        <v>2650</v>
      </c>
      <c r="AQ18" s="77">
        <f t="shared" si="32"/>
        <v>3350</v>
      </c>
      <c r="AR18" s="77">
        <f t="shared" si="32"/>
        <v>4500</v>
      </c>
      <c r="AS18" s="77">
        <f t="shared" si="19"/>
        <v>5650</v>
      </c>
      <c r="AT18" s="77">
        <f t="shared" si="20"/>
        <v>6800</v>
      </c>
      <c r="AU18" s="77">
        <f t="shared" si="21"/>
        <v>7950</v>
      </c>
      <c r="AV18" s="77">
        <f t="shared" si="22"/>
        <v>9100</v>
      </c>
      <c r="AW18" s="77">
        <f t="shared" si="23"/>
        <v>10250</v>
      </c>
      <c r="AX18" s="77">
        <f t="shared" si="24"/>
        <v>11400</v>
      </c>
      <c r="AY18" s="77">
        <f t="shared" si="25"/>
        <v>12550</v>
      </c>
      <c r="AZ18" s="77">
        <f t="shared" si="26"/>
        <v>13700</v>
      </c>
      <c r="BA18" s="77">
        <f t="shared" si="27"/>
        <v>14850</v>
      </c>
      <c r="BB18" s="77">
        <f t="shared" ref="BB18:BF19" si="33">BA18+X18</f>
        <v>14850</v>
      </c>
      <c r="BC18" s="77">
        <f t="shared" si="33"/>
        <v>14850</v>
      </c>
      <c r="BD18" s="77">
        <f t="shared" si="33"/>
        <v>14850</v>
      </c>
      <c r="BE18" s="77">
        <f t="shared" si="33"/>
        <v>14850</v>
      </c>
      <c r="BF18" s="77">
        <f t="shared" si="33"/>
        <v>14850</v>
      </c>
      <c r="BG18" s="77">
        <f>BF18</f>
        <v>14850</v>
      </c>
    </row>
    <row r="19" spans="1:59" x14ac:dyDescent="0.25">
      <c r="A19" s="216"/>
      <c r="B19" s="11" t="str">
        <f>'P(M)'!B33</f>
        <v>新型</v>
      </c>
      <c r="C19" s="3" t="s">
        <v>16</v>
      </c>
      <c r="D19" s="99"/>
      <c r="E19" s="99">
        <f>IF('發明(新型)案成本估算'!$B$7&gt;0,75+5*'發明(新型)案成本估算'!$B$7,0)</f>
        <v>125</v>
      </c>
      <c r="F19" s="99">
        <f>IF('發明(新型)案成本估算'!$B$7&gt;0,75+5*'發明(新型)案成本估算'!$B$7,0)</f>
        <v>125</v>
      </c>
      <c r="G19" s="99">
        <f>IF('發明(新型)案成本估算'!$B$7&gt;0,75+5*'發明(新型)案成本估算'!$B$7,0)</f>
        <v>125</v>
      </c>
      <c r="H19" s="99">
        <f>IF('發明(新型)案成本估算'!$B$7&gt;0,125+5*'發明(新型)案成本估算'!$B$7,0)</f>
        <v>175</v>
      </c>
      <c r="I19" s="99">
        <f>IF('發明(新型)案成本估算'!$B$7&gt;0,170+5*'發明(新型)案成本估算'!$B$7,0)</f>
        <v>220</v>
      </c>
      <c r="J19" s="99">
        <f>IF('發明(新型)案成本估算'!$B$7&gt;0,230+5*'發明(新型)案成本估算'!$B$7,0)</f>
        <v>280</v>
      </c>
      <c r="K19" s="99">
        <f>IF('發明(新型)案成本估算'!$B$7&gt;0,280+5*'發明(新型)案成本估算'!$B$7,0)</f>
        <v>330</v>
      </c>
      <c r="L19" s="99">
        <f>IF('發明(新型)案成本估算'!$B$7&gt;0,350+5*'發明(新型)案成本估算'!$B$7,0)</f>
        <v>400</v>
      </c>
      <c r="M19" s="99">
        <f>IF('發明(新型)案成本估算'!$B$7&gt;0,400+5*'發明(新型)案成本估算'!$B$7,0)</f>
        <v>450</v>
      </c>
      <c r="N19" s="99"/>
      <c r="O19" s="99"/>
      <c r="P19" s="99"/>
      <c r="Q19" s="99"/>
      <c r="R19" s="99"/>
      <c r="S19" s="99"/>
      <c r="T19" s="99"/>
      <c r="U19" s="99"/>
      <c r="V19" s="99"/>
      <c r="W19" s="99"/>
      <c r="X19" s="99"/>
      <c r="Y19" s="99"/>
      <c r="Z19" s="99"/>
      <c r="AA19" s="99"/>
      <c r="AB19" s="99"/>
      <c r="AC19" s="77">
        <f>SUM(D19:AB19)</f>
        <v>2230</v>
      </c>
      <c r="AD19" s="11"/>
      <c r="AE19" s="216"/>
      <c r="AF19" s="11" t="str">
        <f t="shared" si="31"/>
        <v>新型</v>
      </c>
      <c r="AG19" s="14" t="str">
        <f t="shared" si="31"/>
        <v>USD</v>
      </c>
      <c r="AH19" s="11">
        <f t="shared" si="31"/>
        <v>0</v>
      </c>
      <c r="AI19" s="77">
        <f t="shared" si="32"/>
        <v>125</v>
      </c>
      <c r="AJ19" s="77">
        <f t="shared" si="32"/>
        <v>250</v>
      </c>
      <c r="AK19" s="77">
        <f t="shared" si="32"/>
        <v>375</v>
      </c>
      <c r="AL19" s="77">
        <f t="shared" si="32"/>
        <v>550</v>
      </c>
      <c r="AM19" s="77">
        <f t="shared" si="32"/>
        <v>770</v>
      </c>
      <c r="AN19" s="77">
        <f t="shared" si="32"/>
        <v>1050</v>
      </c>
      <c r="AO19" s="77">
        <f t="shared" si="32"/>
        <v>1380</v>
      </c>
      <c r="AP19" s="77">
        <f t="shared" si="32"/>
        <v>1780</v>
      </c>
      <c r="AQ19" s="77">
        <f t="shared" si="32"/>
        <v>2230</v>
      </c>
      <c r="AR19" s="77">
        <f t="shared" si="32"/>
        <v>2230</v>
      </c>
      <c r="AS19" s="77">
        <f t="shared" si="19"/>
        <v>2230</v>
      </c>
      <c r="AT19" s="77">
        <f t="shared" si="20"/>
        <v>2230</v>
      </c>
      <c r="AU19" s="77">
        <f t="shared" si="21"/>
        <v>2230</v>
      </c>
      <c r="AV19" s="77">
        <f t="shared" si="22"/>
        <v>2230</v>
      </c>
      <c r="AW19" s="77">
        <f t="shared" si="23"/>
        <v>2230</v>
      </c>
      <c r="AX19" s="77">
        <f t="shared" si="24"/>
        <v>2230</v>
      </c>
      <c r="AY19" s="77">
        <f t="shared" si="25"/>
        <v>2230</v>
      </c>
      <c r="AZ19" s="77">
        <f t="shared" si="26"/>
        <v>2230</v>
      </c>
      <c r="BA19" s="77">
        <f t="shared" si="27"/>
        <v>2230</v>
      </c>
      <c r="BB19" s="77">
        <f t="shared" si="33"/>
        <v>2230</v>
      </c>
      <c r="BC19" s="77">
        <f t="shared" si="33"/>
        <v>2230</v>
      </c>
      <c r="BD19" s="77">
        <f t="shared" si="33"/>
        <v>2230</v>
      </c>
      <c r="BE19" s="77">
        <f t="shared" si="33"/>
        <v>2230</v>
      </c>
      <c r="BF19" s="77">
        <f t="shared" si="33"/>
        <v>2230</v>
      </c>
      <c r="BG19" s="77">
        <f>BF19</f>
        <v>2230</v>
      </c>
    </row>
    <row r="20" spans="1:59" x14ac:dyDescent="0.25">
      <c r="A20" s="215" t="s">
        <v>9</v>
      </c>
      <c r="B20" s="11" t="str">
        <f>'P(M)'!B34</f>
        <v>發明</v>
      </c>
      <c r="C20" s="3" t="s">
        <v>21</v>
      </c>
      <c r="D20" s="99"/>
      <c r="E20" s="99">
        <f>IF('發明(新型)案成本估算'!$B$8&gt;0,800000+400000*('發明(新型)案成本估算'!$B$8-1),0)</f>
        <v>1600000</v>
      </c>
      <c r="F20" s="99">
        <f>IF('發明(新型)案成本估算'!$B$8&gt;0,1000000+600000*('發明(新型)案成本估算'!$B$8-1),0)</f>
        <v>2200000</v>
      </c>
      <c r="G20" s="99">
        <f>IF('發明(新型)案成本估算'!$B$8&gt;0,1000000+600000*('發明(新型)案成本估算'!$B$8-1),0)</f>
        <v>2200000</v>
      </c>
      <c r="H20" s="99">
        <f>IF('發明(新型)案成本估算'!$B$8&gt;0,1300000+900000*('發明(新型)案成本估算'!$B$8-1),0)</f>
        <v>3100000</v>
      </c>
      <c r="I20" s="99">
        <f>IF('發明(新型)案成本估算'!$B$8&gt;0,1300000+900000*('發明(新型)案成本估算'!$B$8-1),0)</f>
        <v>3100000</v>
      </c>
      <c r="J20" s="99">
        <f>IF('發明(新型)案成本估算'!$B$8&gt;0,1700000+1300000*('發明(新型)案成本估算'!$B$8-1),0)</f>
        <v>4300000</v>
      </c>
      <c r="K20" s="99">
        <f>IF('發明(新型)案成本估算'!$B$8&gt;0,1700000+1300000*('發明(新型)案成本估算'!$B$8-1),0)</f>
        <v>4300000</v>
      </c>
      <c r="L20" s="99">
        <f>IF('發明(新型)案成本估算'!$B$8&gt;0,2300000+1900000*('發明(新型)案成本估算'!$B$8-1),0)</f>
        <v>6100000</v>
      </c>
      <c r="M20" s="99">
        <f>IF('發明(新型)案成本估算'!$B$8&gt;0,2300000+1900000*('發明(新型)案成本估算'!$B$8-1),0)</f>
        <v>6100000</v>
      </c>
      <c r="N20" s="99">
        <f>IF('發明(新型)案成本估算'!$B$8&gt;0,3000000+2600000*('發明(新型)案成本估算'!$B$8-1),0)</f>
        <v>8200000</v>
      </c>
      <c r="O20" s="99">
        <f>IF('發明(新型)案成本估算'!$B$8&gt;0,3000000+2600000*('發明(新型)案成本估算'!$B$8-1),0)</f>
        <v>8200000</v>
      </c>
      <c r="P20" s="99">
        <f>IF('發明(新型)案成本估算'!$B$8&gt;0,3000000+2600000*('發明(新型)案成本估算'!$B$8-1),0)</f>
        <v>8200000</v>
      </c>
      <c r="Q20" s="99">
        <f>IF('發明(新型)案成本估算'!$B$8&gt;0,3800000+3400000*('發明(新型)案成本估算'!$B$8-1),0)</f>
        <v>10600000</v>
      </c>
      <c r="R20" s="99">
        <f>IF('發明(新型)案成本估算'!$B$8&gt;0,3800000+3400000*('發明(新型)案成本估算'!$B$8-1),0)</f>
        <v>10600000</v>
      </c>
      <c r="S20" s="99">
        <f>IF('發明(新型)案成本估算'!$B$8&gt;0,3800000+3400000*('發明(新型)案成本估算'!$B$8-1),0)</f>
        <v>10600000</v>
      </c>
      <c r="T20" s="99">
        <f>IF('發明(新型)案成本估算'!$B$8&gt;0,4700000+4300000*('發明(新型)案成本估算'!$B$8-1),0)</f>
        <v>13300000</v>
      </c>
      <c r="U20" s="99">
        <f>IF('發明(新型)案成本估算'!$B$8&gt;0,4700000+4300000*('發明(新型)案成本估算'!$B$8-1),0)</f>
        <v>13300000</v>
      </c>
      <c r="V20" s="99">
        <f>IF('發明(新型)案成本估算'!$B$8&gt;0,4700000+4300000*('發明(新型)案成本估算'!$B$8-1),0)</f>
        <v>13300000</v>
      </c>
      <c r="W20" s="99">
        <f>IF('發明(新型)案成本估算'!$B$8&gt;0,4700000+4300000*('發明(新型)案成本估算'!$B$8-1),0)</f>
        <v>13300000</v>
      </c>
      <c r="X20" s="99"/>
      <c r="Y20" s="99"/>
      <c r="Z20" s="99"/>
      <c r="AA20" s="99"/>
      <c r="AB20" s="99"/>
      <c r="AC20" s="77">
        <f t="shared" si="3"/>
        <v>142600000</v>
      </c>
      <c r="AD20" s="11"/>
      <c r="AE20" s="215" t="s">
        <v>9</v>
      </c>
      <c r="AF20" s="11" t="str">
        <f t="shared" si="4"/>
        <v>發明</v>
      </c>
      <c r="AG20" s="14" t="str">
        <f t="shared" si="0"/>
        <v>VND</v>
      </c>
      <c r="AH20" s="11">
        <f t="shared" si="8"/>
        <v>0</v>
      </c>
      <c r="AI20" s="77">
        <f t="shared" si="9"/>
        <v>1600000</v>
      </c>
      <c r="AJ20" s="77">
        <f t="shared" si="10"/>
        <v>3800000</v>
      </c>
      <c r="AK20" s="77">
        <f t="shared" si="11"/>
        <v>6000000</v>
      </c>
      <c r="AL20" s="77">
        <f t="shared" si="12"/>
        <v>9100000</v>
      </c>
      <c r="AM20" s="77">
        <f t="shared" si="13"/>
        <v>12200000</v>
      </c>
      <c r="AN20" s="77">
        <f t="shared" si="14"/>
        <v>16500000</v>
      </c>
      <c r="AO20" s="77">
        <f t="shared" si="15"/>
        <v>20800000</v>
      </c>
      <c r="AP20" s="77">
        <f t="shared" si="16"/>
        <v>26900000</v>
      </c>
      <c r="AQ20" s="77">
        <f t="shared" si="17"/>
        <v>33000000</v>
      </c>
      <c r="AR20" s="77">
        <f t="shared" si="18"/>
        <v>41200000</v>
      </c>
      <c r="AS20" s="77">
        <f t="shared" si="19"/>
        <v>49400000</v>
      </c>
      <c r="AT20" s="77">
        <f t="shared" si="20"/>
        <v>57600000</v>
      </c>
      <c r="AU20" s="77">
        <f t="shared" si="21"/>
        <v>68200000</v>
      </c>
      <c r="AV20" s="77">
        <f t="shared" si="22"/>
        <v>78800000</v>
      </c>
      <c r="AW20" s="77">
        <f t="shared" si="23"/>
        <v>89400000</v>
      </c>
      <c r="AX20" s="77">
        <f t="shared" si="24"/>
        <v>102700000</v>
      </c>
      <c r="AY20" s="77">
        <f t="shared" si="25"/>
        <v>116000000</v>
      </c>
      <c r="AZ20" s="77">
        <f t="shared" si="26"/>
        <v>129300000</v>
      </c>
      <c r="BA20" s="77">
        <f t="shared" si="27"/>
        <v>142600000</v>
      </c>
      <c r="BB20" s="77">
        <f t="shared" si="2"/>
        <v>142600000</v>
      </c>
      <c r="BC20" s="77">
        <f t="shared" si="2"/>
        <v>142600000</v>
      </c>
      <c r="BD20" s="77">
        <f t="shared" si="2"/>
        <v>142600000</v>
      </c>
      <c r="BE20" s="77">
        <f t="shared" si="2"/>
        <v>142600000</v>
      </c>
      <c r="BF20" s="77">
        <f t="shared" si="2"/>
        <v>142600000</v>
      </c>
      <c r="BG20" s="77">
        <f t="shared" si="7"/>
        <v>142600000</v>
      </c>
    </row>
    <row r="21" spans="1:59" x14ac:dyDescent="0.25">
      <c r="A21" s="216"/>
      <c r="B21" s="11" t="str">
        <f>'P(M)'!B35</f>
        <v>新型</v>
      </c>
      <c r="C21" s="3" t="s">
        <v>21</v>
      </c>
      <c r="D21" s="99"/>
      <c r="E21" s="99">
        <f>IF('發明(新型)案成本估算'!$B$8&gt;0,800000+400000*('發明(新型)案成本估算'!$B$8-1),0)</f>
        <v>1600000</v>
      </c>
      <c r="F21" s="99">
        <f>IF('發明(新型)案成本估算'!$B$8&gt;0,1000000+600000*('發明(新型)案成本估算'!$B$8-1),0)</f>
        <v>2200000</v>
      </c>
      <c r="G21" s="99">
        <f>IF('發明(新型)案成本估算'!$B$8&gt;0,1000000+600000*('發明(新型)案成本估算'!$B$8-1),0)</f>
        <v>2200000</v>
      </c>
      <c r="H21" s="99">
        <f>IF('發明(新型)案成本估算'!$B$8&gt;0,1300000+900000*('發明(新型)案成本估算'!$B$8-1),0)</f>
        <v>3100000</v>
      </c>
      <c r="I21" s="99">
        <f>IF('發明(新型)案成本估算'!$B$8&gt;0,1300000+900000*('發明(新型)案成本估算'!$B$8-1),0)</f>
        <v>3100000</v>
      </c>
      <c r="J21" s="99">
        <f>IF('發明(新型)案成本估算'!$B$8&gt;0,1700000+1300000*('發明(新型)案成本估算'!$B$8-1),0)</f>
        <v>4300000</v>
      </c>
      <c r="K21" s="99">
        <f>IF('發明(新型)案成本估算'!$B$8&gt;0,1700000+1300000*('發明(新型)案成本估算'!$B$8-1),0)</f>
        <v>4300000</v>
      </c>
      <c r="L21" s="99">
        <f>IF('發明(新型)案成本估算'!$B$8&gt;0,2300000+1900000*('發明(新型)案成本估算'!$B$8-1),0)</f>
        <v>6100000</v>
      </c>
      <c r="M21" s="99">
        <f>IF('發明(新型)案成本估算'!$B$8&gt;0,2300000+1900000*('發明(新型)案成本估算'!$B$8-1),0)</f>
        <v>6100000</v>
      </c>
      <c r="N21" s="99"/>
      <c r="O21" s="99"/>
      <c r="P21" s="99"/>
      <c r="Q21" s="99"/>
      <c r="R21" s="99"/>
      <c r="S21" s="99"/>
      <c r="T21" s="99"/>
      <c r="U21" s="99"/>
      <c r="V21" s="99"/>
      <c r="W21" s="99"/>
      <c r="X21" s="99"/>
      <c r="Y21" s="99"/>
      <c r="Z21" s="99"/>
      <c r="AA21" s="99"/>
      <c r="AB21" s="99"/>
      <c r="AC21" s="77">
        <f t="shared" si="3"/>
        <v>33000000</v>
      </c>
      <c r="AD21" s="11"/>
      <c r="AE21" s="216"/>
      <c r="AF21" s="11" t="str">
        <f t="shared" si="4"/>
        <v>新型</v>
      </c>
      <c r="AG21" s="14" t="str">
        <f t="shared" si="0"/>
        <v>VND</v>
      </c>
      <c r="AH21" s="11">
        <f t="shared" si="8"/>
        <v>0</v>
      </c>
      <c r="AI21" s="77">
        <f t="shared" si="9"/>
        <v>1600000</v>
      </c>
      <c r="AJ21" s="77">
        <f t="shared" si="10"/>
        <v>3800000</v>
      </c>
      <c r="AK21" s="77">
        <f t="shared" si="11"/>
        <v>6000000</v>
      </c>
      <c r="AL21" s="77">
        <f t="shared" si="12"/>
        <v>9100000</v>
      </c>
      <c r="AM21" s="77">
        <f t="shared" si="13"/>
        <v>12200000</v>
      </c>
      <c r="AN21" s="77">
        <f t="shared" si="14"/>
        <v>16500000</v>
      </c>
      <c r="AO21" s="77">
        <f t="shared" si="15"/>
        <v>20800000</v>
      </c>
      <c r="AP21" s="77">
        <f t="shared" si="16"/>
        <v>26900000</v>
      </c>
      <c r="AQ21" s="77">
        <f t="shared" si="17"/>
        <v>33000000</v>
      </c>
      <c r="AR21" s="77">
        <f t="shared" si="18"/>
        <v>33000000</v>
      </c>
      <c r="AS21" s="77">
        <f t="shared" si="19"/>
        <v>33000000</v>
      </c>
      <c r="AT21" s="77">
        <f t="shared" si="20"/>
        <v>33000000</v>
      </c>
      <c r="AU21" s="77">
        <f t="shared" si="21"/>
        <v>33000000</v>
      </c>
      <c r="AV21" s="77">
        <f t="shared" si="22"/>
        <v>33000000</v>
      </c>
      <c r="AW21" s="77">
        <f t="shared" si="23"/>
        <v>33000000</v>
      </c>
      <c r="AX21" s="77">
        <f t="shared" si="24"/>
        <v>33000000</v>
      </c>
      <c r="AY21" s="77">
        <f t="shared" si="25"/>
        <v>33000000</v>
      </c>
      <c r="AZ21" s="77">
        <f t="shared" si="26"/>
        <v>33000000</v>
      </c>
      <c r="BA21" s="77">
        <f t="shared" si="27"/>
        <v>33000000</v>
      </c>
      <c r="BB21" s="77">
        <f t="shared" si="2"/>
        <v>33000000</v>
      </c>
      <c r="BC21" s="77">
        <f t="shared" si="2"/>
        <v>33000000</v>
      </c>
      <c r="BD21" s="77">
        <f t="shared" si="2"/>
        <v>33000000</v>
      </c>
      <c r="BE21" s="77">
        <f t="shared" si="2"/>
        <v>33000000</v>
      </c>
      <c r="BF21" s="77">
        <f t="shared" si="2"/>
        <v>33000000</v>
      </c>
      <c r="BG21" s="77">
        <f t="shared" si="7"/>
        <v>33000000</v>
      </c>
    </row>
    <row r="22" spans="1:59" x14ac:dyDescent="0.25">
      <c r="A22" s="215" t="s">
        <v>10</v>
      </c>
      <c r="B22" s="11" t="str">
        <f>'P(M)'!B36</f>
        <v>發明</v>
      </c>
      <c r="C22" s="3" t="s">
        <v>22</v>
      </c>
      <c r="D22" s="99"/>
      <c r="E22" s="99"/>
      <c r="F22" s="99"/>
      <c r="G22" s="99"/>
      <c r="H22" s="99">
        <v>1000</v>
      </c>
      <c r="I22" s="99">
        <v>1200</v>
      </c>
      <c r="J22" s="99">
        <v>1600</v>
      </c>
      <c r="K22" s="99">
        <v>2200</v>
      </c>
      <c r="L22" s="99">
        <v>3000</v>
      </c>
      <c r="M22" s="99">
        <v>4000</v>
      </c>
      <c r="N22" s="99">
        <v>5200</v>
      </c>
      <c r="O22" s="99">
        <v>6600</v>
      </c>
      <c r="P22" s="99">
        <v>8200</v>
      </c>
      <c r="Q22" s="99">
        <v>10000</v>
      </c>
      <c r="R22" s="99">
        <v>12000</v>
      </c>
      <c r="S22" s="99">
        <v>14200</v>
      </c>
      <c r="T22" s="99">
        <v>16600</v>
      </c>
      <c r="U22" s="99">
        <v>19200</v>
      </c>
      <c r="V22" s="99">
        <v>22000</v>
      </c>
      <c r="W22" s="99">
        <v>25000</v>
      </c>
      <c r="X22" s="99"/>
      <c r="Y22" s="99"/>
      <c r="Z22" s="99"/>
      <c r="AA22" s="99"/>
      <c r="AB22" s="99"/>
      <c r="AC22" s="77">
        <f t="shared" si="3"/>
        <v>152000</v>
      </c>
      <c r="AD22" s="11"/>
      <c r="AE22" s="215" t="s">
        <v>10</v>
      </c>
      <c r="AF22" s="11" t="str">
        <f t="shared" si="4"/>
        <v>發明</v>
      </c>
      <c r="AG22" s="14" t="str">
        <f t="shared" si="0"/>
        <v>THB</v>
      </c>
      <c r="AH22" s="11">
        <f t="shared" si="8"/>
        <v>0</v>
      </c>
      <c r="AI22" s="77">
        <f t="shared" si="9"/>
        <v>0</v>
      </c>
      <c r="AJ22" s="77">
        <f t="shared" si="10"/>
        <v>0</v>
      </c>
      <c r="AK22" s="77">
        <f t="shared" si="11"/>
        <v>0</v>
      </c>
      <c r="AL22" s="77">
        <f t="shared" si="12"/>
        <v>1000</v>
      </c>
      <c r="AM22" s="77">
        <f t="shared" si="13"/>
        <v>2200</v>
      </c>
      <c r="AN22" s="77">
        <f t="shared" si="14"/>
        <v>3800</v>
      </c>
      <c r="AO22" s="77">
        <f t="shared" si="15"/>
        <v>6000</v>
      </c>
      <c r="AP22" s="77">
        <f t="shared" si="16"/>
        <v>9000</v>
      </c>
      <c r="AQ22" s="77">
        <f t="shared" si="17"/>
        <v>13000</v>
      </c>
      <c r="AR22" s="77">
        <f t="shared" si="18"/>
        <v>18200</v>
      </c>
      <c r="AS22" s="77">
        <f t="shared" si="19"/>
        <v>24800</v>
      </c>
      <c r="AT22" s="77">
        <f t="shared" si="20"/>
        <v>33000</v>
      </c>
      <c r="AU22" s="77">
        <f t="shared" si="21"/>
        <v>43000</v>
      </c>
      <c r="AV22" s="77">
        <f t="shared" si="22"/>
        <v>55000</v>
      </c>
      <c r="AW22" s="77">
        <f t="shared" si="23"/>
        <v>69200</v>
      </c>
      <c r="AX22" s="77">
        <f t="shared" si="24"/>
        <v>85800</v>
      </c>
      <c r="AY22" s="77">
        <f t="shared" si="25"/>
        <v>105000</v>
      </c>
      <c r="AZ22" s="77">
        <f t="shared" si="26"/>
        <v>127000</v>
      </c>
      <c r="BA22" s="77">
        <f t="shared" si="27"/>
        <v>152000</v>
      </c>
      <c r="BB22" s="77">
        <f t="shared" si="2"/>
        <v>152000</v>
      </c>
      <c r="BC22" s="77">
        <f t="shared" si="2"/>
        <v>152000</v>
      </c>
      <c r="BD22" s="77">
        <f t="shared" si="2"/>
        <v>152000</v>
      </c>
      <c r="BE22" s="77">
        <f t="shared" si="2"/>
        <v>152000</v>
      </c>
      <c r="BF22" s="77">
        <f t="shared" si="2"/>
        <v>152000</v>
      </c>
      <c r="BG22" s="77">
        <f t="shared" si="7"/>
        <v>152000</v>
      </c>
    </row>
    <row r="23" spans="1:59" x14ac:dyDescent="0.25">
      <c r="A23" s="216"/>
      <c r="B23" s="11" t="str">
        <f>'P(M)'!B37</f>
        <v>新型</v>
      </c>
      <c r="C23" s="3" t="s">
        <v>22</v>
      </c>
      <c r="D23" s="99"/>
      <c r="E23" s="99"/>
      <c r="F23" s="99"/>
      <c r="G23" s="99"/>
      <c r="H23" s="99">
        <v>750</v>
      </c>
      <c r="I23" s="99">
        <v>1500</v>
      </c>
      <c r="J23" s="99">
        <v>6000</v>
      </c>
      <c r="K23" s="99"/>
      <c r="L23" s="99">
        <v>9000</v>
      </c>
      <c r="M23" s="99"/>
      <c r="N23" s="99"/>
      <c r="O23" s="99"/>
      <c r="P23" s="99"/>
      <c r="Q23" s="99"/>
      <c r="R23" s="99"/>
      <c r="S23" s="99"/>
      <c r="T23" s="99"/>
      <c r="U23" s="99"/>
      <c r="V23" s="99"/>
      <c r="W23" s="99"/>
      <c r="X23" s="99"/>
      <c r="Y23" s="99"/>
      <c r="Z23" s="99"/>
      <c r="AA23" s="99"/>
      <c r="AB23" s="99"/>
      <c r="AC23" s="77">
        <f t="shared" si="3"/>
        <v>17250</v>
      </c>
      <c r="AD23" s="11"/>
      <c r="AE23" s="216"/>
      <c r="AF23" s="11" t="str">
        <f t="shared" si="4"/>
        <v>新型</v>
      </c>
      <c r="AG23" s="14" t="str">
        <f t="shared" si="0"/>
        <v>THB</v>
      </c>
      <c r="AH23" s="11">
        <f t="shared" si="8"/>
        <v>0</v>
      </c>
      <c r="AI23" s="77">
        <f t="shared" si="9"/>
        <v>0</v>
      </c>
      <c r="AJ23" s="77">
        <f t="shared" si="10"/>
        <v>0</v>
      </c>
      <c r="AK23" s="77">
        <f t="shared" si="11"/>
        <v>0</v>
      </c>
      <c r="AL23" s="77">
        <f t="shared" si="12"/>
        <v>750</v>
      </c>
      <c r="AM23" s="77">
        <f t="shared" si="13"/>
        <v>2250</v>
      </c>
      <c r="AN23" s="77">
        <f t="shared" si="14"/>
        <v>8250</v>
      </c>
      <c r="AO23" s="77">
        <f t="shared" si="15"/>
        <v>8250</v>
      </c>
      <c r="AP23" s="77">
        <f t="shared" si="16"/>
        <v>17250</v>
      </c>
      <c r="AQ23" s="77">
        <f t="shared" si="17"/>
        <v>17250</v>
      </c>
      <c r="AR23" s="77">
        <f t="shared" si="18"/>
        <v>17250</v>
      </c>
      <c r="AS23" s="77">
        <f t="shared" si="19"/>
        <v>17250</v>
      </c>
      <c r="AT23" s="77">
        <f t="shared" si="20"/>
        <v>17250</v>
      </c>
      <c r="AU23" s="77">
        <f t="shared" si="21"/>
        <v>17250</v>
      </c>
      <c r="AV23" s="77">
        <f t="shared" si="22"/>
        <v>17250</v>
      </c>
      <c r="AW23" s="77">
        <f t="shared" si="23"/>
        <v>17250</v>
      </c>
      <c r="AX23" s="77">
        <f t="shared" si="24"/>
        <v>17250</v>
      </c>
      <c r="AY23" s="77">
        <f t="shared" si="25"/>
        <v>17250</v>
      </c>
      <c r="AZ23" s="77">
        <f t="shared" si="26"/>
        <v>17250</v>
      </c>
      <c r="BA23" s="77">
        <f t="shared" si="27"/>
        <v>17250</v>
      </c>
      <c r="BB23" s="77">
        <f t="shared" si="2"/>
        <v>17250</v>
      </c>
      <c r="BC23" s="77">
        <f t="shared" si="2"/>
        <v>17250</v>
      </c>
      <c r="BD23" s="77">
        <f t="shared" si="2"/>
        <v>17250</v>
      </c>
      <c r="BE23" s="77">
        <f t="shared" si="2"/>
        <v>17250</v>
      </c>
      <c r="BF23" s="77">
        <f t="shared" si="2"/>
        <v>17250</v>
      </c>
      <c r="BG23" s="77">
        <f t="shared" si="7"/>
        <v>17250</v>
      </c>
    </row>
    <row r="24" spans="1:59" x14ac:dyDescent="0.25">
      <c r="A24" s="5"/>
      <c r="B24" s="5"/>
      <c r="C24" s="5"/>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77">
        <f t="shared" si="3"/>
        <v>0</v>
      </c>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row>
    <row r="25" spans="1:59" x14ac:dyDescent="0.25">
      <c r="A25" s="171" t="s">
        <v>348</v>
      </c>
    </row>
    <row r="28" spans="1:59" s="78" customFormat="1" x14ac:dyDescent="0.25">
      <c r="A28" s="212" t="s">
        <v>202</v>
      </c>
      <c r="B28" s="213"/>
      <c r="C28" s="214"/>
      <c r="D28" s="102" t="s">
        <v>200</v>
      </c>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76"/>
      <c r="AD28" s="76"/>
      <c r="AE28" s="212" t="s">
        <v>204</v>
      </c>
      <c r="AF28" s="213"/>
      <c r="AG28" s="214"/>
      <c r="AH28" s="79" t="s">
        <v>198</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row>
    <row r="29" spans="1:59" x14ac:dyDescent="0.25">
      <c r="A29" s="4" t="s">
        <v>114</v>
      </c>
      <c r="B29" s="4" t="s">
        <v>197</v>
      </c>
      <c r="C29" s="4" t="s">
        <v>13</v>
      </c>
      <c r="D29" s="104">
        <v>1</v>
      </c>
      <c r="E29" s="104">
        <v>2</v>
      </c>
      <c r="F29" s="104">
        <v>3</v>
      </c>
      <c r="G29" s="104">
        <v>4</v>
      </c>
      <c r="H29" s="104">
        <v>5</v>
      </c>
      <c r="I29" s="104">
        <v>6</v>
      </c>
      <c r="J29" s="104">
        <v>7</v>
      </c>
      <c r="K29" s="104">
        <v>8</v>
      </c>
      <c r="L29" s="104">
        <v>9</v>
      </c>
      <c r="M29" s="104">
        <v>10</v>
      </c>
      <c r="N29" s="104">
        <v>11</v>
      </c>
      <c r="O29" s="104">
        <v>12</v>
      </c>
      <c r="P29" s="104">
        <v>13</v>
      </c>
      <c r="Q29" s="104">
        <v>14</v>
      </c>
      <c r="R29" s="104">
        <v>15</v>
      </c>
      <c r="S29" s="104">
        <v>16</v>
      </c>
      <c r="T29" s="104">
        <v>17</v>
      </c>
      <c r="U29" s="104">
        <v>18</v>
      </c>
      <c r="V29" s="104">
        <v>19</v>
      </c>
      <c r="W29" s="104">
        <v>20</v>
      </c>
      <c r="X29" s="104">
        <v>21</v>
      </c>
      <c r="Y29" s="104">
        <v>22</v>
      </c>
      <c r="Z29" s="104">
        <v>23</v>
      </c>
      <c r="AA29" s="104">
        <v>24</v>
      </c>
      <c r="AB29" s="104">
        <v>25</v>
      </c>
      <c r="AC29" s="4" t="s">
        <v>196</v>
      </c>
      <c r="AD29" s="4"/>
      <c r="AE29" s="4" t="s">
        <v>114</v>
      </c>
      <c r="AF29" s="4" t="s">
        <v>197</v>
      </c>
      <c r="AG29" s="4" t="s">
        <v>13</v>
      </c>
      <c r="AH29" s="4">
        <v>1</v>
      </c>
      <c r="AI29" s="4">
        <v>2</v>
      </c>
      <c r="AJ29" s="4">
        <v>3</v>
      </c>
      <c r="AK29" s="4">
        <v>4</v>
      </c>
      <c r="AL29" s="4">
        <v>5</v>
      </c>
      <c r="AM29" s="4">
        <v>6</v>
      </c>
      <c r="AN29" s="4">
        <v>7</v>
      </c>
      <c r="AO29" s="4">
        <v>8</v>
      </c>
      <c r="AP29" s="4">
        <v>9</v>
      </c>
      <c r="AQ29" s="4">
        <v>10</v>
      </c>
      <c r="AR29" s="4">
        <v>11</v>
      </c>
      <c r="AS29" s="4">
        <v>12</v>
      </c>
      <c r="AT29" s="4">
        <v>13</v>
      </c>
      <c r="AU29" s="4">
        <v>14</v>
      </c>
      <c r="AV29" s="4">
        <v>15</v>
      </c>
      <c r="AW29" s="4">
        <v>16</v>
      </c>
      <c r="AX29" s="4">
        <v>17</v>
      </c>
      <c r="AY29" s="4">
        <v>18</v>
      </c>
      <c r="AZ29" s="4">
        <v>19</v>
      </c>
      <c r="BA29" s="4">
        <v>20</v>
      </c>
      <c r="BB29" s="4">
        <v>21</v>
      </c>
      <c r="BC29" s="4">
        <v>22</v>
      </c>
      <c r="BD29" s="4">
        <v>23</v>
      </c>
      <c r="BE29" s="4">
        <v>24</v>
      </c>
      <c r="BF29" s="4">
        <v>25</v>
      </c>
      <c r="BG29" s="4" t="s">
        <v>225</v>
      </c>
    </row>
    <row r="30" spans="1:59" x14ac:dyDescent="0.25">
      <c r="A30" s="215" t="s">
        <v>2</v>
      </c>
      <c r="B30" s="11" t="str">
        <f>'P(M)'!B17</f>
        <v>發明</v>
      </c>
      <c r="C30" s="3" t="s">
        <v>14</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77">
        <f>SUM(D30:AB30)</f>
        <v>0</v>
      </c>
      <c r="AD30" s="11"/>
      <c r="AE30" s="215" t="s">
        <v>2</v>
      </c>
      <c r="AF30" s="11" t="str">
        <f>B30</f>
        <v>發明</v>
      </c>
      <c r="AG30" s="14" t="str">
        <f t="shared" ref="AG30:AG50" si="34">C30</f>
        <v>NTD</v>
      </c>
      <c r="AH30" s="11">
        <f>D30</f>
        <v>0</v>
      </c>
      <c r="AI30" s="77">
        <f>AH30+E30</f>
        <v>0</v>
      </c>
      <c r="AJ30" s="77">
        <f t="shared" ref="AJ30:AJ50" si="35">AI30+F30</f>
        <v>0</v>
      </c>
      <c r="AK30" s="77">
        <f t="shared" ref="AK30:AK50" si="36">AJ30+G30</f>
        <v>0</v>
      </c>
      <c r="AL30" s="77">
        <f t="shared" ref="AL30:AL50" si="37">AK30+H30</f>
        <v>0</v>
      </c>
      <c r="AM30" s="77">
        <f t="shared" ref="AM30:AM50" si="38">AL30+I30</f>
        <v>0</v>
      </c>
      <c r="AN30" s="77">
        <f t="shared" ref="AN30:AN50" si="39">AM30+J30</f>
        <v>0</v>
      </c>
      <c r="AO30" s="77">
        <f t="shared" ref="AO30:AO50" si="40">AN30+K30</f>
        <v>0</v>
      </c>
      <c r="AP30" s="77">
        <f t="shared" ref="AP30:AP50" si="41">AO30+L30</f>
        <v>0</v>
      </c>
      <c r="AQ30" s="77">
        <f t="shared" ref="AQ30:AQ50" si="42">AP30+M30</f>
        <v>0</v>
      </c>
      <c r="AR30" s="77">
        <f t="shared" ref="AR30:AR50" si="43">AQ30+N30</f>
        <v>0</v>
      </c>
      <c r="AS30" s="77">
        <f t="shared" ref="AS30:AS50" si="44">AR30+O30</f>
        <v>0</v>
      </c>
      <c r="AT30" s="77">
        <f t="shared" ref="AT30:AT50" si="45">AS30+P30</f>
        <v>0</v>
      </c>
      <c r="AU30" s="77">
        <f t="shared" ref="AU30:AU50" si="46">AT30+Q30</f>
        <v>0</v>
      </c>
      <c r="AV30" s="77">
        <f t="shared" ref="AV30:AV50" si="47">AU30+R30</f>
        <v>0</v>
      </c>
      <c r="AW30" s="77">
        <f t="shared" ref="AW30:AW50" si="48">AV30+S30</f>
        <v>0</v>
      </c>
      <c r="AX30" s="77">
        <f t="shared" ref="AX30:AX50" si="49">AW30+T30</f>
        <v>0</v>
      </c>
      <c r="AY30" s="77">
        <f t="shared" ref="AY30:AY50" si="50">AX30+U30</f>
        <v>0</v>
      </c>
      <c r="AZ30" s="77">
        <f t="shared" ref="AZ30:AZ50" si="51">AY30+V30</f>
        <v>0</v>
      </c>
      <c r="BA30" s="77">
        <f t="shared" ref="BA30:BA50" si="52">AZ30+W30</f>
        <v>0</v>
      </c>
      <c r="BB30" s="77">
        <f t="shared" ref="BB30:BB50" si="53">BA30+X30</f>
        <v>0</v>
      </c>
      <c r="BC30" s="77">
        <f t="shared" ref="BC30:BC50" si="54">BB30+Y30</f>
        <v>0</v>
      </c>
      <c r="BD30" s="77">
        <f t="shared" ref="BD30:BD50" si="55">BC30+Z30</f>
        <v>0</v>
      </c>
      <c r="BE30" s="77">
        <f t="shared" ref="BE30:BE50" si="56">BD30+AA30</f>
        <v>0</v>
      </c>
      <c r="BF30" s="77">
        <f t="shared" ref="BF30:BF50" si="57">BE30+AB30</f>
        <v>0</v>
      </c>
      <c r="BG30" s="77">
        <f>BF30</f>
        <v>0</v>
      </c>
    </row>
    <row r="31" spans="1:59" x14ac:dyDescent="0.25">
      <c r="A31" s="216"/>
      <c r="B31" s="11" t="str">
        <f>'P(M)'!B18</f>
        <v>新型</v>
      </c>
      <c r="C31" s="3" t="s">
        <v>14</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77">
        <f t="shared" ref="AC31:AC51" si="58">SUM(D31:AB31)</f>
        <v>0</v>
      </c>
      <c r="AD31" s="11"/>
      <c r="AE31" s="216"/>
      <c r="AF31" s="11" t="str">
        <f t="shared" ref="AF31:AF50" si="59">B31</f>
        <v>新型</v>
      </c>
      <c r="AG31" s="14" t="str">
        <f t="shared" si="34"/>
        <v>NTD</v>
      </c>
      <c r="AH31" s="11">
        <f>D31</f>
        <v>0</v>
      </c>
      <c r="AI31" s="77">
        <f>AH31+E31</f>
        <v>0</v>
      </c>
      <c r="AJ31" s="77">
        <f t="shared" si="35"/>
        <v>0</v>
      </c>
      <c r="AK31" s="77">
        <f t="shared" si="36"/>
        <v>0</v>
      </c>
      <c r="AL31" s="77">
        <f t="shared" si="37"/>
        <v>0</v>
      </c>
      <c r="AM31" s="77">
        <f t="shared" si="38"/>
        <v>0</v>
      </c>
      <c r="AN31" s="77">
        <f t="shared" si="39"/>
        <v>0</v>
      </c>
      <c r="AO31" s="77">
        <f t="shared" si="40"/>
        <v>0</v>
      </c>
      <c r="AP31" s="77">
        <f t="shared" si="41"/>
        <v>0</v>
      </c>
      <c r="AQ31" s="77">
        <f t="shared" si="42"/>
        <v>0</v>
      </c>
      <c r="AR31" s="77">
        <f t="shared" si="43"/>
        <v>0</v>
      </c>
      <c r="AS31" s="77">
        <f t="shared" si="44"/>
        <v>0</v>
      </c>
      <c r="AT31" s="77">
        <f t="shared" si="45"/>
        <v>0</v>
      </c>
      <c r="AU31" s="77">
        <f t="shared" si="46"/>
        <v>0</v>
      </c>
      <c r="AV31" s="77">
        <f t="shared" si="47"/>
        <v>0</v>
      </c>
      <c r="AW31" s="77">
        <f t="shared" si="48"/>
        <v>0</v>
      </c>
      <c r="AX31" s="77">
        <f t="shared" si="49"/>
        <v>0</v>
      </c>
      <c r="AY31" s="77">
        <f t="shared" si="50"/>
        <v>0</v>
      </c>
      <c r="AZ31" s="77">
        <f t="shared" si="51"/>
        <v>0</v>
      </c>
      <c r="BA31" s="77">
        <f t="shared" si="52"/>
        <v>0</v>
      </c>
      <c r="BB31" s="77">
        <f t="shared" si="53"/>
        <v>0</v>
      </c>
      <c r="BC31" s="77">
        <f t="shared" si="54"/>
        <v>0</v>
      </c>
      <c r="BD31" s="77">
        <f t="shared" si="55"/>
        <v>0</v>
      </c>
      <c r="BE31" s="77">
        <f t="shared" si="56"/>
        <v>0</v>
      </c>
      <c r="BF31" s="77">
        <f t="shared" si="57"/>
        <v>0</v>
      </c>
      <c r="BG31" s="77">
        <f t="shared" ref="BG31:BG50" si="60">BF31</f>
        <v>0</v>
      </c>
    </row>
    <row r="32" spans="1:59" x14ac:dyDescent="0.25">
      <c r="A32" s="215" t="s">
        <v>3</v>
      </c>
      <c r="B32" s="11" t="str">
        <f>'P(M)'!B19</f>
        <v>發明</v>
      </c>
      <c r="C32" s="3" t="s">
        <v>15</v>
      </c>
      <c r="D32" s="99"/>
      <c r="E32" s="128">
        <v>200</v>
      </c>
      <c r="F32" s="128">
        <v>200</v>
      </c>
      <c r="G32" s="128">
        <v>200</v>
      </c>
      <c r="H32" s="128">
        <v>200</v>
      </c>
      <c r="I32" s="128">
        <v>200</v>
      </c>
      <c r="J32" s="128">
        <v>200</v>
      </c>
      <c r="K32" s="128">
        <v>200</v>
      </c>
      <c r="L32" s="128">
        <v>200</v>
      </c>
      <c r="M32" s="128">
        <v>200</v>
      </c>
      <c r="N32" s="128">
        <v>200</v>
      </c>
      <c r="O32" s="128">
        <v>200</v>
      </c>
      <c r="P32" s="128">
        <v>200</v>
      </c>
      <c r="Q32" s="128">
        <v>200</v>
      </c>
      <c r="R32" s="128">
        <v>200</v>
      </c>
      <c r="S32" s="128">
        <v>200</v>
      </c>
      <c r="T32" s="128">
        <v>200</v>
      </c>
      <c r="U32" s="128">
        <v>200</v>
      </c>
      <c r="V32" s="128">
        <v>200</v>
      </c>
      <c r="W32" s="128">
        <v>200</v>
      </c>
      <c r="X32" s="99"/>
      <c r="Y32" s="99"/>
      <c r="Z32" s="99"/>
      <c r="AA32" s="99"/>
      <c r="AB32" s="99"/>
      <c r="AC32" s="77">
        <f t="shared" si="58"/>
        <v>3800</v>
      </c>
      <c r="AD32" s="11"/>
      <c r="AE32" s="215" t="s">
        <v>3</v>
      </c>
      <c r="AF32" s="11" t="str">
        <f t="shared" si="59"/>
        <v>發明</v>
      </c>
      <c r="AG32" s="14" t="str">
        <f t="shared" si="34"/>
        <v>CNY</v>
      </c>
      <c r="AH32" s="11">
        <f t="shared" ref="AH32:AH50" si="61">D32</f>
        <v>0</v>
      </c>
      <c r="AI32" s="77">
        <f t="shared" ref="AI32:AI50" si="62">AH32+E32</f>
        <v>200</v>
      </c>
      <c r="AJ32" s="77">
        <f t="shared" si="35"/>
        <v>400</v>
      </c>
      <c r="AK32" s="77">
        <f t="shared" si="36"/>
        <v>600</v>
      </c>
      <c r="AL32" s="77">
        <f t="shared" si="37"/>
        <v>800</v>
      </c>
      <c r="AM32" s="77">
        <f t="shared" si="38"/>
        <v>1000</v>
      </c>
      <c r="AN32" s="77">
        <f t="shared" si="39"/>
        <v>1200</v>
      </c>
      <c r="AO32" s="77">
        <f t="shared" si="40"/>
        <v>1400</v>
      </c>
      <c r="AP32" s="77">
        <f t="shared" si="41"/>
        <v>1600</v>
      </c>
      <c r="AQ32" s="77">
        <f t="shared" si="42"/>
        <v>1800</v>
      </c>
      <c r="AR32" s="77">
        <f t="shared" si="43"/>
        <v>2000</v>
      </c>
      <c r="AS32" s="77">
        <f t="shared" si="44"/>
        <v>2200</v>
      </c>
      <c r="AT32" s="77">
        <f t="shared" si="45"/>
        <v>2400</v>
      </c>
      <c r="AU32" s="77">
        <f t="shared" si="46"/>
        <v>2600</v>
      </c>
      <c r="AV32" s="77">
        <f t="shared" si="47"/>
        <v>2800</v>
      </c>
      <c r="AW32" s="77">
        <f t="shared" si="48"/>
        <v>3000</v>
      </c>
      <c r="AX32" s="77">
        <f t="shared" si="49"/>
        <v>3200</v>
      </c>
      <c r="AY32" s="77">
        <f t="shared" si="50"/>
        <v>3400</v>
      </c>
      <c r="AZ32" s="77">
        <f t="shared" si="51"/>
        <v>3600</v>
      </c>
      <c r="BA32" s="77">
        <f t="shared" si="52"/>
        <v>3800</v>
      </c>
      <c r="BB32" s="77">
        <f t="shared" si="53"/>
        <v>3800</v>
      </c>
      <c r="BC32" s="77">
        <f t="shared" si="54"/>
        <v>3800</v>
      </c>
      <c r="BD32" s="77">
        <f t="shared" si="55"/>
        <v>3800</v>
      </c>
      <c r="BE32" s="77">
        <f t="shared" si="56"/>
        <v>3800</v>
      </c>
      <c r="BF32" s="77">
        <f t="shared" si="57"/>
        <v>3800</v>
      </c>
      <c r="BG32" s="77">
        <f t="shared" si="60"/>
        <v>3800</v>
      </c>
    </row>
    <row r="33" spans="1:59" x14ac:dyDescent="0.25">
      <c r="A33" s="216"/>
      <c r="B33" s="11" t="str">
        <f>'P(M)'!B20</f>
        <v>新型</v>
      </c>
      <c r="C33" s="3" t="s">
        <v>15</v>
      </c>
      <c r="D33" s="99"/>
      <c r="E33" s="99">
        <v>200</v>
      </c>
      <c r="F33" s="99">
        <v>200</v>
      </c>
      <c r="G33" s="99">
        <v>200</v>
      </c>
      <c r="H33" s="99">
        <v>200</v>
      </c>
      <c r="I33" s="99">
        <v>200</v>
      </c>
      <c r="J33" s="99">
        <v>200</v>
      </c>
      <c r="K33" s="99">
        <v>200</v>
      </c>
      <c r="L33" s="99">
        <v>200</v>
      </c>
      <c r="M33" s="99">
        <v>200</v>
      </c>
      <c r="N33" s="99"/>
      <c r="O33" s="99"/>
      <c r="P33" s="99"/>
      <c r="Q33" s="99"/>
      <c r="R33" s="99"/>
      <c r="S33" s="99"/>
      <c r="T33" s="99"/>
      <c r="U33" s="99"/>
      <c r="V33" s="99"/>
      <c r="W33" s="99"/>
      <c r="X33" s="99"/>
      <c r="Y33" s="99"/>
      <c r="Z33" s="99"/>
      <c r="AA33" s="99"/>
      <c r="AB33" s="99"/>
      <c r="AC33" s="77">
        <f t="shared" si="58"/>
        <v>1800</v>
      </c>
      <c r="AD33" s="11"/>
      <c r="AE33" s="216"/>
      <c r="AF33" s="11" t="str">
        <f t="shared" si="59"/>
        <v>新型</v>
      </c>
      <c r="AG33" s="14" t="str">
        <f t="shared" si="34"/>
        <v>CNY</v>
      </c>
      <c r="AH33" s="11">
        <f t="shared" si="61"/>
        <v>0</v>
      </c>
      <c r="AI33" s="77">
        <f t="shared" si="62"/>
        <v>200</v>
      </c>
      <c r="AJ33" s="77">
        <f t="shared" si="35"/>
        <v>400</v>
      </c>
      <c r="AK33" s="77">
        <f t="shared" si="36"/>
        <v>600</v>
      </c>
      <c r="AL33" s="77">
        <f t="shared" si="37"/>
        <v>800</v>
      </c>
      <c r="AM33" s="77">
        <f t="shared" si="38"/>
        <v>1000</v>
      </c>
      <c r="AN33" s="77">
        <f t="shared" si="39"/>
        <v>1200</v>
      </c>
      <c r="AO33" s="77">
        <f t="shared" si="40"/>
        <v>1400</v>
      </c>
      <c r="AP33" s="77">
        <f t="shared" si="41"/>
        <v>1600</v>
      </c>
      <c r="AQ33" s="77">
        <f t="shared" si="42"/>
        <v>1800</v>
      </c>
      <c r="AR33" s="77">
        <f t="shared" si="43"/>
        <v>1800</v>
      </c>
      <c r="AS33" s="77">
        <f t="shared" si="44"/>
        <v>1800</v>
      </c>
      <c r="AT33" s="77">
        <f t="shared" si="45"/>
        <v>1800</v>
      </c>
      <c r="AU33" s="77">
        <f t="shared" si="46"/>
        <v>1800</v>
      </c>
      <c r="AV33" s="77">
        <f t="shared" si="47"/>
        <v>1800</v>
      </c>
      <c r="AW33" s="77">
        <f t="shared" si="48"/>
        <v>1800</v>
      </c>
      <c r="AX33" s="77">
        <f t="shared" si="49"/>
        <v>1800</v>
      </c>
      <c r="AY33" s="77">
        <f t="shared" si="50"/>
        <v>1800</v>
      </c>
      <c r="AZ33" s="77">
        <f t="shared" si="51"/>
        <v>1800</v>
      </c>
      <c r="BA33" s="77">
        <f t="shared" si="52"/>
        <v>1800</v>
      </c>
      <c r="BB33" s="77">
        <f t="shared" si="53"/>
        <v>1800</v>
      </c>
      <c r="BC33" s="77">
        <f t="shared" si="54"/>
        <v>1800</v>
      </c>
      <c r="BD33" s="77">
        <f t="shared" si="55"/>
        <v>1800</v>
      </c>
      <c r="BE33" s="77">
        <f t="shared" si="56"/>
        <v>1800</v>
      </c>
      <c r="BF33" s="77">
        <f t="shared" si="57"/>
        <v>1800</v>
      </c>
      <c r="BG33" s="77">
        <f t="shared" si="60"/>
        <v>1800</v>
      </c>
    </row>
    <row r="34" spans="1:59" x14ac:dyDescent="0.25">
      <c r="A34" s="3" t="s">
        <v>4</v>
      </c>
      <c r="B34" s="11" t="str">
        <f>'P(M)'!B21</f>
        <v>發明</v>
      </c>
      <c r="C34" s="3" t="s">
        <v>16</v>
      </c>
      <c r="D34" s="99"/>
      <c r="E34" s="99"/>
      <c r="F34" s="99"/>
      <c r="G34" s="99">
        <v>126</v>
      </c>
      <c r="H34" s="99"/>
      <c r="I34" s="99"/>
      <c r="J34" s="99"/>
      <c r="K34" s="99">
        <v>126</v>
      </c>
      <c r="L34" s="99"/>
      <c r="M34" s="99"/>
      <c r="N34" s="99"/>
      <c r="O34" s="99">
        <v>126</v>
      </c>
      <c r="P34" s="99"/>
      <c r="Q34" s="99"/>
      <c r="R34" s="99"/>
      <c r="S34" s="99"/>
      <c r="T34" s="99"/>
      <c r="U34" s="99"/>
      <c r="V34" s="99"/>
      <c r="W34" s="99"/>
      <c r="X34" s="99"/>
      <c r="Y34" s="99"/>
      <c r="Z34" s="99"/>
      <c r="AA34" s="99"/>
      <c r="AB34" s="99"/>
      <c r="AC34" s="77">
        <f t="shared" si="58"/>
        <v>378</v>
      </c>
      <c r="AD34" s="11"/>
      <c r="AE34" s="3" t="s">
        <v>4</v>
      </c>
      <c r="AF34" s="11" t="str">
        <f t="shared" si="59"/>
        <v>發明</v>
      </c>
      <c r="AG34" s="14" t="str">
        <f t="shared" si="34"/>
        <v>USD</v>
      </c>
      <c r="AH34" s="11">
        <f t="shared" si="61"/>
        <v>0</v>
      </c>
      <c r="AI34" s="77">
        <f t="shared" si="62"/>
        <v>0</v>
      </c>
      <c r="AJ34" s="77">
        <f t="shared" si="35"/>
        <v>0</v>
      </c>
      <c r="AK34" s="77">
        <f t="shared" si="36"/>
        <v>126</v>
      </c>
      <c r="AL34" s="77">
        <f t="shared" si="37"/>
        <v>126</v>
      </c>
      <c r="AM34" s="77">
        <f t="shared" si="38"/>
        <v>126</v>
      </c>
      <c r="AN34" s="77">
        <f t="shared" si="39"/>
        <v>126</v>
      </c>
      <c r="AO34" s="77">
        <f t="shared" si="40"/>
        <v>252</v>
      </c>
      <c r="AP34" s="77">
        <f t="shared" si="41"/>
        <v>252</v>
      </c>
      <c r="AQ34" s="77">
        <f t="shared" si="42"/>
        <v>252</v>
      </c>
      <c r="AR34" s="77">
        <f t="shared" si="43"/>
        <v>252</v>
      </c>
      <c r="AS34" s="77">
        <f t="shared" si="44"/>
        <v>378</v>
      </c>
      <c r="AT34" s="77">
        <f t="shared" si="45"/>
        <v>378</v>
      </c>
      <c r="AU34" s="77">
        <f t="shared" si="46"/>
        <v>378</v>
      </c>
      <c r="AV34" s="77">
        <f t="shared" si="47"/>
        <v>378</v>
      </c>
      <c r="AW34" s="77">
        <f t="shared" si="48"/>
        <v>378</v>
      </c>
      <c r="AX34" s="77">
        <f t="shared" si="49"/>
        <v>378</v>
      </c>
      <c r="AY34" s="77">
        <f t="shared" si="50"/>
        <v>378</v>
      </c>
      <c r="AZ34" s="77">
        <f t="shared" si="51"/>
        <v>378</v>
      </c>
      <c r="BA34" s="77">
        <f t="shared" si="52"/>
        <v>378</v>
      </c>
      <c r="BB34" s="77">
        <f t="shared" si="53"/>
        <v>378</v>
      </c>
      <c r="BC34" s="77">
        <f t="shared" si="54"/>
        <v>378</v>
      </c>
      <c r="BD34" s="77">
        <f t="shared" si="55"/>
        <v>378</v>
      </c>
      <c r="BE34" s="77">
        <f t="shared" si="56"/>
        <v>378</v>
      </c>
      <c r="BF34" s="77">
        <f t="shared" si="57"/>
        <v>378</v>
      </c>
      <c r="BG34" s="77">
        <f t="shared" si="60"/>
        <v>378</v>
      </c>
    </row>
    <row r="35" spans="1:59" x14ac:dyDescent="0.25">
      <c r="A35" s="3" t="s">
        <v>5</v>
      </c>
      <c r="B35" s="11" t="str">
        <f>'P(M)'!B22</f>
        <v>發明</v>
      </c>
      <c r="C35" s="3" t="s">
        <v>16</v>
      </c>
      <c r="D35" s="105"/>
      <c r="E35" s="105"/>
      <c r="F35" s="105">
        <v>264.45999999999998</v>
      </c>
      <c r="G35" s="105">
        <v>264.45999999999998</v>
      </c>
      <c r="H35" s="105">
        <v>384.46</v>
      </c>
      <c r="I35" s="105">
        <v>384.46</v>
      </c>
      <c r="J35" s="105">
        <v>384.46</v>
      </c>
      <c r="K35" s="105">
        <v>384.46</v>
      </c>
      <c r="L35" s="105">
        <v>384.46</v>
      </c>
      <c r="M35" s="105">
        <v>384.46</v>
      </c>
      <c r="N35" s="105">
        <v>384.46</v>
      </c>
      <c r="O35" s="105">
        <v>384.46</v>
      </c>
      <c r="P35" s="105">
        <v>384.46</v>
      </c>
      <c r="Q35" s="105">
        <v>384.46</v>
      </c>
      <c r="R35" s="105">
        <v>384.46</v>
      </c>
      <c r="S35" s="105">
        <v>384.46</v>
      </c>
      <c r="T35" s="105">
        <v>384.46</v>
      </c>
      <c r="U35" s="105">
        <v>384.46</v>
      </c>
      <c r="V35" s="105">
        <v>384.46</v>
      </c>
      <c r="W35" s="105">
        <v>384.46</v>
      </c>
      <c r="X35" s="99"/>
      <c r="Y35" s="99"/>
      <c r="Z35" s="99"/>
      <c r="AA35" s="99"/>
      <c r="AB35" s="99"/>
      <c r="AC35" s="77">
        <f t="shared" si="58"/>
        <v>6680.28</v>
      </c>
      <c r="AD35" s="11"/>
      <c r="AE35" s="3" t="s">
        <v>5</v>
      </c>
      <c r="AF35" s="11" t="str">
        <f t="shared" si="59"/>
        <v>發明</v>
      </c>
      <c r="AG35" s="14" t="str">
        <f t="shared" si="34"/>
        <v>USD</v>
      </c>
      <c r="AH35" s="11">
        <f t="shared" si="61"/>
        <v>0</v>
      </c>
      <c r="AI35" s="77">
        <f t="shared" si="62"/>
        <v>0</v>
      </c>
      <c r="AJ35" s="77">
        <f t="shared" si="35"/>
        <v>264.45999999999998</v>
      </c>
      <c r="AK35" s="77">
        <f t="shared" si="36"/>
        <v>528.91999999999996</v>
      </c>
      <c r="AL35" s="77">
        <f t="shared" si="37"/>
        <v>913.37999999999988</v>
      </c>
      <c r="AM35" s="77">
        <f t="shared" si="38"/>
        <v>1297.8399999999999</v>
      </c>
      <c r="AN35" s="77">
        <f t="shared" si="39"/>
        <v>1682.3</v>
      </c>
      <c r="AO35" s="77">
        <f t="shared" si="40"/>
        <v>2066.7599999999998</v>
      </c>
      <c r="AP35" s="77">
        <f t="shared" si="41"/>
        <v>2451.2199999999998</v>
      </c>
      <c r="AQ35" s="77">
        <f t="shared" si="42"/>
        <v>2835.68</v>
      </c>
      <c r="AR35" s="77">
        <f t="shared" si="43"/>
        <v>3220.14</v>
      </c>
      <c r="AS35" s="77">
        <f t="shared" si="44"/>
        <v>3604.6</v>
      </c>
      <c r="AT35" s="77">
        <f t="shared" si="45"/>
        <v>3989.06</v>
      </c>
      <c r="AU35" s="77">
        <f t="shared" si="46"/>
        <v>4373.5199999999995</v>
      </c>
      <c r="AV35" s="77">
        <f t="shared" si="47"/>
        <v>4757.9799999999996</v>
      </c>
      <c r="AW35" s="77">
        <f t="shared" si="48"/>
        <v>5142.4399999999996</v>
      </c>
      <c r="AX35" s="77">
        <f t="shared" si="49"/>
        <v>5526.9</v>
      </c>
      <c r="AY35" s="77">
        <f t="shared" si="50"/>
        <v>5911.36</v>
      </c>
      <c r="AZ35" s="77">
        <f t="shared" si="51"/>
        <v>6295.82</v>
      </c>
      <c r="BA35" s="77">
        <f t="shared" si="52"/>
        <v>6680.28</v>
      </c>
      <c r="BB35" s="77">
        <f t="shared" si="53"/>
        <v>6680.28</v>
      </c>
      <c r="BC35" s="77">
        <f t="shared" si="54"/>
        <v>6680.28</v>
      </c>
      <c r="BD35" s="77">
        <f t="shared" si="55"/>
        <v>6680.28</v>
      </c>
      <c r="BE35" s="77">
        <f t="shared" si="56"/>
        <v>6680.28</v>
      </c>
      <c r="BF35" s="77">
        <f t="shared" si="57"/>
        <v>6680.28</v>
      </c>
      <c r="BG35" s="77">
        <f t="shared" si="60"/>
        <v>6680.28</v>
      </c>
    </row>
    <row r="36" spans="1:59" x14ac:dyDescent="0.25">
      <c r="A36" s="215" t="s">
        <v>6</v>
      </c>
      <c r="B36" s="11" t="str">
        <f>'P(M)'!B23</f>
        <v>發明</v>
      </c>
      <c r="C36" s="3" t="s">
        <v>18</v>
      </c>
      <c r="D36" s="99"/>
      <c r="E36" s="99"/>
      <c r="F36" s="99"/>
      <c r="G36" s="99">
        <v>10000</v>
      </c>
      <c r="H36" s="99">
        <v>10000</v>
      </c>
      <c r="I36" s="99">
        <v>10000</v>
      </c>
      <c r="J36" s="99">
        <v>11000</v>
      </c>
      <c r="K36" s="99">
        <v>11000</v>
      </c>
      <c r="L36" s="99">
        <v>11000</v>
      </c>
      <c r="M36" s="99">
        <v>12000</v>
      </c>
      <c r="N36" s="99">
        <v>12000</v>
      </c>
      <c r="O36" s="99">
        <v>12000</v>
      </c>
      <c r="P36" s="99">
        <v>12000</v>
      </c>
      <c r="Q36" s="99">
        <v>12000</v>
      </c>
      <c r="R36" s="99">
        <v>12000</v>
      </c>
      <c r="S36" s="99">
        <v>12000</v>
      </c>
      <c r="T36" s="99">
        <v>12000</v>
      </c>
      <c r="U36" s="99">
        <v>12000</v>
      </c>
      <c r="V36" s="99">
        <v>12000</v>
      </c>
      <c r="W36" s="99">
        <v>12000</v>
      </c>
      <c r="X36" s="99"/>
      <c r="Y36" s="99"/>
      <c r="Z36" s="99"/>
      <c r="AA36" s="99"/>
      <c r="AB36" s="99"/>
      <c r="AC36" s="77">
        <f t="shared" si="58"/>
        <v>195000</v>
      </c>
      <c r="AD36" s="11"/>
      <c r="AE36" s="215" t="s">
        <v>6</v>
      </c>
      <c r="AF36" s="11" t="str">
        <f t="shared" si="59"/>
        <v>發明</v>
      </c>
      <c r="AG36" s="14" t="str">
        <f t="shared" si="34"/>
        <v>JPY</v>
      </c>
      <c r="AH36" s="11">
        <f t="shared" si="61"/>
        <v>0</v>
      </c>
      <c r="AI36" s="77">
        <f t="shared" si="62"/>
        <v>0</v>
      </c>
      <c r="AJ36" s="77">
        <f t="shared" si="35"/>
        <v>0</v>
      </c>
      <c r="AK36" s="77">
        <f t="shared" si="36"/>
        <v>10000</v>
      </c>
      <c r="AL36" s="77">
        <f t="shared" si="37"/>
        <v>20000</v>
      </c>
      <c r="AM36" s="77">
        <f t="shared" si="38"/>
        <v>30000</v>
      </c>
      <c r="AN36" s="77">
        <f t="shared" si="39"/>
        <v>41000</v>
      </c>
      <c r="AO36" s="77">
        <f t="shared" si="40"/>
        <v>52000</v>
      </c>
      <c r="AP36" s="77">
        <f t="shared" si="41"/>
        <v>63000</v>
      </c>
      <c r="AQ36" s="77">
        <f t="shared" si="42"/>
        <v>75000</v>
      </c>
      <c r="AR36" s="77">
        <f t="shared" si="43"/>
        <v>87000</v>
      </c>
      <c r="AS36" s="77">
        <f t="shared" si="44"/>
        <v>99000</v>
      </c>
      <c r="AT36" s="77">
        <f t="shared" si="45"/>
        <v>111000</v>
      </c>
      <c r="AU36" s="77">
        <f t="shared" si="46"/>
        <v>123000</v>
      </c>
      <c r="AV36" s="77">
        <f t="shared" si="47"/>
        <v>135000</v>
      </c>
      <c r="AW36" s="77">
        <f t="shared" si="48"/>
        <v>147000</v>
      </c>
      <c r="AX36" s="77">
        <f t="shared" si="49"/>
        <v>159000</v>
      </c>
      <c r="AY36" s="77">
        <f t="shared" si="50"/>
        <v>171000</v>
      </c>
      <c r="AZ36" s="77">
        <f t="shared" si="51"/>
        <v>183000</v>
      </c>
      <c r="BA36" s="77">
        <f t="shared" si="52"/>
        <v>195000</v>
      </c>
      <c r="BB36" s="77">
        <f t="shared" si="53"/>
        <v>195000</v>
      </c>
      <c r="BC36" s="77">
        <f t="shared" si="54"/>
        <v>195000</v>
      </c>
      <c r="BD36" s="77">
        <f t="shared" si="55"/>
        <v>195000</v>
      </c>
      <c r="BE36" s="77">
        <f t="shared" si="56"/>
        <v>195000</v>
      </c>
      <c r="BF36" s="77">
        <f t="shared" si="57"/>
        <v>195000</v>
      </c>
      <c r="BG36" s="77">
        <f t="shared" si="60"/>
        <v>195000</v>
      </c>
    </row>
    <row r="37" spans="1:59" x14ac:dyDescent="0.25">
      <c r="A37" s="216"/>
      <c r="B37" s="11" t="str">
        <f>'P(M)'!B24</f>
        <v>新型</v>
      </c>
      <c r="C37" s="3" t="s">
        <v>18</v>
      </c>
      <c r="D37" s="99"/>
      <c r="E37" s="99"/>
      <c r="F37" s="99"/>
      <c r="G37" s="99">
        <v>9000</v>
      </c>
      <c r="H37" s="99">
        <v>9000</v>
      </c>
      <c r="I37" s="99">
        <v>9000</v>
      </c>
      <c r="J37" s="99">
        <v>10000</v>
      </c>
      <c r="K37" s="99">
        <v>10000</v>
      </c>
      <c r="L37" s="99">
        <v>10000</v>
      </c>
      <c r="M37" s="99">
        <v>10000</v>
      </c>
      <c r="N37" s="99"/>
      <c r="O37" s="99"/>
      <c r="P37" s="99"/>
      <c r="Q37" s="99"/>
      <c r="R37" s="99"/>
      <c r="S37" s="99"/>
      <c r="T37" s="99"/>
      <c r="U37" s="99"/>
      <c r="V37" s="99"/>
      <c r="W37" s="99"/>
      <c r="X37" s="99"/>
      <c r="Y37" s="99"/>
      <c r="Z37" s="99"/>
      <c r="AA37" s="99"/>
      <c r="AB37" s="99"/>
      <c r="AC37" s="77">
        <f t="shared" si="58"/>
        <v>67000</v>
      </c>
      <c r="AD37" s="11"/>
      <c r="AE37" s="216"/>
      <c r="AF37" s="11" t="str">
        <f t="shared" si="59"/>
        <v>新型</v>
      </c>
      <c r="AG37" s="14" t="str">
        <f t="shared" si="34"/>
        <v>JPY</v>
      </c>
      <c r="AH37" s="11">
        <f t="shared" si="61"/>
        <v>0</v>
      </c>
      <c r="AI37" s="77">
        <f t="shared" si="62"/>
        <v>0</v>
      </c>
      <c r="AJ37" s="77">
        <f t="shared" si="35"/>
        <v>0</v>
      </c>
      <c r="AK37" s="77">
        <f t="shared" si="36"/>
        <v>9000</v>
      </c>
      <c r="AL37" s="77">
        <f t="shared" si="37"/>
        <v>18000</v>
      </c>
      <c r="AM37" s="77">
        <f t="shared" si="38"/>
        <v>27000</v>
      </c>
      <c r="AN37" s="77">
        <f t="shared" si="39"/>
        <v>37000</v>
      </c>
      <c r="AO37" s="77">
        <f t="shared" si="40"/>
        <v>47000</v>
      </c>
      <c r="AP37" s="77">
        <f t="shared" si="41"/>
        <v>57000</v>
      </c>
      <c r="AQ37" s="77">
        <f t="shared" si="42"/>
        <v>67000</v>
      </c>
      <c r="AR37" s="77">
        <f t="shared" si="43"/>
        <v>67000</v>
      </c>
      <c r="AS37" s="77">
        <f t="shared" si="44"/>
        <v>67000</v>
      </c>
      <c r="AT37" s="77">
        <f t="shared" si="45"/>
        <v>67000</v>
      </c>
      <c r="AU37" s="77">
        <f t="shared" si="46"/>
        <v>67000</v>
      </c>
      <c r="AV37" s="77">
        <f t="shared" si="47"/>
        <v>67000</v>
      </c>
      <c r="AW37" s="77">
        <f t="shared" si="48"/>
        <v>67000</v>
      </c>
      <c r="AX37" s="77">
        <f t="shared" si="49"/>
        <v>67000</v>
      </c>
      <c r="AY37" s="77">
        <f t="shared" si="50"/>
        <v>67000</v>
      </c>
      <c r="AZ37" s="77">
        <f t="shared" si="51"/>
        <v>67000</v>
      </c>
      <c r="BA37" s="77">
        <f t="shared" si="52"/>
        <v>67000</v>
      </c>
      <c r="BB37" s="77">
        <f t="shared" si="53"/>
        <v>67000</v>
      </c>
      <c r="BC37" s="77">
        <f t="shared" si="54"/>
        <v>67000</v>
      </c>
      <c r="BD37" s="77">
        <f t="shared" si="55"/>
        <v>67000</v>
      </c>
      <c r="BE37" s="77">
        <f t="shared" si="56"/>
        <v>67000</v>
      </c>
      <c r="BF37" s="77">
        <f t="shared" si="57"/>
        <v>67000</v>
      </c>
      <c r="BG37" s="77">
        <f t="shared" si="60"/>
        <v>67000</v>
      </c>
    </row>
    <row r="38" spans="1:59" x14ac:dyDescent="0.25">
      <c r="A38" s="215" t="s">
        <v>7</v>
      </c>
      <c r="B38" s="11" t="str">
        <f>'P(M)'!B25</f>
        <v>發明</v>
      </c>
      <c r="C38" s="3" t="s">
        <v>16</v>
      </c>
      <c r="D38" s="99"/>
      <c r="E38" s="99"/>
      <c r="F38" s="99"/>
      <c r="G38" s="99">
        <v>140</v>
      </c>
      <c r="H38" s="99">
        <v>140</v>
      </c>
      <c r="I38" s="99">
        <v>140</v>
      </c>
      <c r="J38" s="99">
        <v>160</v>
      </c>
      <c r="K38" s="99">
        <v>160</v>
      </c>
      <c r="L38" s="99">
        <v>160</v>
      </c>
      <c r="M38" s="99">
        <v>180</v>
      </c>
      <c r="N38" s="99">
        <v>180</v>
      </c>
      <c r="O38" s="99">
        <v>180</v>
      </c>
      <c r="P38" s="99">
        <v>200</v>
      </c>
      <c r="Q38" s="99">
        <v>200</v>
      </c>
      <c r="R38" s="99">
        <v>200</v>
      </c>
      <c r="S38" s="99">
        <v>200</v>
      </c>
      <c r="T38" s="99">
        <v>200</v>
      </c>
      <c r="U38" s="99">
        <v>200</v>
      </c>
      <c r="V38" s="99">
        <v>200</v>
      </c>
      <c r="W38" s="99">
        <v>200</v>
      </c>
      <c r="X38" s="99"/>
      <c r="Y38" s="99"/>
      <c r="Z38" s="99"/>
      <c r="AA38" s="99"/>
      <c r="AB38" s="99"/>
      <c r="AC38" s="77">
        <f t="shared" si="58"/>
        <v>3040</v>
      </c>
      <c r="AD38" s="11"/>
      <c r="AE38" s="215" t="s">
        <v>7</v>
      </c>
      <c r="AF38" s="11" t="str">
        <f t="shared" si="59"/>
        <v>發明</v>
      </c>
      <c r="AG38" s="14" t="str">
        <f t="shared" si="34"/>
        <v>USD</v>
      </c>
      <c r="AH38" s="11">
        <f t="shared" si="61"/>
        <v>0</v>
      </c>
      <c r="AI38" s="77">
        <f t="shared" si="62"/>
        <v>0</v>
      </c>
      <c r="AJ38" s="77">
        <f t="shared" si="35"/>
        <v>0</v>
      </c>
      <c r="AK38" s="77">
        <f t="shared" si="36"/>
        <v>140</v>
      </c>
      <c r="AL38" s="77">
        <f t="shared" si="37"/>
        <v>280</v>
      </c>
      <c r="AM38" s="77">
        <f t="shared" si="38"/>
        <v>420</v>
      </c>
      <c r="AN38" s="77">
        <f t="shared" si="39"/>
        <v>580</v>
      </c>
      <c r="AO38" s="77">
        <f t="shared" si="40"/>
        <v>740</v>
      </c>
      <c r="AP38" s="77">
        <f t="shared" si="41"/>
        <v>900</v>
      </c>
      <c r="AQ38" s="77">
        <f t="shared" si="42"/>
        <v>1080</v>
      </c>
      <c r="AR38" s="77">
        <f t="shared" si="43"/>
        <v>1260</v>
      </c>
      <c r="AS38" s="77">
        <f t="shared" si="44"/>
        <v>1440</v>
      </c>
      <c r="AT38" s="77">
        <f t="shared" si="45"/>
        <v>1640</v>
      </c>
      <c r="AU38" s="77">
        <f t="shared" si="46"/>
        <v>1840</v>
      </c>
      <c r="AV38" s="77">
        <f t="shared" si="47"/>
        <v>2040</v>
      </c>
      <c r="AW38" s="77">
        <f t="shared" si="48"/>
        <v>2240</v>
      </c>
      <c r="AX38" s="77">
        <f t="shared" si="49"/>
        <v>2440</v>
      </c>
      <c r="AY38" s="77">
        <f t="shared" si="50"/>
        <v>2640</v>
      </c>
      <c r="AZ38" s="77">
        <f t="shared" si="51"/>
        <v>2840</v>
      </c>
      <c r="BA38" s="77">
        <f t="shared" si="52"/>
        <v>3040</v>
      </c>
      <c r="BB38" s="77">
        <f t="shared" si="53"/>
        <v>3040</v>
      </c>
      <c r="BC38" s="77">
        <f t="shared" si="54"/>
        <v>3040</v>
      </c>
      <c r="BD38" s="77">
        <f t="shared" si="55"/>
        <v>3040</v>
      </c>
      <c r="BE38" s="77">
        <f t="shared" si="56"/>
        <v>3040</v>
      </c>
      <c r="BF38" s="77">
        <f t="shared" si="57"/>
        <v>3040</v>
      </c>
      <c r="BG38" s="77">
        <f t="shared" si="60"/>
        <v>3040</v>
      </c>
    </row>
    <row r="39" spans="1:59" x14ac:dyDescent="0.25">
      <c r="A39" s="216"/>
      <c r="B39" s="11" t="str">
        <f>'P(M)'!B26</f>
        <v>新型</v>
      </c>
      <c r="C39" s="3" t="s">
        <v>16</v>
      </c>
      <c r="D39" s="99"/>
      <c r="E39" s="99"/>
      <c r="F39" s="99"/>
      <c r="G39" s="99">
        <v>140</v>
      </c>
      <c r="H39" s="99">
        <v>140</v>
      </c>
      <c r="I39" s="99">
        <v>140</v>
      </c>
      <c r="J39" s="99">
        <v>160</v>
      </c>
      <c r="K39" s="99">
        <v>160</v>
      </c>
      <c r="L39" s="99">
        <v>160</v>
      </c>
      <c r="M39" s="99">
        <v>180</v>
      </c>
      <c r="N39" s="99">
        <v>180</v>
      </c>
      <c r="O39" s="99">
        <v>180</v>
      </c>
      <c r="P39" s="99">
        <v>200</v>
      </c>
      <c r="Q39" s="99">
        <v>200</v>
      </c>
      <c r="R39" s="99">
        <v>200</v>
      </c>
      <c r="S39" s="99"/>
      <c r="T39" s="99"/>
      <c r="U39" s="99"/>
      <c r="V39" s="99"/>
      <c r="W39" s="99"/>
      <c r="X39" s="99"/>
      <c r="Y39" s="99"/>
      <c r="Z39" s="99"/>
      <c r="AA39" s="99"/>
      <c r="AB39" s="99"/>
      <c r="AC39" s="77">
        <f t="shared" si="58"/>
        <v>2040</v>
      </c>
      <c r="AD39" s="11"/>
      <c r="AE39" s="216"/>
      <c r="AF39" s="11" t="str">
        <f t="shared" si="59"/>
        <v>新型</v>
      </c>
      <c r="AG39" s="14" t="str">
        <f t="shared" si="34"/>
        <v>USD</v>
      </c>
      <c r="AH39" s="11">
        <f t="shared" si="61"/>
        <v>0</v>
      </c>
      <c r="AI39" s="77">
        <f t="shared" si="62"/>
        <v>0</v>
      </c>
      <c r="AJ39" s="77">
        <f t="shared" si="35"/>
        <v>0</v>
      </c>
      <c r="AK39" s="77">
        <f t="shared" si="36"/>
        <v>140</v>
      </c>
      <c r="AL39" s="77">
        <f t="shared" si="37"/>
        <v>280</v>
      </c>
      <c r="AM39" s="77">
        <f t="shared" si="38"/>
        <v>420</v>
      </c>
      <c r="AN39" s="77">
        <f t="shared" si="39"/>
        <v>580</v>
      </c>
      <c r="AO39" s="77">
        <f t="shared" si="40"/>
        <v>740</v>
      </c>
      <c r="AP39" s="77">
        <f t="shared" si="41"/>
        <v>900</v>
      </c>
      <c r="AQ39" s="77">
        <f t="shared" si="42"/>
        <v>1080</v>
      </c>
      <c r="AR39" s="77">
        <f t="shared" si="43"/>
        <v>1260</v>
      </c>
      <c r="AS39" s="77">
        <f t="shared" si="44"/>
        <v>1440</v>
      </c>
      <c r="AT39" s="77">
        <f t="shared" si="45"/>
        <v>1640</v>
      </c>
      <c r="AU39" s="77">
        <f t="shared" si="46"/>
        <v>1840</v>
      </c>
      <c r="AV39" s="77">
        <f t="shared" si="47"/>
        <v>2040</v>
      </c>
      <c r="AW39" s="77">
        <f t="shared" si="48"/>
        <v>2040</v>
      </c>
      <c r="AX39" s="77">
        <f t="shared" si="49"/>
        <v>2040</v>
      </c>
      <c r="AY39" s="77">
        <f t="shared" si="50"/>
        <v>2040</v>
      </c>
      <c r="AZ39" s="77">
        <f t="shared" si="51"/>
        <v>2040</v>
      </c>
      <c r="BA39" s="77">
        <f t="shared" si="52"/>
        <v>2040</v>
      </c>
      <c r="BB39" s="77">
        <f t="shared" si="53"/>
        <v>2040</v>
      </c>
      <c r="BC39" s="77">
        <f t="shared" si="54"/>
        <v>2040</v>
      </c>
      <c r="BD39" s="77">
        <f t="shared" si="55"/>
        <v>2040</v>
      </c>
      <c r="BE39" s="77">
        <f t="shared" si="56"/>
        <v>2040</v>
      </c>
      <c r="BF39" s="77">
        <f t="shared" si="57"/>
        <v>2040</v>
      </c>
      <c r="BG39" s="77">
        <f t="shared" si="60"/>
        <v>2040</v>
      </c>
    </row>
    <row r="40" spans="1:59" x14ac:dyDescent="0.25">
      <c r="A40" s="3" t="s">
        <v>42</v>
      </c>
      <c r="B40" s="11" t="str">
        <f>'P(M)'!B27</f>
        <v>發明</v>
      </c>
      <c r="C40" s="3" t="s">
        <v>43</v>
      </c>
      <c r="D40" s="99"/>
      <c r="E40" s="99">
        <v>260</v>
      </c>
      <c r="F40" s="99">
        <v>260</v>
      </c>
      <c r="G40" s="99">
        <v>260</v>
      </c>
      <c r="H40" s="99">
        <v>260</v>
      </c>
      <c r="I40" s="99">
        <v>260</v>
      </c>
      <c r="J40" s="99">
        <v>260</v>
      </c>
      <c r="K40" s="99">
        <v>260</v>
      </c>
      <c r="L40" s="99">
        <v>260</v>
      </c>
      <c r="M40" s="99">
        <v>260</v>
      </c>
      <c r="N40" s="99">
        <v>260</v>
      </c>
      <c r="O40" s="99">
        <v>260</v>
      </c>
      <c r="P40" s="99">
        <v>260</v>
      </c>
      <c r="Q40" s="99">
        <v>260</v>
      </c>
      <c r="R40" s="99">
        <v>260</v>
      </c>
      <c r="S40" s="99">
        <v>260</v>
      </c>
      <c r="T40" s="99">
        <v>260</v>
      </c>
      <c r="U40" s="99">
        <v>260</v>
      </c>
      <c r="V40" s="99">
        <v>260</v>
      </c>
      <c r="W40" s="99"/>
      <c r="X40" s="99"/>
      <c r="Y40" s="99"/>
      <c r="Z40" s="99"/>
      <c r="AA40" s="99"/>
      <c r="AB40" s="99"/>
      <c r="AC40" s="77">
        <f>SUM(D40:AB40)</f>
        <v>4680</v>
      </c>
      <c r="AD40" s="11"/>
      <c r="AE40" s="3" t="s">
        <v>42</v>
      </c>
      <c r="AF40" s="11" t="str">
        <f>B40</f>
        <v>發明</v>
      </c>
      <c r="AG40" s="14" t="str">
        <f>C40</f>
        <v>CAD</v>
      </c>
      <c r="AH40" s="11">
        <f>D40</f>
        <v>0</v>
      </c>
      <c r="AI40" s="77">
        <f t="shared" ref="AI40:BF40" si="63">AH40+E40</f>
        <v>260</v>
      </c>
      <c r="AJ40" s="77">
        <f t="shared" si="63"/>
        <v>520</v>
      </c>
      <c r="AK40" s="77">
        <f t="shared" si="63"/>
        <v>780</v>
      </c>
      <c r="AL40" s="77">
        <f t="shared" si="63"/>
        <v>1040</v>
      </c>
      <c r="AM40" s="77">
        <f t="shared" si="63"/>
        <v>1300</v>
      </c>
      <c r="AN40" s="77">
        <f t="shared" si="63"/>
        <v>1560</v>
      </c>
      <c r="AO40" s="77">
        <f t="shared" si="63"/>
        <v>1820</v>
      </c>
      <c r="AP40" s="77">
        <f t="shared" si="63"/>
        <v>2080</v>
      </c>
      <c r="AQ40" s="77">
        <f t="shared" si="63"/>
        <v>2340</v>
      </c>
      <c r="AR40" s="77">
        <f t="shared" si="63"/>
        <v>2600</v>
      </c>
      <c r="AS40" s="77">
        <f t="shared" si="63"/>
        <v>2860</v>
      </c>
      <c r="AT40" s="77">
        <f t="shared" si="63"/>
        <v>3120</v>
      </c>
      <c r="AU40" s="77">
        <f t="shared" si="63"/>
        <v>3380</v>
      </c>
      <c r="AV40" s="77">
        <f t="shared" si="63"/>
        <v>3640</v>
      </c>
      <c r="AW40" s="77">
        <f t="shared" si="63"/>
        <v>3900</v>
      </c>
      <c r="AX40" s="77">
        <f t="shared" si="63"/>
        <v>4160</v>
      </c>
      <c r="AY40" s="77">
        <f t="shared" si="63"/>
        <v>4420</v>
      </c>
      <c r="AZ40" s="77">
        <f t="shared" si="63"/>
        <v>4680</v>
      </c>
      <c r="BA40" s="77">
        <f t="shared" si="63"/>
        <v>4680</v>
      </c>
      <c r="BB40" s="77">
        <f t="shared" si="63"/>
        <v>4680</v>
      </c>
      <c r="BC40" s="77">
        <f t="shared" si="63"/>
        <v>4680</v>
      </c>
      <c r="BD40" s="77">
        <f t="shared" si="63"/>
        <v>4680</v>
      </c>
      <c r="BE40" s="77">
        <f t="shared" si="63"/>
        <v>4680</v>
      </c>
      <c r="BF40" s="77">
        <f t="shared" si="63"/>
        <v>4680</v>
      </c>
      <c r="BG40" s="77">
        <f>BF40</f>
        <v>4680</v>
      </c>
    </row>
    <row r="41" spans="1:59" x14ac:dyDescent="0.25">
      <c r="A41" s="3" t="s">
        <v>8</v>
      </c>
      <c r="B41" s="11" t="str">
        <f>'P(M)'!B28</f>
        <v>發明</v>
      </c>
      <c r="C41" s="3" t="s">
        <v>20</v>
      </c>
      <c r="D41" s="99"/>
      <c r="E41" s="99"/>
      <c r="F41" s="99"/>
      <c r="G41" s="99"/>
      <c r="H41" s="99">
        <v>250</v>
      </c>
      <c r="I41" s="99">
        <v>250</v>
      </c>
      <c r="J41" s="99">
        <v>250</v>
      </c>
      <c r="K41" s="99">
        <v>300</v>
      </c>
      <c r="L41" s="99">
        <v>300</v>
      </c>
      <c r="M41" s="99">
        <v>300</v>
      </c>
      <c r="N41" s="99">
        <v>350</v>
      </c>
      <c r="O41" s="99">
        <v>350</v>
      </c>
      <c r="P41" s="99">
        <v>350</v>
      </c>
      <c r="Q41" s="99">
        <v>350</v>
      </c>
      <c r="R41" s="99">
        <v>350</v>
      </c>
      <c r="S41" s="99">
        <v>350</v>
      </c>
      <c r="T41" s="99">
        <v>400</v>
      </c>
      <c r="U41" s="99">
        <v>400</v>
      </c>
      <c r="V41" s="99">
        <v>400</v>
      </c>
      <c r="W41" s="99">
        <v>450</v>
      </c>
      <c r="X41" s="99"/>
      <c r="Y41" s="99"/>
      <c r="Z41" s="99"/>
      <c r="AA41" s="99"/>
      <c r="AB41" s="99"/>
      <c r="AC41" s="77">
        <f t="shared" si="58"/>
        <v>5400</v>
      </c>
      <c r="AD41" s="11"/>
      <c r="AE41" s="3" t="s">
        <v>8</v>
      </c>
      <c r="AF41" s="11" t="str">
        <f t="shared" si="59"/>
        <v>發明</v>
      </c>
      <c r="AG41" s="14" t="str">
        <f t="shared" si="34"/>
        <v>SGD</v>
      </c>
      <c r="AH41" s="11">
        <f t="shared" si="61"/>
        <v>0</v>
      </c>
      <c r="AI41" s="77">
        <f t="shared" si="62"/>
        <v>0</v>
      </c>
      <c r="AJ41" s="77">
        <f t="shared" si="35"/>
        <v>0</v>
      </c>
      <c r="AK41" s="77">
        <f t="shared" si="36"/>
        <v>0</v>
      </c>
      <c r="AL41" s="77">
        <f t="shared" si="37"/>
        <v>250</v>
      </c>
      <c r="AM41" s="77">
        <f t="shared" si="38"/>
        <v>500</v>
      </c>
      <c r="AN41" s="77">
        <f t="shared" si="39"/>
        <v>750</v>
      </c>
      <c r="AO41" s="77">
        <f t="shared" si="40"/>
        <v>1050</v>
      </c>
      <c r="AP41" s="77">
        <f t="shared" si="41"/>
        <v>1350</v>
      </c>
      <c r="AQ41" s="77">
        <f t="shared" si="42"/>
        <v>1650</v>
      </c>
      <c r="AR41" s="77">
        <f t="shared" si="43"/>
        <v>2000</v>
      </c>
      <c r="AS41" s="77">
        <f t="shared" si="44"/>
        <v>2350</v>
      </c>
      <c r="AT41" s="77">
        <f t="shared" si="45"/>
        <v>2700</v>
      </c>
      <c r="AU41" s="77">
        <f t="shared" si="46"/>
        <v>3050</v>
      </c>
      <c r="AV41" s="77">
        <f t="shared" si="47"/>
        <v>3400</v>
      </c>
      <c r="AW41" s="77">
        <f t="shared" si="48"/>
        <v>3750</v>
      </c>
      <c r="AX41" s="77">
        <f t="shared" si="49"/>
        <v>4150</v>
      </c>
      <c r="AY41" s="77">
        <f t="shared" si="50"/>
        <v>4550</v>
      </c>
      <c r="AZ41" s="77">
        <f t="shared" si="51"/>
        <v>4950</v>
      </c>
      <c r="BA41" s="77">
        <f t="shared" si="52"/>
        <v>5400</v>
      </c>
      <c r="BB41" s="77">
        <f t="shared" si="53"/>
        <v>5400</v>
      </c>
      <c r="BC41" s="77">
        <f t="shared" si="54"/>
        <v>5400</v>
      </c>
      <c r="BD41" s="77">
        <f t="shared" si="55"/>
        <v>5400</v>
      </c>
      <c r="BE41" s="77">
        <f t="shared" si="56"/>
        <v>5400</v>
      </c>
      <c r="BF41" s="77">
        <f t="shared" si="57"/>
        <v>5400</v>
      </c>
      <c r="BG41" s="77">
        <f t="shared" si="60"/>
        <v>5400</v>
      </c>
    </row>
    <row r="42" spans="1:59" x14ac:dyDescent="0.25">
      <c r="A42" s="215" t="s">
        <v>11</v>
      </c>
      <c r="B42" s="11" t="str">
        <f>'P(M)'!B29</f>
        <v>發明</v>
      </c>
      <c r="C42" s="3" t="s">
        <v>23</v>
      </c>
      <c r="D42" s="99"/>
      <c r="E42" s="99">
        <v>265</v>
      </c>
      <c r="F42" s="99">
        <v>265</v>
      </c>
      <c r="G42" s="99">
        <v>265</v>
      </c>
      <c r="H42" s="99">
        <v>265</v>
      </c>
      <c r="I42" s="99">
        <v>265</v>
      </c>
      <c r="J42" s="99">
        <v>265</v>
      </c>
      <c r="K42" s="99">
        <v>265</v>
      </c>
      <c r="L42" s="99">
        <v>265</v>
      </c>
      <c r="M42" s="99">
        <v>265</v>
      </c>
      <c r="N42" s="99">
        <v>292</v>
      </c>
      <c r="O42" s="99">
        <v>292</v>
      </c>
      <c r="P42" s="99">
        <v>292</v>
      </c>
      <c r="Q42" s="99">
        <v>292</v>
      </c>
      <c r="R42" s="99">
        <v>292</v>
      </c>
      <c r="S42" s="99">
        <v>318</v>
      </c>
      <c r="T42" s="99">
        <v>318</v>
      </c>
      <c r="U42" s="99">
        <v>318</v>
      </c>
      <c r="V42" s="99">
        <v>318</v>
      </c>
      <c r="W42" s="99">
        <v>318</v>
      </c>
      <c r="X42" s="99"/>
      <c r="Y42" s="99"/>
      <c r="Z42" s="99"/>
      <c r="AA42" s="99"/>
      <c r="AB42" s="99"/>
      <c r="AC42" s="77">
        <f>SUM(D42:AB42)</f>
        <v>5435</v>
      </c>
      <c r="AD42" s="11"/>
      <c r="AE42" s="215" t="s">
        <v>11</v>
      </c>
      <c r="AF42" s="11" t="str">
        <f t="shared" ref="AF42:AH43" si="64">B42</f>
        <v>發明</v>
      </c>
      <c r="AG42" s="14" t="str">
        <f t="shared" si="64"/>
        <v>MYR</v>
      </c>
      <c r="AH42" s="11">
        <f t="shared" si="64"/>
        <v>0</v>
      </c>
      <c r="AI42" s="77">
        <f t="shared" ref="AI42:AR43" si="65">AH42+E42</f>
        <v>265</v>
      </c>
      <c r="AJ42" s="77">
        <f t="shared" si="65"/>
        <v>530</v>
      </c>
      <c r="AK42" s="77">
        <f t="shared" si="65"/>
        <v>795</v>
      </c>
      <c r="AL42" s="77">
        <f t="shared" si="65"/>
        <v>1060</v>
      </c>
      <c r="AM42" s="77">
        <f t="shared" si="65"/>
        <v>1325</v>
      </c>
      <c r="AN42" s="77">
        <f t="shared" si="65"/>
        <v>1590</v>
      </c>
      <c r="AO42" s="77">
        <f t="shared" si="65"/>
        <v>1855</v>
      </c>
      <c r="AP42" s="77">
        <f t="shared" si="65"/>
        <v>2120</v>
      </c>
      <c r="AQ42" s="77">
        <f t="shared" si="65"/>
        <v>2385</v>
      </c>
      <c r="AR42" s="77">
        <f t="shared" si="65"/>
        <v>2677</v>
      </c>
      <c r="AS42" s="77">
        <f t="shared" si="44"/>
        <v>2969</v>
      </c>
      <c r="AT42" s="77">
        <f t="shared" si="45"/>
        <v>3261</v>
      </c>
      <c r="AU42" s="77">
        <f t="shared" si="46"/>
        <v>3553</v>
      </c>
      <c r="AV42" s="77">
        <f t="shared" si="47"/>
        <v>3845</v>
      </c>
      <c r="AW42" s="77">
        <f t="shared" si="48"/>
        <v>4163</v>
      </c>
      <c r="AX42" s="77">
        <f t="shared" si="49"/>
        <v>4481</v>
      </c>
      <c r="AY42" s="77">
        <f t="shared" si="50"/>
        <v>4799</v>
      </c>
      <c r="AZ42" s="77">
        <f t="shared" si="51"/>
        <v>5117</v>
      </c>
      <c r="BA42" s="77">
        <f t="shared" si="52"/>
        <v>5435</v>
      </c>
      <c r="BB42" s="77">
        <f t="shared" si="53"/>
        <v>5435</v>
      </c>
      <c r="BC42" s="77">
        <f t="shared" si="54"/>
        <v>5435</v>
      </c>
      <c r="BD42" s="77">
        <f t="shared" si="55"/>
        <v>5435</v>
      </c>
      <c r="BE42" s="77">
        <f t="shared" si="56"/>
        <v>5435</v>
      </c>
      <c r="BF42" s="77">
        <f t="shared" si="57"/>
        <v>5435</v>
      </c>
      <c r="BG42" s="77">
        <f>BF42</f>
        <v>5435</v>
      </c>
    </row>
    <row r="43" spans="1:59" x14ac:dyDescent="0.25">
      <c r="A43" s="216"/>
      <c r="B43" s="11" t="str">
        <f>'P(M)'!B30</f>
        <v>新型</v>
      </c>
      <c r="C43" s="3" t="s">
        <v>23</v>
      </c>
      <c r="D43" s="99"/>
      <c r="E43" s="99"/>
      <c r="F43" s="99">
        <v>265</v>
      </c>
      <c r="G43" s="99">
        <v>265</v>
      </c>
      <c r="H43" s="99">
        <v>265</v>
      </c>
      <c r="I43" s="99">
        <v>265</v>
      </c>
      <c r="J43" s="99">
        <v>265</v>
      </c>
      <c r="K43" s="99">
        <v>265</v>
      </c>
      <c r="L43" s="99">
        <v>265</v>
      </c>
      <c r="M43" s="99">
        <v>265</v>
      </c>
      <c r="N43" s="99">
        <v>292</v>
      </c>
      <c r="O43" s="99">
        <v>292</v>
      </c>
      <c r="P43" s="99">
        <v>292</v>
      </c>
      <c r="Q43" s="99">
        <v>292</v>
      </c>
      <c r="R43" s="99">
        <v>292</v>
      </c>
      <c r="S43" s="99">
        <v>318</v>
      </c>
      <c r="T43" s="99">
        <v>318</v>
      </c>
      <c r="U43" s="99">
        <v>318</v>
      </c>
      <c r="V43" s="99">
        <v>318</v>
      </c>
      <c r="W43" s="99">
        <v>318</v>
      </c>
      <c r="X43" s="99"/>
      <c r="Y43" s="99"/>
      <c r="Z43" s="99"/>
      <c r="AA43" s="99"/>
      <c r="AB43" s="99"/>
      <c r="AC43" s="77">
        <f>SUM(D43:AB43)</f>
        <v>5170</v>
      </c>
      <c r="AD43" s="11"/>
      <c r="AE43" s="216"/>
      <c r="AF43" s="11" t="str">
        <f t="shared" si="64"/>
        <v>新型</v>
      </c>
      <c r="AG43" s="14" t="str">
        <f t="shared" si="64"/>
        <v>MYR</v>
      </c>
      <c r="AH43" s="11">
        <f t="shared" si="64"/>
        <v>0</v>
      </c>
      <c r="AI43" s="77">
        <f t="shared" si="65"/>
        <v>0</v>
      </c>
      <c r="AJ43" s="77">
        <f t="shared" si="65"/>
        <v>265</v>
      </c>
      <c r="AK43" s="77">
        <f t="shared" si="65"/>
        <v>530</v>
      </c>
      <c r="AL43" s="77">
        <f t="shared" si="65"/>
        <v>795</v>
      </c>
      <c r="AM43" s="77">
        <f t="shared" si="65"/>
        <v>1060</v>
      </c>
      <c r="AN43" s="77">
        <f t="shared" si="65"/>
        <v>1325</v>
      </c>
      <c r="AO43" s="77">
        <f t="shared" si="65"/>
        <v>1590</v>
      </c>
      <c r="AP43" s="77">
        <f t="shared" si="65"/>
        <v>1855</v>
      </c>
      <c r="AQ43" s="77">
        <f t="shared" si="65"/>
        <v>2120</v>
      </c>
      <c r="AR43" s="77">
        <f t="shared" si="65"/>
        <v>2412</v>
      </c>
      <c r="AS43" s="77">
        <f t="shared" si="44"/>
        <v>2704</v>
      </c>
      <c r="AT43" s="77">
        <f t="shared" si="45"/>
        <v>2996</v>
      </c>
      <c r="AU43" s="77">
        <f t="shared" si="46"/>
        <v>3288</v>
      </c>
      <c r="AV43" s="77">
        <f t="shared" si="47"/>
        <v>3580</v>
      </c>
      <c r="AW43" s="77">
        <f t="shared" si="48"/>
        <v>3898</v>
      </c>
      <c r="AX43" s="77">
        <f t="shared" si="49"/>
        <v>4216</v>
      </c>
      <c r="AY43" s="77">
        <f t="shared" si="50"/>
        <v>4534</v>
      </c>
      <c r="AZ43" s="77">
        <f t="shared" si="51"/>
        <v>4852</v>
      </c>
      <c r="BA43" s="77">
        <f t="shared" si="52"/>
        <v>5170</v>
      </c>
      <c r="BB43" s="77">
        <f t="shared" si="53"/>
        <v>5170</v>
      </c>
      <c r="BC43" s="77">
        <f t="shared" si="54"/>
        <v>5170</v>
      </c>
      <c r="BD43" s="77">
        <f t="shared" si="55"/>
        <v>5170</v>
      </c>
      <c r="BE43" s="77">
        <f t="shared" si="56"/>
        <v>5170</v>
      </c>
      <c r="BF43" s="77">
        <f t="shared" si="57"/>
        <v>5170</v>
      </c>
      <c r="BG43" s="77">
        <f>BF43</f>
        <v>5170</v>
      </c>
    </row>
    <row r="44" spans="1:59" x14ac:dyDescent="0.25">
      <c r="A44" s="54" t="s">
        <v>146</v>
      </c>
      <c r="B44" s="11" t="str">
        <f>'P(M)'!B31</f>
        <v>發明</v>
      </c>
      <c r="C44" s="3" t="s">
        <v>16</v>
      </c>
      <c r="D44" s="99"/>
      <c r="E44" s="99"/>
      <c r="F44" s="99"/>
      <c r="G44" s="99"/>
      <c r="H44" s="99">
        <v>80</v>
      </c>
      <c r="I44" s="99">
        <v>80</v>
      </c>
      <c r="J44" s="99">
        <v>80</v>
      </c>
      <c r="K44" s="99">
        <v>80</v>
      </c>
      <c r="L44" s="99">
        <v>80</v>
      </c>
      <c r="M44" s="99">
        <v>80</v>
      </c>
      <c r="N44" s="99">
        <v>80</v>
      </c>
      <c r="O44" s="99">
        <v>80</v>
      </c>
      <c r="P44" s="99">
        <v>80</v>
      </c>
      <c r="Q44" s="99">
        <v>80</v>
      </c>
      <c r="R44" s="99">
        <v>80</v>
      </c>
      <c r="S44" s="99">
        <v>80</v>
      </c>
      <c r="T44" s="99">
        <v>80</v>
      </c>
      <c r="U44" s="99">
        <v>80</v>
      </c>
      <c r="V44" s="99">
        <v>80</v>
      </c>
      <c r="W44" s="99">
        <v>80</v>
      </c>
      <c r="X44" s="99"/>
      <c r="Y44" s="99"/>
      <c r="Z44" s="99"/>
      <c r="AA44" s="99"/>
      <c r="AB44" s="99"/>
      <c r="AC44" s="77">
        <f t="shared" si="58"/>
        <v>1280</v>
      </c>
      <c r="AD44" s="11"/>
      <c r="AE44" s="54" t="s">
        <v>146</v>
      </c>
      <c r="AF44" s="11" t="str">
        <f t="shared" si="59"/>
        <v>發明</v>
      </c>
      <c r="AG44" s="14" t="str">
        <f t="shared" si="34"/>
        <v>USD</v>
      </c>
      <c r="AH44" s="11">
        <f t="shared" si="61"/>
        <v>0</v>
      </c>
      <c r="AI44" s="77">
        <f t="shared" si="62"/>
        <v>0</v>
      </c>
      <c r="AJ44" s="77">
        <f t="shared" si="35"/>
        <v>0</v>
      </c>
      <c r="AK44" s="77">
        <f t="shared" si="36"/>
        <v>0</v>
      </c>
      <c r="AL44" s="77">
        <f t="shared" si="37"/>
        <v>80</v>
      </c>
      <c r="AM44" s="77">
        <f t="shared" si="38"/>
        <v>160</v>
      </c>
      <c r="AN44" s="77">
        <f t="shared" si="39"/>
        <v>240</v>
      </c>
      <c r="AO44" s="77">
        <f t="shared" si="40"/>
        <v>320</v>
      </c>
      <c r="AP44" s="77">
        <f t="shared" si="41"/>
        <v>400</v>
      </c>
      <c r="AQ44" s="77">
        <f t="shared" si="42"/>
        <v>480</v>
      </c>
      <c r="AR44" s="77">
        <f t="shared" si="43"/>
        <v>560</v>
      </c>
      <c r="AS44" s="77">
        <f t="shared" si="44"/>
        <v>640</v>
      </c>
      <c r="AT44" s="77">
        <f t="shared" si="45"/>
        <v>720</v>
      </c>
      <c r="AU44" s="77">
        <f t="shared" si="46"/>
        <v>800</v>
      </c>
      <c r="AV44" s="77">
        <f t="shared" si="47"/>
        <v>880</v>
      </c>
      <c r="AW44" s="77">
        <f t="shared" si="48"/>
        <v>960</v>
      </c>
      <c r="AX44" s="77">
        <f t="shared" si="49"/>
        <v>1040</v>
      </c>
      <c r="AY44" s="77">
        <f t="shared" si="50"/>
        <v>1120</v>
      </c>
      <c r="AZ44" s="77">
        <f t="shared" si="51"/>
        <v>1200</v>
      </c>
      <c r="BA44" s="77">
        <f t="shared" si="52"/>
        <v>1280</v>
      </c>
      <c r="BB44" s="77">
        <f t="shared" si="53"/>
        <v>1280</v>
      </c>
      <c r="BC44" s="77">
        <f t="shared" si="54"/>
        <v>1280</v>
      </c>
      <c r="BD44" s="77">
        <f t="shared" si="55"/>
        <v>1280</v>
      </c>
      <c r="BE44" s="77">
        <f t="shared" si="56"/>
        <v>1280</v>
      </c>
      <c r="BF44" s="77">
        <f t="shared" si="57"/>
        <v>1280</v>
      </c>
      <c r="BG44" s="77">
        <f t="shared" si="60"/>
        <v>1280</v>
      </c>
    </row>
    <row r="45" spans="1:59" x14ac:dyDescent="0.25">
      <c r="A45" s="215" t="s">
        <v>131</v>
      </c>
      <c r="B45" s="11" t="str">
        <f>'P(M)'!B32</f>
        <v>發明</v>
      </c>
      <c r="C45" s="3" t="s">
        <v>16</v>
      </c>
      <c r="D45" s="99"/>
      <c r="E45" s="99">
        <v>170</v>
      </c>
      <c r="F45" s="99">
        <v>170</v>
      </c>
      <c r="G45" s="99">
        <v>170</v>
      </c>
      <c r="H45" s="99">
        <v>170</v>
      </c>
      <c r="I45" s="99">
        <v>170</v>
      </c>
      <c r="J45" s="99">
        <v>170</v>
      </c>
      <c r="K45" s="99">
        <v>170</v>
      </c>
      <c r="L45" s="99">
        <v>170</v>
      </c>
      <c r="M45" s="99">
        <v>170</v>
      </c>
      <c r="N45" s="99">
        <v>170</v>
      </c>
      <c r="O45" s="99">
        <v>170</v>
      </c>
      <c r="P45" s="99">
        <v>170</v>
      </c>
      <c r="Q45" s="99">
        <v>170</v>
      </c>
      <c r="R45" s="99">
        <v>170</v>
      </c>
      <c r="S45" s="99">
        <v>170</v>
      </c>
      <c r="T45" s="99">
        <v>170</v>
      </c>
      <c r="U45" s="99">
        <v>170</v>
      </c>
      <c r="V45" s="99">
        <v>170</v>
      </c>
      <c r="W45" s="99">
        <v>170</v>
      </c>
      <c r="X45" s="99"/>
      <c r="Y45" s="99"/>
      <c r="Z45" s="99"/>
      <c r="AA45" s="99"/>
      <c r="AB45" s="99"/>
      <c r="AC45" s="77">
        <f>SUM(D45:AB45)</f>
        <v>3230</v>
      </c>
      <c r="AD45" s="11"/>
      <c r="AE45" s="215" t="s">
        <v>131</v>
      </c>
      <c r="AF45" s="11" t="str">
        <f t="shared" ref="AF45:AH46" si="66">B45</f>
        <v>發明</v>
      </c>
      <c r="AG45" s="14" t="str">
        <f t="shared" si="66"/>
        <v>USD</v>
      </c>
      <c r="AH45" s="11">
        <f t="shared" si="66"/>
        <v>0</v>
      </c>
      <c r="AI45" s="77">
        <f t="shared" ref="AI45:AR46" si="67">AH45+E45</f>
        <v>170</v>
      </c>
      <c r="AJ45" s="77">
        <f t="shared" si="67"/>
        <v>340</v>
      </c>
      <c r="AK45" s="77">
        <f t="shared" si="67"/>
        <v>510</v>
      </c>
      <c r="AL45" s="77">
        <f t="shared" si="67"/>
        <v>680</v>
      </c>
      <c r="AM45" s="77">
        <f t="shared" si="67"/>
        <v>850</v>
      </c>
      <c r="AN45" s="77">
        <f t="shared" si="67"/>
        <v>1020</v>
      </c>
      <c r="AO45" s="77">
        <f t="shared" si="67"/>
        <v>1190</v>
      </c>
      <c r="AP45" s="77">
        <f t="shared" si="67"/>
        <v>1360</v>
      </c>
      <c r="AQ45" s="77">
        <f t="shared" si="67"/>
        <v>1530</v>
      </c>
      <c r="AR45" s="77">
        <f t="shared" si="67"/>
        <v>1700</v>
      </c>
      <c r="AS45" s="77">
        <f t="shared" si="44"/>
        <v>1870</v>
      </c>
      <c r="AT45" s="77">
        <f t="shared" si="45"/>
        <v>2040</v>
      </c>
      <c r="AU45" s="77">
        <f t="shared" si="46"/>
        <v>2210</v>
      </c>
      <c r="AV45" s="77">
        <f t="shared" si="47"/>
        <v>2380</v>
      </c>
      <c r="AW45" s="77">
        <f t="shared" si="48"/>
        <v>2550</v>
      </c>
      <c r="AX45" s="77">
        <f t="shared" si="49"/>
        <v>2720</v>
      </c>
      <c r="AY45" s="77">
        <f t="shared" si="50"/>
        <v>2890</v>
      </c>
      <c r="AZ45" s="77">
        <f t="shared" si="51"/>
        <v>3060</v>
      </c>
      <c r="BA45" s="77">
        <f t="shared" si="52"/>
        <v>3230</v>
      </c>
      <c r="BB45" s="77">
        <f t="shared" si="53"/>
        <v>3230</v>
      </c>
      <c r="BC45" s="77">
        <f t="shared" si="54"/>
        <v>3230</v>
      </c>
      <c r="BD45" s="77">
        <f t="shared" si="55"/>
        <v>3230</v>
      </c>
      <c r="BE45" s="77">
        <f t="shared" si="56"/>
        <v>3230</v>
      </c>
      <c r="BF45" s="77">
        <f t="shared" si="57"/>
        <v>3230</v>
      </c>
      <c r="BG45" s="77">
        <f>BF45</f>
        <v>3230</v>
      </c>
    </row>
    <row r="46" spans="1:59" x14ac:dyDescent="0.25">
      <c r="A46" s="216"/>
      <c r="B46" s="11" t="str">
        <f>'P(M)'!B33</f>
        <v>新型</v>
      </c>
      <c r="C46" s="3" t="s">
        <v>16</v>
      </c>
      <c r="D46" s="99"/>
      <c r="E46" s="99">
        <v>150</v>
      </c>
      <c r="F46" s="99">
        <v>150</v>
      </c>
      <c r="G46" s="99">
        <v>150</v>
      </c>
      <c r="H46" s="99">
        <v>150</v>
      </c>
      <c r="I46" s="99">
        <v>150</v>
      </c>
      <c r="J46" s="99">
        <v>150</v>
      </c>
      <c r="K46" s="99">
        <v>150</v>
      </c>
      <c r="L46" s="99">
        <v>150</v>
      </c>
      <c r="M46" s="99">
        <v>150</v>
      </c>
      <c r="N46" s="99"/>
      <c r="O46" s="99"/>
      <c r="P46" s="99"/>
      <c r="Q46" s="99"/>
      <c r="R46" s="99"/>
      <c r="S46" s="99"/>
      <c r="T46" s="99"/>
      <c r="U46" s="99"/>
      <c r="V46" s="99"/>
      <c r="W46" s="99"/>
      <c r="X46" s="99"/>
      <c r="Y46" s="99"/>
      <c r="Z46" s="99"/>
      <c r="AA46" s="99"/>
      <c r="AB46" s="99"/>
      <c r="AC46" s="77">
        <f>SUM(D46:AB46)</f>
        <v>1350</v>
      </c>
      <c r="AD46" s="11"/>
      <c r="AE46" s="216"/>
      <c r="AF46" s="11" t="str">
        <f t="shared" si="66"/>
        <v>新型</v>
      </c>
      <c r="AG46" s="14" t="str">
        <f t="shared" si="66"/>
        <v>USD</v>
      </c>
      <c r="AH46" s="11">
        <f t="shared" si="66"/>
        <v>0</v>
      </c>
      <c r="AI46" s="77">
        <f t="shared" si="67"/>
        <v>150</v>
      </c>
      <c r="AJ46" s="77">
        <f t="shared" si="67"/>
        <v>300</v>
      </c>
      <c r="AK46" s="77">
        <f t="shared" si="67"/>
        <v>450</v>
      </c>
      <c r="AL46" s="77">
        <f t="shared" si="67"/>
        <v>600</v>
      </c>
      <c r="AM46" s="77">
        <f t="shared" si="67"/>
        <v>750</v>
      </c>
      <c r="AN46" s="77">
        <f t="shared" si="67"/>
        <v>900</v>
      </c>
      <c r="AO46" s="77">
        <f t="shared" si="67"/>
        <v>1050</v>
      </c>
      <c r="AP46" s="77">
        <f t="shared" si="67"/>
        <v>1200</v>
      </c>
      <c r="AQ46" s="77">
        <f t="shared" si="67"/>
        <v>1350</v>
      </c>
      <c r="AR46" s="77">
        <f t="shared" si="67"/>
        <v>1350</v>
      </c>
      <c r="AS46" s="77">
        <f t="shared" si="44"/>
        <v>1350</v>
      </c>
      <c r="AT46" s="77">
        <f t="shared" si="45"/>
        <v>1350</v>
      </c>
      <c r="AU46" s="77">
        <f t="shared" si="46"/>
        <v>1350</v>
      </c>
      <c r="AV46" s="77">
        <f t="shared" si="47"/>
        <v>1350</v>
      </c>
      <c r="AW46" s="77">
        <f t="shared" si="48"/>
        <v>1350</v>
      </c>
      <c r="AX46" s="77">
        <f t="shared" si="49"/>
        <v>1350</v>
      </c>
      <c r="AY46" s="77">
        <f t="shared" si="50"/>
        <v>1350</v>
      </c>
      <c r="AZ46" s="77">
        <f t="shared" si="51"/>
        <v>1350</v>
      </c>
      <c r="BA46" s="77">
        <f t="shared" si="52"/>
        <v>1350</v>
      </c>
      <c r="BB46" s="77">
        <f t="shared" si="53"/>
        <v>1350</v>
      </c>
      <c r="BC46" s="77">
        <f t="shared" si="54"/>
        <v>1350</v>
      </c>
      <c r="BD46" s="77">
        <f t="shared" si="55"/>
        <v>1350</v>
      </c>
      <c r="BE46" s="77">
        <f t="shared" si="56"/>
        <v>1350</v>
      </c>
      <c r="BF46" s="77">
        <f t="shared" si="57"/>
        <v>1350</v>
      </c>
      <c r="BG46" s="77">
        <f>BF46</f>
        <v>1350</v>
      </c>
    </row>
    <row r="47" spans="1:59" x14ac:dyDescent="0.25">
      <c r="A47" s="215" t="s">
        <v>9</v>
      </c>
      <c r="B47" s="11" t="str">
        <f>'P(M)'!B34</f>
        <v>發明</v>
      </c>
      <c r="C47" s="3" t="s">
        <v>16</v>
      </c>
      <c r="D47" s="99"/>
      <c r="E47" s="99">
        <f>IF('發明(新型)案成本估算'!$B$8&gt;0,65+11*('發明(新型)案成本估算'!$B$8-1),0)</f>
        <v>87</v>
      </c>
      <c r="F47" s="99">
        <f>IF('發明(新型)案成本估算'!$B$8&gt;0,65+11*('發明(新型)案成本估算'!$B$8-1),0)</f>
        <v>87</v>
      </c>
      <c r="G47" s="99">
        <f>IF('發明(新型)案成本估算'!$B$8&gt;0,65+11*('發明(新型)案成本估算'!$B$8-1),0)</f>
        <v>87</v>
      </c>
      <c r="H47" s="99">
        <f>IF('發明(新型)案成本估算'!$B$8&gt;0,65+11*('發明(新型)案成本估算'!$B$8-1),0)</f>
        <v>87</v>
      </c>
      <c r="I47" s="99">
        <f>IF('發明(新型)案成本估算'!$B$8&gt;0,65+11*('發明(新型)案成本估算'!$B$8-1),0)</f>
        <v>87</v>
      </c>
      <c r="J47" s="99">
        <f>IF('發明(新型)案成本估算'!$B$8&gt;0,65+11*('發明(新型)案成本估算'!$B$8-1),0)</f>
        <v>87</v>
      </c>
      <c r="K47" s="99">
        <f>IF('發明(新型)案成本估算'!$B$8&gt;0,65+11*('發明(新型)案成本估算'!$B$8-1),0)</f>
        <v>87</v>
      </c>
      <c r="L47" s="99">
        <f>IF('發明(新型)案成本估算'!$B$8&gt;0,65+11*('發明(新型)案成本估算'!$B$8-1),0)</f>
        <v>87</v>
      </c>
      <c r="M47" s="99">
        <f>IF('發明(新型)案成本估算'!$B$8&gt;0,65+11*('發明(新型)案成本估算'!$B$8-1),0)</f>
        <v>87</v>
      </c>
      <c r="N47" s="99">
        <f>IF('發明(新型)案成本估算'!$B$8&gt;0,65+11*('發明(新型)案成本估算'!$B$8-1),0)</f>
        <v>87</v>
      </c>
      <c r="O47" s="99">
        <f>IF('發明(新型)案成本估算'!$B$8&gt;0,65+11*('發明(新型)案成本估算'!$B$8-1),0)</f>
        <v>87</v>
      </c>
      <c r="P47" s="99">
        <f>IF('發明(新型)案成本估算'!$B$8&gt;0,65+11*('發明(新型)案成本估算'!$B$8-1),0)</f>
        <v>87</v>
      </c>
      <c r="Q47" s="99">
        <f>IF('發明(新型)案成本估算'!$B$8&gt;0,65+11*('發明(新型)案成本估算'!$B$8-1),0)</f>
        <v>87</v>
      </c>
      <c r="R47" s="99">
        <f>IF('發明(新型)案成本估算'!$B$8&gt;0,65+11*('發明(新型)案成本估算'!$B$8-1),0)</f>
        <v>87</v>
      </c>
      <c r="S47" s="99">
        <f>IF('發明(新型)案成本估算'!$B$8&gt;0,65+11*('發明(新型)案成本估算'!$B$8-1),0)</f>
        <v>87</v>
      </c>
      <c r="T47" s="99">
        <f>IF('發明(新型)案成本估算'!$B$8&gt;0,65+11*('發明(新型)案成本估算'!$B$8-1),0)</f>
        <v>87</v>
      </c>
      <c r="U47" s="99">
        <f>IF('發明(新型)案成本估算'!$B$8&gt;0,65+11*('發明(新型)案成本估算'!$B$8-1),0)</f>
        <v>87</v>
      </c>
      <c r="V47" s="99">
        <f>IF('發明(新型)案成本估算'!$B$8&gt;0,65+11*('發明(新型)案成本估算'!$B$8-1),0)</f>
        <v>87</v>
      </c>
      <c r="W47" s="99">
        <f>IF('發明(新型)案成本估算'!$B$8&gt;0,65+11*('發明(新型)案成本估算'!$B$8-1),0)</f>
        <v>87</v>
      </c>
      <c r="X47" s="99"/>
      <c r="Y47" s="99"/>
      <c r="Z47" s="99"/>
      <c r="AA47" s="99"/>
      <c r="AB47" s="99"/>
      <c r="AC47" s="77">
        <f t="shared" si="58"/>
        <v>1653</v>
      </c>
      <c r="AD47" s="11"/>
      <c r="AE47" s="215" t="s">
        <v>9</v>
      </c>
      <c r="AF47" s="11" t="str">
        <f t="shared" si="59"/>
        <v>發明</v>
      </c>
      <c r="AG47" s="14" t="str">
        <f t="shared" si="34"/>
        <v>USD</v>
      </c>
      <c r="AH47" s="11">
        <f t="shared" si="61"/>
        <v>0</v>
      </c>
      <c r="AI47" s="77">
        <f t="shared" si="62"/>
        <v>87</v>
      </c>
      <c r="AJ47" s="77">
        <f t="shared" si="35"/>
        <v>174</v>
      </c>
      <c r="AK47" s="77">
        <f t="shared" si="36"/>
        <v>261</v>
      </c>
      <c r="AL47" s="77">
        <f t="shared" si="37"/>
        <v>348</v>
      </c>
      <c r="AM47" s="77">
        <f t="shared" si="38"/>
        <v>435</v>
      </c>
      <c r="AN47" s="77">
        <f t="shared" si="39"/>
        <v>522</v>
      </c>
      <c r="AO47" s="77">
        <f t="shared" si="40"/>
        <v>609</v>
      </c>
      <c r="AP47" s="77">
        <f t="shared" si="41"/>
        <v>696</v>
      </c>
      <c r="AQ47" s="77">
        <f t="shared" si="42"/>
        <v>783</v>
      </c>
      <c r="AR47" s="77">
        <f t="shared" si="43"/>
        <v>870</v>
      </c>
      <c r="AS47" s="77">
        <f t="shared" si="44"/>
        <v>957</v>
      </c>
      <c r="AT47" s="77">
        <f t="shared" si="45"/>
        <v>1044</v>
      </c>
      <c r="AU47" s="77">
        <f t="shared" si="46"/>
        <v>1131</v>
      </c>
      <c r="AV47" s="77">
        <f t="shared" si="47"/>
        <v>1218</v>
      </c>
      <c r="AW47" s="77">
        <f t="shared" si="48"/>
        <v>1305</v>
      </c>
      <c r="AX47" s="77">
        <f t="shared" si="49"/>
        <v>1392</v>
      </c>
      <c r="AY47" s="77">
        <f t="shared" si="50"/>
        <v>1479</v>
      </c>
      <c r="AZ47" s="77">
        <f t="shared" si="51"/>
        <v>1566</v>
      </c>
      <c r="BA47" s="77">
        <f t="shared" si="52"/>
        <v>1653</v>
      </c>
      <c r="BB47" s="77">
        <f t="shared" si="53"/>
        <v>1653</v>
      </c>
      <c r="BC47" s="77">
        <f t="shared" si="54"/>
        <v>1653</v>
      </c>
      <c r="BD47" s="77">
        <f t="shared" si="55"/>
        <v>1653</v>
      </c>
      <c r="BE47" s="77">
        <f t="shared" si="56"/>
        <v>1653</v>
      </c>
      <c r="BF47" s="77">
        <f t="shared" si="57"/>
        <v>1653</v>
      </c>
      <c r="BG47" s="77">
        <f t="shared" si="60"/>
        <v>1653</v>
      </c>
    </row>
    <row r="48" spans="1:59" x14ac:dyDescent="0.25">
      <c r="A48" s="216"/>
      <c r="B48" s="11" t="str">
        <f>'P(M)'!B35</f>
        <v>新型</v>
      </c>
      <c r="C48" s="3" t="s">
        <v>16</v>
      </c>
      <c r="D48" s="99"/>
      <c r="E48" s="99">
        <f>IF('發明(新型)案成本估算'!$B$8&gt;0,65+11*('發明(新型)案成本估算'!$B$8-1),0)</f>
        <v>87</v>
      </c>
      <c r="F48" s="99">
        <f>IF('發明(新型)案成本估算'!$B$8&gt;0,65+11*('發明(新型)案成本估算'!$B$8-1),0)</f>
        <v>87</v>
      </c>
      <c r="G48" s="99">
        <f>IF('發明(新型)案成本估算'!$B$8&gt;0,65+11*('發明(新型)案成本估算'!$B$8-1),0)</f>
        <v>87</v>
      </c>
      <c r="H48" s="99">
        <f>IF('發明(新型)案成本估算'!$B$8&gt;0,65+11*('發明(新型)案成本估算'!$B$8-1),0)</f>
        <v>87</v>
      </c>
      <c r="I48" s="99">
        <f>IF('發明(新型)案成本估算'!$B$8&gt;0,65+11*('發明(新型)案成本估算'!$B$8-1),0)</f>
        <v>87</v>
      </c>
      <c r="J48" s="99">
        <f>IF('發明(新型)案成本估算'!$B$8&gt;0,65+11*('發明(新型)案成本估算'!$B$8-1),0)</f>
        <v>87</v>
      </c>
      <c r="K48" s="99">
        <f>IF('發明(新型)案成本估算'!$B$8&gt;0,65+11*('發明(新型)案成本估算'!$B$8-1),0)</f>
        <v>87</v>
      </c>
      <c r="L48" s="99">
        <f>IF('發明(新型)案成本估算'!$B$8&gt;0,65+11*('發明(新型)案成本估算'!$B$8-1),0)</f>
        <v>87</v>
      </c>
      <c r="M48" s="99">
        <f>IF('發明(新型)案成本估算'!$B$8&gt;0,65+11*('發明(新型)案成本估算'!$B$8-1),0)</f>
        <v>87</v>
      </c>
      <c r="N48" s="99"/>
      <c r="O48" s="99"/>
      <c r="P48" s="99"/>
      <c r="Q48" s="99"/>
      <c r="R48" s="99"/>
      <c r="S48" s="99"/>
      <c r="T48" s="99"/>
      <c r="U48" s="99"/>
      <c r="V48" s="99"/>
      <c r="W48" s="99"/>
      <c r="X48" s="99"/>
      <c r="Y48" s="99"/>
      <c r="Z48" s="99"/>
      <c r="AA48" s="99"/>
      <c r="AB48" s="99"/>
      <c r="AC48" s="77">
        <f t="shared" si="58"/>
        <v>783</v>
      </c>
      <c r="AD48" s="11"/>
      <c r="AE48" s="216"/>
      <c r="AF48" s="11" t="str">
        <f t="shared" si="59"/>
        <v>新型</v>
      </c>
      <c r="AG48" s="14" t="str">
        <f t="shared" si="34"/>
        <v>USD</v>
      </c>
      <c r="AH48" s="11">
        <f t="shared" si="61"/>
        <v>0</v>
      </c>
      <c r="AI48" s="77">
        <f t="shared" si="62"/>
        <v>87</v>
      </c>
      <c r="AJ48" s="77">
        <f t="shared" si="35"/>
        <v>174</v>
      </c>
      <c r="AK48" s="77">
        <f t="shared" si="36"/>
        <v>261</v>
      </c>
      <c r="AL48" s="77">
        <f t="shared" si="37"/>
        <v>348</v>
      </c>
      <c r="AM48" s="77">
        <f t="shared" si="38"/>
        <v>435</v>
      </c>
      <c r="AN48" s="77">
        <f t="shared" si="39"/>
        <v>522</v>
      </c>
      <c r="AO48" s="77">
        <f t="shared" si="40"/>
        <v>609</v>
      </c>
      <c r="AP48" s="77">
        <f t="shared" si="41"/>
        <v>696</v>
      </c>
      <c r="AQ48" s="77">
        <f t="shared" si="42"/>
        <v>783</v>
      </c>
      <c r="AR48" s="77">
        <f t="shared" si="43"/>
        <v>783</v>
      </c>
      <c r="AS48" s="77">
        <f t="shared" si="44"/>
        <v>783</v>
      </c>
      <c r="AT48" s="77">
        <f t="shared" si="45"/>
        <v>783</v>
      </c>
      <c r="AU48" s="77">
        <f t="shared" si="46"/>
        <v>783</v>
      </c>
      <c r="AV48" s="77">
        <f t="shared" si="47"/>
        <v>783</v>
      </c>
      <c r="AW48" s="77">
        <f t="shared" si="48"/>
        <v>783</v>
      </c>
      <c r="AX48" s="77">
        <f t="shared" si="49"/>
        <v>783</v>
      </c>
      <c r="AY48" s="77">
        <f t="shared" si="50"/>
        <v>783</v>
      </c>
      <c r="AZ48" s="77">
        <f t="shared" si="51"/>
        <v>783</v>
      </c>
      <c r="BA48" s="77">
        <f t="shared" si="52"/>
        <v>783</v>
      </c>
      <c r="BB48" s="77">
        <f t="shared" si="53"/>
        <v>783</v>
      </c>
      <c r="BC48" s="77">
        <f t="shared" si="54"/>
        <v>783</v>
      </c>
      <c r="BD48" s="77">
        <f t="shared" si="55"/>
        <v>783</v>
      </c>
      <c r="BE48" s="77">
        <f t="shared" si="56"/>
        <v>783</v>
      </c>
      <c r="BF48" s="77">
        <f t="shared" si="57"/>
        <v>783</v>
      </c>
      <c r="BG48" s="77">
        <f t="shared" si="60"/>
        <v>783</v>
      </c>
    </row>
    <row r="49" spans="1:59" x14ac:dyDescent="0.25">
      <c r="A49" s="215" t="s">
        <v>10</v>
      </c>
      <c r="B49" s="11" t="str">
        <f>'P(M)'!B36</f>
        <v>發明</v>
      </c>
      <c r="C49" s="3" t="s">
        <v>22</v>
      </c>
      <c r="D49" s="99"/>
      <c r="E49" s="99"/>
      <c r="F49" s="99"/>
      <c r="G49" s="99"/>
      <c r="H49" s="99">
        <v>3200</v>
      </c>
      <c r="I49" s="99">
        <v>3200</v>
      </c>
      <c r="J49" s="99">
        <v>3200</v>
      </c>
      <c r="K49" s="99">
        <v>3200</v>
      </c>
      <c r="L49" s="99">
        <v>3200</v>
      </c>
      <c r="M49" s="99">
        <v>3200</v>
      </c>
      <c r="N49" s="99">
        <v>3200</v>
      </c>
      <c r="O49" s="99">
        <v>3200</v>
      </c>
      <c r="P49" s="99">
        <v>3200</v>
      </c>
      <c r="Q49" s="99">
        <v>3200</v>
      </c>
      <c r="R49" s="99">
        <v>3200</v>
      </c>
      <c r="S49" s="99">
        <v>3200</v>
      </c>
      <c r="T49" s="99">
        <v>3200</v>
      </c>
      <c r="U49" s="99">
        <v>3200</v>
      </c>
      <c r="V49" s="99">
        <v>3200</v>
      </c>
      <c r="W49" s="99">
        <v>3200</v>
      </c>
      <c r="X49" s="99"/>
      <c r="Y49" s="99"/>
      <c r="Z49" s="99"/>
      <c r="AA49" s="99"/>
      <c r="AB49" s="99"/>
      <c r="AC49" s="77">
        <f t="shared" si="58"/>
        <v>51200</v>
      </c>
      <c r="AD49" s="11"/>
      <c r="AE49" s="215" t="s">
        <v>10</v>
      </c>
      <c r="AF49" s="11" t="str">
        <f t="shared" si="59"/>
        <v>發明</v>
      </c>
      <c r="AG49" s="14" t="str">
        <f t="shared" si="34"/>
        <v>THB</v>
      </c>
      <c r="AH49" s="11">
        <f t="shared" si="61"/>
        <v>0</v>
      </c>
      <c r="AI49" s="77">
        <f t="shared" si="62"/>
        <v>0</v>
      </c>
      <c r="AJ49" s="77">
        <f t="shared" si="35"/>
        <v>0</v>
      </c>
      <c r="AK49" s="77">
        <f t="shared" si="36"/>
        <v>0</v>
      </c>
      <c r="AL49" s="77">
        <f t="shared" si="37"/>
        <v>3200</v>
      </c>
      <c r="AM49" s="77">
        <f t="shared" si="38"/>
        <v>6400</v>
      </c>
      <c r="AN49" s="77">
        <f t="shared" si="39"/>
        <v>9600</v>
      </c>
      <c r="AO49" s="77">
        <f t="shared" si="40"/>
        <v>12800</v>
      </c>
      <c r="AP49" s="77">
        <f t="shared" si="41"/>
        <v>16000</v>
      </c>
      <c r="AQ49" s="77">
        <f t="shared" si="42"/>
        <v>19200</v>
      </c>
      <c r="AR49" s="77">
        <f t="shared" si="43"/>
        <v>22400</v>
      </c>
      <c r="AS49" s="77">
        <f t="shared" si="44"/>
        <v>25600</v>
      </c>
      <c r="AT49" s="77">
        <f t="shared" si="45"/>
        <v>28800</v>
      </c>
      <c r="AU49" s="77">
        <f t="shared" si="46"/>
        <v>32000</v>
      </c>
      <c r="AV49" s="77">
        <f t="shared" si="47"/>
        <v>35200</v>
      </c>
      <c r="AW49" s="77">
        <f t="shared" si="48"/>
        <v>38400</v>
      </c>
      <c r="AX49" s="77">
        <f t="shared" si="49"/>
        <v>41600</v>
      </c>
      <c r="AY49" s="77">
        <f t="shared" si="50"/>
        <v>44800</v>
      </c>
      <c r="AZ49" s="77">
        <f t="shared" si="51"/>
        <v>48000</v>
      </c>
      <c r="BA49" s="77">
        <f t="shared" si="52"/>
        <v>51200</v>
      </c>
      <c r="BB49" s="77">
        <f t="shared" si="53"/>
        <v>51200</v>
      </c>
      <c r="BC49" s="77">
        <f t="shared" si="54"/>
        <v>51200</v>
      </c>
      <c r="BD49" s="77">
        <f t="shared" si="55"/>
        <v>51200</v>
      </c>
      <c r="BE49" s="77">
        <f t="shared" si="56"/>
        <v>51200</v>
      </c>
      <c r="BF49" s="77">
        <f t="shared" si="57"/>
        <v>51200</v>
      </c>
      <c r="BG49" s="77">
        <f t="shared" si="60"/>
        <v>51200</v>
      </c>
    </row>
    <row r="50" spans="1:59" x14ac:dyDescent="0.25">
      <c r="A50" s="216"/>
      <c r="B50" s="11" t="str">
        <f>'P(M)'!B37</f>
        <v>新型</v>
      </c>
      <c r="C50" s="3" t="s">
        <v>22</v>
      </c>
      <c r="D50" s="99"/>
      <c r="E50" s="99"/>
      <c r="F50" s="99"/>
      <c r="G50" s="99"/>
      <c r="H50" s="99">
        <v>3200</v>
      </c>
      <c r="I50" s="99">
        <v>3200</v>
      </c>
      <c r="J50" s="99">
        <v>4800</v>
      </c>
      <c r="K50" s="99"/>
      <c r="L50" s="99">
        <v>4800</v>
      </c>
      <c r="M50" s="99"/>
      <c r="N50" s="99"/>
      <c r="O50" s="99"/>
      <c r="P50" s="99"/>
      <c r="Q50" s="99"/>
      <c r="R50" s="99"/>
      <c r="S50" s="99"/>
      <c r="T50" s="99"/>
      <c r="U50" s="99"/>
      <c r="V50" s="99"/>
      <c r="W50" s="99"/>
      <c r="X50" s="99"/>
      <c r="Y50" s="99"/>
      <c r="Z50" s="99"/>
      <c r="AA50" s="99"/>
      <c r="AB50" s="99"/>
      <c r="AC50" s="77">
        <f t="shared" si="58"/>
        <v>16000</v>
      </c>
      <c r="AD50" s="11"/>
      <c r="AE50" s="216"/>
      <c r="AF50" s="11" t="str">
        <f t="shared" si="59"/>
        <v>新型</v>
      </c>
      <c r="AG50" s="14" t="str">
        <f t="shared" si="34"/>
        <v>THB</v>
      </c>
      <c r="AH50" s="11">
        <f t="shared" si="61"/>
        <v>0</v>
      </c>
      <c r="AI50" s="77">
        <f t="shared" si="62"/>
        <v>0</v>
      </c>
      <c r="AJ50" s="77">
        <f t="shared" si="35"/>
        <v>0</v>
      </c>
      <c r="AK50" s="77">
        <f t="shared" si="36"/>
        <v>0</v>
      </c>
      <c r="AL50" s="77">
        <f t="shared" si="37"/>
        <v>3200</v>
      </c>
      <c r="AM50" s="77">
        <f t="shared" si="38"/>
        <v>6400</v>
      </c>
      <c r="AN50" s="77">
        <f t="shared" si="39"/>
        <v>11200</v>
      </c>
      <c r="AO50" s="77">
        <f t="shared" si="40"/>
        <v>11200</v>
      </c>
      <c r="AP50" s="77">
        <f t="shared" si="41"/>
        <v>16000</v>
      </c>
      <c r="AQ50" s="77">
        <f t="shared" si="42"/>
        <v>16000</v>
      </c>
      <c r="AR50" s="77">
        <f t="shared" si="43"/>
        <v>16000</v>
      </c>
      <c r="AS50" s="77">
        <f t="shared" si="44"/>
        <v>16000</v>
      </c>
      <c r="AT50" s="77">
        <f t="shared" si="45"/>
        <v>16000</v>
      </c>
      <c r="AU50" s="77">
        <f t="shared" si="46"/>
        <v>16000</v>
      </c>
      <c r="AV50" s="77">
        <f t="shared" si="47"/>
        <v>16000</v>
      </c>
      <c r="AW50" s="77">
        <f t="shared" si="48"/>
        <v>16000</v>
      </c>
      <c r="AX50" s="77">
        <f t="shared" si="49"/>
        <v>16000</v>
      </c>
      <c r="AY50" s="77">
        <f t="shared" si="50"/>
        <v>16000</v>
      </c>
      <c r="AZ50" s="77">
        <f t="shared" si="51"/>
        <v>16000</v>
      </c>
      <c r="BA50" s="77">
        <f t="shared" si="52"/>
        <v>16000</v>
      </c>
      <c r="BB50" s="77">
        <f t="shared" si="53"/>
        <v>16000</v>
      </c>
      <c r="BC50" s="77">
        <f t="shared" si="54"/>
        <v>16000</v>
      </c>
      <c r="BD50" s="77">
        <f t="shared" si="55"/>
        <v>16000</v>
      </c>
      <c r="BE50" s="77">
        <f t="shared" si="56"/>
        <v>16000</v>
      </c>
      <c r="BF50" s="77">
        <f t="shared" si="57"/>
        <v>16000</v>
      </c>
      <c r="BG50" s="77">
        <f t="shared" si="60"/>
        <v>16000</v>
      </c>
    </row>
    <row r="51" spans="1:59" x14ac:dyDescent="0.25">
      <c r="A51" s="5"/>
      <c r="B51" s="5"/>
      <c r="C51" s="5"/>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77">
        <f t="shared" si="58"/>
        <v>0</v>
      </c>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59" x14ac:dyDescent="0.25">
      <c r="A52" s="171" t="s">
        <v>348</v>
      </c>
    </row>
    <row r="55" spans="1:59" s="78" customFormat="1" x14ac:dyDescent="0.25">
      <c r="A55" s="212" t="s">
        <v>203</v>
      </c>
      <c r="B55" s="213"/>
      <c r="C55" s="214"/>
      <c r="D55" s="102" t="s">
        <v>200</v>
      </c>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76"/>
      <c r="AD55" s="76"/>
      <c r="AE55" s="212" t="s">
        <v>205</v>
      </c>
      <c r="AF55" s="213"/>
      <c r="AG55" s="214"/>
      <c r="AH55" s="79" t="s">
        <v>198</v>
      </c>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row>
    <row r="56" spans="1:59" x14ac:dyDescent="0.25">
      <c r="A56" s="4" t="s">
        <v>114</v>
      </c>
      <c r="B56" s="4" t="s">
        <v>197</v>
      </c>
      <c r="C56" s="4" t="s">
        <v>13</v>
      </c>
      <c r="D56" s="104">
        <v>1</v>
      </c>
      <c r="E56" s="104">
        <v>2</v>
      </c>
      <c r="F56" s="104">
        <v>3</v>
      </c>
      <c r="G56" s="104">
        <v>4</v>
      </c>
      <c r="H56" s="104">
        <v>5</v>
      </c>
      <c r="I56" s="104">
        <v>6</v>
      </c>
      <c r="J56" s="104">
        <v>7</v>
      </c>
      <c r="K56" s="104">
        <v>8</v>
      </c>
      <c r="L56" s="104">
        <v>9</v>
      </c>
      <c r="M56" s="104">
        <v>10</v>
      </c>
      <c r="N56" s="104">
        <v>11</v>
      </c>
      <c r="O56" s="104">
        <v>12</v>
      </c>
      <c r="P56" s="104">
        <v>13</v>
      </c>
      <c r="Q56" s="104">
        <v>14</v>
      </c>
      <c r="R56" s="104">
        <v>15</v>
      </c>
      <c r="S56" s="104">
        <v>16</v>
      </c>
      <c r="T56" s="104">
        <v>17</v>
      </c>
      <c r="U56" s="104">
        <v>18</v>
      </c>
      <c r="V56" s="104">
        <v>19</v>
      </c>
      <c r="W56" s="104">
        <v>20</v>
      </c>
      <c r="X56" s="104">
        <v>21</v>
      </c>
      <c r="Y56" s="104">
        <v>22</v>
      </c>
      <c r="Z56" s="104">
        <v>23</v>
      </c>
      <c r="AA56" s="104">
        <v>24</v>
      </c>
      <c r="AB56" s="104">
        <v>25</v>
      </c>
      <c r="AC56" s="4" t="s">
        <v>196</v>
      </c>
      <c r="AD56" s="4"/>
      <c r="AE56" s="4" t="s">
        <v>114</v>
      </c>
      <c r="AF56" s="4" t="s">
        <v>197</v>
      </c>
      <c r="AG56" s="4" t="s">
        <v>13</v>
      </c>
      <c r="AH56" s="4">
        <v>1</v>
      </c>
      <c r="AI56" s="4">
        <v>2</v>
      </c>
      <c r="AJ56" s="4">
        <v>3</v>
      </c>
      <c r="AK56" s="4">
        <v>4</v>
      </c>
      <c r="AL56" s="4">
        <v>5</v>
      </c>
      <c r="AM56" s="4">
        <v>6</v>
      </c>
      <c r="AN56" s="4">
        <v>7</v>
      </c>
      <c r="AO56" s="4">
        <v>8</v>
      </c>
      <c r="AP56" s="4">
        <v>9</v>
      </c>
      <c r="AQ56" s="4">
        <v>10</v>
      </c>
      <c r="AR56" s="4">
        <v>11</v>
      </c>
      <c r="AS56" s="4">
        <v>12</v>
      </c>
      <c r="AT56" s="4">
        <v>13</v>
      </c>
      <c r="AU56" s="4">
        <v>14</v>
      </c>
      <c r="AV56" s="4">
        <v>15</v>
      </c>
      <c r="AW56" s="4">
        <v>16</v>
      </c>
      <c r="AX56" s="4">
        <v>17</v>
      </c>
      <c r="AY56" s="4">
        <v>18</v>
      </c>
      <c r="AZ56" s="4">
        <v>19</v>
      </c>
      <c r="BA56" s="4">
        <v>20</v>
      </c>
      <c r="BB56" s="4">
        <v>21</v>
      </c>
      <c r="BC56" s="4">
        <v>22</v>
      </c>
      <c r="BD56" s="4">
        <v>23</v>
      </c>
      <c r="BE56" s="4">
        <v>24</v>
      </c>
      <c r="BF56" s="4">
        <v>25</v>
      </c>
      <c r="BG56" s="4" t="s">
        <v>225</v>
      </c>
    </row>
    <row r="57" spans="1:59" x14ac:dyDescent="0.25">
      <c r="A57" s="215" t="s">
        <v>2</v>
      </c>
      <c r="B57" s="11" t="str">
        <f>'P(M)'!B17</f>
        <v>發明</v>
      </c>
      <c r="C57" s="3" t="s">
        <v>14</v>
      </c>
      <c r="D57" s="99"/>
      <c r="E57" s="99">
        <v>3000</v>
      </c>
      <c r="F57" s="99">
        <v>3000</v>
      </c>
      <c r="G57" s="99">
        <v>3000</v>
      </c>
      <c r="H57" s="99">
        <v>3000</v>
      </c>
      <c r="I57" s="99">
        <v>3000</v>
      </c>
      <c r="J57" s="99">
        <v>3000</v>
      </c>
      <c r="K57" s="99">
        <v>3000</v>
      </c>
      <c r="L57" s="99">
        <v>3000</v>
      </c>
      <c r="M57" s="99">
        <v>3000</v>
      </c>
      <c r="N57" s="99">
        <v>3000</v>
      </c>
      <c r="O57" s="99">
        <v>3000</v>
      </c>
      <c r="P57" s="99">
        <v>3000</v>
      </c>
      <c r="Q57" s="99">
        <v>3000</v>
      </c>
      <c r="R57" s="99">
        <v>3000</v>
      </c>
      <c r="S57" s="99">
        <v>3000</v>
      </c>
      <c r="T57" s="99">
        <v>3000</v>
      </c>
      <c r="U57" s="99">
        <v>3000</v>
      </c>
      <c r="V57" s="99">
        <v>3000</v>
      </c>
      <c r="W57" s="99">
        <v>3000</v>
      </c>
      <c r="X57" s="99"/>
      <c r="Y57" s="99"/>
      <c r="Z57" s="99"/>
      <c r="AA57" s="99"/>
      <c r="AB57" s="99"/>
      <c r="AC57" s="77">
        <f>SUM(D57:AB57)</f>
        <v>57000</v>
      </c>
      <c r="AD57" s="11"/>
      <c r="AE57" s="215" t="s">
        <v>2</v>
      </c>
      <c r="AF57" s="11" t="str">
        <f>B57</f>
        <v>發明</v>
      </c>
      <c r="AG57" s="14" t="str">
        <f>C57</f>
        <v>NTD</v>
      </c>
      <c r="AH57" s="11">
        <f>D57</f>
        <v>0</v>
      </c>
      <c r="AI57" s="77">
        <f>AH57+E57</f>
        <v>3000</v>
      </c>
      <c r="AJ57" s="77">
        <f t="shared" ref="AJ57:AJ77" si="68">AI57+F57</f>
        <v>6000</v>
      </c>
      <c r="AK57" s="77">
        <f t="shared" ref="AK57:AK77" si="69">AJ57+G57</f>
        <v>9000</v>
      </c>
      <c r="AL57" s="77">
        <f t="shared" ref="AL57:AL77" si="70">AK57+H57</f>
        <v>12000</v>
      </c>
      <c r="AM57" s="77">
        <f t="shared" ref="AM57:AM77" si="71">AL57+I57</f>
        <v>15000</v>
      </c>
      <c r="AN57" s="77">
        <f t="shared" ref="AN57:AN77" si="72">AM57+J57</f>
        <v>18000</v>
      </c>
      <c r="AO57" s="77">
        <f t="shared" ref="AO57:AO77" si="73">AN57+K57</f>
        <v>21000</v>
      </c>
      <c r="AP57" s="77">
        <f t="shared" ref="AP57:AP77" si="74">AO57+L57</f>
        <v>24000</v>
      </c>
      <c r="AQ57" s="77">
        <f t="shared" ref="AQ57:AQ77" si="75">AP57+M57</f>
        <v>27000</v>
      </c>
      <c r="AR57" s="77">
        <f t="shared" ref="AR57:AR77" si="76">AQ57+N57</f>
        <v>30000</v>
      </c>
      <c r="AS57" s="77">
        <f t="shared" ref="AS57:AS77" si="77">AR57+O57</f>
        <v>33000</v>
      </c>
      <c r="AT57" s="77">
        <f t="shared" ref="AT57:AT77" si="78">AS57+P57</f>
        <v>36000</v>
      </c>
      <c r="AU57" s="77">
        <f t="shared" ref="AU57:AU77" si="79">AT57+Q57</f>
        <v>39000</v>
      </c>
      <c r="AV57" s="77">
        <f t="shared" ref="AV57:AV77" si="80">AU57+R57</f>
        <v>42000</v>
      </c>
      <c r="AW57" s="77">
        <f t="shared" ref="AW57:AW77" si="81">AV57+S57</f>
        <v>45000</v>
      </c>
      <c r="AX57" s="77">
        <f t="shared" ref="AX57:AX77" si="82">AW57+T57</f>
        <v>48000</v>
      </c>
      <c r="AY57" s="77">
        <f t="shared" ref="AY57:AY77" si="83">AX57+U57</f>
        <v>51000</v>
      </c>
      <c r="AZ57" s="77">
        <f t="shared" ref="AZ57:AZ77" si="84">AY57+V57</f>
        <v>54000</v>
      </c>
      <c r="BA57" s="77">
        <f t="shared" ref="BA57:BA77" si="85">AZ57+W57</f>
        <v>57000</v>
      </c>
      <c r="BB57" s="77">
        <f t="shared" ref="BB57:BB77" si="86">BA57+X57</f>
        <v>57000</v>
      </c>
      <c r="BC57" s="77">
        <f t="shared" ref="BC57:BC77" si="87">BB57+Y57</f>
        <v>57000</v>
      </c>
      <c r="BD57" s="77">
        <f t="shared" ref="BD57:BD77" si="88">BC57+Z57</f>
        <v>57000</v>
      </c>
      <c r="BE57" s="77">
        <f t="shared" ref="BE57:BE77" si="89">BD57+AA57</f>
        <v>57000</v>
      </c>
      <c r="BF57" s="77">
        <f t="shared" ref="BF57:BF77" si="90">BE57+AB57</f>
        <v>57000</v>
      </c>
      <c r="BG57" s="77">
        <f>BF57</f>
        <v>57000</v>
      </c>
    </row>
    <row r="58" spans="1:59" x14ac:dyDescent="0.25">
      <c r="A58" s="216"/>
      <c r="B58" s="11" t="str">
        <f>'P(M)'!B18</f>
        <v>新型</v>
      </c>
      <c r="C58" s="3" t="s">
        <v>14</v>
      </c>
      <c r="D58" s="99"/>
      <c r="E58" s="99">
        <v>3000</v>
      </c>
      <c r="F58" s="99">
        <v>3000</v>
      </c>
      <c r="G58" s="99">
        <v>3000</v>
      </c>
      <c r="H58" s="99">
        <v>3000</v>
      </c>
      <c r="I58" s="99">
        <v>3000</v>
      </c>
      <c r="J58" s="99">
        <v>3000</v>
      </c>
      <c r="K58" s="99">
        <v>3000</v>
      </c>
      <c r="L58" s="99">
        <v>3000</v>
      </c>
      <c r="M58" s="99">
        <v>3000</v>
      </c>
      <c r="N58" s="99"/>
      <c r="O58" s="99"/>
      <c r="P58" s="99"/>
      <c r="Q58" s="99"/>
      <c r="R58" s="99"/>
      <c r="S58" s="99"/>
      <c r="T58" s="99"/>
      <c r="U58" s="99"/>
      <c r="V58" s="99"/>
      <c r="W58" s="99"/>
      <c r="X58" s="99"/>
      <c r="Y58" s="99"/>
      <c r="Z58" s="99"/>
      <c r="AA58" s="99"/>
      <c r="AB58" s="99"/>
      <c r="AC58" s="77">
        <f t="shared" ref="AC58:AC78" si="91">SUM(D58:AB58)</f>
        <v>27000</v>
      </c>
      <c r="AD58" s="11"/>
      <c r="AE58" s="216"/>
      <c r="AF58" s="11" t="str">
        <f t="shared" ref="AF58:AF77" si="92">B58</f>
        <v>新型</v>
      </c>
      <c r="AG58" s="14" t="str">
        <f t="shared" ref="AG58:AG77" si="93">C58</f>
        <v>NTD</v>
      </c>
      <c r="AH58" s="11">
        <f>D58</f>
        <v>0</v>
      </c>
      <c r="AI58" s="77">
        <f>AH58+E58</f>
        <v>3000</v>
      </c>
      <c r="AJ58" s="77">
        <f t="shared" si="68"/>
        <v>6000</v>
      </c>
      <c r="AK58" s="77">
        <f t="shared" si="69"/>
        <v>9000</v>
      </c>
      <c r="AL58" s="77">
        <f t="shared" si="70"/>
        <v>12000</v>
      </c>
      <c r="AM58" s="77">
        <f t="shared" si="71"/>
        <v>15000</v>
      </c>
      <c r="AN58" s="77">
        <f t="shared" si="72"/>
        <v>18000</v>
      </c>
      <c r="AO58" s="77">
        <f t="shared" si="73"/>
        <v>21000</v>
      </c>
      <c r="AP58" s="77">
        <f t="shared" si="74"/>
        <v>24000</v>
      </c>
      <c r="AQ58" s="77">
        <f t="shared" si="75"/>
        <v>27000</v>
      </c>
      <c r="AR58" s="77">
        <f t="shared" si="76"/>
        <v>27000</v>
      </c>
      <c r="AS58" s="77">
        <f t="shared" si="77"/>
        <v>27000</v>
      </c>
      <c r="AT58" s="77">
        <f t="shared" si="78"/>
        <v>27000</v>
      </c>
      <c r="AU58" s="77">
        <f t="shared" si="79"/>
        <v>27000</v>
      </c>
      <c r="AV58" s="77">
        <f t="shared" si="80"/>
        <v>27000</v>
      </c>
      <c r="AW58" s="77">
        <f t="shared" si="81"/>
        <v>27000</v>
      </c>
      <c r="AX58" s="77">
        <f t="shared" si="82"/>
        <v>27000</v>
      </c>
      <c r="AY58" s="77">
        <f t="shared" si="83"/>
        <v>27000</v>
      </c>
      <c r="AZ58" s="77">
        <f t="shared" si="84"/>
        <v>27000</v>
      </c>
      <c r="BA58" s="77">
        <f t="shared" si="85"/>
        <v>27000</v>
      </c>
      <c r="BB58" s="77">
        <f t="shared" si="86"/>
        <v>27000</v>
      </c>
      <c r="BC58" s="77">
        <f t="shared" si="87"/>
        <v>27000</v>
      </c>
      <c r="BD58" s="77">
        <f t="shared" si="88"/>
        <v>27000</v>
      </c>
      <c r="BE58" s="77">
        <f t="shared" si="89"/>
        <v>27000</v>
      </c>
      <c r="BF58" s="77">
        <f t="shared" si="90"/>
        <v>27000</v>
      </c>
      <c r="BG58" s="77">
        <f t="shared" ref="BG58:BG77" si="94">BF58</f>
        <v>27000</v>
      </c>
    </row>
    <row r="59" spans="1:59" x14ac:dyDescent="0.25">
      <c r="A59" s="215" t="s">
        <v>3</v>
      </c>
      <c r="B59" s="11" t="str">
        <f>'P(M)'!B19</f>
        <v>發明</v>
      </c>
      <c r="C59" s="3" t="s">
        <v>14</v>
      </c>
      <c r="D59" s="99"/>
      <c r="E59" s="128">
        <v>3000</v>
      </c>
      <c r="F59" s="128">
        <v>3000</v>
      </c>
      <c r="G59" s="128">
        <v>3000</v>
      </c>
      <c r="H59" s="128">
        <v>3000</v>
      </c>
      <c r="I59" s="128">
        <v>3000</v>
      </c>
      <c r="J59" s="128">
        <v>3000</v>
      </c>
      <c r="K59" s="128">
        <v>3000</v>
      </c>
      <c r="L59" s="128">
        <v>3000</v>
      </c>
      <c r="M59" s="128">
        <v>3000</v>
      </c>
      <c r="N59" s="128">
        <v>3000</v>
      </c>
      <c r="O59" s="128">
        <v>3000</v>
      </c>
      <c r="P59" s="128">
        <v>3000</v>
      </c>
      <c r="Q59" s="128">
        <v>3000</v>
      </c>
      <c r="R59" s="128">
        <v>3000</v>
      </c>
      <c r="S59" s="128">
        <v>3000</v>
      </c>
      <c r="T59" s="128">
        <v>3000</v>
      </c>
      <c r="U59" s="128">
        <v>3000</v>
      </c>
      <c r="V59" s="128">
        <v>3000</v>
      </c>
      <c r="W59" s="128">
        <v>3000</v>
      </c>
      <c r="X59" s="99"/>
      <c r="Y59" s="99"/>
      <c r="Z59" s="99"/>
      <c r="AA59" s="99"/>
      <c r="AB59" s="99"/>
      <c r="AC59" s="77">
        <f t="shared" si="91"/>
        <v>57000</v>
      </c>
      <c r="AD59" s="11"/>
      <c r="AE59" s="215" t="s">
        <v>3</v>
      </c>
      <c r="AF59" s="11" t="str">
        <f t="shared" si="92"/>
        <v>發明</v>
      </c>
      <c r="AG59" s="14" t="str">
        <f t="shared" si="93"/>
        <v>NTD</v>
      </c>
      <c r="AH59" s="11">
        <f t="shared" ref="AH59:AH77" si="95">D59</f>
        <v>0</v>
      </c>
      <c r="AI59" s="77">
        <f t="shared" ref="AI59:AI77" si="96">AH59+E59</f>
        <v>3000</v>
      </c>
      <c r="AJ59" s="77">
        <f t="shared" si="68"/>
        <v>6000</v>
      </c>
      <c r="AK59" s="77">
        <f t="shared" si="69"/>
        <v>9000</v>
      </c>
      <c r="AL59" s="77">
        <f t="shared" si="70"/>
        <v>12000</v>
      </c>
      <c r="AM59" s="77">
        <f t="shared" si="71"/>
        <v>15000</v>
      </c>
      <c r="AN59" s="77">
        <f t="shared" si="72"/>
        <v>18000</v>
      </c>
      <c r="AO59" s="77">
        <f t="shared" si="73"/>
        <v>21000</v>
      </c>
      <c r="AP59" s="77">
        <f t="shared" si="74"/>
        <v>24000</v>
      </c>
      <c r="AQ59" s="77">
        <f t="shared" si="75"/>
        <v>27000</v>
      </c>
      <c r="AR59" s="77">
        <f t="shared" si="76"/>
        <v>30000</v>
      </c>
      <c r="AS59" s="77">
        <f t="shared" si="77"/>
        <v>33000</v>
      </c>
      <c r="AT59" s="77">
        <f t="shared" si="78"/>
        <v>36000</v>
      </c>
      <c r="AU59" s="77">
        <f t="shared" si="79"/>
        <v>39000</v>
      </c>
      <c r="AV59" s="77">
        <f t="shared" si="80"/>
        <v>42000</v>
      </c>
      <c r="AW59" s="77">
        <f t="shared" si="81"/>
        <v>45000</v>
      </c>
      <c r="AX59" s="77">
        <f t="shared" si="82"/>
        <v>48000</v>
      </c>
      <c r="AY59" s="77">
        <f t="shared" si="83"/>
        <v>51000</v>
      </c>
      <c r="AZ59" s="77">
        <f t="shared" si="84"/>
        <v>54000</v>
      </c>
      <c r="BA59" s="77">
        <f t="shared" si="85"/>
        <v>57000</v>
      </c>
      <c r="BB59" s="77">
        <f t="shared" si="86"/>
        <v>57000</v>
      </c>
      <c r="BC59" s="77">
        <f t="shared" si="87"/>
        <v>57000</v>
      </c>
      <c r="BD59" s="77">
        <f t="shared" si="88"/>
        <v>57000</v>
      </c>
      <c r="BE59" s="77">
        <f t="shared" si="89"/>
        <v>57000</v>
      </c>
      <c r="BF59" s="77">
        <f t="shared" si="90"/>
        <v>57000</v>
      </c>
      <c r="BG59" s="77">
        <f t="shared" si="94"/>
        <v>57000</v>
      </c>
    </row>
    <row r="60" spans="1:59" x14ac:dyDescent="0.25">
      <c r="A60" s="216"/>
      <c r="B60" s="11" t="str">
        <f>'P(M)'!B20</f>
        <v>新型</v>
      </c>
      <c r="C60" s="3" t="s">
        <v>14</v>
      </c>
      <c r="D60" s="99"/>
      <c r="E60" s="99">
        <v>3000</v>
      </c>
      <c r="F60" s="99">
        <v>3000</v>
      </c>
      <c r="G60" s="99">
        <v>3000</v>
      </c>
      <c r="H60" s="99">
        <v>3000</v>
      </c>
      <c r="I60" s="99">
        <v>3000</v>
      </c>
      <c r="J60" s="99">
        <v>3000</v>
      </c>
      <c r="K60" s="99">
        <v>3000</v>
      </c>
      <c r="L60" s="99">
        <v>3000</v>
      </c>
      <c r="M60" s="99">
        <v>3000</v>
      </c>
      <c r="N60" s="99"/>
      <c r="O60" s="99"/>
      <c r="P60" s="99"/>
      <c r="Q60" s="99"/>
      <c r="R60" s="99"/>
      <c r="S60" s="99"/>
      <c r="T60" s="99"/>
      <c r="U60" s="99"/>
      <c r="V60" s="99"/>
      <c r="W60" s="99"/>
      <c r="X60" s="99"/>
      <c r="Y60" s="99"/>
      <c r="Z60" s="99"/>
      <c r="AA60" s="99"/>
      <c r="AB60" s="99"/>
      <c r="AC60" s="77">
        <f t="shared" si="91"/>
        <v>27000</v>
      </c>
      <c r="AD60" s="11"/>
      <c r="AE60" s="216"/>
      <c r="AF60" s="11" t="str">
        <f t="shared" si="92"/>
        <v>新型</v>
      </c>
      <c r="AG60" s="14" t="str">
        <f t="shared" si="93"/>
        <v>NTD</v>
      </c>
      <c r="AH60" s="11">
        <f t="shared" si="95"/>
        <v>0</v>
      </c>
      <c r="AI60" s="77">
        <f t="shared" si="96"/>
        <v>3000</v>
      </c>
      <c r="AJ60" s="77">
        <f t="shared" si="68"/>
        <v>6000</v>
      </c>
      <c r="AK60" s="77">
        <f t="shared" si="69"/>
        <v>9000</v>
      </c>
      <c r="AL60" s="77">
        <f t="shared" si="70"/>
        <v>12000</v>
      </c>
      <c r="AM60" s="77">
        <f t="shared" si="71"/>
        <v>15000</v>
      </c>
      <c r="AN60" s="77">
        <f t="shared" si="72"/>
        <v>18000</v>
      </c>
      <c r="AO60" s="77">
        <f t="shared" si="73"/>
        <v>21000</v>
      </c>
      <c r="AP60" s="77">
        <f t="shared" si="74"/>
        <v>24000</v>
      </c>
      <c r="AQ60" s="77">
        <f t="shared" si="75"/>
        <v>27000</v>
      </c>
      <c r="AR60" s="77">
        <f t="shared" si="76"/>
        <v>27000</v>
      </c>
      <c r="AS60" s="77">
        <f t="shared" si="77"/>
        <v>27000</v>
      </c>
      <c r="AT60" s="77">
        <f t="shared" si="78"/>
        <v>27000</v>
      </c>
      <c r="AU60" s="77">
        <f t="shared" si="79"/>
        <v>27000</v>
      </c>
      <c r="AV60" s="77">
        <f t="shared" si="80"/>
        <v>27000</v>
      </c>
      <c r="AW60" s="77">
        <f t="shared" si="81"/>
        <v>27000</v>
      </c>
      <c r="AX60" s="77">
        <f t="shared" si="82"/>
        <v>27000</v>
      </c>
      <c r="AY60" s="77">
        <f t="shared" si="83"/>
        <v>27000</v>
      </c>
      <c r="AZ60" s="77">
        <f t="shared" si="84"/>
        <v>27000</v>
      </c>
      <c r="BA60" s="77">
        <f t="shared" si="85"/>
        <v>27000</v>
      </c>
      <c r="BB60" s="77">
        <f t="shared" si="86"/>
        <v>27000</v>
      </c>
      <c r="BC60" s="77">
        <f t="shared" si="87"/>
        <v>27000</v>
      </c>
      <c r="BD60" s="77">
        <f t="shared" si="88"/>
        <v>27000</v>
      </c>
      <c r="BE60" s="77">
        <f t="shared" si="89"/>
        <v>27000</v>
      </c>
      <c r="BF60" s="77">
        <f t="shared" si="90"/>
        <v>27000</v>
      </c>
      <c r="BG60" s="77">
        <f t="shared" si="94"/>
        <v>27000</v>
      </c>
    </row>
    <row r="61" spans="1:59" x14ac:dyDescent="0.25">
      <c r="A61" s="3" t="s">
        <v>4</v>
      </c>
      <c r="B61" s="11" t="str">
        <f>'P(M)'!B21</f>
        <v>發明</v>
      </c>
      <c r="C61" s="3" t="s">
        <v>14</v>
      </c>
      <c r="D61" s="99"/>
      <c r="E61" s="99"/>
      <c r="F61" s="99"/>
      <c r="G61" s="99">
        <v>5000</v>
      </c>
      <c r="H61" s="99"/>
      <c r="I61" s="99"/>
      <c r="J61" s="99"/>
      <c r="K61" s="99">
        <v>5000</v>
      </c>
      <c r="L61" s="99"/>
      <c r="M61" s="99"/>
      <c r="N61" s="99"/>
      <c r="O61" s="99">
        <v>5000</v>
      </c>
      <c r="P61" s="99"/>
      <c r="Q61" s="99"/>
      <c r="R61" s="99"/>
      <c r="S61" s="99"/>
      <c r="T61" s="99"/>
      <c r="U61" s="99"/>
      <c r="V61" s="99"/>
      <c r="W61" s="99"/>
      <c r="X61" s="99"/>
      <c r="Y61" s="99"/>
      <c r="Z61" s="99"/>
      <c r="AA61" s="99"/>
      <c r="AB61" s="99"/>
      <c r="AC61" s="77">
        <f t="shared" si="91"/>
        <v>15000</v>
      </c>
      <c r="AD61" s="11"/>
      <c r="AE61" s="3" t="s">
        <v>4</v>
      </c>
      <c r="AF61" s="11" t="str">
        <f t="shared" si="92"/>
        <v>發明</v>
      </c>
      <c r="AG61" s="14" t="str">
        <f t="shared" si="93"/>
        <v>NTD</v>
      </c>
      <c r="AH61" s="11">
        <f t="shared" si="95"/>
        <v>0</v>
      </c>
      <c r="AI61" s="77">
        <f t="shared" si="96"/>
        <v>0</v>
      </c>
      <c r="AJ61" s="77">
        <f t="shared" si="68"/>
        <v>0</v>
      </c>
      <c r="AK61" s="77">
        <f t="shared" ref="AK61:AT61" si="97">AJ61+G61</f>
        <v>5000</v>
      </c>
      <c r="AL61" s="77">
        <f t="shared" si="97"/>
        <v>5000</v>
      </c>
      <c r="AM61" s="77">
        <f t="shared" si="97"/>
        <v>5000</v>
      </c>
      <c r="AN61" s="77">
        <f t="shared" si="97"/>
        <v>5000</v>
      </c>
      <c r="AO61" s="77">
        <f t="shared" si="97"/>
        <v>10000</v>
      </c>
      <c r="AP61" s="77">
        <f t="shared" si="97"/>
        <v>10000</v>
      </c>
      <c r="AQ61" s="77">
        <f t="shared" si="97"/>
        <v>10000</v>
      </c>
      <c r="AR61" s="77">
        <f t="shared" si="97"/>
        <v>10000</v>
      </c>
      <c r="AS61" s="77">
        <f t="shared" si="97"/>
        <v>15000</v>
      </c>
      <c r="AT61" s="77">
        <f t="shared" si="97"/>
        <v>15000</v>
      </c>
      <c r="AU61" s="77">
        <f t="shared" si="79"/>
        <v>15000</v>
      </c>
      <c r="AV61" s="77">
        <f t="shared" si="80"/>
        <v>15000</v>
      </c>
      <c r="AW61" s="77">
        <f t="shared" si="81"/>
        <v>15000</v>
      </c>
      <c r="AX61" s="77">
        <f t="shared" si="82"/>
        <v>15000</v>
      </c>
      <c r="AY61" s="77">
        <f t="shared" si="83"/>
        <v>15000</v>
      </c>
      <c r="AZ61" s="77">
        <f t="shared" si="84"/>
        <v>15000</v>
      </c>
      <c r="BA61" s="77">
        <f t="shared" si="85"/>
        <v>15000</v>
      </c>
      <c r="BB61" s="77">
        <f t="shared" si="86"/>
        <v>15000</v>
      </c>
      <c r="BC61" s="77">
        <f t="shared" si="87"/>
        <v>15000</v>
      </c>
      <c r="BD61" s="77">
        <f t="shared" si="88"/>
        <v>15000</v>
      </c>
      <c r="BE61" s="77">
        <f t="shared" si="89"/>
        <v>15000</v>
      </c>
      <c r="BF61" s="77">
        <f t="shared" si="90"/>
        <v>15000</v>
      </c>
      <c r="BG61" s="77">
        <f t="shared" si="94"/>
        <v>15000</v>
      </c>
    </row>
    <row r="62" spans="1:59" x14ac:dyDescent="0.25">
      <c r="A62" s="3" t="s">
        <v>5</v>
      </c>
      <c r="B62" s="11" t="str">
        <f>'P(M)'!B22</f>
        <v>發明</v>
      </c>
      <c r="C62" s="3" t="s">
        <v>14</v>
      </c>
      <c r="D62" s="99"/>
      <c r="E62" s="105"/>
      <c r="F62" s="105"/>
      <c r="G62" s="105">
        <f>5000*3</f>
        <v>15000</v>
      </c>
      <c r="H62" s="105">
        <f t="shared" ref="H62:W62" si="98">5000*3</f>
        <v>15000</v>
      </c>
      <c r="I62" s="105">
        <f t="shared" si="98"/>
        <v>15000</v>
      </c>
      <c r="J62" s="105">
        <f t="shared" si="98"/>
        <v>15000</v>
      </c>
      <c r="K62" s="105">
        <f t="shared" si="98"/>
        <v>15000</v>
      </c>
      <c r="L62" s="105">
        <f t="shared" si="98"/>
        <v>15000</v>
      </c>
      <c r="M62" s="105">
        <f t="shared" si="98"/>
        <v>15000</v>
      </c>
      <c r="N62" s="105">
        <f t="shared" si="98"/>
        <v>15000</v>
      </c>
      <c r="O62" s="105">
        <f t="shared" si="98"/>
        <v>15000</v>
      </c>
      <c r="P62" s="105">
        <f t="shared" si="98"/>
        <v>15000</v>
      </c>
      <c r="Q62" s="105">
        <f t="shared" si="98"/>
        <v>15000</v>
      </c>
      <c r="R62" s="105">
        <f t="shared" si="98"/>
        <v>15000</v>
      </c>
      <c r="S62" s="105">
        <f t="shared" si="98"/>
        <v>15000</v>
      </c>
      <c r="T62" s="105">
        <f t="shared" si="98"/>
        <v>15000</v>
      </c>
      <c r="U62" s="105">
        <f t="shared" si="98"/>
        <v>15000</v>
      </c>
      <c r="V62" s="105">
        <f t="shared" si="98"/>
        <v>15000</v>
      </c>
      <c r="W62" s="105">
        <f t="shared" si="98"/>
        <v>15000</v>
      </c>
      <c r="X62" s="99"/>
      <c r="Y62" s="99"/>
      <c r="Z62" s="99"/>
      <c r="AA62" s="99"/>
      <c r="AB62" s="99"/>
      <c r="AC62" s="77">
        <f t="shared" si="91"/>
        <v>255000</v>
      </c>
      <c r="AD62" s="11"/>
      <c r="AE62" s="3" t="s">
        <v>5</v>
      </c>
      <c r="AF62" s="11" t="str">
        <f t="shared" si="92"/>
        <v>發明</v>
      </c>
      <c r="AG62" s="14" t="str">
        <f t="shared" si="93"/>
        <v>NTD</v>
      </c>
      <c r="AH62" s="11">
        <f t="shared" si="95"/>
        <v>0</v>
      </c>
      <c r="AI62" s="77">
        <f t="shared" si="96"/>
        <v>0</v>
      </c>
      <c r="AJ62" s="77">
        <f t="shared" si="68"/>
        <v>0</v>
      </c>
      <c r="AK62" s="77">
        <f t="shared" si="69"/>
        <v>15000</v>
      </c>
      <c r="AL62" s="77">
        <f t="shared" si="70"/>
        <v>30000</v>
      </c>
      <c r="AM62" s="77">
        <f t="shared" si="71"/>
        <v>45000</v>
      </c>
      <c r="AN62" s="77">
        <f t="shared" si="72"/>
        <v>60000</v>
      </c>
      <c r="AO62" s="77">
        <f t="shared" si="73"/>
        <v>75000</v>
      </c>
      <c r="AP62" s="77">
        <f t="shared" si="74"/>
        <v>90000</v>
      </c>
      <c r="AQ62" s="77">
        <f t="shared" si="75"/>
        <v>105000</v>
      </c>
      <c r="AR62" s="77">
        <f t="shared" si="76"/>
        <v>120000</v>
      </c>
      <c r="AS62" s="77">
        <f t="shared" si="77"/>
        <v>135000</v>
      </c>
      <c r="AT62" s="77">
        <f t="shared" si="78"/>
        <v>150000</v>
      </c>
      <c r="AU62" s="77">
        <f t="shared" si="79"/>
        <v>165000</v>
      </c>
      <c r="AV62" s="77">
        <f t="shared" si="80"/>
        <v>180000</v>
      </c>
      <c r="AW62" s="77">
        <f t="shared" si="81"/>
        <v>195000</v>
      </c>
      <c r="AX62" s="77">
        <f t="shared" si="82"/>
        <v>210000</v>
      </c>
      <c r="AY62" s="77">
        <f t="shared" si="83"/>
        <v>225000</v>
      </c>
      <c r="AZ62" s="77">
        <f t="shared" si="84"/>
        <v>240000</v>
      </c>
      <c r="BA62" s="77">
        <f t="shared" si="85"/>
        <v>255000</v>
      </c>
      <c r="BB62" s="77">
        <f t="shared" si="86"/>
        <v>255000</v>
      </c>
      <c r="BC62" s="77">
        <f t="shared" si="87"/>
        <v>255000</v>
      </c>
      <c r="BD62" s="77">
        <f t="shared" si="88"/>
        <v>255000</v>
      </c>
      <c r="BE62" s="77">
        <f t="shared" si="89"/>
        <v>255000</v>
      </c>
      <c r="BF62" s="77">
        <f t="shared" si="90"/>
        <v>255000</v>
      </c>
      <c r="BG62" s="77">
        <f t="shared" si="94"/>
        <v>255000</v>
      </c>
    </row>
    <row r="63" spans="1:59" x14ac:dyDescent="0.25">
      <c r="A63" s="215" t="s">
        <v>6</v>
      </c>
      <c r="B63" s="11" t="str">
        <f>'P(M)'!B23</f>
        <v>發明</v>
      </c>
      <c r="C63" s="3" t="s">
        <v>14</v>
      </c>
      <c r="D63" s="99"/>
      <c r="E63" s="99"/>
      <c r="F63" s="99"/>
      <c r="G63" s="99">
        <v>5000</v>
      </c>
      <c r="H63" s="99">
        <v>5000</v>
      </c>
      <c r="I63" s="99">
        <v>5000</v>
      </c>
      <c r="J63" s="99">
        <v>5000</v>
      </c>
      <c r="K63" s="99">
        <v>5000</v>
      </c>
      <c r="L63" s="99">
        <v>5000</v>
      </c>
      <c r="M63" s="99">
        <v>5000</v>
      </c>
      <c r="N63" s="99">
        <v>5000</v>
      </c>
      <c r="O63" s="99">
        <v>5000</v>
      </c>
      <c r="P63" s="99">
        <v>5000</v>
      </c>
      <c r="Q63" s="99">
        <v>5000</v>
      </c>
      <c r="R63" s="99">
        <v>5000</v>
      </c>
      <c r="S63" s="99">
        <v>5000</v>
      </c>
      <c r="T63" s="99">
        <v>5000</v>
      </c>
      <c r="U63" s="99">
        <v>5000</v>
      </c>
      <c r="V63" s="99">
        <v>5000</v>
      </c>
      <c r="W63" s="99">
        <v>5000</v>
      </c>
      <c r="X63" s="99"/>
      <c r="Y63" s="99"/>
      <c r="Z63" s="99"/>
      <c r="AA63" s="99"/>
      <c r="AB63" s="99"/>
      <c r="AC63" s="77">
        <f t="shared" si="91"/>
        <v>85000</v>
      </c>
      <c r="AD63" s="11"/>
      <c r="AE63" s="215" t="s">
        <v>6</v>
      </c>
      <c r="AF63" s="11" t="str">
        <f t="shared" si="92"/>
        <v>發明</v>
      </c>
      <c r="AG63" s="14" t="str">
        <f t="shared" si="93"/>
        <v>NTD</v>
      </c>
      <c r="AH63" s="11">
        <f t="shared" si="95"/>
        <v>0</v>
      </c>
      <c r="AI63" s="77">
        <f t="shared" si="96"/>
        <v>0</v>
      </c>
      <c r="AJ63" s="77">
        <f t="shared" si="68"/>
        <v>0</v>
      </c>
      <c r="AK63" s="77">
        <f t="shared" si="69"/>
        <v>5000</v>
      </c>
      <c r="AL63" s="77">
        <f t="shared" si="70"/>
        <v>10000</v>
      </c>
      <c r="AM63" s="77">
        <f t="shared" si="71"/>
        <v>15000</v>
      </c>
      <c r="AN63" s="77">
        <f t="shared" si="72"/>
        <v>20000</v>
      </c>
      <c r="AO63" s="77">
        <f t="shared" si="73"/>
        <v>25000</v>
      </c>
      <c r="AP63" s="77">
        <f t="shared" si="74"/>
        <v>30000</v>
      </c>
      <c r="AQ63" s="77">
        <f t="shared" si="75"/>
        <v>35000</v>
      </c>
      <c r="AR63" s="77">
        <f t="shared" si="76"/>
        <v>40000</v>
      </c>
      <c r="AS63" s="77">
        <f t="shared" si="77"/>
        <v>45000</v>
      </c>
      <c r="AT63" s="77">
        <f t="shared" si="78"/>
        <v>50000</v>
      </c>
      <c r="AU63" s="77">
        <f t="shared" si="79"/>
        <v>55000</v>
      </c>
      <c r="AV63" s="77">
        <f t="shared" si="80"/>
        <v>60000</v>
      </c>
      <c r="AW63" s="77">
        <f t="shared" si="81"/>
        <v>65000</v>
      </c>
      <c r="AX63" s="77">
        <f t="shared" si="82"/>
        <v>70000</v>
      </c>
      <c r="AY63" s="77">
        <f t="shared" si="83"/>
        <v>75000</v>
      </c>
      <c r="AZ63" s="77">
        <f t="shared" si="84"/>
        <v>80000</v>
      </c>
      <c r="BA63" s="77">
        <f t="shared" si="85"/>
        <v>85000</v>
      </c>
      <c r="BB63" s="77">
        <f t="shared" si="86"/>
        <v>85000</v>
      </c>
      <c r="BC63" s="77">
        <f t="shared" si="87"/>
        <v>85000</v>
      </c>
      <c r="BD63" s="77">
        <f t="shared" si="88"/>
        <v>85000</v>
      </c>
      <c r="BE63" s="77">
        <f t="shared" si="89"/>
        <v>85000</v>
      </c>
      <c r="BF63" s="77">
        <f t="shared" si="90"/>
        <v>85000</v>
      </c>
      <c r="BG63" s="77">
        <f t="shared" si="94"/>
        <v>85000</v>
      </c>
    </row>
    <row r="64" spans="1:59" x14ac:dyDescent="0.25">
      <c r="A64" s="216"/>
      <c r="B64" s="11" t="str">
        <f>'P(M)'!B24</f>
        <v>新型</v>
      </c>
      <c r="C64" s="3" t="s">
        <v>14</v>
      </c>
      <c r="D64" s="99"/>
      <c r="E64" s="99"/>
      <c r="F64" s="99"/>
      <c r="G64" s="99">
        <v>5000</v>
      </c>
      <c r="H64" s="99">
        <v>5000</v>
      </c>
      <c r="I64" s="99">
        <v>5000</v>
      </c>
      <c r="J64" s="99">
        <v>5000</v>
      </c>
      <c r="K64" s="99">
        <v>5000</v>
      </c>
      <c r="L64" s="99">
        <v>5000</v>
      </c>
      <c r="M64" s="99">
        <v>5000</v>
      </c>
      <c r="N64" s="99"/>
      <c r="O64" s="99"/>
      <c r="P64" s="99"/>
      <c r="Q64" s="99"/>
      <c r="R64" s="99"/>
      <c r="S64" s="99"/>
      <c r="T64" s="99"/>
      <c r="U64" s="99"/>
      <c r="V64" s="99"/>
      <c r="W64" s="99"/>
      <c r="X64" s="99"/>
      <c r="Y64" s="99"/>
      <c r="Z64" s="99"/>
      <c r="AA64" s="99"/>
      <c r="AB64" s="99"/>
      <c r="AC64" s="77">
        <f t="shared" si="91"/>
        <v>35000</v>
      </c>
      <c r="AD64" s="11"/>
      <c r="AE64" s="216"/>
      <c r="AF64" s="11" t="str">
        <f t="shared" si="92"/>
        <v>新型</v>
      </c>
      <c r="AG64" s="14" t="str">
        <f t="shared" si="93"/>
        <v>NTD</v>
      </c>
      <c r="AH64" s="11">
        <f t="shared" si="95"/>
        <v>0</v>
      </c>
      <c r="AI64" s="77">
        <f t="shared" si="96"/>
        <v>0</v>
      </c>
      <c r="AJ64" s="77">
        <f t="shared" si="68"/>
        <v>0</v>
      </c>
      <c r="AK64" s="77">
        <f t="shared" si="69"/>
        <v>5000</v>
      </c>
      <c r="AL64" s="77">
        <f t="shared" si="70"/>
        <v>10000</v>
      </c>
      <c r="AM64" s="77">
        <f t="shared" si="71"/>
        <v>15000</v>
      </c>
      <c r="AN64" s="77">
        <f t="shared" si="72"/>
        <v>20000</v>
      </c>
      <c r="AO64" s="77">
        <f t="shared" si="73"/>
        <v>25000</v>
      </c>
      <c r="AP64" s="77">
        <f t="shared" si="74"/>
        <v>30000</v>
      </c>
      <c r="AQ64" s="77">
        <f t="shared" si="75"/>
        <v>35000</v>
      </c>
      <c r="AR64" s="77">
        <f t="shared" si="76"/>
        <v>35000</v>
      </c>
      <c r="AS64" s="77">
        <f t="shared" si="77"/>
        <v>35000</v>
      </c>
      <c r="AT64" s="77">
        <f t="shared" si="78"/>
        <v>35000</v>
      </c>
      <c r="AU64" s="77">
        <f t="shared" si="79"/>
        <v>35000</v>
      </c>
      <c r="AV64" s="77">
        <f t="shared" si="80"/>
        <v>35000</v>
      </c>
      <c r="AW64" s="77">
        <f t="shared" si="81"/>
        <v>35000</v>
      </c>
      <c r="AX64" s="77">
        <f t="shared" si="82"/>
        <v>35000</v>
      </c>
      <c r="AY64" s="77">
        <f t="shared" si="83"/>
        <v>35000</v>
      </c>
      <c r="AZ64" s="77">
        <f t="shared" si="84"/>
        <v>35000</v>
      </c>
      <c r="BA64" s="77">
        <f t="shared" si="85"/>
        <v>35000</v>
      </c>
      <c r="BB64" s="77">
        <f t="shared" si="86"/>
        <v>35000</v>
      </c>
      <c r="BC64" s="77">
        <f t="shared" si="87"/>
        <v>35000</v>
      </c>
      <c r="BD64" s="77">
        <f t="shared" si="88"/>
        <v>35000</v>
      </c>
      <c r="BE64" s="77">
        <f t="shared" si="89"/>
        <v>35000</v>
      </c>
      <c r="BF64" s="77">
        <f t="shared" si="90"/>
        <v>35000</v>
      </c>
      <c r="BG64" s="77">
        <f t="shared" si="94"/>
        <v>35000</v>
      </c>
    </row>
    <row r="65" spans="1:59" x14ac:dyDescent="0.25">
      <c r="A65" s="215" t="s">
        <v>7</v>
      </c>
      <c r="B65" s="11" t="str">
        <f>'P(M)'!B25</f>
        <v>發明</v>
      </c>
      <c r="C65" s="3" t="s">
        <v>14</v>
      </c>
      <c r="D65" s="99"/>
      <c r="E65" s="99"/>
      <c r="F65" s="99"/>
      <c r="G65" s="99">
        <v>5000</v>
      </c>
      <c r="H65" s="99">
        <v>5000</v>
      </c>
      <c r="I65" s="99">
        <v>5000</v>
      </c>
      <c r="J65" s="99">
        <v>5000</v>
      </c>
      <c r="K65" s="99">
        <v>5000</v>
      </c>
      <c r="L65" s="99">
        <v>5000</v>
      </c>
      <c r="M65" s="99">
        <v>5000</v>
      </c>
      <c r="N65" s="99">
        <v>5000</v>
      </c>
      <c r="O65" s="99">
        <v>5000</v>
      </c>
      <c r="P65" s="99">
        <v>5000</v>
      </c>
      <c r="Q65" s="99">
        <v>5000</v>
      </c>
      <c r="R65" s="99">
        <v>5000</v>
      </c>
      <c r="S65" s="99">
        <v>5000</v>
      </c>
      <c r="T65" s="99">
        <v>5000</v>
      </c>
      <c r="U65" s="99">
        <v>5000</v>
      </c>
      <c r="V65" s="99">
        <v>5000</v>
      </c>
      <c r="W65" s="99">
        <v>5000</v>
      </c>
      <c r="X65" s="99"/>
      <c r="Y65" s="99"/>
      <c r="Z65" s="99"/>
      <c r="AA65" s="99"/>
      <c r="AB65" s="99"/>
      <c r="AC65" s="77">
        <f t="shared" si="91"/>
        <v>85000</v>
      </c>
      <c r="AD65" s="11"/>
      <c r="AE65" s="215" t="s">
        <v>7</v>
      </c>
      <c r="AF65" s="11" t="str">
        <f t="shared" si="92"/>
        <v>發明</v>
      </c>
      <c r="AG65" s="14" t="str">
        <f t="shared" si="93"/>
        <v>NTD</v>
      </c>
      <c r="AH65" s="11">
        <f t="shared" si="95"/>
        <v>0</v>
      </c>
      <c r="AI65" s="77">
        <f t="shared" si="96"/>
        <v>0</v>
      </c>
      <c r="AJ65" s="77">
        <f t="shared" si="68"/>
        <v>0</v>
      </c>
      <c r="AK65" s="77">
        <f t="shared" si="69"/>
        <v>5000</v>
      </c>
      <c r="AL65" s="77">
        <f t="shared" si="70"/>
        <v>10000</v>
      </c>
      <c r="AM65" s="77">
        <f t="shared" si="71"/>
        <v>15000</v>
      </c>
      <c r="AN65" s="77">
        <f t="shared" si="72"/>
        <v>20000</v>
      </c>
      <c r="AO65" s="77">
        <f t="shared" si="73"/>
        <v>25000</v>
      </c>
      <c r="AP65" s="77">
        <f t="shared" si="74"/>
        <v>30000</v>
      </c>
      <c r="AQ65" s="77">
        <f t="shared" si="75"/>
        <v>35000</v>
      </c>
      <c r="AR65" s="77">
        <f t="shared" si="76"/>
        <v>40000</v>
      </c>
      <c r="AS65" s="77">
        <f t="shared" si="77"/>
        <v>45000</v>
      </c>
      <c r="AT65" s="77">
        <f t="shared" si="78"/>
        <v>50000</v>
      </c>
      <c r="AU65" s="77">
        <f t="shared" si="79"/>
        <v>55000</v>
      </c>
      <c r="AV65" s="77">
        <f t="shared" si="80"/>
        <v>60000</v>
      </c>
      <c r="AW65" s="77">
        <f t="shared" si="81"/>
        <v>65000</v>
      </c>
      <c r="AX65" s="77">
        <f t="shared" si="82"/>
        <v>70000</v>
      </c>
      <c r="AY65" s="77">
        <f t="shared" si="83"/>
        <v>75000</v>
      </c>
      <c r="AZ65" s="77">
        <f t="shared" si="84"/>
        <v>80000</v>
      </c>
      <c r="BA65" s="77">
        <f t="shared" si="85"/>
        <v>85000</v>
      </c>
      <c r="BB65" s="77">
        <f t="shared" si="86"/>
        <v>85000</v>
      </c>
      <c r="BC65" s="77">
        <f t="shared" si="87"/>
        <v>85000</v>
      </c>
      <c r="BD65" s="77">
        <f t="shared" si="88"/>
        <v>85000</v>
      </c>
      <c r="BE65" s="77">
        <f t="shared" si="89"/>
        <v>85000</v>
      </c>
      <c r="BF65" s="77">
        <f t="shared" si="90"/>
        <v>85000</v>
      </c>
      <c r="BG65" s="77">
        <f t="shared" si="94"/>
        <v>85000</v>
      </c>
    </row>
    <row r="66" spans="1:59" x14ac:dyDescent="0.25">
      <c r="A66" s="216"/>
      <c r="B66" s="11" t="str">
        <f>'P(M)'!B26</f>
        <v>新型</v>
      </c>
      <c r="C66" s="3" t="s">
        <v>14</v>
      </c>
      <c r="D66" s="99"/>
      <c r="E66" s="99"/>
      <c r="F66" s="99"/>
      <c r="G66" s="99">
        <v>5000</v>
      </c>
      <c r="H66" s="99">
        <v>5000</v>
      </c>
      <c r="I66" s="99">
        <v>5000</v>
      </c>
      <c r="J66" s="99">
        <v>5000</v>
      </c>
      <c r="K66" s="99">
        <v>5000</v>
      </c>
      <c r="L66" s="99">
        <v>5000</v>
      </c>
      <c r="M66" s="99">
        <v>5000</v>
      </c>
      <c r="N66" s="99">
        <v>5000</v>
      </c>
      <c r="O66" s="99">
        <v>5000</v>
      </c>
      <c r="P66" s="99">
        <v>5000</v>
      </c>
      <c r="Q66" s="99">
        <v>5000</v>
      </c>
      <c r="R66" s="99">
        <v>5000</v>
      </c>
      <c r="S66" s="99"/>
      <c r="T66" s="99"/>
      <c r="U66" s="99"/>
      <c r="V66" s="99"/>
      <c r="W66" s="99"/>
      <c r="X66" s="99"/>
      <c r="Y66" s="99"/>
      <c r="Z66" s="99"/>
      <c r="AA66" s="99"/>
      <c r="AB66" s="99"/>
      <c r="AC66" s="77">
        <f t="shared" si="91"/>
        <v>60000</v>
      </c>
      <c r="AD66" s="11"/>
      <c r="AE66" s="216"/>
      <c r="AF66" s="11" t="str">
        <f t="shared" si="92"/>
        <v>新型</v>
      </c>
      <c r="AG66" s="14" t="str">
        <f t="shared" si="93"/>
        <v>NTD</v>
      </c>
      <c r="AH66" s="11">
        <f t="shared" si="95"/>
        <v>0</v>
      </c>
      <c r="AI66" s="77">
        <f t="shared" si="96"/>
        <v>0</v>
      </c>
      <c r="AJ66" s="77">
        <f t="shared" si="68"/>
        <v>0</v>
      </c>
      <c r="AK66" s="77">
        <f t="shared" si="69"/>
        <v>5000</v>
      </c>
      <c r="AL66" s="77">
        <f t="shared" si="70"/>
        <v>10000</v>
      </c>
      <c r="AM66" s="77">
        <f t="shared" si="71"/>
        <v>15000</v>
      </c>
      <c r="AN66" s="77">
        <f t="shared" si="72"/>
        <v>20000</v>
      </c>
      <c r="AO66" s="77">
        <f t="shared" si="73"/>
        <v>25000</v>
      </c>
      <c r="AP66" s="77">
        <f t="shared" si="74"/>
        <v>30000</v>
      </c>
      <c r="AQ66" s="77">
        <f t="shared" si="75"/>
        <v>35000</v>
      </c>
      <c r="AR66" s="77">
        <f t="shared" si="76"/>
        <v>40000</v>
      </c>
      <c r="AS66" s="77">
        <f t="shared" si="77"/>
        <v>45000</v>
      </c>
      <c r="AT66" s="77">
        <f t="shared" si="78"/>
        <v>50000</v>
      </c>
      <c r="AU66" s="77">
        <f t="shared" si="79"/>
        <v>55000</v>
      </c>
      <c r="AV66" s="77">
        <f t="shared" si="80"/>
        <v>60000</v>
      </c>
      <c r="AW66" s="77">
        <f t="shared" si="81"/>
        <v>60000</v>
      </c>
      <c r="AX66" s="77">
        <f t="shared" si="82"/>
        <v>60000</v>
      </c>
      <c r="AY66" s="77">
        <f t="shared" si="83"/>
        <v>60000</v>
      </c>
      <c r="AZ66" s="77">
        <f t="shared" si="84"/>
        <v>60000</v>
      </c>
      <c r="BA66" s="77">
        <f t="shared" si="85"/>
        <v>60000</v>
      </c>
      <c r="BB66" s="77">
        <f t="shared" si="86"/>
        <v>60000</v>
      </c>
      <c r="BC66" s="77">
        <f t="shared" si="87"/>
        <v>60000</v>
      </c>
      <c r="BD66" s="77">
        <f t="shared" si="88"/>
        <v>60000</v>
      </c>
      <c r="BE66" s="77">
        <f t="shared" si="89"/>
        <v>60000</v>
      </c>
      <c r="BF66" s="77">
        <f t="shared" si="90"/>
        <v>60000</v>
      </c>
      <c r="BG66" s="77">
        <f t="shared" si="94"/>
        <v>60000</v>
      </c>
    </row>
    <row r="67" spans="1:59" x14ac:dyDescent="0.25">
      <c r="A67" s="3" t="s">
        <v>42</v>
      </c>
      <c r="B67" s="11" t="str">
        <f>'P(M)'!B27</f>
        <v>發明</v>
      </c>
      <c r="C67" s="3" t="s">
        <v>14</v>
      </c>
      <c r="D67" s="99"/>
      <c r="E67" s="99">
        <v>5000</v>
      </c>
      <c r="F67" s="99">
        <v>5000</v>
      </c>
      <c r="G67" s="99">
        <v>5000</v>
      </c>
      <c r="H67" s="99">
        <v>5000</v>
      </c>
      <c r="I67" s="99">
        <v>5000</v>
      </c>
      <c r="J67" s="99">
        <v>5000</v>
      </c>
      <c r="K67" s="99">
        <v>5000</v>
      </c>
      <c r="L67" s="99">
        <v>5000</v>
      </c>
      <c r="M67" s="99">
        <v>5000</v>
      </c>
      <c r="N67" s="99">
        <v>5000</v>
      </c>
      <c r="O67" s="99">
        <v>5000</v>
      </c>
      <c r="P67" s="99">
        <v>5000</v>
      </c>
      <c r="Q67" s="99">
        <v>5000</v>
      </c>
      <c r="R67" s="99">
        <v>5000</v>
      </c>
      <c r="S67" s="99">
        <v>5000</v>
      </c>
      <c r="T67" s="99">
        <v>5000</v>
      </c>
      <c r="U67" s="99">
        <v>5000</v>
      </c>
      <c r="V67" s="99">
        <v>5000</v>
      </c>
      <c r="W67" s="99"/>
      <c r="X67" s="99"/>
      <c r="Y67" s="99"/>
      <c r="Z67" s="99"/>
      <c r="AA67" s="99"/>
      <c r="AB67" s="99"/>
      <c r="AC67" s="77">
        <f>SUM(D67:AB67)</f>
        <v>90000</v>
      </c>
      <c r="AD67" s="11"/>
      <c r="AE67" s="3" t="s">
        <v>42</v>
      </c>
      <c r="AF67" s="11" t="str">
        <f>B67</f>
        <v>發明</v>
      </c>
      <c r="AG67" s="14" t="str">
        <f>C67</f>
        <v>NTD</v>
      </c>
      <c r="AH67" s="11">
        <f>D67</f>
        <v>0</v>
      </c>
      <c r="AI67" s="77">
        <f t="shared" ref="AI67:BF67" si="99">AH67+E67</f>
        <v>5000</v>
      </c>
      <c r="AJ67" s="77">
        <f t="shared" si="99"/>
        <v>10000</v>
      </c>
      <c r="AK67" s="77">
        <f t="shared" si="99"/>
        <v>15000</v>
      </c>
      <c r="AL67" s="77">
        <f t="shared" si="99"/>
        <v>20000</v>
      </c>
      <c r="AM67" s="77">
        <f t="shared" si="99"/>
        <v>25000</v>
      </c>
      <c r="AN67" s="77">
        <f t="shared" si="99"/>
        <v>30000</v>
      </c>
      <c r="AO67" s="77">
        <f t="shared" si="99"/>
        <v>35000</v>
      </c>
      <c r="AP67" s="77">
        <f t="shared" si="99"/>
        <v>40000</v>
      </c>
      <c r="AQ67" s="77">
        <f t="shared" si="99"/>
        <v>45000</v>
      </c>
      <c r="AR67" s="77">
        <f t="shared" si="99"/>
        <v>50000</v>
      </c>
      <c r="AS67" s="77">
        <f t="shared" si="99"/>
        <v>55000</v>
      </c>
      <c r="AT67" s="77">
        <f t="shared" si="99"/>
        <v>60000</v>
      </c>
      <c r="AU67" s="77">
        <f t="shared" si="99"/>
        <v>65000</v>
      </c>
      <c r="AV67" s="77">
        <f t="shared" si="99"/>
        <v>70000</v>
      </c>
      <c r="AW67" s="77">
        <f t="shared" si="99"/>
        <v>75000</v>
      </c>
      <c r="AX67" s="77">
        <f t="shared" si="99"/>
        <v>80000</v>
      </c>
      <c r="AY67" s="77">
        <f t="shared" si="99"/>
        <v>85000</v>
      </c>
      <c r="AZ67" s="77">
        <f t="shared" si="99"/>
        <v>90000</v>
      </c>
      <c r="BA67" s="77">
        <f t="shared" si="99"/>
        <v>90000</v>
      </c>
      <c r="BB67" s="77">
        <f t="shared" si="99"/>
        <v>90000</v>
      </c>
      <c r="BC67" s="77">
        <f t="shared" si="99"/>
        <v>90000</v>
      </c>
      <c r="BD67" s="77">
        <f t="shared" si="99"/>
        <v>90000</v>
      </c>
      <c r="BE67" s="77">
        <f t="shared" si="99"/>
        <v>90000</v>
      </c>
      <c r="BF67" s="77">
        <f t="shared" si="99"/>
        <v>90000</v>
      </c>
      <c r="BG67" s="77">
        <f>BF67</f>
        <v>90000</v>
      </c>
    </row>
    <row r="68" spans="1:59" x14ac:dyDescent="0.25">
      <c r="A68" s="3" t="s">
        <v>8</v>
      </c>
      <c r="B68" s="11" t="str">
        <f>'P(M)'!B28</f>
        <v>發明</v>
      </c>
      <c r="C68" s="3" t="s">
        <v>14</v>
      </c>
      <c r="D68" s="99"/>
      <c r="E68" s="99"/>
      <c r="F68" s="99"/>
      <c r="G68" s="99"/>
      <c r="H68" s="99">
        <v>5000</v>
      </c>
      <c r="I68" s="99">
        <v>5000</v>
      </c>
      <c r="J68" s="99">
        <v>5000</v>
      </c>
      <c r="K68" s="99">
        <v>5000</v>
      </c>
      <c r="L68" s="99">
        <v>5000</v>
      </c>
      <c r="M68" s="99">
        <v>5000</v>
      </c>
      <c r="N68" s="99">
        <v>5000</v>
      </c>
      <c r="O68" s="99">
        <v>5000</v>
      </c>
      <c r="P68" s="99">
        <v>5000</v>
      </c>
      <c r="Q68" s="99">
        <v>5000</v>
      </c>
      <c r="R68" s="99">
        <v>5000</v>
      </c>
      <c r="S68" s="99">
        <v>5000</v>
      </c>
      <c r="T68" s="99">
        <v>5000</v>
      </c>
      <c r="U68" s="99">
        <v>5000</v>
      </c>
      <c r="V68" s="99">
        <v>5000</v>
      </c>
      <c r="W68" s="99">
        <v>5000</v>
      </c>
      <c r="X68" s="99"/>
      <c r="Y68" s="99"/>
      <c r="Z68" s="99"/>
      <c r="AA68" s="99"/>
      <c r="AB68" s="99"/>
      <c r="AC68" s="77">
        <f t="shared" si="91"/>
        <v>80000</v>
      </c>
      <c r="AD68" s="11"/>
      <c r="AE68" s="3" t="s">
        <v>8</v>
      </c>
      <c r="AF68" s="11" t="str">
        <f t="shared" si="92"/>
        <v>發明</v>
      </c>
      <c r="AG68" s="14" t="str">
        <f t="shared" si="93"/>
        <v>NTD</v>
      </c>
      <c r="AH68" s="11">
        <f t="shared" si="95"/>
        <v>0</v>
      </c>
      <c r="AI68" s="77">
        <f t="shared" si="96"/>
        <v>0</v>
      </c>
      <c r="AJ68" s="77">
        <f t="shared" si="68"/>
        <v>0</v>
      </c>
      <c r="AK68" s="77">
        <f t="shared" si="69"/>
        <v>0</v>
      </c>
      <c r="AL68" s="77">
        <f t="shared" si="70"/>
        <v>5000</v>
      </c>
      <c r="AM68" s="77">
        <f t="shared" si="71"/>
        <v>10000</v>
      </c>
      <c r="AN68" s="77">
        <f t="shared" si="72"/>
        <v>15000</v>
      </c>
      <c r="AO68" s="77">
        <f t="shared" si="73"/>
        <v>20000</v>
      </c>
      <c r="AP68" s="77">
        <f t="shared" si="74"/>
        <v>25000</v>
      </c>
      <c r="AQ68" s="77">
        <f t="shared" si="75"/>
        <v>30000</v>
      </c>
      <c r="AR68" s="77">
        <f t="shared" si="76"/>
        <v>35000</v>
      </c>
      <c r="AS68" s="77">
        <f t="shared" si="77"/>
        <v>40000</v>
      </c>
      <c r="AT68" s="77">
        <f t="shared" si="78"/>
        <v>45000</v>
      </c>
      <c r="AU68" s="77">
        <f t="shared" si="79"/>
        <v>50000</v>
      </c>
      <c r="AV68" s="77">
        <f t="shared" si="80"/>
        <v>55000</v>
      </c>
      <c r="AW68" s="77">
        <f t="shared" si="81"/>
        <v>60000</v>
      </c>
      <c r="AX68" s="77">
        <f t="shared" si="82"/>
        <v>65000</v>
      </c>
      <c r="AY68" s="77">
        <f t="shared" si="83"/>
        <v>70000</v>
      </c>
      <c r="AZ68" s="77">
        <f t="shared" si="84"/>
        <v>75000</v>
      </c>
      <c r="BA68" s="77">
        <f t="shared" si="85"/>
        <v>80000</v>
      </c>
      <c r="BB68" s="77">
        <f t="shared" si="86"/>
        <v>80000</v>
      </c>
      <c r="BC68" s="77">
        <f t="shared" si="87"/>
        <v>80000</v>
      </c>
      <c r="BD68" s="77">
        <f t="shared" si="88"/>
        <v>80000</v>
      </c>
      <c r="BE68" s="77">
        <f t="shared" si="89"/>
        <v>80000</v>
      </c>
      <c r="BF68" s="77">
        <f t="shared" si="90"/>
        <v>80000</v>
      </c>
      <c r="BG68" s="77">
        <f t="shared" si="94"/>
        <v>80000</v>
      </c>
    </row>
    <row r="69" spans="1:59" x14ac:dyDescent="0.25">
      <c r="A69" s="215" t="s">
        <v>11</v>
      </c>
      <c r="B69" s="11" t="str">
        <f>'P(M)'!B29</f>
        <v>發明</v>
      </c>
      <c r="C69" s="3" t="s">
        <v>14</v>
      </c>
      <c r="D69" s="99"/>
      <c r="E69" s="99">
        <v>5000</v>
      </c>
      <c r="F69" s="99">
        <v>5000</v>
      </c>
      <c r="G69" s="99">
        <v>5000</v>
      </c>
      <c r="H69" s="99">
        <v>5000</v>
      </c>
      <c r="I69" s="99">
        <v>5000</v>
      </c>
      <c r="J69" s="99">
        <v>5000</v>
      </c>
      <c r="K69" s="99">
        <v>5000</v>
      </c>
      <c r="L69" s="99">
        <v>5000</v>
      </c>
      <c r="M69" s="99">
        <v>5000</v>
      </c>
      <c r="N69" s="99">
        <v>5000</v>
      </c>
      <c r="O69" s="99">
        <v>5000</v>
      </c>
      <c r="P69" s="99">
        <v>5000</v>
      </c>
      <c r="Q69" s="99">
        <v>5000</v>
      </c>
      <c r="R69" s="99">
        <v>5000</v>
      </c>
      <c r="S69" s="99">
        <v>5000</v>
      </c>
      <c r="T69" s="99">
        <v>5000</v>
      </c>
      <c r="U69" s="99">
        <v>5000</v>
      </c>
      <c r="V69" s="99">
        <v>5000</v>
      </c>
      <c r="W69" s="99">
        <v>5000</v>
      </c>
      <c r="X69" s="99"/>
      <c r="Y69" s="99"/>
      <c r="Z69" s="99"/>
      <c r="AA69" s="99"/>
      <c r="AB69" s="99"/>
      <c r="AC69" s="77">
        <f>SUM(D69:AB69)</f>
        <v>95000</v>
      </c>
      <c r="AD69" s="11"/>
      <c r="AE69" s="215" t="s">
        <v>11</v>
      </c>
      <c r="AF69" s="11" t="str">
        <f t="shared" ref="AF69:AH70" si="100">B69</f>
        <v>發明</v>
      </c>
      <c r="AG69" s="14" t="str">
        <f t="shared" si="100"/>
        <v>NTD</v>
      </c>
      <c r="AH69" s="11">
        <f t="shared" si="100"/>
        <v>0</v>
      </c>
      <c r="AI69" s="77">
        <f t="shared" ref="AI69:AR70" si="101">AH69+E69</f>
        <v>5000</v>
      </c>
      <c r="AJ69" s="77">
        <f t="shared" si="101"/>
        <v>10000</v>
      </c>
      <c r="AK69" s="77">
        <f t="shared" si="101"/>
        <v>15000</v>
      </c>
      <c r="AL69" s="77">
        <f t="shared" si="101"/>
        <v>20000</v>
      </c>
      <c r="AM69" s="77">
        <f t="shared" si="101"/>
        <v>25000</v>
      </c>
      <c r="AN69" s="77">
        <f t="shared" si="101"/>
        <v>30000</v>
      </c>
      <c r="AO69" s="77">
        <f t="shared" si="101"/>
        <v>35000</v>
      </c>
      <c r="AP69" s="77">
        <f t="shared" si="101"/>
        <v>40000</v>
      </c>
      <c r="AQ69" s="77">
        <f t="shared" si="101"/>
        <v>45000</v>
      </c>
      <c r="AR69" s="77">
        <f t="shared" si="101"/>
        <v>50000</v>
      </c>
      <c r="AS69" s="77">
        <f t="shared" si="77"/>
        <v>55000</v>
      </c>
      <c r="AT69" s="77">
        <f t="shared" si="78"/>
        <v>60000</v>
      </c>
      <c r="AU69" s="77">
        <f t="shared" si="79"/>
        <v>65000</v>
      </c>
      <c r="AV69" s="77">
        <f t="shared" si="80"/>
        <v>70000</v>
      </c>
      <c r="AW69" s="77">
        <f t="shared" si="81"/>
        <v>75000</v>
      </c>
      <c r="AX69" s="77">
        <f t="shared" si="82"/>
        <v>80000</v>
      </c>
      <c r="AY69" s="77">
        <f t="shared" si="83"/>
        <v>85000</v>
      </c>
      <c r="AZ69" s="77">
        <f t="shared" si="84"/>
        <v>90000</v>
      </c>
      <c r="BA69" s="77">
        <f t="shared" si="85"/>
        <v>95000</v>
      </c>
      <c r="BB69" s="77">
        <f t="shared" si="86"/>
        <v>95000</v>
      </c>
      <c r="BC69" s="77">
        <f t="shared" si="87"/>
        <v>95000</v>
      </c>
      <c r="BD69" s="77">
        <f t="shared" si="88"/>
        <v>95000</v>
      </c>
      <c r="BE69" s="77">
        <f t="shared" si="89"/>
        <v>95000</v>
      </c>
      <c r="BF69" s="77">
        <f t="shared" si="90"/>
        <v>95000</v>
      </c>
      <c r="BG69" s="77">
        <f>BF69</f>
        <v>95000</v>
      </c>
    </row>
    <row r="70" spans="1:59" x14ac:dyDescent="0.25">
      <c r="A70" s="216"/>
      <c r="B70" s="11" t="str">
        <f>'P(M)'!B30</f>
        <v>新型</v>
      </c>
      <c r="C70" s="3" t="s">
        <v>14</v>
      </c>
      <c r="D70" s="99"/>
      <c r="E70" s="99"/>
      <c r="F70" s="99">
        <v>5000</v>
      </c>
      <c r="G70" s="99">
        <v>5000</v>
      </c>
      <c r="H70" s="99">
        <v>5000</v>
      </c>
      <c r="I70" s="99">
        <v>5000</v>
      </c>
      <c r="J70" s="99">
        <v>5000</v>
      </c>
      <c r="K70" s="99">
        <v>5000</v>
      </c>
      <c r="L70" s="99">
        <v>5000</v>
      </c>
      <c r="M70" s="99">
        <v>5000</v>
      </c>
      <c r="N70" s="99">
        <v>5000</v>
      </c>
      <c r="O70" s="99">
        <v>5000</v>
      </c>
      <c r="P70" s="99">
        <v>5000</v>
      </c>
      <c r="Q70" s="99">
        <v>5000</v>
      </c>
      <c r="R70" s="99">
        <v>5000</v>
      </c>
      <c r="S70" s="99">
        <v>5000</v>
      </c>
      <c r="T70" s="99">
        <v>5000</v>
      </c>
      <c r="U70" s="99">
        <v>5000</v>
      </c>
      <c r="V70" s="99">
        <v>5000</v>
      </c>
      <c r="W70" s="99">
        <v>5000</v>
      </c>
      <c r="X70" s="99"/>
      <c r="Y70" s="99"/>
      <c r="Z70" s="99"/>
      <c r="AA70" s="99"/>
      <c r="AB70" s="99"/>
      <c r="AC70" s="77">
        <f>SUM(D70:AB70)</f>
        <v>90000</v>
      </c>
      <c r="AD70" s="11"/>
      <c r="AE70" s="216"/>
      <c r="AF70" s="11" t="str">
        <f t="shared" si="100"/>
        <v>新型</v>
      </c>
      <c r="AG70" s="14" t="str">
        <f t="shared" si="100"/>
        <v>NTD</v>
      </c>
      <c r="AH70" s="11">
        <f t="shared" si="100"/>
        <v>0</v>
      </c>
      <c r="AI70" s="77">
        <f t="shared" si="101"/>
        <v>0</v>
      </c>
      <c r="AJ70" s="77">
        <f t="shared" si="101"/>
        <v>5000</v>
      </c>
      <c r="AK70" s="77">
        <f t="shared" si="101"/>
        <v>10000</v>
      </c>
      <c r="AL70" s="77">
        <f t="shared" si="101"/>
        <v>15000</v>
      </c>
      <c r="AM70" s="77">
        <f t="shared" si="101"/>
        <v>20000</v>
      </c>
      <c r="AN70" s="77">
        <f t="shared" si="101"/>
        <v>25000</v>
      </c>
      <c r="AO70" s="77">
        <f t="shared" si="101"/>
        <v>30000</v>
      </c>
      <c r="AP70" s="77">
        <f t="shared" si="101"/>
        <v>35000</v>
      </c>
      <c r="AQ70" s="77">
        <f t="shared" si="101"/>
        <v>40000</v>
      </c>
      <c r="AR70" s="77">
        <f t="shared" si="101"/>
        <v>45000</v>
      </c>
      <c r="AS70" s="77">
        <f t="shared" si="77"/>
        <v>50000</v>
      </c>
      <c r="AT70" s="77">
        <f t="shared" si="78"/>
        <v>55000</v>
      </c>
      <c r="AU70" s="77">
        <f t="shared" si="79"/>
        <v>60000</v>
      </c>
      <c r="AV70" s="77">
        <f t="shared" si="80"/>
        <v>65000</v>
      </c>
      <c r="AW70" s="77">
        <f t="shared" si="81"/>
        <v>70000</v>
      </c>
      <c r="AX70" s="77">
        <f t="shared" si="82"/>
        <v>75000</v>
      </c>
      <c r="AY70" s="77">
        <f t="shared" si="83"/>
        <v>80000</v>
      </c>
      <c r="AZ70" s="77">
        <f t="shared" si="84"/>
        <v>85000</v>
      </c>
      <c r="BA70" s="77">
        <f t="shared" si="85"/>
        <v>90000</v>
      </c>
      <c r="BB70" s="77">
        <f t="shared" si="86"/>
        <v>90000</v>
      </c>
      <c r="BC70" s="77">
        <f t="shared" si="87"/>
        <v>90000</v>
      </c>
      <c r="BD70" s="77">
        <f t="shared" si="88"/>
        <v>90000</v>
      </c>
      <c r="BE70" s="77">
        <f t="shared" si="89"/>
        <v>90000</v>
      </c>
      <c r="BF70" s="77">
        <f t="shared" si="90"/>
        <v>90000</v>
      </c>
      <c r="BG70" s="77">
        <f>BF70</f>
        <v>90000</v>
      </c>
    </row>
    <row r="71" spans="1:59" x14ac:dyDescent="0.25">
      <c r="A71" s="54" t="s">
        <v>146</v>
      </c>
      <c r="B71" s="11" t="str">
        <f>'P(M)'!B31</f>
        <v>發明</v>
      </c>
      <c r="C71" s="3" t="s">
        <v>14</v>
      </c>
      <c r="D71" s="99"/>
      <c r="E71" s="99"/>
      <c r="F71" s="99"/>
      <c r="G71" s="99"/>
      <c r="H71" s="99">
        <v>5000</v>
      </c>
      <c r="I71" s="99">
        <v>5000</v>
      </c>
      <c r="J71" s="99">
        <v>5000</v>
      </c>
      <c r="K71" s="99">
        <v>5000</v>
      </c>
      <c r="L71" s="99">
        <v>5000</v>
      </c>
      <c r="M71" s="99">
        <v>5000</v>
      </c>
      <c r="N71" s="99">
        <v>5000</v>
      </c>
      <c r="O71" s="99">
        <v>5000</v>
      </c>
      <c r="P71" s="99">
        <v>5000</v>
      </c>
      <c r="Q71" s="99">
        <v>5000</v>
      </c>
      <c r="R71" s="99">
        <v>5000</v>
      </c>
      <c r="S71" s="99">
        <v>5000</v>
      </c>
      <c r="T71" s="99">
        <v>5000</v>
      </c>
      <c r="U71" s="99">
        <v>5000</v>
      </c>
      <c r="V71" s="99">
        <v>5000</v>
      </c>
      <c r="W71" s="99">
        <v>5000</v>
      </c>
      <c r="X71" s="99"/>
      <c r="Y71" s="99"/>
      <c r="Z71" s="99"/>
      <c r="AA71" s="99"/>
      <c r="AB71" s="99"/>
      <c r="AC71" s="77">
        <f t="shared" si="91"/>
        <v>80000</v>
      </c>
      <c r="AD71" s="11"/>
      <c r="AE71" s="54" t="s">
        <v>146</v>
      </c>
      <c r="AF71" s="11" t="str">
        <f t="shared" si="92"/>
        <v>發明</v>
      </c>
      <c r="AG71" s="14" t="str">
        <f t="shared" si="93"/>
        <v>NTD</v>
      </c>
      <c r="AH71" s="11">
        <f t="shared" si="95"/>
        <v>0</v>
      </c>
      <c r="AI71" s="77">
        <f t="shared" si="96"/>
        <v>0</v>
      </c>
      <c r="AJ71" s="77">
        <f t="shared" si="68"/>
        <v>0</v>
      </c>
      <c r="AK71" s="77">
        <f t="shared" si="69"/>
        <v>0</v>
      </c>
      <c r="AL71" s="77">
        <f t="shared" si="70"/>
        <v>5000</v>
      </c>
      <c r="AM71" s="77">
        <f t="shared" si="71"/>
        <v>10000</v>
      </c>
      <c r="AN71" s="77">
        <f t="shared" si="72"/>
        <v>15000</v>
      </c>
      <c r="AO71" s="77">
        <f t="shared" si="73"/>
        <v>20000</v>
      </c>
      <c r="AP71" s="77">
        <f t="shared" si="74"/>
        <v>25000</v>
      </c>
      <c r="AQ71" s="77">
        <f t="shared" si="75"/>
        <v>30000</v>
      </c>
      <c r="AR71" s="77">
        <f t="shared" si="76"/>
        <v>35000</v>
      </c>
      <c r="AS71" s="77">
        <f t="shared" si="77"/>
        <v>40000</v>
      </c>
      <c r="AT71" s="77">
        <f t="shared" si="78"/>
        <v>45000</v>
      </c>
      <c r="AU71" s="77">
        <f t="shared" si="79"/>
        <v>50000</v>
      </c>
      <c r="AV71" s="77">
        <f t="shared" si="80"/>
        <v>55000</v>
      </c>
      <c r="AW71" s="77">
        <f t="shared" si="81"/>
        <v>60000</v>
      </c>
      <c r="AX71" s="77">
        <f t="shared" si="82"/>
        <v>65000</v>
      </c>
      <c r="AY71" s="77">
        <f t="shared" si="83"/>
        <v>70000</v>
      </c>
      <c r="AZ71" s="77">
        <f t="shared" si="84"/>
        <v>75000</v>
      </c>
      <c r="BA71" s="77">
        <f t="shared" si="85"/>
        <v>80000</v>
      </c>
      <c r="BB71" s="77">
        <f t="shared" si="86"/>
        <v>80000</v>
      </c>
      <c r="BC71" s="77">
        <f t="shared" si="87"/>
        <v>80000</v>
      </c>
      <c r="BD71" s="77">
        <f t="shared" si="88"/>
        <v>80000</v>
      </c>
      <c r="BE71" s="77">
        <f t="shared" si="89"/>
        <v>80000</v>
      </c>
      <c r="BF71" s="77">
        <f t="shared" si="90"/>
        <v>80000</v>
      </c>
      <c r="BG71" s="77">
        <f t="shared" si="94"/>
        <v>80000</v>
      </c>
    </row>
    <row r="72" spans="1:59" x14ac:dyDescent="0.25">
      <c r="A72" s="215" t="s">
        <v>131</v>
      </c>
      <c r="B72" s="11" t="str">
        <f>'P(M)'!B32</f>
        <v>發明</v>
      </c>
      <c r="C72" s="3" t="s">
        <v>14</v>
      </c>
      <c r="D72" s="99"/>
      <c r="E72" s="99">
        <v>5000</v>
      </c>
      <c r="F72" s="99">
        <v>5000</v>
      </c>
      <c r="G72" s="99">
        <v>5000</v>
      </c>
      <c r="H72" s="99">
        <v>5000</v>
      </c>
      <c r="I72" s="99">
        <v>5000</v>
      </c>
      <c r="J72" s="99">
        <v>5000</v>
      </c>
      <c r="K72" s="99">
        <v>5000</v>
      </c>
      <c r="L72" s="99">
        <v>5000</v>
      </c>
      <c r="M72" s="99">
        <v>5000</v>
      </c>
      <c r="N72" s="99">
        <v>5000</v>
      </c>
      <c r="O72" s="99">
        <v>5000</v>
      </c>
      <c r="P72" s="99">
        <v>5000</v>
      </c>
      <c r="Q72" s="99">
        <v>5000</v>
      </c>
      <c r="R72" s="99">
        <v>5000</v>
      </c>
      <c r="S72" s="99">
        <v>5000</v>
      </c>
      <c r="T72" s="99">
        <v>5000</v>
      </c>
      <c r="U72" s="99">
        <v>5000</v>
      </c>
      <c r="V72" s="99">
        <v>5000</v>
      </c>
      <c r="W72" s="99">
        <v>5000</v>
      </c>
      <c r="X72" s="99"/>
      <c r="Y72" s="99"/>
      <c r="Z72" s="99"/>
      <c r="AA72" s="99"/>
      <c r="AB72" s="99"/>
      <c r="AC72" s="77">
        <f>SUM(D72:AB72)</f>
        <v>95000</v>
      </c>
      <c r="AD72" s="11"/>
      <c r="AE72" s="215" t="s">
        <v>131</v>
      </c>
      <c r="AF72" s="11" t="str">
        <f t="shared" ref="AF72:AH73" si="102">B72</f>
        <v>發明</v>
      </c>
      <c r="AG72" s="14" t="str">
        <f t="shared" si="102"/>
        <v>NTD</v>
      </c>
      <c r="AH72" s="11">
        <f t="shared" si="102"/>
        <v>0</v>
      </c>
      <c r="AI72" s="77">
        <f t="shared" ref="AI72:AR73" si="103">AH72+E72</f>
        <v>5000</v>
      </c>
      <c r="AJ72" s="77">
        <f t="shared" si="103"/>
        <v>10000</v>
      </c>
      <c r="AK72" s="77">
        <f t="shared" si="103"/>
        <v>15000</v>
      </c>
      <c r="AL72" s="77">
        <f t="shared" si="103"/>
        <v>20000</v>
      </c>
      <c r="AM72" s="77">
        <f t="shared" si="103"/>
        <v>25000</v>
      </c>
      <c r="AN72" s="77">
        <f t="shared" si="103"/>
        <v>30000</v>
      </c>
      <c r="AO72" s="77">
        <f t="shared" si="103"/>
        <v>35000</v>
      </c>
      <c r="AP72" s="77">
        <f t="shared" si="103"/>
        <v>40000</v>
      </c>
      <c r="AQ72" s="77">
        <f t="shared" si="103"/>
        <v>45000</v>
      </c>
      <c r="AR72" s="77">
        <f t="shared" si="103"/>
        <v>50000</v>
      </c>
      <c r="AS72" s="77">
        <f t="shared" si="77"/>
        <v>55000</v>
      </c>
      <c r="AT72" s="77">
        <f t="shared" si="78"/>
        <v>60000</v>
      </c>
      <c r="AU72" s="77">
        <f t="shared" si="79"/>
        <v>65000</v>
      </c>
      <c r="AV72" s="77">
        <f t="shared" si="80"/>
        <v>70000</v>
      </c>
      <c r="AW72" s="77">
        <f t="shared" si="81"/>
        <v>75000</v>
      </c>
      <c r="AX72" s="77">
        <f t="shared" si="82"/>
        <v>80000</v>
      </c>
      <c r="AY72" s="77">
        <f t="shared" si="83"/>
        <v>85000</v>
      </c>
      <c r="AZ72" s="77">
        <f t="shared" si="84"/>
        <v>90000</v>
      </c>
      <c r="BA72" s="77">
        <f t="shared" si="85"/>
        <v>95000</v>
      </c>
      <c r="BB72" s="77">
        <f t="shared" si="86"/>
        <v>95000</v>
      </c>
      <c r="BC72" s="77">
        <f t="shared" si="87"/>
        <v>95000</v>
      </c>
      <c r="BD72" s="77">
        <f t="shared" si="88"/>
        <v>95000</v>
      </c>
      <c r="BE72" s="77">
        <f t="shared" si="89"/>
        <v>95000</v>
      </c>
      <c r="BF72" s="77">
        <f t="shared" si="90"/>
        <v>95000</v>
      </c>
      <c r="BG72" s="77">
        <f>BF72</f>
        <v>95000</v>
      </c>
    </row>
    <row r="73" spans="1:59" x14ac:dyDescent="0.25">
      <c r="A73" s="216"/>
      <c r="B73" s="11" t="str">
        <f>'P(M)'!B33</f>
        <v>新型</v>
      </c>
      <c r="C73" s="3" t="s">
        <v>14</v>
      </c>
      <c r="D73" s="99"/>
      <c r="E73" s="99">
        <v>5000</v>
      </c>
      <c r="F73" s="99">
        <v>5000</v>
      </c>
      <c r="G73" s="99">
        <v>5000</v>
      </c>
      <c r="H73" s="99">
        <v>5000</v>
      </c>
      <c r="I73" s="99">
        <v>5000</v>
      </c>
      <c r="J73" s="99">
        <v>5000</v>
      </c>
      <c r="K73" s="99">
        <v>5000</v>
      </c>
      <c r="L73" s="99">
        <v>5000</v>
      </c>
      <c r="M73" s="99">
        <v>5000</v>
      </c>
      <c r="N73" s="99"/>
      <c r="O73" s="99"/>
      <c r="P73" s="99"/>
      <c r="Q73" s="99"/>
      <c r="R73" s="99"/>
      <c r="S73" s="99"/>
      <c r="T73" s="99"/>
      <c r="U73" s="99"/>
      <c r="V73" s="99"/>
      <c r="W73" s="99"/>
      <c r="X73" s="99"/>
      <c r="Y73" s="99"/>
      <c r="Z73" s="99"/>
      <c r="AA73" s="99"/>
      <c r="AB73" s="99"/>
      <c r="AC73" s="77">
        <f>SUM(D73:AB73)</f>
        <v>45000</v>
      </c>
      <c r="AD73" s="11"/>
      <c r="AE73" s="216"/>
      <c r="AF73" s="11" t="str">
        <f t="shared" si="102"/>
        <v>新型</v>
      </c>
      <c r="AG73" s="14" t="str">
        <f t="shared" si="102"/>
        <v>NTD</v>
      </c>
      <c r="AH73" s="11">
        <f t="shared" si="102"/>
        <v>0</v>
      </c>
      <c r="AI73" s="77">
        <f t="shared" si="103"/>
        <v>5000</v>
      </c>
      <c r="AJ73" s="77">
        <f t="shared" si="103"/>
        <v>10000</v>
      </c>
      <c r="AK73" s="77">
        <f t="shared" si="103"/>
        <v>15000</v>
      </c>
      <c r="AL73" s="77">
        <f t="shared" si="103"/>
        <v>20000</v>
      </c>
      <c r="AM73" s="77">
        <f t="shared" si="103"/>
        <v>25000</v>
      </c>
      <c r="AN73" s="77">
        <f t="shared" si="103"/>
        <v>30000</v>
      </c>
      <c r="AO73" s="77">
        <f t="shared" si="103"/>
        <v>35000</v>
      </c>
      <c r="AP73" s="77">
        <f t="shared" si="103"/>
        <v>40000</v>
      </c>
      <c r="AQ73" s="77">
        <f t="shared" si="103"/>
        <v>45000</v>
      </c>
      <c r="AR73" s="77">
        <f t="shared" si="103"/>
        <v>45000</v>
      </c>
      <c r="AS73" s="77">
        <f t="shared" si="77"/>
        <v>45000</v>
      </c>
      <c r="AT73" s="77">
        <f t="shared" si="78"/>
        <v>45000</v>
      </c>
      <c r="AU73" s="77">
        <f t="shared" si="79"/>
        <v>45000</v>
      </c>
      <c r="AV73" s="77">
        <f t="shared" si="80"/>
        <v>45000</v>
      </c>
      <c r="AW73" s="77">
        <f t="shared" si="81"/>
        <v>45000</v>
      </c>
      <c r="AX73" s="77">
        <f t="shared" si="82"/>
        <v>45000</v>
      </c>
      <c r="AY73" s="77">
        <f t="shared" si="83"/>
        <v>45000</v>
      </c>
      <c r="AZ73" s="77">
        <f t="shared" si="84"/>
        <v>45000</v>
      </c>
      <c r="BA73" s="77">
        <f t="shared" si="85"/>
        <v>45000</v>
      </c>
      <c r="BB73" s="77">
        <f t="shared" si="86"/>
        <v>45000</v>
      </c>
      <c r="BC73" s="77">
        <f t="shared" si="87"/>
        <v>45000</v>
      </c>
      <c r="BD73" s="77">
        <f t="shared" si="88"/>
        <v>45000</v>
      </c>
      <c r="BE73" s="77">
        <f t="shared" si="89"/>
        <v>45000</v>
      </c>
      <c r="BF73" s="77">
        <f t="shared" si="90"/>
        <v>45000</v>
      </c>
      <c r="BG73" s="77">
        <f>BF73</f>
        <v>45000</v>
      </c>
    </row>
    <row r="74" spans="1:59" x14ac:dyDescent="0.25">
      <c r="A74" s="215" t="s">
        <v>9</v>
      </c>
      <c r="B74" s="11" t="str">
        <f>'P(M)'!B34</f>
        <v>發明</v>
      </c>
      <c r="C74" s="3" t="s">
        <v>14</v>
      </c>
      <c r="D74" s="99"/>
      <c r="E74" s="99">
        <v>5000</v>
      </c>
      <c r="F74" s="99">
        <v>5000</v>
      </c>
      <c r="G74" s="99">
        <v>5000</v>
      </c>
      <c r="H74" s="99">
        <v>5000</v>
      </c>
      <c r="I74" s="99">
        <v>5000</v>
      </c>
      <c r="J74" s="99">
        <v>5000</v>
      </c>
      <c r="K74" s="99">
        <v>5000</v>
      </c>
      <c r="L74" s="99">
        <v>5000</v>
      </c>
      <c r="M74" s="99">
        <v>5000</v>
      </c>
      <c r="N74" s="99">
        <v>5000</v>
      </c>
      <c r="O74" s="99">
        <v>5000</v>
      </c>
      <c r="P74" s="99">
        <v>5000</v>
      </c>
      <c r="Q74" s="99">
        <v>5000</v>
      </c>
      <c r="R74" s="99">
        <v>5000</v>
      </c>
      <c r="S74" s="99">
        <v>5000</v>
      </c>
      <c r="T74" s="99">
        <v>5000</v>
      </c>
      <c r="U74" s="99">
        <v>5000</v>
      </c>
      <c r="V74" s="99">
        <v>5000</v>
      </c>
      <c r="W74" s="99">
        <v>5000</v>
      </c>
      <c r="X74" s="99"/>
      <c r="Y74" s="99"/>
      <c r="Z74" s="99"/>
      <c r="AA74" s="99"/>
      <c r="AB74" s="99"/>
      <c r="AC74" s="77">
        <f t="shared" si="91"/>
        <v>95000</v>
      </c>
      <c r="AD74" s="11"/>
      <c r="AE74" s="215" t="s">
        <v>9</v>
      </c>
      <c r="AF74" s="11" t="str">
        <f t="shared" si="92"/>
        <v>發明</v>
      </c>
      <c r="AG74" s="14" t="str">
        <f t="shared" si="93"/>
        <v>NTD</v>
      </c>
      <c r="AH74" s="11">
        <f t="shared" si="95"/>
        <v>0</v>
      </c>
      <c r="AI74" s="77">
        <f t="shared" si="96"/>
        <v>5000</v>
      </c>
      <c r="AJ74" s="77">
        <f t="shared" si="68"/>
        <v>10000</v>
      </c>
      <c r="AK74" s="77">
        <f t="shared" si="69"/>
        <v>15000</v>
      </c>
      <c r="AL74" s="77">
        <f t="shared" si="70"/>
        <v>20000</v>
      </c>
      <c r="AM74" s="77">
        <f t="shared" si="71"/>
        <v>25000</v>
      </c>
      <c r="AN74" s="77">
        <f t="shared" si="72"/>
        <v>30000</v>
      </c>
      <c r="AO74" s="77">
        <f t="shared" si="73"/>
        <v>35000</v>
      </c>
      <c r="AP74" s="77">
        <f t="shared" si="74"/>
        <v>40000</v>
      </c>
      <c r="AQ74" s="77">
        <f t="shared" si="75"/>
        <v>45000</v>
      </c>
      <c r="AR74" s="77">
        <f t="shared" si="76"/>
        <v>50000</v>
      </c>
      <c r="AS74" s="77">
        <f t="shared" si="77"/>
        <v>55000</v>
      </c>
      <c r="AT74" s="77">
        <f t="shared" si="78"/>
        <v>60000</v>
      </c>
      <c r="AU74" s="77">
        <f t="shared" si="79"/>
        <v>65000</v>
      </c>
      <c r="AV74" s="77">
        <f t="shared" si="80"/>
        <v>70000</v>
      </c>
      <c r="AW74" s="77">
        <f t="shared" si="81"/>
        <v>75000</v>
      </c>
      <c r="AX74" s="77">
        <f t="shared" si="82"/>
        <v>80000</v>
      </c>
      <c r="AY74" s="77">
        <f t="shared" si="83"/>
        <v>85000</v>
      </c>
      <c r="AZ74" s="77">
        <f t="shared" si="84"/>
        <v>90000</v>
      </c>
      <c r="BA74" s="77">
        <f t="shared" si="85"/>
        <v>95000</v>
      </c>
      <c r="BB74" s="77">
        <f t="shared" si="86"/>
        <v>95000</v>
      </c>
      <c r="BC74" s="77">
        <f t="shared" si="87"/>
        <v>95000</v>
      </c>
      <c r="BD74" s="77">
        <f t="shared" si="88"/>
        <v>95000</v>
      </c>
      <c r="BE74" s="77">
        <f t="shared" si="89"/>
        <v>95000</v>
      </c>
      <c r="BF74" s="77">
        <f t="shared" si="90"/>
        <v>95000</v>
      </c>
      <c r="BG74" s="77">
        <f t="shared" si="94"/>
        <v>95000</v>
      </c>
    </row>
    <row r="75" spans="1:59" x14ac:dyDescent="0.25">
      <c r="A75" s="216"/>
      <c r="B75" s="11" t="str">
        <f>'P(M)'!B35</f>
        <v>新型</v>
      </c>
      <c r="C75" s="3" t="s">
        <v>14</v>
      </c>
      <c r="D75" s="99"/>
      <c r="E75" s="99">
        <v>5000</v>
      </c>
      <c r="F75" s="99">
        <v>5000</v>
      </c>
      <c r="G75" s="99">
        <v>5000</v>
      </c>
      <c r="H75" s="99">
        <v>5000</v>
      </c>
      <c r="I75" s="99">
        <v>5000</v>
      </c>
      <c r="J75" s="99">
        <v>5000</v>
      </c>
      <c r="K75" s="99">
        <v>5000</v>
      </c>
      <c r="L75" s="99">
        <v>5000</v>
      </c>
      <c r="M75" s="99">
        <v>5000</v>
      </c>
      <c r="N75" s="99"/>
      <c r="O75" s="99"/>
      <c r="P75" s="99"/>
      <c r="Q75" s="99"/>
      <c r="R75" s="99"/>
      <c r="S75" s="99"/>
      <c r="T75" s="99"/>
      <c r="U75" s="99"/>
      <c r="V75" s="99"/>
      <c r="W75" s="99"/>
      <c r="X75" s="99"/>
      <c r="Y75" s="99"/>
      <c r="Z75" s="99"/>
      <c r="AA75" s="99"/>
      <c r="AB75" s="99"/>
      <c r="AC75" s="77">
        <f t="shared" si="91"/>
        <v>45000</v>
      </c>
      <c r="AD75" s="11"/>
      <c r="AE75" s="216"/>
      <c r="AF75" s="11" t="str">
        <f t="shared" si="92"/>
        <v>新型</v>
      </c>
      <c r="AG75" s="14" t="str">
        <f t="shared" si="93"/>
        <v>NTD</v>
      </c>
      <c r="AH75" s="11">
        <f t="shared" si="95"/>
        <v>0</v>
      </c>
      <c r="AI75" s="77">
        <f t="shared" si="96"/>
        <v>5000</v>
      </c>
      <c r="AJ75" s="77">
        <f t="shared" si="68"/>
        <v>10000</v>
      </c>
      <c r="AK75" s="77">
        <f t="shared" si="69"/>
        <v>15000</v>
      </c>
      <c r="AL75" s="77">
        <f t="shared" si="70"/>
        <v>20000</v>
      </c>
      <c r="AM75" s="77">
        <f t="shared" si="71"/>
        <v>25000</v>
      </c>
      <c r="AN75" s="77">
        <f t="shared" si="72"/>
        <v>30000</v>
      </c>
      <c r="AO75" s="77">
        <f t="shared" si="73"/>
        <v>35000</v>
      </c>
      <c r="AP75" s="77">
        <f t="shared" si="74"/>
        <v>40000</v>
      </c>
      <c r="AQ75" s="77">
        <f t="shared" si="75"/>
        <v>45000</v>
      </c>
      <c r="AR75" s="77">
        <f t="shared" si="76"/>
        <v>45000</v>
      </c>
      <c r="AS75" s="77">
        <f t="shared" si="77"/>
        <v>45000</v>
      </c>
      <c r="AT75" s="77">
        <f t="shared" si="78"/>
        <v>45000</v>
      </c>
      <c r="AU75" s="77">
        <f t="shared" si="79"/>
        <v>45000</v>
      </c>
      <c r="AV75" s="77">
        <f t="shared" si="80"/>
        <v>45000</v>
      </c>
      <c r="AW75" s="77">
        <f t="shared" si="81"/>
        <v>45000</v>
      </c>
      <c r="AX75" s="77">
        <f t="shared" si="82"/>
        <v>45000</v>
      </c>
      <c r="AY75" s="77">
        <f t="shared" si="83"/>
        <v>45000</v>
      </c>
      <c r="AZ75" s="77">
        <f t="shared" si="84"/>
        <v>45000</v>
      </c>
      <c r="BA75" s="77">
        <f t="shared" si="85"/>
        <v>45000</v>
      </c>
      <c r="BB75" s="77">
        <f t="shared" si="86"/>
        <v>45000</v>
      </c>
      <c r="BC75" s="77">
        <f t="shared" si="87"/>
        <v>45000</v>
      </c>
      <c r="BD75" s="77">
        <f t="shared" si="88"/>
        <v>45000</v>
      </c>
      <c r="BE75" s="77">
        <f t="shared" si="89"/>
        <v>45000</v>
      </c>
      <c r="BF75" s="77">
        <f t="shared" si="90"/>
        <v>45000</v>
      </c>
      <c r="BG75" s="77">
        <f t="shared" si="94"/>
        <v>45000</v>
      </c>
    </row>
    <row r="76" spans="1:59" x14ac:dyDescent="0.25">
      <c r="A76" s="215" t="s">
        <v>10</v>
      </c>
      <c r="B76" s="11" t="str">
        <f>'P(M)'!B36</f>
        <v>發明</v>
      </c>
      <c r="C76" s="3" t="s">
        <v>14</v>
      </c>
      <c r="D76" s="99"/>
      <c r="E76" s="99"/>
      <c r="F76" s="99"/>
      <c r="G76" s="99"/>
      <c r="H76" s="99">
        <v>5000</v>
      </c>
      <c r="I76" s="99">
        <v>5000</v>
      </c>
      <c r="J76" s="99">
        <v>5000</v>
      </c>
      <c r="K76" s="99">
        <v>5000</v>
      </c>
      <c r="L76" s="99">
        <v>5000</v>
      </c>
      <c r="M76" s="99">
        <v>5000</v>
      </c>
      <c r="N76" s="99">
        <v>5000</v>
      </c>
      <c r="O76" s="99">
        <v>5000</v>
      </c>
      <c r="P76" s="99">
        <v>5000</v>
      </c>
      <c r="Q76" s="99">
        <v>5000</v>
      </c>
      <c r="R76" s="99">
        <v>5000</v>
      </c>
      <c r="S76" s="99">
        <v>5000</v>
      </c>
      <c r="T76" s="99">
        <v>5000</v>
      </c>
      <c r="U76" s="99">
        <v>5000</v>
      </c>
      <c r="V76" s="99">
        <v>5000</v>
      </c>
      <c r="W76" s="99">
        <v>5000</v>
      </c>
      <c r="X76" s="99"/>
      <c r="Y76" s="99"/>
      <c r="Z76" s="99"/>
      <c r="AA76" s="99"/>
      <c r="AB76" s="99"/>
      <c r="AC76" s="77">
        <f t="shared" si="91"/>
        <v>80000</v>
      </c>
      <c r="AD76" s="11"/>
      <c r="AE76" s="215" t="s">
        <v>10</v>
      </c>
      <c r="AF76" s="11" t="str">
        <f t="shared" si="92"/>
        <v>發明</v>
      </c>
      <c r="AG76" s="14" t="str">
        <f t="shared" si="93"/>
        <v>NTD</v>
      </c>
      <c r="AH76" s="11">
        <f t="shared" si="95"/>
        <v>0</v>
      </c>
      <c r="AI76" s="77">
        <f t="shared" si="96"/>
        <v>0</v>
      </c>
      <c r="AJ76" s="77">
        <f t="shared" si="68"/>
        <v>0</v>
      </c>
      <c r="AK76" s="77">
        <f t="shared" si="69"/>
        <v>0</v>
      </c>
      <c r="AL76" s="77">
        <f t="shared" si="70"/>
        <v>5000</v>
      </c>
      <c r="AM76" s="77">
        <f t="shared" si="71"/>
        <v>10000</v>
      </c>
      <c r="AN76" s="77">
        <f t="shared" si="72"/>
        <v>15000</v>
      </c>
      <c r="AO76" s="77">
        <f t="shared" si="73"/>
        <v>20000</v>
      </c>
      <c r="AP76" s="77">
        <f t="shared" si="74"/>
        <v>25000</v>
      </c>
      <c r="AQ76" s="77">
        <f t="shared" si="75"/>
        <v>30000</v>
      </c>
      <c r="AR76" s="77">
        <f t="shared" si="76"/>
        <v>35000</v>
      </c>
      <c r="AS76" s="77">
        <f t="shared" si="77"/>
        <v>40000</v>
      </c>
      <c r="AT76" s="77">
        <f t="shared" si="78"/>
        <v>45000</v>
      </c>
      <c r="AU76" s="77">
        <f t="shared" si="79"/>
        <v>50000</v>
      </c>
      <c r="AV76" s="77">
        <f t="shared" si="80"/>
        <v>55000</v>
      </c>
      <c r="AW76" s="77">
        <f t="shared" si="81"/>
        <v>60000</v>
      </c>
      <c r="AX76" s="77">
        <f t="shared" si="82"/>
        <v>65000</v>
      </c>
      <c r="AY76" s="77">
        <f t="shared" si="83"/>
        <v>70000</v>
      </c>
      <c r="AZ76" s="77">
        <f t="shared" si="84"/>
        <v>75000</v>
      </c>
      <c r="BA76" s="77">
        <f t="shared" si="85"/>
        <v>80000</v>
      </c>
      <c r="BB76" s="77">
        <f t="shared" si="86"/>
        <v>80000</v>
      </c>
      <c r="BC76" s="77">
        <f t="shared" si="87"/>
        <v>80000</v>
      </c>
      <c r="BD76" s="77">
        <f t="shared" si="88"/>
        <v>80000</v>
      </c>
      <c r="BE76" s="77">
        <f t="shared" si="89"/>
        <v>80000</v>
      </c>
      <c r="BF76" s="77">
        <f t="shared" si="90"/>
        <v>80000</v>
      </c>
      <c r="BG76" s="77">
        <f t="shared" si="94"/>
        <v>80000</v>
      </c>
    </row>
    <row r="77" spans="1:59" x14ac:dyDescent="0.25">
      <c r="A77" s="216"/>
      <c r="B77" s="11" t="str">
        <f>'P(M)'!B37</f>
        <v>新型</v>
      </c>
      <c r="C77" s="3" t="s">
        <v>14</v>
      </c>
      <c r="D77" s="99"/>
      <c r="E77" s="99"/>
      <c r="F77" s="99"/>
      <c r="G77" s="99"/>
      <c r="H77" s="99">
        <v>5000</v>
      </c>
      <c r="I77" s="99">
        <v>5000</v>
      </c>
      <c r="J77" s="99">
        <v>5000</v>
      </c>
      <c r="K77" s="99"/>
      <c r="L77" s="99">
        <v>5000</v>
      </c>
      <c r="M77" s="99"/>
      <c r="N77" s="99"/>
      <c r="O77" s="99"/>
      <c r="P77" s="99"/>
      <c r="Q77" s="99"/>
      <c r="R77" s="99"/>
      <c r="S77" s="99"/>
      <c r="T77" s="99"/>
      <c r="U77" s="99"/>
      <c r="V77" s="99"/>
      <c r="W77" s="99"/>
      <c r="X77" s="99"/>
      <c r="Y77" s="99"/>
      <c r="Z77" s="99"/>
      <c r="AA77" s="99"/>
      <c r="AB77" s="99"/>
      <c r="AC77" s="77">
        <f t="shared" si="91"/>
        <v>20000</v>
      </c>
      <c r="AD77" s="11"/>
      <c r="AE77" s="216"/>
      <c r="AF77" s="11" t="str">
        <f t="shared" si="92"/>
        <v>新型</v>
      </c>
      <c r="AG77" s="14" t="str">
        <f t="shared" si="93"/>
        <v>NTD</v>
      </c>
      <c r="AH77" s="11">
        <f t="shared" si="95"/>
        <v>0</v>
      </c>
      <c r="AI77" s="77">
        <f t="shared" si="96"/>
        <v>0</v>
      </c>
      <c r="AJ77" s="77">
        <f t="shared" si="68"/>
        <v>0</v>
      </c>
      <c r="AK77" s="77">
        <f t="shared" si="69"/>
        <v>0</v>
      </c>
      <c r="AL77" s="77">
        <f t="shared" si="70"/>
        <v>5000</v>
      </c>
      <c r="AM77" s="77">
        <f t="shared" si="71"/>
        <v>10000</v>
      </c>
      <c r="AN77" s="77">
        <f t="shared" si="72"/>
        <v>15000</v>
      </c>
      <c r="AO77" s="77">
        <f t="shared" si="73"/>
        <v>15000</v>
      </c>
      <c r="AP77" s="77">
        <f t="shared" si="74"/>
        <v>20000</v>
      </c>
      <c r="AQ77" s="77">
        <f t="shared" si="75"/>
        <v>20000</v>
      </c>
      <c r="AR77" s="77">
        <f t="shared" si="76"/>
        <v>20000</v>
      </c>
      <c r="AS77" s="77">
        <f t="shared" si="77"/>
        <v>20000</v>
      </c>
      <c r="AT77" s="77">
        <f t="shared" si="78"/>
        <v>20000</v>
      </c>
      <c r="AU77" s="77">
        <f t="shared" si="79"/>
        <v>20000</v>
      </c>
      <c r="AV77" s="77">
        <f t="shared" si="80"/>
        <v>20000</v>
      </c>
      <c r="AW77" s="77">
        <f t="shared" si="81"/>
        <v>20000</v>
      </c>
      <c r="AX77" s="77">
        <f t="shared" si="82"/>
        <v>20000</v>
      </c>
      <c r="AY77" s="77">
        <f t="shared" si="83"/>
        <v>20000</v>
      </c>
      <c r="AZ77" s="77">
        <f t="shared" si="84"/>
        <v>20000</v>
      </c>
      <c r="BA77" s="77">
        <f t="shared" si="85"/>
        <v>20000</v>
      </c>
      <c r="BB77" s="77">
        <f t="shared" si="86"/>
        <v>20000</v>
      </c>
      <c r="BC77" s="77">
        <f t="shared" si="87"/>
        <v>20000</v>
      </c>
      <c r="BD77" s="77">
        <f t="shared" si="88"/>
        <v>20000</v>
      </c>
      <c r="BE77" s="77">
        <f t="shared" si="89"/>
        <v>20000</v>
      </c>
      <c r="BF77" s="77">
        <f t="shared" si="90"/>
        <v>20000</v>
      </c>
      <c r="BG77" s="77">
        <f t="shared" si="94"/>
        <v>20000</v>
      </c>
    </row>
    <row r="78" spans="1:59" x14ac:dyDescent="0.25">
      <c r="A78" s="5"/>
      <c r="B78" s="5"/>
      <c r="C78" s="5"/>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77">
        <f t="shared" si="91"/>
        <v>0</v>
      </c>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row>
    <row r="79" spans="1:59" x14ac:dyDescent="0.25">
      <c r="A79" s="134" t="s">
        <v>295</v>
      </c>
    </row>
  </sheetData>
  <mergeCells count="54">
    <mergeCell ref="A74:A75"/>
    <mergeCell ref="AE74:AE75"/>
    <mergeCell ref="A76:A77"/>
    <mergeCell ref="AE76:AE77"/>
    <mergeCell ref="A69:A70"/>
    <mergeCell ref="AE69:AE70"/>
    <mergeCell ref="A63:A64"/>
    <mergeCell ref="AE63:AE64"/>
    <mergeCell ref="A65:A66"/>
    <mergeCell ref="AE65:AE66"/>
    <mergeCell ref="A72:A73"/>
    <mergeCell ref="AE72:AE73"/>
    <mergeCell ref="A55:C55"/>
    <mergeCell ref="AE55:AG55"/>
    <mergeCell ref="A57:A58"/>
    <mergeCell ref="AE57:AE58"/>
    <mergeCell ref="A59:A60"/>
    <mergeCell ref="AE59:AE60"/>
    <mergeCell ref="A47:A48"/>
    <mergeCell ref="AE47:AE48"/>
    <mergeCell ref="A49:A50"/>
    <mergeCell ref="AE49:AE50"/>
    <mergeCell ref="A42:A43"/>
    <mergeCell ref="AE42:AE43"/>
    <mergeCell ref="A45:A46"/>
    <mergeCell ref="AE45:AE46"/>
    <mergeCell ref="A32:A33"/>
    <mergeCell ref="AE32:AE33"/>
    <mergeCell ref="A36:A37"/>
    <mergeCell ref="AE36:AE37"/>
    <mergeCell ref="A38:A39"/>
    <mergeCell ref="AE38:AE39"/>
    <mergeCell ref="AE18:AE19"/>
    <mergeCell ref="A1:C1"/>
    <mergeCell ref="AE1:AG1"/>
    <mergeCell ref="A28:C28"/>
    <mergeCell ref="AE28:AG28"/>
    <mergeCell ref="A3:A4"/>
    <mergeCell ref="A30:A31"/>
    <mergeCell ref="AE30:AE31"/>
    <mergeCell ref="A18:A19"/>
    <mergeCell ref="AE3:AE4"/>
    <mergeCell ref="AE5:AE6"/>
    <mergeCell ref="AE9:AE10"/>
    <mergeCell ref="AE11:AE12"/>
    <mergeCell ref="AE20:AE21"/>
    <mergeCell ref="AE22:AE23"/>
    <mergeCell ref="A22:A23"/>
    <mergeCell ref="A15:A16"/>
    <mergeCell ref="AE15:AE16"/>
    <mergeCell ref="A11:A12"/>
    <mergeCell ref="A20:A21"/>
    <mergeCell ref="A5:A6"/>
    <mergeCell ref="A9:A10"/>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6"/>
  <dimension ref="A1:O28"/>
  <sheetViews>
    <sheetView topLeftCell="C1" workbookViewId="0">
      <selection activeCell="K2" sqref="K2"/>
    </sheetView>
  </sheetViews>
  <sheetFormatPr defaultRowHeight="16.5" x14ac:dyDescent="0.25"/>
  <cols>
    <col min="1" max="1" width="13.875" bestFit="1" customWidth="1"/>
    <col min="2" max="2" width="27.25" bestFit="1" customWidth="1"/>
    <col min="3" max="3" width="13.875" bestFit="1" customWidth="1"/>
    <col min="4" max="4" width="18.375" bestFit="1" customWidth="1"/>
    <col min="5" max="5" width="27.25" bestFit="1" customWidth="1"/>
    <col min="6" max="6" width="18.375" customWidth="1"/>
    <col min="7" max="8" width="11.625" customWidth="1"/>
    <col min="10" max="10" width="11.625" customWidth="1"/>
    <col min="11" max="11" width="13.875" bestFit="1" customWidth="1"/>
    <col min="12" max="12" width="23.875" bestFit="1" customWidth="1"/>
    <col min="13" max="13" width="23.875" customWidth="1"/>
    <col min="14" max="14" width="23.875" style="1" bestFit="1" customWidth="1"/>
    <col min="15" max="15" width="16.125" style="1" bestFit="1" customWidth="1"/>
  </cols>
  <sheetData>
    <row r="1" spans="1:15" x14ac:dyDescent="0.25">
      <c r="A1" s="2" t="s">
        <v>70</v>
      </c>
      <c r="B1" s="2" t="s">
        <v>74</v>
      </c>
      <c r="C1" s="2" t="s">
        <v>72</v>
      </c>
      <c r="D1" s="2" t="s">
        <v>73</v>
      </c>
      <c r="E1" s="2" t="s">
        <v>113</v>
      </c>
      <c r="F1" s="2" t="s">
        <v>78</v>
      </c>
      <c r="G1" s="2" t="s">
        <v>38</v>
      </c>
      <c r="H1" s="2" t="s">
        <v>69</v>
      </c>
      <c r="I1" s="28" t="s">
        <v>57</v>
      </c>
      <c r="J1" s="29" t="s">
        <v>55</v>
      </c>
      <c r="K1" s="2" t="s">
        <v>147</v>
      </c>
      <c r="L1" s="2" t="s">
        <v>300</v>
      </c>
      <c r="M1" s="2" t="s">
        <v>303</v>
      </c>
      <c r="N1" s="2" t="s">
        <v>302</v>
      </c>
      <c r="O1" s="2"/>
    </row>
    <row r="2" spans="1:15" x14ac:dyDescent="0.25">
      <c r="A2" s="2" t="s">
        <v>71</v>
      </c>
      <c r="B2" s="2" t="s">
        <v>71</v>
      </c>
      <c r="C2" s="2" t="s">
        <v>71</v>
      </c>
      <c r="D2" s="2" t="s">
        <v>71</v>
      </c>
      <c r="E2" s="2" t="s">
        <v>71</v>
      </c>
      <c r="F2" s="2" t="s">
        <v>71</v>
      </c>
      <c r="G2" s="2" t="s">
        <v>39</v>
      </c>
      <c r="H2" s="2" t="s">
        <v>63</v>
      </c>
      <c r="I2" s="28" t="s">
        <v>52</v>
      </c>
      <c r="J2" s="29" t="s">
        <v>12</v>
      </c>
      <c r="K2" s="72">
        <v>2</v>
      </c>
      <c r="L2" s="1" t="s">
        <v>225</v>
      </c>
      <c r="M2" s="1">
        <v>26</v>
      </c>
      <c r="N2" s="1">
        <v>25</v>
      </c>
    </row>
    <row r="3" spans="1:15" x14ac:dyDescent="0.25">
      <c r="A3" s="2" t="s">
        <v>51</v>
      </c>
      <c r="B3" s="2" t="s">
        <v>51</v>
      </c>
      <c r="C3" s="2" t="s">
        <v>40</v>
      </c>
      <c r="D3" s="2" t="s">
        <v>40</v>
      </c>
      <c r="E3" s="2" t="s">
        <v>54</v>
      </c>
      <c r="F3" s="2" t="s">
        <v>79</v>
      </c>
      <c r="G3" s="2" t="s">
        <v>351</v>
      </c>
      <c r="H3" s="2" t="s">
        <v>61</v>
      </c>
      <c r="I3" s="28" t="s">
        <v>53</v>
      </c>
      <c r="J3" s="29" t="s">
        <v>49</v>
      </c>
      <c r="L3" s="1">
        <v>1</v>
      </c>
      <c r="M3" s="1"/>
    </row>
    <row r="4" spans="1:15" x14ac:dyDescent="0.25">
      <c r="A4" s="2" t="s">
        <v>40</v>
      </c>
      <c r="B4" s="2" t="s">
        <v>40</v>
      </c>
      <c r="C4" s="2" t="s">
        <v>54</v>
      </c>
      <c r="D4" s="2"/>
      <c r="E4" s="2"/>
      <c r="F4" s="2"/>
      <c r="G4" s="2" t="s">
        <v>353</v>
      </c>
      <c r="H4" s="2" t="s">
        <v>64</v>
      </c>
      <c r="I4" s="16"/>
      <c r="J4" s="28"/>
      <c r="L4" s="1">
        <v>2</v>
      </c>
      <c r="M4" s="1"/>
    </row>
    <row r="5" spans="1:15" x14ac:dyDescent="0.25">
      <c r="A5" s="2" t="s">
        <v>54</v>
      </c>
      <c r="B5" s="2" t="s">
        <v>54</v>
      </c>
      <c r="C5" s="2"/>
      <c r="D5" s="2"/>
      <c r="E5" s="2"/>
      <c r="F5" s="2"/>
      <c r="H5" s="2" t="s">
        <v>65</v>
      </c>
      <c r="J5" s="2"/>
      <c r="K5" s="68" t="s">
        <v>148</v>
      </c>
      <c r="L5" s="1">
        <v>3</v>
      </c>
      <c r="M5" s="1"/>
    </row>
    <row r="6" spans="1:15" x14ac:dyDescent="0.25">
      <c r="A6" s="2" t="s">
        <v>41</v>
      </c>
      <c r="K6" s="68" t="s">
        <v>149</v>
      </c>
      <c r="L6" s="1">
        <v>4</v>
      </c>
      <c r="M6" s="1"/>
    </row>
    <row r="7" spans="1:15" x14ac:dyDescent="0.25">
      <c r="L7" s="1">
        <v>5</v>
      </c>
      <c r="M7" s="1"/>
    </row>
    <row r="8" spans="1:15" x14ac:dyDescent="0.25">
      <c r="L8" s="1">
        <v>6</v>
      </c>
      <c r="M8" s="1"/>
    </row>
    <row r="9" spans="1:15" x14ac:dyDescent="0.25">
      <c r="L9" s="1">
        <v>7</v>
      </c>
      <c r="M9" s="1"/>
    </row>
    <row r="10" spans="1:15" x14ac:dyDescent="0.25">
      <c r="L10" s="1">
        <v>8</v>
      </c>
      <c r="M10" s="1"/>
    </row>
    <row r="11" spans="1:15" x14ac:dyDescent="0.25">
      <c r="L11" s="1">
        <v>9</v>
      </c>
      <c r="M11" s="1"/>
    </row>
    <row r="12" spans="1:15" x14ac:dyDescent="0.25">
      <c r="L12" s="1">
        <v>10</v>
      </c>
      <c r="M12" s="1"/>
    </row>
    <row r="13" spans="1:15" x14ac:dyDescent="0.25">
      <c r="L13" s="1">
        <v>11</v>
      </c>
      <c r="M13" s="1"/>
    </row>
    <row r="14" spans="1:15" x14ac:dyDescent="0.25">
      <c r="L14" s="1">
        <v>12</v>
      </c>
      <c r="M14" s="1"/>
    </row>
    <row r="15" spans="1:15" x14ac:dyDescent="0.25">
      <c r="L15" s="1">
        <v>13</v>
      </c>
      <c r="M15" s="1"/>
    </row>
    <row r="16" spans="1:15" x14ac:dyDescent="0.25">
      <c r="L16" s="1">
        <v>14</v>
      </c>
      <c r="M16" s="1"/>
    </row>
    <row r="17" spans="12:13" x14ac:dyDescent="0.25">
      <c r="L17" s="1">
        <v>15</v>
      </c>
      <c r="M17" s="1"/>
    </row>
    <row r="18" spans="12:13" x14ac:dyDescent="0.25">
      <c r="L18" s="1">
        <v>16</v>
      </c>
      <c r="M18" s="1"/>
    </row>
    <row r="19" spans="12:13" x14ac:dyDescent="0.25">
      <c r="L19" s="1">
        <v>17</v>
      </c>
      <c r="M19" s="1"/>
    </row>
    <row r="20" spans="12:13" x14ac:dyDescent="0.25">
      <c r="L20" s="1">
        <v>18</v>
      </c>
      <c r="M20" s="1"/>
    </row>
    <row r="21" spans="12:13" x14ac:dyDescent="0.25">
      <c r="L21" s="1">
        <v>19</v>
      </c>
      <c r="M21" s="1"/>
    </row>
    <row r="22" spans="12:13" x14ac:dyDescent="0.25">
      <c r="L22" s="1">
        <v>20</v>
      </c>
      <c r="M22" s="1"/>
    </row>
    <row r="23" spans="12:13" x14ac:dyDescent="0.25">
      <c r="L23" s="1">
        <v>21</v>
      </c>
      <c r="M23" s="1"/>
    </row>
    <row r="24" spans="12:13" x14ac:dyDescent="0.25">
      <c r="L24" s="1">
        <v>22</v>
      </c>
      <c r="M24" s="1"/>
    </row>
    <row r="25" spans="12:13" x14ac:dyDescent="0.25">
      <c r="L25" s="1">
        <v>23</v>
      </c>
      <c r="M25" s="1"/>
    </row>
    <row r="26" spans="12:13" x14ac:dyDescent="0.25">
      <c r="L26" s="1">
        <v>24</v>
      </c>
      <c r="M26" s="1"/>
    </row>
    <row r="27" spans="12:13" x14ac:dyDescent="0.25">
      <c r="L27" s="1">
        <v>25</v>
      </c>
      <c r="M27" s="1"/>
    </row>
    <row r="28" spans="12:13" x14ac:dyDescent="0.25">
      <c r="L28" s="1" t="s">
        <v>225</v>
      </c>
      <c r="M28" s="1"/>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6</vt:i4>
      </vt:variant>
    </vt:vector>
  </HeadingPairs>
  <TitlesOfParts>
    <vt:vector size="10" baseType="lpstr">
      <vt:lpstr>發明(新型)案成本估算</vt:lpstr>
      <vt:lpstr>P(M)</vt:lpstr>
      <vt:lpstr>P(M)年費表</vt:lpstr>
      <vt:lpstr>選項</vt:lpstr>
      <vt:lpstr>'發明(新型)案成本估算'!Print_Area</vt:lpstr>
      <vt:lpstr>計費類型_一案兩請之新型</vt:lpstr>
      <vt:lpstr>計費類型_日韓泰</vt:lpstr>
      <vt:lpstr>計費類型_台中美歐新馬加</vt:lpstr>
      <vt:lpstr>計費類型_設計</vt:lpstr>
      <vt:lpstr>計費類型_越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專利佈局成本估算表</dc:title>
  <dc:creator/>
  <cp:lastModifiedBy/>
  <dcterms:created xsi:type="dcterms:W3CDTF">2006-09-16T00:00:00Z</dcterms:created>
  <dcterms:modified xsi:type="dcterms:W3CDTF">2025-01-21T08:18:04Z</dcterms:modified>
</cp:coreProperties>
</file>