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showInkAnnotation="0" defaultThemeVersion="124226"/>
  <xr:revisionPtr revIDLastSave="0" documentId="13_ncr:1_{5C0916C5-FB30-4F10-AAB2-5B707E58D7C8}" xr6:coauthVersionLast="47" xr6:coauthVersionMax="47" xr10:uidLastSave="{00000000-0000-0000-0000-000000000000}"/>
  <workbookProtection workbookAlgorithmName="SHA-512" workbookHashValue="qQobTULC49E06hiH6Ufip6M7VXZlHbkzods0JFpDjb1dRG3R2zXfhuo8vIVZOT6cuSfObTPjGR2gHQmx+cXIAg==" workbookSaltValue="qlWzrApf8G2do29HMbWF7Q==" workbookSpinCount="100000" lockStructure="1"/>
  <bookViews>
    <workbookView xWindow="-120" yWindow="-120" windowWidth="29040" windowHeight="15840" tabRatio="576" xr2:uid="{00000000-000D-0000-FFFF-FFFF00000000}"/>
  </bookViews>
  <sheets>
    <sheet name="發明(新型)案成本估算" sheetId="11" r:id="rId1"/>
    <sheet name="P(M)" sheetId="7" state="hidden" r:id="rId2"/>
    <sheet name="P(M)年費表" sheetId="14" state="hidden" r:id="rId3"/>
    <sheet name="選項" sheetId="2" state="hidden" r:id="rId4"/>
  </sheets>
  <definedNames>
    <definedName name="_xlnm._FilterDatabase" localSheetId="0" hidden="1">'發明(新型)案成本估算'!$A$14:$N$37</definedName>
    <definedName name="_xlnm.Print_Area" localSheetId="0">'發明(新型)案成本估算'!$A$1:$M$263</definedName>
    <definedName name="是否選項">#REF!</definedName>
    <definedName name="計費類型_一案兩請之新型">選項!$E$2:$E$3</definedName>
    <definedName name="計費類型_日韓泰">選項!$D$2:$D$3</definedName>
    <definedName name="計費類型_台中美歐新馬加">選項!$B$2:$B$5</definedName>
    <definedName name="計費類型_設計">選項!$F$2:$F$3</definedName>
    <definedName name="計費類型_越">選項!$C$2:$C$4</definedName>
  </definedNames>
  <calcPr calcId="191029"/>
</workbook>
</file>

<file path=xl/calcChain.xml><?xml version="1.0" encoding="utf-8"?>
<calcChain xmlns="http://schemas.openxmlformats.org/spreadsheetml/2006/main">
  <c r="AR27" i="7" l="1"/>
  <c r="R27" i="7" l="1"/>
  <c r="N27" i="7" l="1"/>
  <c r="A148" i="11" l="1"/>
  <c r="Q26" i="7" l="1"/>
  <c r="P26" i="7"/>
  <c r="S26" i="7"/>
  <c r="AR26" i="7"/>
  <c r="AR25" i="7"/>
  <c r="P25" i="7"/>
  <c r="G13" i="14"/>
  <c r="F13" i="14"/>
  <c r="E13" i="14"/>
  <c r="N21" i="7"/>
  <c r="V13" i="14" l="1"/>
  <c r="U13" i="14"/>
  <c r="T13" i="14"/>
  <c r="S13" i="14"/>
  <c r="R13" i="14"/>
  <c r="Q13" i="14"/>
  <c r="P13" i="14"/>
  <c r="O13" i="14"/>
  <c r="N13" i="14"/>
  <c r="M13" i="14"/>
  <c r="L13" i="14"/>
  <c r="K13" i="14"/>
  <c r="J13" i="14"/>
  <c r="I13" i="14"/>
  <c r="H13" i="14"/>
  <c r="O7" i="14"/>
  <c r="K7" i="14"/>
  <c r="G7" i="14"/>
  <c r="AT35" i="7"/>
  <c r="AT34" i="7"/>
  <c r="AR35" i="7"/>
  <c r="AR34" i="7"/>
  <c r="O64" i="7"/>
  <c r="O63" i="7"/>
  <c r="R35" i="7"/>
  <c r="R34" i="7"/>
  <c r="P35" i="7"/>
  <c r="P34" i="7"/>
  <c r="O35" i="7"/>
  <c r="O34" i="7"/>
  <c r="N35" i="7"/>
  <c r="N34" i="7"/>
  <c r="W47" i="14"/>
  <c r="V47" i="14"/>
  <c r="U47" i="14"/>
  <c r="T47" i="14"/>
  <c r="S47" i="14"/>
  <c r="R47" i="14"/>
  <c r="Q47" i="14"/>
  <c r="P47" i="14"/>
  <c r="O47" i="14"/>
  <c r="N47" i="14"/>
  <c r="M47" i="14"/>
  <c r="L47" i="14"/>
  <c r="K47" i="14"/>
  <c r="J47" i="14"/>
  <c r="I47" i="14"/>
  <c r="H47" i="14"/>
  <c r="G47" i="14"/>
  <c r="F47" i="14"/>
  <c r="M48" i="14"/>
  <c r="L48" i="14"/>
  <c r="K48" i="14"/>
  <c r="J48" i="14"/>
  <c r="I48" i="14"/>
  <c r="H48" i="14"/>
  <c r="G48" i="14"/>
  <c r="F48" i="14"/>
  <c r="E48" i="14"/>
  <c r="E47" i="14"/>
  <c r="N50" i="7"/>
  <c r="AR21" i="7"/>
  <c r="AL22" i="7"/>
  <c r="G22" i="7"/>
  <c r="O50" i="7"/>
  <c r="J27" i="7" l="1"/>
  <c r="A84" i="11" l="1"/>
  <c r="H25" i="7"/>
  <c r="W11" i="14"/>
  <c r="V11" i="14"/>
  <c r="U11" i="14"/>
  <c r="T11" i="14"/>
  <c r="S11" i="14"/>
  <c r="R11" i="14"/>
  <c r="Q11" i="14"/>
  <c r="P11" i="14"/>
  <c r="O11" i="14"/>
  <c r="N11" i="14"/>
  <c r="M11" i="14"/>
  <c r="L11" i="14"/>
  <c r="K11" i="14"/>
  <c r="J11" i="14"/>
  <c r="I11" i="14"/>
  <c r="H11" i="14"/>
  <c r="G11" i="14"/>
  <c r="AL25" i="7"/>
  <c r="W48" i="7" l="1"/>
  <c r="W46" i="7"/>
  <c r="AX22" i="7"/>
  <c r="AR22" i="7"/>
  <c r="R51" i="7"/>
  <c r="Q51" i="7"/>
  <c r="N51" i="7"/>
  <c r="J51" i="7"/>
  <c r="H51" i="7"/>
  <c r="N22" i="7"/>
  <c r="AR30" i="7" l="1"/>
  <c r="AR29" i="7"/>
  <c r="O59" i="7"/>
  <c r="N59" i="7"/>
  <c r="N58" i="7"/>
  <c r="N30" i="7"/>
  <c r="N29" i="7"/>
  <c r="G30" i="7"/>
  <c r="P30" i="7"/>
  <c r="Q29" i="7"/>
  <c r="P29" i="7"/>
  <c r="J30" i="7"/>
  <c r="J29" i="7"/>
  <c r="G29" i="7"/>
  <c r="B7" i="7"/>
  <c r="I29" i="7"/>
  <c r="AM24" i="7"/>
  <c r="AL24" i="7"/>
  <c r="AM23" i="7"/>
  <c r="AL23" i="7"/>
  <c r="I27" i="7" l="1"/>
  <c r="Q25" i="7"/>
  <c r="I21" i="7"/>
  <c r="I22" i="7"/>
  <c r="I25" i="7"/>
  <c r="AM25" i="7"/>
  <c r="AR28" i="7"/>
  <c r="AL28" i="7"/>
  <c r="H28" i="7"/>
  <c r="G28" i="7"/>
  <c r="M19" i="14"/>
  <c r="L19" i="14"/>
  <c r="K19" i="14"/>
  <c r="J19" i="14"/>
  <c r="I19" i="14"/>
  <c r="H19" i="14"/>
  <c r="G19" i="14"/>
  <c r="F19" i="14"/>
  <c r="E19" i="14"/>
  <c r="W18" i="14"/>
  <c r="V18" i="14"/>
  <c r="U18" i="14"/>
  <c r="T18" i="14"/>
  <c r="S18" i="14"/>
  <c r="R18" i="14"/>
  <c r="Q18" i="14"/>
  <c r="P18" i="14"/>
  <c r="O18" i="14"/>
  <c r="N18" i="14"/>
  <c r="M18" i="14"/>
  <c r="L18" i="14"/>
  <c r="K18" i="14"/>
  <c r="J18" i="14"/>
  <c r="I18" i="14"/>
  <c r="H18" i="14"/>
  <c r="G18" i="14"/>
  <c r="F18" i="14"/>
  <c r="E18" i="14"/>
  <c r="AR32" i="7"/>
  <c r="AM33" i="7"/>
  <c r="AM32" i="7"/>
  <c r="I33" i="7"/>
  <c r="H33" i="7"/>
  <c r="G33" i="7"/>
  <c r="I32" i="7"/>
  <c r="H32" i="7"/>
  <c r="G32" i="7"/>
  <c r="X20" i="7"/>
  <c r="X18" i="7"/>
  <c r="W9" i="14"/>
  <c r="V9" i="14"/>
  <c r="U9" i="14"/>
  <c r="T9" i="14"/>
  <c r="S9" i="14"/>
  <c r="R9" i="14"/>
  <c r="Q9" i="14"/>
  <c r="P9" i="14"/>
  <c r="O9" i="14"/>
  <c r="N9" i="14"/>
  <c r="M9" i="14"/>
  <c r="L9" i="14"/>
  <c r="K9" i="14"/>
  <c r="J9" i="14"/>
  <c r="I9" i="14"/>
  <c r="H9" i="14"/>
  <c r="G9" i="14"/>
  <c r="AR23" i="7"/>
  <c r="N23" i="7"/>
  <c r="A261" i="11" l="1"/>
  <c r="A260" i="11"/>
  <c r="W18" i="7"/>
  <c r="N26" i="7" l="1"/>
  <c r="C74" i="11"/>
  <c r="C72" i="11"/>
  <c r="C71" i="11"/>
  <c r="C70" i="11"/>
  <c r="C64" i="11"/>
  <c r="C62" i="11"/>
  <c r="C60" i="11"/>
  <c r="C104" i="11"/>
  <c r="C102" i="11"/>
  <c r="C101" i="11"/>
  <c r="C100" i="11"/>
  <c r="C94" i="11"/>
  <c r="C92" i="11"/>
  <c r="C90" i="11"/>
  <c r="C135" i="11"/>
  <c r="C133" i="11"/>
  <c r="C132" i="11"/>
  <c r="C131" i="11"/>
  <c r="E22" i="7"/>
  <c r="E31" i="7"/>
  <c r="E30" i="7"/>
  <c r="E27" i="7"/>
  <c r="E29" i="7"/>
  <c r="E28" i="7"/>
  <c r="W28" i="7" l="1"/>
  <c r="X28" i="7"/>
  <c r="W31" i="7"/>
  <c r="X31" i="7"/>
  <c r="W22" i="7"/>
  <c r="X22" i="7"/>
  <c r="W29" i="7"/>
  <c r="X29" i="7"/>
  <c r="W27" i="7"/>
  <c r="X27" i="7"/>
  <c r="W30" i="7"/>
  <c r="X30" i="7"/>
  <c r="B58" i="14" l="1"/>
  <c r="B59" i="14"/>
  <c r="B60" i="14"/>
  <c r="B61" i="14"/>
  <c r="B62" i="14"/>
  <c r="B63" i="14"/>
  <c r="B64" i="14"/>
  <c r="B65" i="14"/>
  <c r="B66" i="14"/>
  <c r="B68" i="14"/>
  <c r="B71" i="14"/>
  <c r="B74" i="14"/>
  <c r="B75" i="14"/>
  <c r="B76" i="14"/>
  <c r="B77" i="14"/>
  <c r="B69" i="14"/>
  <c r="B70" i="14"/>
  <c r="B72" i="14"/>
  <c r="B73" i="14"/>
  <c r="B67" i="14"/>
  <c r="B57" i="14"/>
  <c r="B30" i="14"/>
  <c r="B31" i="14"/>
  <c r="B32" i="14"/>
  <c r="B33" i="14"/>
  <c r="B34" i="14"/>
  <c r="B35" i="14"/>
  <c r="B36" i="14"/>
  <c r="B37" i="14"/>
  <c r="B38" i="14"/>
  <c r="B39" i="14"/>
  <c r="B41" i="14"/>
  <c r="B44" i="14"/>
  <c r="B47" i="14"/>
  <c r="B48" i="14"/>
  <c r="B49" i="14"/>
  <c r="B50" i="14"/>
  <c r="B42" i="14"/>
  <c r="B43" i="14"/>
  <c r="B45" i="14"/>
  <c r="B46" i="14"/>
  <c r="B40" i="14"/>
  <c r="B4" i="14"/>
  <c r="B5" i="14"/>
  <c r="B6" i="14"/>
  <c r="B7" i="14"/>
  <c r="B8" i="14"/>
  <c r="B9" i="14"/>
  <c r="B10" i="14"/>
  <c r="B11" i="14"/>
  <c r="B12" i="14"/>
  <c r="B14" i="14"/>
  <c r="B17" i="14"/>
  <c r="B20" i="14"/>
  <c r="B21" i="14"/>
  <c r="B22" i="14"/>
  <c r="B23" i="14"/>
  <c r="B15" i="14"/>
  <c r="B16" i="14"/>
  <c r="B18" i="14"/>
  <c r="B19" i="14"/>
  <c r="B13" i="14"/>
  <c r="B3" i="14"/>
  <c r="C125" i="11"/>
  <c r="C123" i="11"/>
  <c r="C121" i="11"/>
  <c r="E19" i="7"/>
  <c r="X19" i="7" s="1"/>
  <c r="E33" i="7"/>
  <c r="W33" i="7" s="1"/>
  <c r="E32" i="7"/>
  <c r="W32" i="7" s="1"/>
  <c r="E37" i="7"/>
  <c r="W37" i="7" s="1"/>
  <c r="E36" i="7"/>
  <c r="W36" i="7" s="1"/>
  <c r="E35" i="7"/>
  <c r="W35" i="7" s="1"/>
  <c r="E34" i="7"/>
  <c r="W34" i="7" s="1"/>
  <c r="E26" i="7"/>
  <c r="W26" i="7" s="1"/>
  <c r="E25" i="7"/>
  <c r="W25" i="7" s="1"/>
  <c r="E24" i="7"/>
  <c r="W24" i="7" s="1"/>
  <c r="E23" i="7"/>
  <c r="W23" i="7" s="1"/>
  <c r="Y30" i="7"/>
  <c r="Y29" i="7"/>
  <c r="E21" i="7"/>
  <c r="W21" i="7" s="1"/>
  <c r="E20" i="7"/>
  <c r="E18" i="7"/>
  <c r="Y18" i="7" s="1"/>
  <c r="E17" i="7"/>
  <c r="W17" i="7" s="1"/>
  <c r="Y19" i="7" l="1"/>
  <c r="W19" i="7"/>
  <c r="Y20" i="7"/>
  <c r="W20" i="7"/>
  <c r="Y31" i="7"/>
  <c r="Y22" i="7"/>
  <c r="Y28" i="7"/>
  <c r="Y27" i="7"/>
  <c r="A259" i="11"/>
  <c r="B9" i="7" l="1"/>
  <c r="S25" i="7" s="1"/>
  <c r="Y21" i="7" l="1"/>
  <c r="Y17" i="7"/>
  <c r="N33" i="7"/>
  <c r="N32" i="7"/>
  <c r="I30" i="7"/>
  <c r="N37" i="7"/>
  <c r="G37" i="7"/>
  <c r="N36" i="7"/>
  <c r="G36" i="7"/>
  <c r="H26" i="7"/>
  <c r="G26" i="7"/>
  <c r="G25" i="7"/>
  <c r="P24" i="7"/>
  <c r="I24" i="7"/>
  <c r="H24" i="7"/>
  <c r="P23" i="7"/>
  <c r="H23" i="7"/>
  <c r="AX27" i="7"/>
  <c r="AX33" i="7"/>
  <c r="AR33" i="7"/>
  <c r="AL33" i="7"/>
  <c r="S33" i="7"/>
  <c r="P33" i="7"/>
  <c r="AX32" i="7"/>
  <c r="AL32" i="7"/>
  <c r="S32" i="7"/>
  <c r="P32" i="7"/>
  <c r="AX30" i="7"/>
  <c r="AL30" i="7"/>
  <c r="H30" i="7"/>
  <c r="AX29" i="7"/>
  <c r="AL29" i="7"/>
  <c r="H29" i="7"/>
  <c r="AX37" i="7"/>
  <c r="AR37" i="7"/>
  <c r="AL37" i="7"/>
  <c r="S37" i="7"/>
  <c r="P37" i="7"/>
  <c r="H37" i="7"/>
  <c r="AX36" i="7"/>
  <c r="AR36" i="7"/>
  <c r="AL36" i="7"/>
  <c r="S36" i="7"/>
  <c r="P36" i="7"/>
  <c r="H36" i="7"/>
  <c r="AX35" i="7"/>
  <c r="AL35" i="7"/>
  <c r="H35" i="7"/>
  <c r="G35" i="7"/>
  <c r="AX34" i="7"/>
  <c r="AL34" i="7"/>
  <c r="H34" i="7"/>
  <c r="G34" i="7"/>
  <c r="AX31" i="7"/>
  <c r="AR31" i="7"/>
  <c r="AL31" i="7"/>
  <c r="S31" i="7"/>
  <c r="P31" i="7"/>
  <c r="N31" i="7"/>
  <c r="H31" i="7"/>
  <c r="G31" i="7"/>
  <c r="AX28" i="7"/>
  <c r="P28" i="7"/>
  <c r="N28" i="7"/>
  <c r="AX26" i="7"/>
  <c r="AL26" i="7"/>
  <c r="AX25" i="7"/>
  <c r="N25" i="7"/>
  <c r="AX24" i="7"/>
  <c r="AR24" i="7"/>
  <c r="S24" i="7"/>
  <c r="N24" i="7"/>
  <c r="G24" i="7"/>
  <c r="AX23" i="7"/>
  <c r="S23" i="7"/>
  <c r="G23" i="7"/>
  <c r="P22" i="7"/>
  <c r="H22" i="7"/>
  <c r="AX21" i="7"/>
  <c r="P20" i="7"/>
  <c r="N20" i="7"/>
  <c r="AX20" i="7"/>
  <c r="AR20" i="7"/>
  <c r="AL20" i="7"/>
  <c r="H20" i="7"/>
  <c r="G20" i="7"/>
  <c r="P19" i="7"/>
  <c r="N19" i="7"/>
  <c r="H19" i="7"/>
  <c r="G19" i="7"/>
  <c r="AX19" i="7"/>
  <c r="AR19" i="7"/>
  <c r="AL19" i="7"/>
  <c r="H18" i="7"/>
  <c r="G18" i="7"/>
  <c r="AX18" i="7"/>
  <c r="G17" i="7"/>
  <c r="AX17" i="7"/>
  <c r="C47" i="7"/>
  <c r="C48" i="7"/>
  <c r="C49" i="7"/>
  <c r="C50" i="7"/>
  <c r="C51" i="7"/>
  <c r="C52" i="7"/>
  <c r="C53" i="7"/>
  <c r="C54" i="7"/>
  <c r="C55" i="7"/>
  <c r="C57" i="7"/>
  <c r="C60" i="7"/>
  <c r="C63" i="7"/>
  <c r="C64" i="7"/>
  <c r="C65" i="7"/>
  <c r="C66" i="7"/>
  <c r="C58" i="7"/>
  <c r="C59" i="7"/>
  <c r="C61" i="7"/>
  <c r="O61" i="7" s="1"/>
  <c r="C62" i="7"/>
  <c r="O62" i="7" s="1"/>
  <c r="C56" i="7"/>
  <c r="O56" i="7" s="1"/>
  <c r="C46" i="7"/>
  <c r="O51" i="7" l="1"/>
  <c r="AR66" i="7"/>
  <c r="AL66" i="7"/>
  <c r="AX66" i="7"/>
  <c r="AR65" i="7"/>
  <c r="AL65" i="7"/>
  <c r="AX65" i="7"/>
  <c r="AX63" i="7"/>
  <c r="AR63" i="7"/>
  <c r="AL63" i="7"/>
  <c r="AX62" i="7"/>
  <c r="AL62" i="7"/>
  <c r="AR62" i="7"/>
  <c r="AL61" i="7"/>
  <c r="AX61" i="7"/>
  <c r="AR61" i="7"/>
  <c r="AL60" i="7"/>
  <c r="AR60" i="7"/>
  <c r="AX60" i="7"/>
  <c r="AX59" i="7"/>
  <c r="AL59" i="7"/>
  <c r="AR59" i="7"/>
  <c r="AX64" i="7"/>
  <c r="AL64" i="7"/>
  <c r="AR64" i="7"/>
  <c r="W56" i="7"/>
  <c r="W59" i="7"/>
  <c r="O58" i="7"/>
  <c r="W58" i="7"/>
  <c r="W60" i="7"/>
  <c r="O60" i="7"/>
  <c r="N60" i="7"/>
  <c r="N57" i="7"/>
  <c r="W57" i="7"/>
  <c r="O57" i="7"/>
  <c r="AX55" i="7"/>
  <c r="AR55" i="7"/>
  <c r="AR53" i="7"/>
  <c r="AX53" i="7"/>
  <c r="W51" i="7"/>
  <c r="AR49" i="7"/>
  <c r="AL49" i="7"/>
  <c r="AX49" i="7"/>
  <c r="O48" i="7"/>
  <c r="AX47" i="7"/>
  <c r="AR47" i="7"/>
  <c r="N62" i="7"/>
  <c r="W62" i="7"/>
  <c r="W61" i="7"/>
  <c r="N61" i="7"/>
  <c r="W65" i="7"/>
  <c r="O65" i="7"/>
  <c r="G65" i="7"/>
  <c r="W64" i="7"/>
  <c r="W63" i="7"/>
  <c r="S55" i="7"/>
  <c r="O55" i="7"/>
  <c r="W55" i="7"/>
  <c r="G55" i="7"/>
  <c r="S54" i="7"/>
  <c r="W54" i="7"/>
  <c r="O54" i="7"/>
  <c r="G54" i="7"/>
  <c r="N52" i="7"/>
  <c r="W52" i="7"/>
  <c r="O52" i="7"/>
  <c r="W50" i="7"/>
  <c r="P50" i="7"/>
  <c r="AC78" i="14" l="1"/>
  <c r="AH67" i="14"/>
  <c r="AI67" i="14" s="1"/>
  <c r="AJ67" i="14" s="1"/>
  <c r="AK67" i="14" s="1"/>
  <c r="AL67" i="14" s="1"/>
  <c r="AM67" i="14" s="1"/>
  <c r="AN67" i="14" s="1"/>
  <c r="AO67" i="14" s="1"/>
  <c r="AP67" i="14" s="1"/>
  <c r="AQ67" i="14" s="1"/>
  <c r="AR67" i="14" s="1"/>
  <c r="AS67" i="14" s="1"/>
  <c r="AT67" i="14" s="1"/>
  <c r="AU67" i="14" s="1"/>
  <c r="AV67" i="14" s="1"/>
  <c r="AW67" i="14" s="1"/>
  <c r="AX67" i="14" s="1"/>
  <c r="AY67" i="14" s="1"/>
  <c r="AZ67" i="14" s="1"/>
  <c r="BA67" i="14" s="1"/>
  <c r="BB67" i="14" s="1"/>
  <c r="BC67" i="14" s="1"/>
  <c r="BD67" i="14" s="1"/>
  <c r="BE67" i="14" s="1"/>
  <c r="BF67" i="14" s="1"/>
  <c r="AX56" i="7" s="1"/>
  <c r="AG67" i="14"/>
  <c r="AC67" i="14"/>
  <c r="AF67" i="14"/>
  <c r="AH73" i="14"/>
  <c r="AI73" i="14" s="1"/>
  <c r="AJ73" i="14" s="1"/>
  <c r="AK73" i="14" s="1"/>
  <c r="AL73" i="14" s="1"/>
  <c r="AM73" i="14" s="1"/>
  <c r="AN73" i="14" s="1"/>
  <c r="AO73" i="14" s="1"/>
  <c r="AP73" i="14" s="1"/>
  <c r="AQ73" i="14" s="1"/>
  <c r="AR73" i="14" s="1"/>
  <c r="AS73" i="14" s="1"/>
  <c r="AT73" i="14" s="1"/>
  <c r="AU73" i="14" s="1"/>
  <c r="AV73" i="14" s="1"/>
  <c r="AW73" i="14" s="1"/>
  <c r="AX73" i="14" s="1"/>
  <c r="AY73" i="14" s="1"/>
  <c r="AZ73" i="14" s="1"/>
  <c r="BA73" i="14" s="1"/>
  <c r="BB73" i="14" s="1"/>
  <c r="BC73" i="14" s="1"/>
  <c r="BD73" i="14" s="1"/>
  <c r="BE73" i="14" s="1"/>
  <c r="BF73" i="14" s="1"/>
  <c r="BG73" i="14" s="1"/>
  <c r="AG73" i="14"/>
  <c r="AC73" i="14"/>
  <c r="AF73" i="14"/>
  <c r="AH72" i="14"/>
  <c r="AI72" i="14" s="1"/>
  <c r="AJ72" i="14" s="1"/>
  <c r="AK72" i="14" s="1"/>
  <c r="AL72" i="14" s="1"/>
  <c r="AM72" i="14" s="1"/>
  <c r="AN72" i="14" s="1"/>
  <c r="AO72" i="14" s="1"/>
  <c r="AP72" i="14" s="1"/>
  <c r="AQ72" i="14" s="1"/>
  <c r="AR72" i="14" s="1"/>
  <c r="AS72" i="14" s="1"/>
  <c r="AT72" i="14" s="1"/>
  <c r="AU72" i="14" s="1"/>
  <c r="AV72" i="14" s="1"/>
  <c r="AW72" i="14" s="1"/>
  <c r="AX72" i="14" s="1"/>
  <c r="AY72" i="14" s="1"/>
  <c r="AZ72" i="14" s="1"/>
  <c r="BA72" i="14" s="1"/>
  <c r="BB72" i="14" s="1"/>
  <c r="BC72" i="14" s="1"/>
  <c r="BD72" i="14" s="1"/>
  <c r="BE72" i="14" s="1"/>
  <c r="BF72" i="14" s="1"/>
  <c r="BG72" i="14" s="1"/>
  <c r="AG72" i="14"/>
  <c r="AC72" i="14"/>
  <c r="AF72" i="14"/>
  <c r="AH70" i="14"/>
  <c r="AI70" i="14" s="1"/>
  <c r="AJ70" i="14" s="1"/>
  <c r="AK70" i="14" s="1"/>
  <c r="AL70" i="14" s="1"/>
  <c r="AM70" i="14" s="1"/>
  <c r="AN70" i="14" s="1"/>
  <c r="AO70" i="14" s="1"/>
  <c r="AP70" i="14" s="1"/>
  <c r="AQ70" i="14" s="1"/>
  <c r="AR70" i="14" s="1"/>
  <c r="AS70" i="14" s="1"/>
  <c r="AT70" i="14" s="1"/>
  <c r="AU70" i="14" s="1"/>
  <c r="AV70" i="14" s="1"/>
  <c r="AW70" i="14" s="1"/>
  <c r="AX70" i="14" s="1"/>
  <c r="AY70" i="14" s="1"/>
  <c r="AZ70" i="14" s="1"/>
  <c r="BA70" i="14" s="1"/>
  <c r="BB70" i="14" s="1"/>
  <c r="BC70" i="14" s="1"/>
  <c r="BD70" i="14" s="1"/>
  <c r="BE70" i="14" s="1"/>
  <c r="BF70" i="14" s="1"/>
  <c r="BG70" i="14" s="1"/>
  <c r="AG70" i="14"/>
  <c r="AC70" i="14"/>
  <c r="AF70" i="14"/>
  <c r="AH69" i="14"/>
  <c r="AI69" i="14" s="1"/>
  <c r="AJ69" i="14" s="1"/>
  <c r="AK69" i="14" s="1"/>
  <c r="AL69" i="14" s="1"/>
  <c r="AM69" i="14" s="1"/>
  <c r="AN69" i="14" s="1"/>
  <c r="AO69" i="14" s="1"/>
  <c r="AP69" i="14" s="1"/>
  <c r="AQ69" i="14" s="1"/>
  <c r="AR69" i="14" s="1"/>
  <c r="AS69" i="14" s="1"/>
  <c r="AT69" i="14" s="1"/>
  <c r="AU69" i="14" s="1"/>
  <c r="AV69" i="14" s="1"/>
  <c r="AW69" i="14" s="1"/>
  <c r="AX69" i="14" s="1"/>
  <c r="AY69" i="14" s="1"/>
  <c r="AZ69" i="14" s="1"/>
  <c r="BA69" i="14" s="1"/>
  <c r="BB69" i="14" s="1"/>
  <c r="BC69" i="14" s="1"/>
  <c r="BD69" i="14" s="1"/>
  <c r="BE69" i="14" s="1"/>
  <c r="BF69" i="14" s="1"/>
  <c r="AG69" i="14"/>
  <c r="AC69" i="14"/>
  <c r="AF69" i="14"/>
  <c r="AH77" i="14"/>
  <c r="AI77" i="14" s="1"/>
  <c r="AJ77" i="14" s="1"/>
  <c r="AK77" i="14" s="1"/>
  <c r="AL77" i="14" s="1"/>
  <c r="AM77" i="14" s="1"/>
  <c r="AN77" i="14" s="1"/>
  <c r="AO77" i="14" s="1"/>
  <c r="AP77" i="14" s="1"/>
  <c r="AQ77" i="14" s="1"/>
  <c r="AR77" i="14" s="1"/>
  <c r="AS77" i="14" s="1"/>
  <c r="AT77" i="14" s="1"/>
  <c r="AU77" i="14" s="1"/>
  <c r="AV77" i="14" s="1"/>
  <c r="AW77" i="14" s="1"/>
  <c r="AX77" i="14" s="1"/>
  <c r="AY77" i="14" s="1"/>
  <c r="AZ77" i="14" s="1"/>
  <c r="BA77" i="14" s="1"/>
  <c r="BB77" i="14" s="1"/>
  <c r="BC77" i="14" s="1"/>
  <c r="BD77" i="14" s="1"/>
  <c r="BE77" i="14" s="1"/>
  <c r="BF77" i="14" s="1"/>
  <c r="BG77" i="14" s="1"/>
  <c r="AG77" i="14"/>
  <c r="AC77" i="14"/>
  <c r="AF77" i="14"/>
  <c r="AH76" i="14"/>
  <c r="AI76" i="14" s="1"/>
  <c r="AJ76" i="14" s="1"/>
  <c r="AK76" i="14" s="1"/>
  <c r="AL76" i="14" s="1"/>
  <c r="AM76" i="14" s="1"/>
  <c r="AN76" i="14" s="1"/>
  <c r="AO76" i="14" s="1"/>
  <c r="AP76" i="14" s="1"/>
  <c r="AQ76" i="14" s="1"/>
  <c r="AR76" i="14" s="1"/>
  <c r="AS76" i="14" s="1"/>
  <c r="AT76" i="14" s="1"/>
  <c r="AU76" i="14" s="1"/>
  <c r="AV76" i="14" s="1"/>
  <c r="AW76" i="14" s="1"/>
  <c r="AX76" i="14" s="1"/>
  <c r="AY76" i="14" s="1"/>
  <c r="AZ76" i="14" s="1"/>
  <c r="BA76" i="14" s="1"/>
  <c r="BB76" i="14" s="1"/>
  <c r="BC76" i="14" s="1"/>
  <c r="BD76" i="14" s="1"/>
  <c r="BE76" i="14" s="1"/>
  <c r="BF76" i="14" s="1"/>
  <c r="BG76" i="14" s="1"/>
  <c r="AG76" i="14"/>
  <c r="AC76" i="14"/>
  <c r="AF76" i="14"/>
  <c r="AH75" i="14"/>
  <c r="AI75" i="14" s="1"/>
  <c r="AJ75" i="14" s="1"/>
  <c r="AK75" i="14" s="1"/>
  <c r="AL75" i="14" s="1"/>
  <c r="AM75" i="14" s="1"/>
  <c r="AN75" i="14" s="1"/>
  <c r="AO75" i="14" s="1"/>
  <c r="AP75" i="14" s="1"/>
  <c r="AQ75" i="14" s="1"/>
  <c r="AR75" i="14" s="1"/>
  <c r="AS75" i="14" s="1"/>
  <c r="AT75" i="14" s="1"/>
  <c r="AU75" i="14" s="1"/>
  <c r="AV75" i="14" s="1"/>
  <c r="AW75" i="14" s="1"/>
  <c r="AX75" i="14" s="1"/>
  <c r="AY75" i="14" s="1"/>
  <c r="AZ75" i="14" s="1"/>
  <c r="BA75" i="14" s="1"/>
  <c r="BB75" i="14" s="1"/>
  <c r="BC75" i="14" s="1"/>
  <c r="BD75" i="14" s="1"/>
  <c r="BE75" i="14" s="1"/>
  <c r="BF75" i="14" s="1"/>
  <c r="BG75" i="14" s="1"/>
  <c r="AG75" i="14"/>
  <c r="AC75" i="14"/>
  <c r="AF75" i="14"/>
  <c r="AH74" i="14"/>
  <c r="AI74" i="14" s="1"/>
  <c r="AJ74" i="14" s="1"/>
  <c r="AK74" i="14" s="1"/>
  <c r="AL74" i="14" s="1"/>
  <c r="AM74" i="14" s="1"/>
  <c r="AN74" i="14" s="1"/>
  <c r="AO74" i="14" s="1"/>
  <c r="AP74" i="14" s="1"/>
  <c r="AQ74" i="14" s="1"/>
  <c r="AR74" i="14" s="1"/>
  <c r="AS74" i="14" s="1"/>
  <c r="AT74" i="14" s="1"/>
  <c r="AU74" i="14" s="1"/>
  <c r="AV74" i="14" s="1"/>
  <c r="AW74" i="14" s="1"/>
  <c r="AX74" i="14" s="1"/>
  <c r="AY74" i="14" s="1"/>
  <c r="AZ74" i="14" s="1"/>
  <c r="BA74" i="14" s="1"/>
  <c r="BB74" i="14" s="1"/>
  <c r="BC74" i="14" s="1"/>
  <c r="BD74" i="14" s="1"/>
  <c r="BE74" i="14" s="1"/>
  <c r="BF74" i="14" s="1"/>
  <c r="BG74" i="14" s="1"/>
  <c r="AG74" i="14"/>
  <c r="AC74" i="14"/>
  <c r="AF74" i="14"/>
  <c r="AH71" i="14"/>
  <c r="AI71" i="14" s="1"/>
  <c r="AJ71" i="14" s="1"/>
  <c r="AK71" i="14" s="1"/>
  <c r="AL71" i="14" s="1"/>
  <c r="AM71" i="14" s="1"/>
  <c r="AN71" i="14" s="1"/>
  <c r="AO71" i="14" s="1"/>
  <c r="AP71" i="14" s="1"/>
  <c r="AQ71" i="14" s="1"/>
  <c r="AR71" i="14" s="1"/>
  <c r="AS71" i="14" s="1"/>
  <c r="AT71" i="14" s="1"/>
  <c r="AU71" i="14" s="1"/>
  <c r="AV71" i="14" s="1"/>
  <c r="AW71" i="14" s="1"/>
  <c r="AX71" i="14" s="1"/>
  <c r="AY71" i="14" s="1"/>
  <c r="AZ71" i="14" s="1"/>
  <c r="BA71" i="14" s="1"/>
  <c r="BB71" i="14" s="1"/>
  <c r="BC71" i="14" s="1"/>
  <c r="BD71" i="14" s="1"/>
  <c r="BE71" i="14" s="1"/>
  <c r="BF71" i="14" s="1"/>
  <c r="BG71" i="14" s="1"/>
  <c r="AG71" i="14"/>
  <c r="AC71" i="14"/>
  <c r="AF71" i="14"/>
  <c r="AH68" i="14"/>
  <c r="AI68" i="14" s="1"/>
  <c r="AJ68" i="14" s="1"/>
  <c r="AK68" i="14" s="1"/>
  <c r="AL68" i="14" s="1"/>
  <c r="AM68" i="14" s="1"/>
  <c r="AN68" i="14" s="1"/>
  <c r="AO68" i="14" s="1"/>
  <c r="AP68" i="14" s="1"/>
  <c r="AQ68" i="14" s="1"/>
  <c r="AR68" i="14" s="1"/>
  <c r="AS68" i="14" s="1"/>
  <c r="AT68" i="14" s="1"/>
  <c r="AU68" i="14" s="1"/>
  <c r="AV68" i="14" s="1"/>
  <c r="AW68" i="14" s="1"/>
  <c r="AX68" i="14" s="1"/>
  <c r="AY68" i="14" s="1"/>
  <c r="AZ68" i="14" s="1"/>
  <c r="BA68" i="14" s="1"/>
  <c r="BB68" i="14" s="1"/>
  <c r="BC68" i="14" s="1"/>
  <c r="BD68" i="14" s="1"/>
  <c r="BE68" i="14" s="1"/>
  <c r="BF68" i="14" s="1"/>
  <c r="AX57" i="7" s="1"/>
  <c r="AG68" i="14"/>
  <c r="AC68" i="14"/>
  <c r="AF68" i="14"/>
  <c r="AH66" i="14"/>
  <c r="AI66" i="14" s="1"/>
  <c r="AJ66" i="14" s="1"/>
  <c r="AK66" i="14" s="1"/>
  <c r="AL66" i="14" s="1"/>
  <c r="AM66" i="14" s="1"/>
  <c r="AN66" i="14" s="1"/>
  <c r="AO66" i="14" s="1"/>
  <c r="AP66" i="14" s="1"/>
  <c r="AQ66" i="14" s="1"/>
  <c r="AR66" i="14" s="1"/>
  <c r="AS66" i="14" s="1"/>
  <c r="AT66" i="14" s="1"/>
  <c r="AU66" i="14" s="1"/>
  <c r="AV66" i="14" s="1"/>
  <c r="AW66" i="14" s="1"/>
  <c r="AX66" i="14" s="1"/>
  <c r="AY66" i="14" s="1"/>
  <c r="AZ66" i="14" s="1"/>
  <c r="BA66" i="14" s="1"/>
  <c r="BB66" i="14" s="1"/>
  <c r="BC66" i="14" s="1"/>
  <c r="BD66" i="14" s="1"/>
  <c r="BE66" i="14" s="1"/>
  <c r="BF66" i="14" s="1"/>
  <c r="BG66" i="14" s="1"/>
  <c r="AG66" i="14"/>
  <c r="AC66" i="14"/>
  <c r="AF66" i="14"/>
  <c r="AH65" i="14"/>
  <c r="AI65" i="14" s="1"/>
  <c r="AJ65" i="14" s="1"/>
  <c r="AK65" i="14" s="1"/>
  <c r="AL65" i="14" s="1"/>
  <c r="AM65" i="14" s="1"/>
  <c r="AN65" i="14" s="1"/>
  <c r="AO65" i="14" s="1"/>
  <c r="AP65" i="14" s="1"/>
  <c r="AQ65" i="14" s="1"/>
  <c r="AR65" i="14" s="1"/>
  <c r="AS65" i="14" s="1"/>
  <c r="AT65" i="14" s="1"/>
  <c r="AU65" i="14" s="1"/>
  <c r="AV65" i="14" s="1"/>
  <c r="AW65" i="14" s="1"/>
  <c r="AX65" i="14" s="1"/>
  <c r="AY65" i="14" s="1"/>
  <c r="AZ65" i="14" s="1"/>
  <c r="BA65" i="14" s="1"/>
  <c r="BB65" i="14" s="1"/>
  <c r="BC65" i="14" s="1"/>
  <c r="BD65" i="14" s="1"/>
  <c r="BE65" i="14" s="1"/>
  <c r="BF65" i="14" s="1"/>
  <c r="AG65" i="14"/>
  <c r="AC65" i="14"/>
  <c r="AF65" i="14"/>
  <c r="AH64" i="14"/>
  <c r="AI64" i="14" s="1"/>
  <c r="AJ64" i="14" s="1"/>
  <c r="AK64" i="14" s="1"/>
  <c r="AL64" i="14" s="1"/>
  <c r="AM64" i="14" s="1"/>
  <c r="AN64" i="14" s="1"/>
  <c r="AO64" i="14" s="1"/>
  <c r="AP64" i="14" s="1"/>
  <c r="AQ64" i="14" s="1"/>
  <c r="AR64" i="14" s="1"/>
  <c r="AS64" i="14" s="1"/>
  <c r="AT64" i="14" s="1"/>
  <c r="AU64" i="14" s="1"/>
  <c r="AV64" i="14" s="1"/>
  <c r="AW64" i="14" s="1"/>
  <c r="AX64" i="14" s="1"/>
  <c r="AY64" i="14" s="1"/>
  <c r="AZ64" i="14" s="1"/>
  <c r="BA64" i="14" s="1"/>
  <c r="BB64" i="14" s="1"/>
  <c r="BC64" i="14" s="1"/>
  <c r="BD64" i="14" s="1"/>
  <c r="BE64" i="14" s="1"/>
  <c r="BF64" i="14" s="1"/>
  <c r="BG64" i="14" s="1"/>
  <c r="AG64" i="14"/>
  <c r="AC64" i="14"/>
  <c r="AF64" i="14"/>
  <c r="AH63" i="14"/>
  <c r="AI63" i="14" s="1"/>
  <c r="AJ63" i="14" s="1"/>
  <c r="AK63" i="14" s="1"/>
  <c r="AL63" i="14" s="1"/>
  <c r="AM63" i="14" s="1"/>
  <c r="AN63" i="14" s="1"/>
  <c r="AO63" i="14" s="1"/>
  <c r="AP63" i="14" s="1"/>
  <c r="AQ63" i="14" s="1"/>
  <c r="AR63" i="14" s="1"/>
  <c r="AS63" i="14" s="1"/>
  <c r="AT63" i="14" s="1"/>
  <c r="AU63" i="14" s="1"/>
  <c r="AV63" i="14" s="1"/>
  <c r="AW63" i="14" s="1"/>
  <c r="AX63" i="14" s="1"/>
  <c r="AY63" i="14" s="1"/>
  <c r="AZ63" i="14" s="1"/>
  <c r="BA63" i="14" s="1"/>
  <c r="BB63" i="14" s="1"/>
  <c r="BC63" i="14" s="1"/>
  <c r="BD63" i="14" s="1"/>
  <c r="BE63" i="14" s="1"/>
  <c r="BF63" i="14" s="1"/>
  <c r="AG63" i="14"/>
  <c r="AC63" i="14"/>
  <c r="AF63" i="14"/>
  <c r="AH62" i="14"/>
  <c r="AI62" i="14" s="1"/>
  <c r="AJ62" i="14" s="1"/>
  <c r="AG62" i="14"/>
  <c r="W62" i="14"/>
  <c r="V62" i="14"/>
  <c r="U62" i="14"/>
  <c r="T62" i="14"/>
  <c r="S62" i="14"/>
  <c r="R62" i="14"/>
  <c r="Q62" i="14"/>
  <c r="P62" i="14"/>
  <c r="O62" i="14"/>
  <c r="N62" i="14"/>
  <c r="M62" i="14"/>
  <c r="L62" i="14"/>
  <c r="K62" i="14"/>
  <c r="J62" i="14"/>
  <c r="I62" i="14"/>
  <c r="H62" i="14"/>
  <c r="G62" i="14"/>
  <c r="AF62" i="14"/>
  <c r="AH61" i="14"/>
  <c r="AI61" i="14" s="1"/>
  <c r="AJ61" i="14" s="1"/>
  <c r="AK61" i="14" s="1"/>
  <c r="AL61" i="14" s="1"/>
  <c r="AM61" i="14" s="1"/>
  <c r="AN61" i="14" s="1"/>
  <c r="AO61" i="14" s="1"/>
  <c r="AP61" i="14" s="1"/>
  <c r="AQ61" i="14" s="1"/>
  <c r="AR61" i="14" s="1"/>
  <c r="AS61" i="14" s="1"/>
  <c r="AT61" i="14" s="1"/>
  <c r="AU61" i="14" s="1"/>
  <c r="AV61" i="14" s="1"/>
  <c r="AW61" i="14" s="1"/>
  <c r="AX61" i="14" s="1"/>
  <c r="AY61" i="14" s="1"/>
  <c r="AZ61" i="14" s="1"/>
  <c r="BA61" i="14" s="1"/>
  <c r="BB61" i="14" s="1"/>
  <c r="BC61" i="14" s="1"/>
  <c r="BD61" i="14" s="1"/>
  <c r="BE61" i="14" s="1"/>
  <c r="BF61" i="14" s="1"/>
  <c r="AG61" i="14"/>
  <c r="AC61" i="14"/>
  <c r="AF61" i="14"/>
  <c r="AH60" i="14"/>
  <c r="AI60" i="14" s="1"/>
  <c r="AJ60" i="14" s="1"/>
  <c r="AK60" i="14" s="1"/>
  <c r="AL60" i="14" s="1"/>
  <c r="AM60" i="14" s="1"/>
  <c r="AN60" i="14" s="1"/>
  <c r="AO60" i="14" s="1"/>
  <c r="AP60" i="14" s="1"/>
  <c r="AQ60" i="14" s="1"/>
  <c r="AR60" i="14" s="1"/>
  <c r="AS60" i="14" s="1"/>
  <c r="AT60" i="14" s="1"/>
  <c r="AU60" i="14" s="1"/>
  <c r="AV60" i="14" s="1"/>
  <c r="AW60" i="14" s="1"/>
  <c r="AX60" i="14" s="1"/>
  <c r="AY60" i="14" s="1"/>
  <c r="AZ60" i="14" s="1"/>
  <c r="BA60" i="14" s="1"/>
  <c r="BB60" i="14" s="1"/>
  <c r="BC60" i="14" s="1"/>
  <c r="BD60" i="14" s="1"/>
  <c r="BE60" i="14" s="1"/>
  <c r="BF60" i="14" s="1"/>
  <c r="BG60" i="14" s="1"/>
  <c r="AG60" i="14"/>
  <c r="AC60" i="14"/>
  <c r="AF60" i="14"/>
  <c r="AH59" i="14"/>
  <c r="AI59" i="14" s="1"/>
  <c r="AJ59" i="14" s="1"/>
  <c r="AK59" i="14" s="1"/>
  <c r="AL59" i="14" s="1"/>
  <c r="AM59" i="14" s="1"/>
  <c r="AN59" i="14" s="1"/>
  <c r="AO59" i="14" s="1"/>
  <c r="AP59" i="14" s="1"/>
  <c r="AQ59" i="14" s="1"/>
  <c r="AR59" i="14" s="1"/>
  <c r="AS59" i="14" s="1"/>
  <c r="AT59" i="14" s="1"/>
  <c r="AU59" i="14" s="1"/>
  <c r="AV59" i="14" s="1"/>
  <c r="AW59" i="14" s="1"/>
  <c r="AX59" i="14" s="1"/>
  <c r="AY59" i="14" s="1"/>
  <c r="AZ59" i="14" s="1"/>
  <c r="BA59" i="14" s="1"/>
  <c r="BB59" i="14" s="1"/>
  <c r="BC59" i="14" s="1"/>
  <c r="BD59" i="14" s="1"/>
  <c r="BE59" i="14" s="1"/>
  <c r="BF59" i="14" s="1"/>
  <c r="AG59" i="14"/>
  <c r="AC59" i="14"/>
  <c r="AF59" i="14"/>
  <c r="AH58" i="14"/>
  <c r="AI58" i="14" s="1"/>
  <c r="AJ58" i="14" s="1"/>
  <c r="AK58" i="14" s="1"/>
  <c r="AL58" i="14" s="1"/>
  <c r="AM58" i="14" s="1"/>
  <c r="AN58" i="14" s="1"/>
  <c r="AO58" i="14" s="1"/>
  <c r="AP58" i="14" s="1"/>
  <c r="AQ58" i="14" s="1"/>
  <c r="AR58" i="14" s="1"/>
  <c r="AS58" i="14" s="1"/>
  <c r="AT58" i="14" s="1"/>
  <c r="AU58" i="14" s="1"/>
  <c r="AV58" i="14" s="1"/>
  <c r="AW58" i="14" s="1"/>
  <c r="AX58" i="14" s="1"/>
  <c r="AY58" i="14" s="1"/>
  <c r="AZ58" i="14" s="1"/>
  <c r="BA58" i="14" s="1"/>
  <c r="BB58" i="14" s="1"/>
  <c r="BC58" i="14" s="1"/>
  <c r="BD58" i="14" s="1"/>
  <c r="BE58" i="14" s="1"/>
  <c r="BF58" i="14" s="1"/>
  <c r="BG58" i="14" s="1"/>
  <c r="AG58" i="14"/>
  <c r="AC58" i="14"/>
  <c r="AF58" i="14"/>
  <c r="AH57" i="14"/>
  <c r="AI57" i="14" s="1"/>
  <c r="AJ57" i="14" s="1"/>
  <c r="AK57" i="14" s="1"/>
  <c r="AL57" i="14" s="1"/>
  <c r="AM57" i="14" s="1"/>
  <c r="AN57" i="14" s="1"/>
  <c r="AO57" i="14" s="1"/>
  <c r="AP57" i="14" s="1"/>
  <c r="AQ57" i="14" s="1"/>
  <c r="AR57" i="14" s="1"/>
  <c r="AS57" i="14" s="1"/>
  <c r="AT57" i="14" s="1"/>
  <c r="AU57" i="14" s="1"/>
  <c r="AV57" i="14" s="1"/>
  <c r="AW57" i="14" s="1"/>
  <c r="AX57" i="14" s="1"/>
  <c r="AY57" i="14" s="1"/>
  <c r="AZ57" i="14" s="1"/>
  <c r="BA57" i="14" s="1"/>
  <c r="BB57" i="14" s="1"/>
  <c r="BC57" i="14" s="1"/>
  <c r="BD57" i="14" s="1"/>
  <c r="BE57" i="14" s="1"/>
  <c r="BF57" i="14" s="1"/>
  <c r="AG57" i="14"/>
  <c r="AC57" i="14"/>
  <c r="AF57" i="14"/>
  <c r="AC51" i="14"/>
  <c r="AH40" i="14"/>
  <c r="AI40" i="14" s="1"/>
  <c r="AJ40" i="14" s="1"/>
  <c r="AK40" i="14" s="1"/>
  <c r="AL40" i="14" s="1"/>
  <c r="AM40" i="14" s="1"/>
  <c r="AN40" i="14" s="1"/>
  <c r="AO40" i="14" s="1"/>
  <c r="AP40" i="14" s="1"/>
  <c r="AQ40" i="14" s="1"/>
  <c r="AR40" i="14" s="1"/>
  <c r="AS40" i="14" s="1"/>
  <c r="AT40" i="14" s="1"/>
  <c r="AU40" i="14" s="1"/>
  <c r="AV40" i="14" s="1"/>
  <c r="AW40" i="14" s="1"/>
  <c r="AX40" i="14" s="1"/>
  <c r="AY40" i="14" s="1"/>
  <c r="AZ40" i="14" s="1"/>
  <c r="BA40" i="14" s="1"/>
  <c r="BB40" i="14" s="1"/>
  <c r="BC40" i="14" s="1"/>
  <c r="BD40" i="14" s="1"/>
  <c r="BE40" i="14" s="1"/>
  <c r="BF40" i="14" s="1"/>
  <c r="AR56" i="7" s="1"/>
  <c r="AG40" i="14"/>
  <c r="AC40" i="14"/>
  <c r="AF40" i="14"/>
  <c r="AH46" i="14"/>
  <c r="AI46" i="14" s="1"/>
  <c r="AJ46" i="14" s="1"/>
  <c r="AK46" i="14" s="1"/>
  <c r="AL46" i="14" s="1"/>
  <c r="AM46" i="14" s="1"/>
  <c r="AN46" i="14" s="1"/>
  <c r="AO46" i="14" s="1"/>
  <c r="AP46" i="14" s="1"/>
  <c r="AQ46" i="14" s="1"/>
  <c r="AR46" i="14" s="1"/>
  <c r="AS46" i="14" s="1"/>
  <c r="AT46" i="14" s="1"/>
  <c r="AU46" i="14" s="1"/>
  <c r="AV46" i="14" s="1"/>
  <c r="AW46" i="14" s="1"/>
  <c r="AX46" i="14" s="1"/>
  <c r="AY46" i="14" s="1"/>
  <c r="AZ46" i="14" s="1"/>
  <c r="BA46" i="14" s="1"/>
  <c r="BB46" i="14" s="1"/>
  <c r="BC46" i="14" s="1"/>
  <c r="BD46" i="14" s="1"/>
  <c r="BE46" i="14" s="1"/>
  <c r="BF46" i="14" s="1"/>
  <c r="BG46" i="14" s="1"/>
  <c r="AG46" i="14"/>
  <c r="AC46" i="14"/>
  <c r="AF46" i="14"/>
  <c r="AH45" i="14"/>
  <c r="AI45" i="14" s="1"/>
  <c r="AJ45" i="14" s="1"/>
  <c r="AK45" i="14" s="1"/>
  <c r="AL45" i="14" s="1"/>
  <c r="AM45" i="14" s="1"/>
  <c r="AN45" i="14" s="1"/>
  <c r="AO45" i="14" s="1"/>
  <c r="AP45" i="14" s="1"/>
  <c r="AQ45" i="14" s="1"/>
  <c r="AR45" i="14" s="1"/>
  <c r="AS45" i="14" s="1"/>
  <c r="AT45" i="14" s="1"/>
  <c r="AU45" i="14" s="1"/>
  <c r="AV45" i="14" s="1"/>
  <c r="AW45" i="14" s="1"/>
  <c r="AX45" i="14" s="1"/>
  <c r="AY45" i="14" s="1"/>
  <c r="AZ45" i="14" s="1"/>
  <c r="BA45" i="14" s="1"/>
  <c r="BB45" i="14" s="1"/>
  <c r="BC45" i="14" s="1"/>
  <c r="BD45" i="14" s="1"/>
  <c r="BE45" i="14" s="1"/>
  <c r="BF45" i="14" s="1"/>
  <c r="BG45" i="14" s="1"/>
  <c r="AG45" i="14"/>
  <c r="AC45" i="14"/>
  <c r="AF45" i="14"/>
  <c r="AH43" i="14"/>
  <c r="AI43" i="14" s="1"/>
  <c r="AJ43" i="14" s="1"/>
  <c r="AK43" i="14" s="1"/>
  <c r="AL43" i="14" s="1"/>
  <c r="AM43" i="14" s="1"/>
  <c r="AN43" i="14" s="1"/>
  <c r="AO43" i="14" s="1"/>
  <c r="AP43" i="14" s="1"/>
  <c r="AQ43" i="14" s="1"/>
  <c r="AR43" i="14" s="1"/>
  <c r="AS43" i="14" s="1"/>
  <c r="AT43" i="14" s="1"/>
  <c r="AU43" i="14" s="1"/>
  <c r="AV43" i="14" s="1"/>
  <c r="AW43" i="14" s="1"/>
  <c r="AX43" i="14" s="1"/>
  <c r="AY43" i="14" s="1"/>
  <c r="AZ43" i="14" s="1"/>
  <c r="BA43" i="14" s="1"/>
  <c r="BB43" i="14" s="1"/>
  <c r="BC43" i="14" s="1"/>
  <c r="BD43" i="14" s="1"/>
  <c r="BE43" i="14" s="1"/>
  <c r="BF43" i="14" s="1"/>
  <c r="BG43" i="14" s="1"/>
  <c r="AG43" i="14"/>
  <c r="AC43" i="14"/>
  <c r="AF43" i="14"/>
  <c r="AH42" i="14"/>
  <c r="AI42" i="14" s="1"/>
  <c r="AJ42" i="14" s="1"/>
  <c r="AK42" i="14" s="1"/>
  <c r="AL42" i="14" s="1"/>
  <c r="AM42" i="14" s="1"/>
  <c r="AN42" i="14" s="1"/>
  <c r="AO42" i="14" s="1"/>
  <c r="AP42" i="14" s="1"/>
  <c r="AQ42" i="14" s="1"/>
  <c r="AR42" i="14" s="1"/>
  <c r="AS42" i="14" s="1"/>
  <c r="AT42" i="14" s="1"/>
  <c r="AU42" i="14" s="1"/>
  <c r="AV42" i="14" s="1"/>
  <c r="AW42" i="14" s="1"/>
  <c r="AX42" i="14" s="1"/>
  <c r="AY42" i="14" s="1"/>
  <c r="AZ42" i="14" s="1"/>
  <c r="BA42" i="14" s="1"/>
  <c r="BB42" i="14" s="1"/>
  <c r="BC42" i="14" s="1"/>
  <c r="BD42" i="14" s="1"/>
  <c r="BE42" i="14" s="1"/>
  <c r="BF42" i="14" s="1"/>
  <c r="AG42" i="14"/>
  <c r="AC42" i="14"/>
  <c r="AF42" i="14"/>
  <c r="AH50" i="14"/>
  <c r="AI50" i="14" s="1"/>
  <c r="AJ50" i="14" s="1"/>
  <c r="AK50" i="14" s="1"/>
  <c r="AL50" i="14" s="1"/>
  <c r="AM50" i="14" s="1"/>
  <c r="AN50" i="14" s="1"/>
  <c r="AO50" i="14" s="1"/>
  <c r="AP50" i="14" s="1"/>
  <c r="AQ50" i="14" s="1"/>
  <c r="AR50" i="14" s="1"/>
  <c r="AS50" i="14" s="1"/>
  <c r="AT50" i="14" s="1"/>
  <c r="AU50" i="14" s="1"/>
  <c r="AV50" i="14" s="1"/>
  <c r="AW50" i="14" s="1"/>
  <c r="AX50" i="14" s="1"/>
  <c r="AY50" i="14" s="1"/>
  <c r="AZ50" i="14" s="1"/>
  <c r="BA50" i="14" s="1"/>
  <c r="BB50" i="14" s="1"/>
  <c r="BC50" i="14" s="1"/>
  <c r="BD50" i="14" s="1"/>
  <c r="BE50" i="14" s="1"/>
  <c r="BF50" i="14" s="1"/>
  <c r="BG50" i="14" s="1"/>
  <c r="AG50" i="14"/>
  <c r="AC50" i="14"/>
  <c r="AF50" i="14"/>
  <c r="AH49" i="14"/>
  <c r="AI49" i="14" s="1"/>
  <c r="AJ49" i="14" s="1"/>
  <c r="AK49" i="14" s="1"/>
  <c r="AL49" i="14" s="1"/>
  <c r="AM49" i="14" s="1"/>
  <c r="AN49" i="14" s="1"/>
  <c r="AO49" i="14" s="1"/>
  <c r="AP49" i="14" s="1"/>
  <c r="AQ49" i="14" s="1"/>
  <c r="AR49" i="14" s="1"/>
  <c r="AS49" i="14" s="1"/>
  <c r="AT49" i="14" s="1"/>
  <c r="AU49" i="14" s="1"/>
  <c r="AV49" i="14" s="1"/>
  <c r="AW49" i="14" s="1"/>
  <c r="AX49" i="14" s="1"/>
  <c r="AY49" i="14" s="1"/>
  <c r="AZ49" i="14" s="1"/>
  <c r="BA49" i="14" s="1"/>
  <c r="BB49" i="14" s="1"/>
  <c r="BC49" i="14" s="1"/>
  <c r="BD49" i="14" s="1"/>
  <c r="BE49" i="14" s="1"/>
  <c r="BF49" i="14" s="1"/>
  <c r="BG49" i="14" s="1"/>
  <c r="AG49" i="14"/>
  <c r="AC49" i="14"/>
  <c r="AF49" i="14"/>
  <c r="AH48" i="14"/>
  <c r="AG48" i="14"/>
  <c r="AF48" i="14"/>
  <c r="AH47" i="14"/>
  <c r="AG47" i="14"/>
  <c r="AF47" i="14"/>
  <c r="AH44" i="14"/>
  <c r="AI44" i="14" s="1"/>
  <c r="AJ44" i="14" s="1"/>
  <c r="AK44" i="14" s="1"/>
  <c r="AL44" i="14" s="1"/>
  <c r="AM44" i="14" s="1"/>
  <c r="AN44" i="14" s="1"/>
  <c r="AO44" i="14" s="1"/>
  <c r="AP44" i="14" s="1"/>
  <c r="AQ44" i="14" s="1"/>
  <c r="AR44" i="14" s="1"/>
  <c r="AS44" i="14" s="1"/>
  <c r="AT44" i="14" s="1"/>
  <c r="AU44" i="14" s="1"/>
  <c r="AV44" i="14" s="1"/>
  <c r="AW44" i="14" s="1"/>
  <c r="AX44" i="14" s="1"/>
  <c r="AY44" i="14" s="1"/>
  <c r="AZ44" i="14" s="1"/>
  <c r="BA44" i="14" s="1"/>
  <c r="BB44" i="14" s="1"/>
  <c r="BC44" i="14" s="1"/>
  <c r="BD44" i="14" s="1"/>
  <c r="BE44" i="14" s="1"/>
  <c r="BF44" i="14" s="1"/>
  <c r="BG44" i="14" s="1"/>
  <c r="AG44" i="14"/>
  <c r="AC44" i="14"/>
  <c r="AF44" i="14"/>
  <c r="AH41" i="14"/>
  <c r="AI41" i="14" s="1"/>
  <c r="AJ41" i="14" s="1"/>
  <c r="AK41" i="14" s="1"/>
  <c r="AL41" i="14" s="1"/>
  <c r="AM41" i="14" s="1"/>
  <c r="AN41" i="14" s="1"/>
  <c r="AO41" i="14" s="1"/>
  <c r="AP41" i="14" s="1"/>
  <c r="AQ41" i="14" s="1"/>
  <c r="AR41" i="14" s="1"/>
  <c r="AS41" i="14" s="1"/>
  <c r="AT41" i="14" s="1"/>
  <c r="AU41" i="14" s="1"/>
  <c r="AV41" i="14" s="1"/>
  <c r="AW41" i="14" s="1"/>
  <c r="AX41" i="14" s="1"/>
  <c r="AY41" i="14" s="1"/>
  <c r="AZ41" i="14" s="1"/>
  <c r="BA41" i="14" s="1"/>
  <c r="BB41" i="14" s="1"/>
  <c r="BC41" i="14" s="1"/>
  <c r="BD41" i="14" s="1"/>
  <c r="BE41" i="14" s="1"/>
  <c r="BF41" i="14" s="1"/>
  <c r="AR57" i="7" s="1"/>
  <c r="AG41" i="14"/>
  <c r="AC41" i="14"/>
  <c r="AF41" i="14"/>
  <c r="AH39" i="14"/>
  <c r="AI39" i="14" s="1"/>
  <c r="AJ39" i="14" s="1"/>
  <c r="AK39" i="14" s="1"/>
  <c r="AL39" i="14" s="1"/>
  <c r="AM39" i="14" s="1"/>
  <c r="AN39" i="14" s="1"/>
  <c r="AO39" i="14" s="1"/>
  <c r="AP39" i="14" s="1"/>
  <c r="AQ39" i="14" s="1"/>
  <c r="AR39" i="14" s="1"/>
  <c r="AS39" i="14" s="1"/>
  <c r="AT39" i="14" s="1"/>
  <c r="AU39" i="14" s="1"/>
  <c r="AV39" i="14" s="1"/>
  <c r="AW39" i="14" s="1"/>
  <c r="AX39" i="14" s="1"/>
  <c r="AY39" i="14" s="1"/>
  <c r="AZ39" i="14" s="1"/>
  <c r="BA39" i="14" s="1"/>
  <c r="BB39" i="14" s="1"/>
  <c r="BC39" i="14" s="1"/>
  <c r="BD39" i="14" s="1"/>
  <c r="BE39" i="14" s="1"/>
  <c r="BF39" i="14" s="1"/>
  <c r="BG39" i="14" s="1"/>
  <c r="AG39" i="14"/>
  <c r="AC39" i="14"/>
  <c r="AF39" i="14"/>
  <c r="AH38" i="14"/>
  <c r="AI38" i="14" s="1"/>
  <c r="AJ38" i="14" s="1"/>
  <c r="AK38" i="14" s="1"/>
  <c r="AL38" i="14" s="1"/>
  <c r="AM38" i="14" s="1"/>
  <c r="AN38" i="14" s="1"/>
  <c r="AO38" i="14" s="1"/>
  <c r="AP38" i="14" s="1"/>
  <c r="AQ38" i="14" s="1"/>
  <c r="AR38" i="14" s="1"/>
  <c r="AS38" i="14" s="1"/>
  <c r="AT38" i="14" s="1"/>
  <c r="AU38" i="14" s="1"/>
  <c r="AV38" i="14" s="1"/>
  <c r="AW38" i="14" s="1"/>
  <c r="AX38" i="14" s="1"/>
  <c r="AY38" i="14" s="1"/>
  <c r="AZ38" i="14" s="1"/>
  <c r="BA38" i="14" s="1"/>
  <c r="BB38" i="14" s="1"/>
  <c r="BC38" i="14" s="1"/>
  <c r="BD38" i="14" s="1"/>
  <c r="BE38" i="14" s="1"/>
  <c r="BF38" i="14" s="1"/>
  <c r="AG38" i="14"/>
  <c r="AC38" i="14"/>
  <c r="AF38" i="14"/>
  <c r="AH37" i="14"/>
  <c r="AI37" i="14" s="1"/>
  <c r="AJ37" i="14" s="1"/>
  <c r="AK37" i="14" s="1"/>
  <c r="AL37" i="14" s="1"/>
  <c r="AM37" i="14" s="1"/>
  <c r="AN37" i="14" s="1"/>
  <c r="AO37" i="14" s="1"/>
  <c r="AP37" i="14" s="1"/>
  <c r="AQ37" i="14" s="1"/>
  <c r="AR37" i="14" s="1"/>
  <c r="AS37" i="14" s="1"/>
  <c r="AT37" i="14" s="1"/>
  <c r="AU37" i="14" s="1"/>
  <c r="AV37" i="14" s="1"/>
  <c r="AW37" i="14" s="1"/>
  <c r="AX37" i="14" s="1"/>
  <c r="AY37" i="14" s="1"/>
  <c r="AZ37" i="14" s="1"/>
  <c r="BA37" i="14" s="1"/>
  <c r="BB37" i="14" s="1"/>
  <c r="BC37" i="14" s="1"/>
  <c r="BD37" i="14" s="1"/>
  <c r="BE37" i="14" s="1"/>
  <c r="BF37" i="14" s="1"/>
  <c r="BG37" i="14" s="1"/>
  <c r="AG37" i="14"/>
  <c r="AC37" i="14"/>
  <c r="AF37" i="14"/>
  <c r="AH36" i="14"/>
  <c r="AI36" i="14" s="1"/>
  <c r="AJ36" i="14" s="1"/>
  <c r="AK36" i="14" s="1"/>
  <c r="AL36" i="14" s="1"/>
  <c r="AM36" i="14" s="1"/>
  <c r="AN36" i="14" s="1"/>
  <c r="AO36" i="14" s="1"/>
  <c r="AP36" i="14" s="1"/>
  <c r="AQ36" i="14" s="1"/>
  <c r="AR36" i="14" s="1"/>
  <c r="AS36" i="14" s="1"/>
  <c r="AT36" i="14" s="1"/>
  <c r="AU36" i="14" s="1"/>
  <c r="AV36" i="14" s="1"/>
  <c r="AW36" i="14" s="1"/>
  <c r="AX36" i="14" s="1"/>
  <c r="AY36" i="14" s="1"/>
  <c r="AZ36" i="14" s="1"/>
  <c r="BA36" i="14" s="1"/>
  <c r="BB36" i="14" s="1"/>
  <c r="BC36" i="14" s="1"/>
  <c r="BD36" i="14" s="1"/>
  <c r="BE36" i="14" s="1"/>
  <c r="BF36" i="14" s="1"/>
  <c r="AG36" i="14"/>
  <c r="AC36" i="14"/>
  <c r="AF36" i="14"/>
  <c r="AH35" i="14"/>
  <c r="AI35" i="14" s="1"/>
  <c r="AJ35" i="14" s="1"/>
  <c r="AK35" i="14" s="1"/>
  <c r="AL35" i="14" s="1"/>
  <c r="AM35" i="14" s="1"/>
  <c r="AN35" i="14" s="1"/>
  <c r="AO35" i="14" s="1"/>
  <c r="AP35" i="14" s="1"/>
  <c r="AQ35" i="14" s="1"/>
  <c r="AR35" i="14" s="1"/>
  <c r="AS35" i="14" s="1"/>
  <c r="AT35" i="14" s="1"/>
  <c r="AU35" i="14" s="1"/>
  <c r="AV35" i="14" s="1"/>
  <c r="AW35" i="14" s="1"/>
  <c r="AX35" i="14" s="1"/>
  <c r="AY35" i="14" s="1"/>
  <c r="AZ35" i="14" s="1"/>
  <c r="BA35" i="14" s="1"/>
  <c r="BB35" i="14" s="1"/>
  <c r="BC35" i="14" s="1"/>
  <c r="BD35" i="14" s="1"/>
  <c r="BE35" i="14" s="1"/>
  <c r="BF35" i="14" s="1"/>
  <c r="AG35" i="14"/>
  <c r="AC35" i="14"/>
  <c r="AF35" i="14"/>
  <c r="AH34" i="14"/>
  <c r="AI34" i="14" s="1"/>
  <c r="AJ34" i="14" s="1"/>
  <c r="AK34" i="14" s="1"/>
  <c r="AL34" i="14" s="1"/>
  <c r="AM34" i="14" s="1"/>
  <c r="AN34" i="14" s="1"/>
  <c r="AO34" i="14" s="1"/>
  <c r="AP34" i="14" s="1"/>
  <c r="AQ34" i="14" s="1"/>
  <c r="AR34" i="14" s="1"/>
  <c r="AS34" i="14" s="1"/>
  <c r="AT34" i="14" s="1"/>
  <c r="AU34" i="14" s="1"/>
  <c r="AV34" i="14" s="1"/>
  <c r="AW34" i="14" s="1"/>
  <c r="AX34" i="14" s="1"/>
  <c r="AY34" i="14" s="1"/>
  <c r="AZ34" i="14" s="1"/>
  <c r="BA34" i="14" s="1"/>
  <c r="BB34" i="14" s="1"/>
  <c r="BC34" i="14" s="1"/>
  <c r="BD34" i="14" s="1"/>
  <c r="BE34" i="14" s="1"/>
  <c r="BF34" i="14" s="1"/>
  <c r="AG34" i="14"/>
  <c r="AC34" i="14"/>
  <c r="AF34" i="14"/>
  <c r="AH33" i="14"/>
  <c r="AI33" i="14" s="1"/>
  <c r="AJ33" i="14" s="1"/>
  <c r="AK33" i="14" s="1"/>
  <c r="AL33" i="14" s="1"/>
  <c r="AM33" i="14" s="1"/>
  <c r="AN33" i="14" s="1"/>
  <c r="AO33" i="14" s="1"/>
  <c r="AP33" i="14" s="1"/>
  <c r="AQ33" i="14" s="1"/>
  <c r="AR33" i="14" s="1"/>
  <c r="AS33" i="14" s="1"/>
  <c r="AT33" i="14" s="1"/>
  <c r="AU33" i="14" s="1"/>
  <c r="AV33" i="14" s="1"/>
  <c r="AW33" i="14" s="1"/>
  <c r="AX33" i="14" s="1"/>
  <c r="AY33" i="14" s="1"/>
  <c r="AZ33" i="14" s="1"/>
  <c r="BA33" i="14" s="1"/>
  <c r="BB33" i="14" s="1"/>
  <c r="BC33" i="14" s="1"/>
  <c r="BD33" i="14" s="1"/>
  <c r="BE33" i="14" s="1"/>
  <c r="BF33" i="14" s="1"/>
  <c r="BG33" i="14" s="1"/>
  <c r="AG33" i="14"/>
  <c r="AC33" i="14"/>
  <c r="AF33" i="14"/>
  <c r="AH32" i="14"/>
  <c r="AI32" i="14" s="1"/>
  <c r="AJ32" i="14" s="1"/>
  <c r="AK32" i="14" s="1"/>
  <c r="AL32" i="14" s="1"/>
  <c r="AM32" i="14" s="1"/>
  <c r="AN32" i="14" s="1"/>
  <c r="AO32" i="14" s="1"/>
  <c r="AP32" i="14" s="1"/>
  <c r="AQ32" i="14" s="1"/>
  <c r="AR32" i="14" s="1"/>
  <c r="AS32" i="14" s="1"/>
  <c r="AT32" i="14" s="1"/>
  <c r="AU32" i="14" s="1"/>
  <c r="AV32" i="14" s="1"/>
  <c r="AW32" i="14" s="1"/>
  <c r="AX32" i="14" s="1"/>
  <c r="AY32" i="14" s="1"/>
  <c r="AZ32" i="14" s="1"/>
  <c r="BA32" i="14" s="1"/>
  <c r="BB32" i="14" s="1"/>
  <c r="BC32" i="14" s="1"/>
  <c r="BD32" i="14" s="1"/>
  <c r="BE32" i="14" s="1"/>
  <c r="BF32" i="14" s="1"/>
  <c r="AG32" i="14"/>
  <c r="AC32" i="14"/>
  <c r="AF32" i="14"/>
  <c r="AH31" i="14"/>
  <c r="AI31" i="14" s="1"/>
  <c r="AJ31" i="14" s="1"/>
  <c r="AK31" i="14" s="1"/>
  <c r="AL31" i="14" s="1"/>
  <c r="AM31" i="14" s="1"/>
  <c r="AN31" i="14" s="1"/>
  <c r="AO31" i="14" s="1"/>
  <c r="AP31" i="14" s="1"/>
  <c r="AQ31" i="14" s="1"/>
  <c r="AR31" i="14" s="1"/>
  <c r="AS31" i="14" s="1"/>
  <c r="AT31" i="14" s="1"/>
  <c r="AU31" i="14" s="1"/>
  <c r="AV31" i="14" s="1"/>
  <c r="AW31" i="14" s="1"/>
  <c r="AX31" i="14" s="1"/>
  <c r="AY31" i="14" s="1"/>
  <c r="AZ31" i="14" s="1"/>
  <c r="BA31" i="14" s="1"/>
  <c r="BB31" i="14" s="1"/>
  <c r="BC31" i="14" s="1"/>
  <c r="BD31" i="14" s="1"/>
  <c r="BE31" i="14" s="1"/>
  <c r="BF31" i="14" s="1"/>
  <c r="BG31" i="14" s="1"/>
  <c r="AG31" i="14"/>
  <c r="AC31" i="14"/>
  <c r="AF31" i="14"/>
  <c r="AH30" i="14"/>
  <c r="AI30" i="14" s="1"/>
  <c r="AJ30" i="14" s="1"/>
  <c r="AK30" i="14" s="1"/>
  <c r="AL30" i="14" s="1"/>
  <c r="AM30" i="14" s="1"/>
  <c r="AN30" i="14" s="1"/>
  <c r="AO30" i="14" s="1"/>
  <c r="AP30" i="14" s="1"/>
  <c r="AQ30" i="14" s="1"/>
  <c r="AR30" i="14" s="1"/>
  <c r="AS30" i="14" s="1"/>
  <c r="AT30" i="14" s="1"/>
  <c r="AU30" i="14" s="1"/>
  <c r="AV30" i="14" s="1"/>
  <c r="AW30" i="14" s="1"/>
  <c r="AX30" i="14" s="1"/>
  <c r="AY30" i="14" s="1"/>
  <c r="AZ30" i="14" s="1"/>
  <c r="BA30" i="14" s="1"/>
  <c r="BB30" i="14" s="1"/>
  <c r="BC30" i="14" s="1"/>
  <c r="BD30" i="14" s="1"/>
  <c r="BE30" i="14" s="1"/>
  <c r="BF30" i="14" s="1"/>
  <c r="AG30" i="14"/>
  <c r="AC30" i="14"/>
  <c r="AF30" i="14"/>
  <c r="AC24" i="14"/>
  <c r="AH13" i="14"/>
  <c r="AG13" i="14"/>
  <c r="AF13" i="14"/>
  <c r="AH19" i="14"/>
  <c r="AG19" i="14"/>
  <c r="AF19" i="14"/>
  <c r="AH18" i="14"/>
  <c r="AG18" i="14"/>
  <c r="AF18" i="14"/>
  <c r="AH16" i="14"/>
  <c r="AI16" i="14" s="1"/>
  <c r="AJ16" i="14" s="1"/>
  <c r="AK16" i="14" s="1"/>
  <c r="AL16" i="14" s="1"/>
  <c r="AM16" i="14" s="1"/>
  <c r="AN16" i="14" s="1"/>
  <c r="AO16" i="14" s="1"/>
  <c r="AP16" i="14" s="1"/>
  <c r="AQ16" i="14" s="1"/>
  <c r="AR16" i="14" s="1"/>
  <c r="AS16" i="14" s="1"/>
  <c r="AT16" i="14" s="1"/>
  <c r="AU16" i="14" s="1"/>
  <c r="AV16" i="14" s="1"/>
  <c r="AW16" i="14" s="1"/>
  <c r="AX16" i="14" s="1"/>
  <c r="AY16" i="14" s="1"/>
  <c r="AZ16" i="14" s="1"/>
  <c r="BA16" i="14" s="1"/>
  <c r="BB16" i="14" s="1"/>
  <c r="BC16" i="14" s="1"/>
  <c r="BD16" i="14" s="1"/>
  <c r="BE16" i="14" s="1"/>
  <c r="BF16" i="14" s="1"/>
  <c r="BG16" i="14" s="1"/>
  <c r="AG16" i="14"/>
  <c r="AC16" i="14"/>
  <c r="AF16" i="14"/>
  <c r="AH15" i="14"/>
  <c r="AI15" i="14" s="1"/>
  <c r="AJ15" i="14" s="1"/>
  <c r="AK15" i="14" s="1"/>
  <c r="AL15" i="14" s="1"/>
  <c r="AM15" i="14" s="1"/>
  <c r="AN15" i="14" s="1"/>
  <c r="AO15" i="14" s="1"/>
  <c r="AP15" i="14" s="1"/>
  <c r="AQ15" i="14" s="1"/>
  <c r="AR15" i="14" s="1"/>
  <c r="AS15" i="14" s="1"/>
  <c r="AT15" i="14" s="1"/>
  <c r="AU15" i="14" s="1"/>
  <c r="AV15" i="14" s="1"/>
  <c r="AW15" i="14" s="1"/>
  <c r="AX15" i="14" s="1"/>
  <c r="AY15" i="14" s="1"/>
  <c r="AZ15" i="14" s="1"/>
  <c r="BA15" i="14" s="1"/>
  <c r="BB15" i="14" s="1"/>
  <c r="BC15" i="14" s="1"/>
  <c r="BD15" i="14" s="1"/>
  <c r="BE15" i="14" s="1"/>
  <c r="BF15" i="14" s="1"/>
  <c r="AG15" i="14"/>
  <c r="AC15" i="14"/>
  <c r="AF15" i="14"/>
  <c r="AH23" i="14"/>
  <c r="AI23" i="14" s="1"/>
  <c r="AJ23" i="14" s="1"/>
  <c r="AK23" i="14" s="1"/>
  <c r="AL23" i="14" s="1"/>
  <c r="AM23" i="14" s="1"/>
  <c r="AN23" i="14" s="1"/>
  <c r="AO23" i="14" s="1"/>
  <c r="AP23" i="14" s="1"/>
  <c r="AQ23" i="14" s="1"/>
  <c r="AR23" i="14" s="1"/>
  <c r="AS23" i="14" s="1"/>
  <c r="AT23" i="14" s="1"/>
  <c r="AU23" i="14" s="1"/>
  <c r="AV23" i="14" s="1"/>
  <c r="AW23" i="14" s="1"/>
  <c r="AX23" i="14" s="1"/>
  <c r="AY23" i="14" s="1"/>
  <c r="AZ23" i="14" s="1"/>
  <c r="BA23" i="14" s="1"/>
  <c r="BB23" i="14" s="1"/>
  <c r="BC23" i="14" s="1"/>
  <c r="BD23" i="14" s="1"/>
  <c r="BE23" i="14" s="1"/>
  <c r="BF23" i="14" s="1"/>
  <c r="BG23" i="14" s="1"/>
  <c r="AG23" i="14"/>
  <c r="AC23" i="14"/>
  <c r="AF23" i="14"/>
  <c r="AH22" i="14"/>
  <c r="AI22" i="14" s="1"/>
  <c r="AJ22" i="14" s="1"/>
  <c r="AK22" i="14" s="1"/>
  <c r="AL22" i="14" s="1"/>
  <c r="AM22" i="14" s="1"/>
  <c r="AN22" i="14" s="1"/>
  <c r="AO22" i="14" s="1"/>
  <c r="AP22" i="14" s="1"/>
  <c r="AQ22" i="14" s="1"/>
  <c r="AR22" i="14" s="1"/>
  <c r="AS22" i="14" s="1"/>
  <c r="AT22" i="14" s="1"/>
  <c r="AU22" i="14" s="1"/>
  <c r="AV22" i="14" s="1"/>
  <c r="AW22" i="14" s="1"/>
  <c r="AX22" i="14" s="1"/>
  <c r="AY22" i="14" s="1"/>
  <c r="AZ22" i="14" s="1"/>
  <c r="BA22" i="14" s="1"/>
  <c r="BB22" i="14" s="1"/>
  <c r="BC22" i="14" s="1"/>
  <c r="BD22" i="14" s="1"/>
  <c r="BE22" i="14" s="1"/>
  <c r="BF22" i="14" s="1"/>
  <c r="BG22" i="14" s="1"/>
  <c r="AG22" i="14"/>
  <c r="AC22" i="14"/>
  <c r="AF22" i="14"/>
  <c r="AH21" i="14"/>
  <c r="AG21" i="14"/>
  <c r="M21" i="14"/>
  <c r="L21" i="14"/>
  <c r="K21" i="14"/>
  <c r="J21" i="14"/>
  <c r="I21" i="14"/>
  <c r="H21" i="14"/>
  <c r="G21" i="14"/>
  <c r="F21" i="14"/>
  <c r="E21" i="14"/>
  <c r="AF21" i="14"/>
  <c r="AH20" i="14"/>
  <c r="AG20" i="14"/>
  <c r="W20" i="14"/>
  <c r="V20" i="14"/>
  <c r="U20" i="14"/>
  <c r="T20" i="14"/>
  <c r="S20" i="14"/>
  <c r="R20" i="14"/>
  <c r="Q20" i="14"/>
  <c r="P20" i="14"/>
  <c r="O20" i="14"/>
  <c r="N20" i="14"/>
  <c r="M20" i="14"/>
  <c r="L20" i="14"/>
  <c r="K20" i="14"/>
  <c r="J20" i="14"/>
  <c r="I20" i="14"/>
  <c r="H20" i="14"/>
  <c r="G20" i="14"/>
  <c r="F20" i="14"/>
  <c r="E20" i="14"/>
  <c r="AF20" i="14"/>
  <c r="AH17" i="14"/>
  <c r="AI17" i="14" s="1"/>
  <c r="AJ17" i="14" s="1"/>
  <c r="AK17" i="14" s="1"/>
  <c r="AG17" i="14"/>
  <c r="W17" i="14"/>
  <c r="V17" i="14"/>
  <c r="U17" i="14"/>
  <c r="T17" i="14"/>
  <c r="S17" i="14"/>
  <c r="R17" i="14"/>
  <c r="Q17" i="14"/>
  <c r="P17" i="14"/>
  <c r="O17" i="14"/>
  <c r="N17" i="14"/>
  <c r="M17" i="14"/>
  <c r="L17" i="14"/>
  <c r="K17" i="14"/>
  <c r="J17" i="14"/>
  <c r="I17" i="14"/>
  <c r="H17" i="14"/>
  <c r="AF17" i="14"/>
  <c r="AH14" i="14"/>
  <c r="AI14" i="14" s="1"/>
  <c r="AJ14" i="14" s="1"/>
  <c r="AK14" i="14" s="1"/>
  <c r="AL14" i="14" s="1"/>
  <c r="AM14" i="14" s="1"/>
  <c r="AN14" i="14" s="1"/>
  <c r="AO14" i="14" s="1"/>
  <c r="AP14" i="14" s="1"/>
  <c r="AQ14" i="14" s="1"/>
  <c r="AR14" i="14" s="1"/>
  <c r="AS14" i="14" s="1"/>
  <c r="AT14" i="14" s="1"/>
  <c r="AU14" i="14" s="1"/>
  <c r="AV14" i="14" s="1"/>
  <c r="AW14" i="14" s="1"/>
  <c r="AX14" i="14" s="1"/>
  <c r="AY14" i="14" s="1"/>
  <c r="AZ14" i="14" s="1"/>
  <c r="BA14" i="14" s="1"/>
  <c r="BB14" i="14" s="1"/>
  <c r="BC14" i="14" s="1"/>
  <c r="BD14" i="14" s="1"/>
  <c r="BE14" i="14" s="1"/>
  <c r="BF14" i="14" s="1"/>
  <c r="AG14" i="14"/>
  <c r="AC14" i="14"/>
  <c r="AF14" i="14"/>
  <c r="AH12" i="14"/>
  <c r="AI12" i="14" s="1"/>
  <c r="AJ12" i="14" s="1"/>
  <c r="AG12" i="14"/>
  <c r="R12" i="14"/>
  <c r="Q12" i="14"/>
  <c r="P12" i="14"/>
  <c r="O12" i="14"/>
  <c r="N12" i="14"/>
  <c r="M12" i="14"/>
  <c r="L12" i="14"/>
  <c r="K12" i="14"/>
  <c r="J12" i="14"/>
  <c r="I12" i="14"/>
  <c r="H12" i="14"/>
  <c r="G12" i="14"/>
  <c r="AF12" i="14"/>
  <c r="AH11" i="14"/>
  <c r="AI11" i="14" s="1"/>
  <c r="AJ11" i="14" s="1"/>
  <c r="AG11" i="14"/>
  <c r="AF11" i="14"/>
  <c r="AH10" i="14"/>
  <c r="AI10" i="14" s="1"/>
  <c r="AJ10" i="14" s="1"/>
  <c r="AG10" i="14"/>
  <c r="M10" i="14"/>
  <c r="L10" i="14"/>
  <c r="K10" i="14"/>
  <c r="J10" i="14"/>
  <c r="I10" i="14"/>
  <c r="H10" i="14"/>
  <c r="G10" i="14"/>
  <c r="AF10" i="14"/>
  <c r="AH9" i="14"/>
  <c r="AI9" i="14" s="1"/>
  <c r="AJ9" i="14" s="1"/>
  <c r="AG9" i="14"/>
  <c r="AF9" i="14"/>
  <c r="AH8" i="14"/>
  <c r="AI8" i="14" s="1"/>
  <c r="AJ8" i="14" s="1"/>
  <c r="AK8" i="14" s="1"/>
  <c r="AL8" i="14" s="1"/>
  <c r="AM8" i="14" s="1"/>
  <c r="AN8" i="14" s="1"/>
  <c r="AO8" i="14" s="1"/>
  <c r="AP8" i="14" s="1"/>
  <c r="AQ8" i="14" s="1"/>
  <c r="AR8" i="14" s="1"/>
  <c r="AS8" i="14" s="1"/>
  <c r="AT8" i="14" s="1"/>
  <c r="AU8" i="14" s="1"/>
  <c r="AV8" i="14" s="1"/>
  <c r="AW8" i="14" s="1"/>
  <c r="AX8" i="14" s="1"/>
  <c r="AY8" i="14" s="1"/>
  <c r="AZ8" i="14" s="1"/>
  <c r="BA8" i="14" s="1"/>
  <c r="BB8" i="14" s="1"/>
  <c r="BC8" i="14" s="1"/>
  <c r="BD8" i="14" s="1"/>
  <c r="BE8" i="14" s="1"/>
  <c r="BF8" i="14" s="1"/>
  <c r="AG8" i="14"/>
  <c r="AC8" i="14"/>
  <c r="AF8" i="14"/>
  <c r="AH7" i="14"/>
  <c r="AI7" i="14" s="1"/>
  <c r="AJ7" i="14" s="1"/>
  <c r="AG7" i="14"/>
  <c r="AF7" i="14"/>
  <c r="AH6" i="14"/>
  <c r="AI6" i="14" s="1"/>
  <c r="AJ6" i="14" s="1"/>
  <c r="AK6" i="14" s="1"/>
  <c r="AL6" i="14" s="1"/>
  <c r="AM6" i="14" s="1"/>
  <c r="AN6" i="14" s="1"/>
  <c r="AO6" i="14" s="1"/>
  <c r="AP6" i="14" s="1"/>
  <c r="AQ6" i="14" s="1"/>
  <c r="AR6" i="14" s="1"/>
  <c r="AS6" i="14" s="1"/>
  <c r="AT6" i="14" s="1"/>
  <c r="AU6" i="14" s="1"/>
  <c r="AV6" i="14" s="1"/>
  <c r="AW6" i="14" s="1"/>
  <c r="AX6" i="14" s="1"/>
  <c r="AY6" i="14" s="1"/>
  <c r="AZ6" i="14" s="1"/>
  <c r="BA6" i="14" s="1"/>
  <c r="BB6" i="14" s="1"/>
  <c r="BC6" i="14" s="1"/>
  <c r="BD6" i="14" s="1"/>
  <c r="BE6" i="14" s="1"/>
  <c r="BF6" i="14" s="1"/>
  <c r="BG6" i="14" s="1"/>
  <c r="AG6" i="14"/>
  <c r="AC6" i="14"/>
  <c r="AF6" i="14"/>
  <c r="AH5" i="14"/>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AG5" i="14"/>
  <c r="AC5" i="14"/>
  <c r="AF5" i="14"/>
  <c r="AH4" i="14"/>
  <c r="AG4" i="14"/>
  <c r="I4" i="14"/>
  <c r="H4" i="14"/>
  <c r="G4" i="14"/>
  <c r="F4" i="14"/>
  <c r="E4" i="14"/>
  <c r="AF4" i="14"/>
  <c r="AH3" i="14"/>
  <c r="AG3" i="14"/>
  <c r="I3" i="14"/>
  <c r="H3" i="14"/>
  <c r="G3" i="14"/>
  <c r="F3" i="14"/>
  <c r="E3" i="14"/>
  <c r="AF3" i="14"/>
  <c r="BA56" i="7"/>
  <c r="AQ56" i="7"/>
  <c r="AK56" i="7"/>
  <c r="AI56" i="7"/>
  <c r="AC56" i="7"/>
  <c r="K56" i="7"/>
  <c r="E100" i="11" s="1"/>
  <c r="F100" i="11" s="1"/>
  <c r="K62" i="7"/>
  <c r="E106" i="11" s="1"/>
  <c r="F106" i="11" s="1"/>
  <c r="BA61" i="7"/>
  <c r="AI61" i="7"/>
  <c r="AC61" i="7"/>
  <c r="K61" i="7"/>
  <c r="E105" i="11" s="1"/>
  <c r="F105" i="11" s="1"/>
  <c r="AQ59" i="7"/>
  <c r="AK59" i="7"/>
  <c r="T59" i="7"/>
  <c r="H103" i="11" s="1"/>
  <c r="I103" i="11" s="1"/>
  <c r="K59" i="7"/>
  <c r="E103" i="11" s="1"/>
  <c r="F103" i="11" s="1"/>
  <c r="BA58" i="7"/>
  <c r="AQ58" i="7"/>
  <c r="AK58" i="7"/>
  <c r="AI58" i="7"/>
  <c r="AC58" i="7"/>
  <c r="K58" i="7"/>
  <c r="E102" i="11" s="1"/>
  <c r="F102" i="11" s="1"/>
  <c r="AQ66" i="7"/>
  <c r="AK66" i="7"/>
  <c r="AA66" i="7"/>
  <c r="AF66" i="7" s="1"/>
  <c r="T66" i="7"/>
  <c r="H110" i="11" s="1"/>
  <c r="I110" i="11" s="1"/>
  <c r="K66" i="7"/>
  <c r="E110" i="11" s="1"/>
  <c r="F110" i="11" s="1"/>
  <c r="BA65" i="7"/>
  <c r="AQ65" i="7"/>
  <c r="AK65" i="7"/>
  <c r="AI65" i="7"/>
  <c r="AC65" i="7"/>
  <c r="AQ64" i="7"/>
  <c r="AK64" i="7"/>
  <c r="K64" i="7"/>
  <c r="E108" i="11" s="1"/>
  <c r="F108" i="11" s="1"/>
  <c r="BA63" i="7"/>
  <c r="AQ63" i="7"/>
  <c r="AK63" i="7"/>
  <c r="AI63" i="7"/>
  <c r="AC63" i="7"/>
  <c r="K63" i="7"/>
  <c r="E107" i="11" s="1"/>
  <c r="F107" i="11" s="1"/>
  <c r="BA60" i="7"/>
  <c r="AQ60" i="7"/>
  <c r="AK60" i="7"/>
  <c r="AI60" i="7"/>
  <c r="AC60" i="7"/>
  <c r="K60" i="7"/>
  <c r="E104" i="11" s="1"/>
  <c r="F104" i="11" s="1"/>
  <c r="BA57" i="7"/>
  <c r="AQ57" i="7"/>
  <c r="AK57" i="7"/>
  <c r="AI57" i="7"/>
  <c r="AC57" i="7"/>
  <c r="K57" i="7"/>
  <c r="E101" i="11" s="1"/>
  <c r="F101" i="11" s="1"/>
  <c r="AQ55" i="7"/>
  <c r="AK55" i="7"/>
  <c r="BA54" i="7"/>
  <c r="AQ54" i="7"/>
  <c r="AK54" i="7"/>
  <c r="AI54" i="7"/>
  <c r="AC54" i="7"/>
  <c r="AQ53" i="7"/>
  <c r="AK53" i="7"/>
  <c r="AA53" i="7"/>
  <c r="AF53" i="7" s="1"/>
  <c r="T53" i="7"/>
  <c r="H97" i="11" s="1"/>
  <c r="I97" i="11" s="1"/>
  <c r="K53" i="7"/>
  <c r="E97" i="11" s="1"/>
  <c r="F97" i="11" s="1"/>
  <c r="BA52" i="7"/>
  <c r="AQ52" i="7"/>
  <c r="AK52" i="7"/>
  <c r="AI52" i="7"/>
  <c r="AC52" i="7"/>
  <c r="K52" i="7"/>
  <c r="E96" i="11" s="1"/>
  <c r="F96" i="11" s="1"/>
  <c r="BA51" i="7"/>
  <c r="AI51" i="7"/>
  <c r="AC51" i="7"/>
  <c r="BA50" i="7"/>
  <c r="AQ50" i="7"/>
  <c r="AK50" i="7"/>
  <c r="AI50" i="7"/>
  <c r="AC50" i="7"/>
  <c r="K50" i="7"/>
  <c r="E94" i="11" s="1"/>
  <c r="F94" i="11" s="1"/>
  <c r="AQ49" i="7"/>
  <c r="AK49" i="7"/>
  <c r="AA49" i="7"/>
  <c r="AF49" i="7" s="1"/>
  <c r="T49" i="7"/>
  <c r="H93" i="11" s="1"/>
  <c r="I93" i="11" s="1"/>
  <c r="K49" i="7"/>
  <c r="E93" i="11" s="1"/>
  <c r="F93" i="11" s="1"/>
  <c r="BA48" i="7"/>
  <c r="AQ48" i="7"/>
  <c r="AK48" i="7"/>
  <c r="AI48" i="7"/>
  <c r="AC48" i="7"/>
  <c r="K48" i="7"/>
  <c r="E92" i="11" s="1"/>
  <c r="F92" i="11" s="1"/>
  <c r="AQ47" i="7"/>
  <c r="AK47" i="7"/>
  <c r="AA47" i="7"/>
  <c r="K91" i="11" s="1"/>
  <c r="T47" i="7"/>
  <c r="U47" i="7" s="1"/>
  <c r="AE47" i="7" s="1"/>
  <c r="K47" i="7"/>
  <c r="L47" i="7" s="1"/>
  <c r="BA46" i="7"/>
  <c r="AQ46" i="7"/>
  <c r="AK46" i="7"/>
  <c r="AI46" i="7"/>
  <c r="AC46" i="7"/>
  <c r="T46" i="7"/>
  <c r="U46" i="7" s="1"/>
  <c r="AE46" i="7" s="1"/>
  <c r="K46" i="7"/>
  <c r="L46" i="7" s="1"/>
  <c r="BF27" i="7"/>
  <c r="BA27" i="7"/>
  <c r="AQ27" i="7"/>
  <c r="AK27" i="7"/>
  <c r="AI27" i="7"/>
  <c r="AC27" i="7"/>
  <c r="E56" i="7"/>
  <c r="B56" i="7"/>
  <c r="AJ56" i="7" s="1"/>
  <c r="AY33" i="7"/>
  <c r="B62" i="7"/>
  <c r="AJ62" i="7" s="1"/>
  <c r="BA32" i="7"/>
  <c r="AI32" i="7"/>
  <c r="AC32" i="7"/>
  <c r="B61" i="7"/>
  <c r="AJ61" i="7" s="1"/>
  <c r="AQ30" i="7"/>
  <c r="AK30" i="7"/>
  <c r="BA29" i="7"/>
  <c r="AQ29" i="7"/>
  <c r="AK29" i="7"/>
  <c r="AI29" i="7"/>
  <c r="AC29" i="7"/>
  <c r="B58" i="7"/>
  <c r="AJ58" i="7" s="1"/>
  <c r="AQ37" i="7"/>
  <c r="AK37" i="7"/>
  <c r="BA36" i="7"/>
  <c r="AQ36" i="7"/>
  <c r="AK36" i="7"/>
  <c r="AI36" i="7"/>
  <c r="AC36" i="7"/>
  <c r="B65" i="7"/>
  <c r="AJ65" i="7" s="1"/>
  <c r="AQ35" i="7"/>
  <c r="AK35" i="7"/>
  <c r="BA34" i="7"/>
  <c r="AQ34" i="7"/>
  <c r="AK34" i="7"/>
  <c r="AI34" i="7"/>
  <c r="AC34" i="7"/>
  <c r="B63" i="7"/>
  <c r="AJ63" i="7" s="1"/>
  <c r="BF31" i="7"/>
  <c r="BA31" i="7"/>
  <c r="AQ31" i="7"/>
  <c r="AK31" i="7"/>
  <c r="AI31" i="7"/>
  <c r="AC31" i="7"/>
  <c r="AU31" i="7"/>
  <c r="BF28" i="7"/>
  <c r="BA28" i="7"/>
  <c r="AQ28" i="7"/>
  <c r="AK28" i="7"/>
  <c r="AI28" i="7"/>
  <c r="AC28" i="7"/>
  <c r="AJ28" i="7"/>
  <c r="AQ26" i="7"/>
  <c r="AK26" i="7"/>
  <c r="E55" i="7"/>
  <c r="B55" i="7"/>
  <c r="AJ55" i="7" s="1"/>
  <c r="BA25" i="7"/>
  <c r="AQ25" i="7"/>
  <c r="AK25" i="7"/>
  <c r="AI25" i="7"/>
  <c r="AC25" i="7"/>
  <c r="AQ24" i="7"/>
  <c r="AK24" i="7"/>
  <c r="B53" i="7"/>
  <c r="AJ53" i="7" s="1"/>
  <c r="BA23" i="7"/>
  <c r="AQ23" i="7"/>
  <c r="AK23" i="7"/>
  <c r="AI23" i="7"/>
  <c r="AC23" i="7"/>
  <c r="E52" i="7"/>
  <c r="B52" i="7"/>
  <c r="AJ52" i="7" s="1"/>
  <c r="BF22" i="7"/>
  <c r="BA22" i="7"/>
  <c r="AQ22" i="7"/>
  <c r="AK22" i="7"/>
  <c r="AI22" i="7"/>
  <c r="AC22" i="7"/>
  <c r="B51" i="7"/>
  <c r="AJ51" i="7" s="1"/>
  <c r="BF21" i="7"/>
  <c r="BA21" i="7"/>
  <c r="AQ21" i="7"/>
  <c r="AK21" i="7"/>
  <c r="AI21" i="7"/>
  <c r="AC21" i="7"/>
  <c r="B50" i="7"/>
  <c r="AJ50" i="7" s="1"/>
  <c r="AQ20" i="7"/>
  <c r="AK20" i="7"/>
  <c r="B49" i="7"/>
  <c r="AJ49" i="7" s="1"/>
  <c r="BA19" i="7"/>
  <c r="AQ19" i="7"/>
  <c r="AK19" i="7"/>
  <c r="AI19" i="7"/>
  <c r="AC19" i="7"/>
  <c r="AJ19" i="7"/>
  <c r="AU18" i="7"/>
  <c r="AV18" i="7" s="1"/>
  <c r="BC18" i="7" s="1"/>
  <c r="AQ18" i="7"/>
  <c r="AK18" i="7"/>
  <c r="T18" i="7"/>
  <c r="U18" i="7" s="1"/>
  <c r="AE18" i="7" s="1"/>
  <c r="BU18" i="7" s="1"/>
  <c r="B47" i="7"/>
  <c r="AJ47" i="7" s="1"/>
  <c r="BA17" i="7"/>
  <c r="AU17" i="7"/>
  <c r="AV17" i="7" s="1"/>
  <c r="BC17" i="7" s="1"/>
  <c r="AQ17" i="7"/>
  <c r="AK17" i="7"/>
  <c r="AI17" i="7"/>
  <c r="AC17" i="7"/>
  <c r="T17" i="7"/>
  <c r="U17" i="7" s="1"/>
  <c r="AE17" i="7" s="1"/>
  <c r="BU17" i="7" s="1"/>
  <c r="B46" i="7"/>
  <c r="AJ46" i="7" s="1"/>
  <c r="B11" i="7"/>
  <c r="B10" i="7"/>
  <c r="N9" i="7"/>
  <c r="L9" i="7"/>
  <c r="U66" i="7" s="1"/>
  <c r="AE66" i="7" s="1"/>
  <c r="N8" i="7"/>
  <c r="L8" i="7"/>
  <c r="B8" i="7"/>
  <c r="J21" i="7" s="1"/>
  <c r="N7" i="7"/>
  <c r="L7" i="7"/>
  <c r="N6" i="7"/>
  <c r="L6" i="7"/>
  <c r="B6" i="7"/>
  <c r="N5" i="7"/>
  <c r="L5" i="7"/>
  <c r="B5" i="7"/>
  <c r="X17" i="7" s="1"/>
  <c r="A246" i="11"/>
  <c r="M121" i="11"/>
  <c r="M90" i="11"/>
  <c r="M60" i="11"/>
  <c r="G27" i="7" l="1"/>
  <c r="AL21" i="7"/>
  <c r="G21" i="7"/>
  <c r="AL27" i="7"/>
  <c r="H27" i="7"/>
  <c r="BG69" i="14"/>
  <c r="AX58" i="7"/>
  <c r="BG42" i="14"/>
  <c r="AR58" i="7"/>
  <c r="BG15" i="14"/>
  <c r="AL58" i="7"/>
  <c r="X21" i="7"/>
  <c r="O23" i="7"/>
  <c r="BG14" i="14"/>
  <c r="AL57" i="7"/>
  <c r="AI18" i="14"/>
  <c r="AJ18" i="14" s="1"/>
  <c r="AK18" i="14" s="1"/>
  <c r="AL18" i="14" s="1"/>
  <c r="AM18" i="14" s="1"/>
  <c r="AN18" i="14" s="1"/>
  <c r="AO18" i="14" s="1"/>
  <c r="AP18" i="14" s="1"/>
  <c r="AQ18" i="14" s="1"/>
  <c r="AR18" i="14" s="1"/>
  <c r="AS18" i="14" s="1"/>
  <c r="AT18" i="14" s="1"/>
  <c r="AU18" i="14" s="1"/>
  <c r="AV18" i="14" s="1"/>
  <c r="AW18" i="14" s="1"/>
  <c r="AX18" i="14" s="1"/>
  <c r="AY18" i="14" s="1"/>
  <c r="AZ18" i="14" s="1"/>
  <c r="BA18" i="14" s="1"/>
  <c r="BB18" i="14" s="1"/>
  <c r="BC18" i="14" s="1"/>
  <c r="BD18" i="14" s="1"/>
  <c r="BE18" i="14" s="1"/>
  <c r="BF18" i="14" s="1"/>
  <c r="AK62" i="14"/>
  <c r="AL62" i="14" s="1"/>
  <c r="AM62" i="14" s="1"/>
  <c r="AN62" i="14" s="1"/>
  <c r="AO62" i="14" s="1"/>
  <c r="AP62" i="14" s="1"/>
  <c r="AQ62" i="14" s="1"/>
  <c r="AR62" i="14" s="1"/>
  <c r="AS62" i="14" s="1"/>
  <c r="AT62" i="14" s="1"/>
  <c r="AU62" i="14" s="1"/>
  <c r="AV62" i="14" s="1"/>
  <c r="AW62" i="14" s="1"/>
  <c r="AX62" i="14" s="1"/>
  <c r="AY62" i="14" s="1"/>
  <c r="AZ62" i="14" s="1"/>
  <c r="BA62" i="14" s="1"/>
  <c r="BB62" i="14" s="1"/>
  <c r="BC62" i="14" s="1"/>
  <c r="BD62" i="14" s="1"/>
  <c r="BE62" i="14" s="1"/>
  <c r="BF62" i="14" s="1"/>
  <c r="AI48" i="14"/>
  <c r="AJ48" i="14" s="1"/>
  <c r="AK48" i="14" s="1"/>
  <c r="AL48" i="14" s="1"/>
  <c r="AM48" i="14" s="1"/>
  <c r="AN48" i="14" s="1"/>
  <c r="AO48" i="14" s="1"/>
  <c r="AP48" i="14" s="1"/>
  <c r="AQ48" i="14" s="1"/>
  <c r="AR48" i="14" s="1"/>
  <c r="AS48" i="14" s="1"/>
  <c r="AT48" i="14" s="1"/>
  <c r="AU48" i="14" s="1"/>
  <c r="AV48" i="14" s="1"/>
  <c r="AW48" i="14" s="1"/>
  <c r="AX48" i="14" s="1"/>
  <c r="AY48" i="14" s="1"/>
  <c r="AZ48" i="14" s="1"/>
  <c r="BA48" i="14" s="1"/>
  <c r="BB48" i="14" s="1"/>
  <c r="BC48" i="14" s="1"/>
  <c r="BD48" i="14" s="1"/>
  <c r="BE48" i="14" s="1"/>
  <c r="BF48" i="14" s="1"/>
  <c r="AI19" i="14"/>
  <c r="AJ19" i="14" s="1"/>
  <c r="AK19" i="14" s="1"/>
  <c r="AL19" i="14" s="1"/>
  <c r="AM19" i="14" s="1"/>
  <c r="AN19" i="14" s="1"/>
  <c r="AO19" i="14" s="1"/>
  <c r="AP19" i="14" s="1"/>
  <c r="AQ19" i="14" s="1"/>
  <c r="AR19" i="14" s="1"/>
  <c r="AS19" i="14" s="1"/>
  <c r="AT19" i="14" s="1"/>
  <c r="AU19" i="14" s="1"/>
  <c r="AV19" i="14" s="1"/>
  <c r="AW19" i="14" s="1"/>
  <c r="AX19" i="14" s="1"/>
  <c r="AY19" i="14" s="1"/>
  <c r="AZ19" i="14" s="1"/>
  <c r="BA19" i="14" s="1"/>
  <c r="BB19" i="14" s="1"/>
  <c r="BC19" i="14" s="1"/>
  <c r="BD19" i="14" s="1"/>
  <c r="BE19" i="14" s="1"/>
  <c r="BF19" i="14" s="1"/>
  <c r="AI47" i="14"/>
  <c r="AJ47" i="14" s="1"/>
  <c r="AK47" i="14" s="1"/>
  <c r="AL47" i="14" s="1"/>
  <c r="AM47" i="14" s="1"/>
  <c r="AN47" i="14" s="1"/>
  <c r="AO47" i="14" s="1"/>
  <c r="AP47" i="14" s="1"/>
  <c r="AQ47" i="14" s="1"/>
  <c r="AR47" i="14" s="1"/>
  <c r="AS47" i="14" s="1"/>
  <c r="AT47" i="14" s="1"/>
  <c r="AU47" i="14" s="1"/>
  <c r="AV47" i="14" s="1"/>
  <c r="AW47" i="14" s="1"/>
  <c r="AX47" i="14" s="1"/>
  <c r="AY47" i="14" s="1"/>
  <c r="AZ47" i="14" s="1"/>
  <c r="BA47" i="14" s="1"/>
  <c r="BB47" i="14" s="1"/>
  <c r="BC47" i="14" s="1"/>
  <c r="BD47" i="14" s="1"/>
  <c r="BE47" i="14" s="1"/>
  <c r="BF47" i="14" s="1"/>
  <c r="BG61" i="14"/>
  <c r="AX50" i="7"/>
  <c r="BG40" i="14"/>
  <c r="AU56" i="7"/>
  <c r="AV56" i="7" s="1"/>
  <c r="BC56" i="7" s="1"/>
  <c r="BG38" i="14"/>
  <c r="AR54" i="7"/>
  <c r="BG65" i="14"/>
  <c r="AX54" i="7"/>
  <c r="BG67" i="14"/>
  <c r="AY56" i="7"/>
  <c r="BD56" i="7" s="1"/>
  <c r="BG32" i="14"/>
  <c r="AR48" i="7"/>
  <c r="BG63" i="14"/>
  <c r="AX52" i="7"/>
  <c r="AY52" i="7" s="1"/>
  <c r="BD52" i="7" s="1"/>
  <c r="BG34" i="14"/>
  <c r="AR50" i="7"/>
  <c r="BG35" i="14"/>
  <c r="AR51" i="7"/>
  <c r="BG59" i="14"/>
  <c r="AX48" i="7"/>
  <c r="AI20" i="14"/>
  <c r="AJ20" i="14" s="1"/>
  <c r="AK20" i="14" s="1"/>
  <c r="AL20" i="14" s="1"/>
  <c r="AM20" i="14" s="1"/>
  <c r="AN20" i="14" s="1"/>
  <c r="AO20" i="14" s="1"/>
  <c r="AP20" i="14" s="1"/>
  <c r="AQ20" i="14" s="1"/>
  <c r="AR20" i="14" s="1"/>
  <c r="AS20" i="14" s="1"/>
  <c r="AT20" i="14" s="1"/>
  <c r="AU20" i="14" s="1"/>
  <c r="AV20" i="14" s="1"/>
  <c r="AW20" i="14" s="1"/>
  <c r="AX20" i="14" s="1"/>
  <c r="AY20" i="14" s="1"/>
  <c r="AZ20" i="14" s="1"/>
  <c r="BA20" i="14" s="1"/>
  <c r="BB20" i="14" s="1"/>
  <c r="BC20" i="14" s="1"/>
  <c r="BD20" i="14" s="1"/>
  <c r="BE20" i="14" s="1"/>
  <c r="BF20" i="14" s="1"/>
  <c r="BG41" i="14"/>
  <c r="BG8" i="14"/>
  <c r="AL51" i="7"/>
  <c r="BG30" i="14"/>
  <c r="AR46" i="7"/>
  <c r="BG57" i="14"/>
  <c r="AX46" i="7"/>
  <c r="BG36" i="14"/>
  <c r="AR52" i="7"/>
  <c r="AU52" i="7" s="1"/>
  <c r="AV52" i="7" s="1"/>
  <c r="BC52" i="7" s="1"/>
  <c r="BG68" i="14"/>
  <c r="O33" i="7"/>
  <c r="AA33" i="7" s="1"/>
  <c r="O37" i="7"/>
  <c r="AA37" i="7" s="1"/>
  <c r="AA23" i="7"/>
  <c r="O32" i="7"/>
  <c r="AA32" i="7" s="1"/>
  <c r="BG5" i="14"/>
  <c r="AL48" i="7"/>
  <c r="AN34" i="7"/>
  <c r="AN35" i="7"/>
  <c r="AO35" i="7" s="1"/>
  <c r="AP35" i="7" s="1"/>
  <c r="J34" i="7"/>
  <c r="J35" i="7"/>
  <c r="AL18" i="7"/>
  <c r="AO18" i="7" s="1"/>
  <c r="AL17" i="7"/>
  <c r="AO17" i="7" s="1"/>
  <c r="Q31" i="7"/>
  <c r="AM28" i="7"/>
  <c r="I28" i="7"/>
  <c r="I19" i="7"/>
  <c r="I31" i="7"/>
  <c r="I23" i="7"/>
  <c r="AM26" i="7"/>
  <c r="H17" i="7"/>
  <c r="I26" i="7"/>
  <c r="I20" i="7"/>
  <c r="AO21" i="7"/>
  <c r="AP21" i="7" s="1"/>
  <c r="AO27" i="7"/>
  <c r="K55" i="7"/>
  <c r="E99" i="11" s="1"/>
  <c r="F99" i="11" s="1"/>
  <c r="T56" i="7"/>
  <c r="AA34" i="7"/>
  <c r="O24" i="7"/>
  <c r="O26" i="7"/>
  <c r="O36" i="7"/>
  <c r="O25" i="7"/>
  <c r="AA25" i="7" s="1"/>
  <c r="K110" i="11"/>
  <c r="H61" i="11"/>
  <c r="I61" i="11" s="1"/>
  <c r="AU28" i="7"/>
  <c r="H71" i="11" s="1"/>
  <c r="I71" i="11" s="1"/>
  <c r="AC62" i="14"/>
  <c r="L56" i="7"/>
  <c r="AD56" i="7" s="1"/>
  <c r="AY36" i="7"/>
  <c r="K79" i="11" s="1"/>
  <c r="H91" i="11"/>
  <c r="I91" i="11" s="1"/>
  <c r="AK10" i="14"/>
  <c r="AL10" i="14" s="1"/>
  <c r="AM10" i="14" s="1"/>
  <c r="AN10" i="14" s="1"/>
  <c r="AO10" i="14" s="1"/>
  <c r="AP10" i="14" s="1"/>
  <c r="AQ10" i="14" s="1"/>
  <c r="AR10" i="14" s="1"/>
  <c r="AS10" i="14" s="1"/>
  <c r="AT10" i="14" s="1"/>
  <c r="AU10" i="14" s="1"/>
  <c r="AV10" i="14" s="1"/>
  <c r="AW10" i="14" s="1"/>
  <c r="AX10" i="14" s="1"/>
  <c r="AY10" i="14" s="1"/>
  <c r="AZ10" i="14" s="1"/>
  <c r="BA10" i="14" s="1"/>
  <c r="BB10" i="14" s="1"/>
  <c r="BC10" i="14" s="1"/>
  <c r="BD10" i="14" s="1"/>
  <c r="BE10" i="14" s="1"/>
  <c r="BF10" i="14" s="1"/>
  <c r="AI3" i="14"/>
  <c r="AJ3" i="14" s="1"/>
  <c r="AK3" i="14" s="1"/>
  <c r="AL3" i="14" s="1"/>
  <c r="AM3" i="14" s="1"/>
  <c r="AN3" i="14" s="1"/>
  <c r="AO3" i="14" s="1"/>
  <c r="AP3" i="14" s="1"/>
  <c r="AQ3" i="14" s="1"/>
  <c r="AR3" i="14" s="1"/>
  <c r="AS3" i="14" s="1"/>
  <c r="AT3" i="14" s="1"/>
  <c r="AU3" i="14" s="1"/>
  <c r="AV3" i="14" s="1"/>
  <c r="AW3" i="14" s="1"/>
  <c r="AX3" i="14" s="1"/>
  <c r="AY3" i="14" s="1"/>
  <c r="AZ3" i="14" s="1"/>
  <c r="BA3" i="14" s="1"/>
  <c r="BB3" i="14" s="1"/>
  <c r="BC3" i="14" s="1"/>
  <c r="BD3" i="14" s="1"/>
  <c r="BE3" i="14" s="1"/>
  <c r="BF3" i="14" s="1"/>
  <c r="AK9" i="14"/>
  <c r="AL9" i="14" s="1"/>
  <c r="AM9" i="14" s="1"/>
  <c r="AN9" i="14" s="1"/>
  <c r="AO9" i="14" s="1"/>
  <c r="AP9" i="14" s="1"/>
  <c r="AQ9" i="14" s="1"/>
  <c r="AR9" i="14" s="1"/>
  <c r="AS9" i="14" s="1"/>
  <c r="AT9" i="14" s="1"/>
  <c r="AU9" i="14" s="1"/>
  <c r="AV9" i="14" s="1"/>
  <c r="AW9" i="14" s="1"/>
  <c r="AX9" i="14" s="1"/>
  <c r="AY9" i="14" s="1"/>
  <c r="AZ9" i="14" s="1"/>
  <c r="BA9" i="14" s="1"/>
  <c r="BB9" i="14" s="1"/>
  <c r="BC9" i="14" s="1"/>
  <c r="BD9" i="14" s="1"/>
  <c r="BE9" i="14" s="1"/>
  <c r="BF9" i="14" s="1"/>
  <c r="AL17" i="14"/>
  <c r="AM17" i="14" s="1"/>
  <c r="AN17" i="14" s="1"/>
  <c r="AO17" i="14" s="1"/>
  <c r="AP17" i="14" s="1"/>
  <c r="AQ17" i="14" s="1"/>
  <c r="AR17" i="14" s="1"/>
  <c r="AS17" i="14" s="1"/>
  <c r="AT17" i="14" s="1"/>
  <c r="AU17" i="14" s="1"/>
  <c r="AV17" i="14" s="1"/>
  <c r="AW17" i="14" s="1"/>
  <c r="AX17" i="14" s="1"/>
  <c r="AY17" i="14" s="1"/>
  <c r="AZ17" i="14" s="1"/>
  <c r="BA17" i="14" s="1"/>
  <c r="BB17" i="14" s="1"/>
  <c r="BC17" i="14" s="1"/>
  <c r="BD17" i="14" s="1"/>
  <c r="BE17" i="14" s="1"/>
  <c r="BF17" i="14" s="1"/>
  <c r="AI21" i="14"/>
  <c r="AJ21" i="14" s="1"/>
  <c r="AK21" i="14" s="1"/>
  <c r="AL21" i="14" s="1"/>
  <c r="AM21" i="14" s="1"/>
  <c r="AN21" i="14" s="1"/>
  <c r="AO21" i="14" s="1"/>
  <c r="AP21" i="14" s="1"/>
  <c r="AQ21" i="14" s="1"/>
  <c r="AR21" i="14" s="1"/>
  <c r="AS21" i="14" s="1"/>
  <c r="AT21" i="14" s="1"/>
  <c r="AU21" i="14" s="1"/>
  <c r="AV21" i="14" s="1"/>
  <c r="AW21" i="14" s="1"/>
  <c r="AX21" i="14" s="1"/>
  <c r="AY21" i="14" s="1"/>
  <c r="AZ21" i="14" s="1"/>
  <c r="BA21" i="14" s="1"/>
  <c r="BB21" i="14" s="1"/>
  <c r="BC21" i="14" s="1"/>
  <c r="BD21" i="14" s="1"/>
  <c r="BE21" i="14" s="1"/>
  <c r="BF21" i="14" s="1"/>
  <c r="AK7" i="14"/>
  <c r="AL7" i="14" s="1"/>
  <c r="AM7" i="14" s="1"/>
  <c r="AN7" i="14" s="1"/>
  <c r="AO7" i="14" s="1"/>
  <c r="AP7" i="14" s="1"/>
  <c r="AQ7" i="14" s="1"/>
  <c r="AR7" i="14" s="1"/>
  <c r="AS7" i="14" s="1"/>
  <c r="AT7" i="14" s="1"/>
  <c r="AU7" i="14" s="1"/>
  <c r="AV7" i="14" s="1"/>
  <c r="AW7" i="14" s="1"/>
  <c r="AX7" i="14" s="1"/>
  <c r="AY7" i="14" s="1"/>
  <c r="AZ7" i="14" s="1"/>
  <c r="BA7" i="14" s="1"/>
  <c r="BB7" i="14" s="1"/>
  <c r="BC7" i="14" s="1"/>
  <c r="BD7" i="14" s="1"/>
  <c r="BE7" i="14" s="1"/>
  <c r="BF7" i="14" s="1"/>
  <c r="AI13" i="14"/>
  <c r="AJ13" i="14" s="1"/>
  <c r="AK13" i="14" s="1"/>
  <c r="AL13" i="14" s="1"/>
  <c r="AM13" i="14" s="1"/>
  <c r="AN13" i="14" s="1"/>
  <c r="AO13" i="14" s="1"/>
  <c r="AP13" i="14" s="1"/>
  <c r="AQ13" i="14" s="1"/>
  <c r="AR13" i="14" s="1"/>
  <c r="AS13" i="14" s="1"/>
  <c r="AT13" i="14" s="1"/>
  <c r="AU13" i="14" s="1"/>
  <c r="AV13" i="14" s="1"/>
  <c r="AW13" i="14" s="1"/>
  <c r="AX13" i="14" s="1"/>
  <c r="AY13" i="14" s="1"/>
  <c r="AZ13" i="14" s="1"/>
  <c r="BA13" i="14" s="1"/>
  <c r="BB13" i="14" s="1"/>
  <c r="BC13" i="14" s="1"/>
  <c r="BD13" i="14" s="1"/>
  <c r="BE13" i="14" s="1"/>
  <c r="BF13" i="14" s="1"/>
  <c r="AL56" i="7" s="1"/>
  <c r="AC20" i="14"/>
  <c r="AY55" i="7"/>
  <c r="BD55" i="7" s="1"/>
  <c r="AU55" i="7"/>
  <c r="AV55" i="7" s="1"/>
  <c r="BC55" i="7" s="1"/>
  <c r="H60" i="11"/>
  <c r="I60" i="11" s="1"/>
  <c r="L57" i="7"/>
  <c r="AD57" i="7" s="1"/>
  <c r="K93" i="11"/>
  <c r="H90" i="11"/>
  <c r="I90" i="11" s="1"/>
  <c r="AF47" i="7"/>
  <c r="E91" i="11"/>
  <c r="F91" i="11" s="1"/>
  <c r="K97" i="11"/>
  <c r="L58" i="7"/>
  <c r="AD58" i="7" s="1"/>
  <c r="E90" i="11"/>
  <c r="F90" i="11" s="1"/>
  <c r="H16" i="11"/>
  <c r="I16" i="11" s="1"/>
  <c r="V46" i="7"/>
  <c r="AD46" i="7"/>
  <c r="V47" i="7"/>
  <c r="AB47" i="7" s="1"/>
  <c r="BH18" i="7" s="1"/>
  <c r="AD47" i="7"/>
  <c r="U49" i="7"/>
  <c r="AE49" i="7" s="1"/>
  <c r="L52" i="7"/>
  <c r="AD52" i="7" s="1"/>
  <c r="H17" i="11"/>
  <c r="I17" i="11" s="1"/>
  <c r="J110" i="11"/>
  <c r="AU26" i="7"/>
  <c r="H69" i="11" s="1"/>
  <c r="I69" i="11" s="1"/>
  <c r="AJ17" i="7"/>
  <c r="AI4" i="14"/>
  <c r="AJ4" i="14" s="1"/>
  <c r="AK4" i="14" s="1"/>
  <c r="AL4" i="14" s="1"/>
  <c r="AM4" i="14" s="1"/>
  <c r="AN4" i="14" s="1"/>
  <c r="AO4" i="14" s="1"/>
  <c r="AP4" i="14" s="1"/>
  <c r="AQ4" i="14" s="1"/>
  <c r="AR4" i="14" s="1"/>
  <c r="AS4" i="14" s="1"/>
  <c r="AT4" i="14" s="1"/>
  <c r="AU4" i="14" s="1"/>
  <c r="AV4" i="14" s="1"/>
  <c r="AW4" i="14" s="1"/>
  <c r="AX4" i="14" s="1"/>
  <c r="AY4" i="14" s="1"/>
  <c r="AZ4" i="14" s="1"/>
  <c r="BA4" i="14" s="1"/>
  <c r="BB4" i="14" s="1"/>
  <c r="BC4" i="14" s="1"/>
  <c r="BD4" i="14" s="1"/>
  <c r="BE4" i="14" s="1"/>
  <c r="BF4" i="14" s="1"/>
  <c r="J93" i="11"/>
  <c r="AY18" i="7"/>
  <c r="K61" i="11" s="1"/>
  <c r="AJ21" i="7"/>
  <c r="E60" i="7"/>
  <c r="AJ20" i="7"/>
  <c r="AY31" i="7"/>
  <c r="E62" i="7"/>
  <c r="AC12" i="14"/>
  <c r="AC17" i="14"/>
  <c r="AC21" i="14"/>
  <c r="AJ23" i="7"/>
  <c r="AU25" i="7"/>
  <c r="AV25" i="7" s="1"/>
  <c r="BC25" i="7" s="1"/>
  <c r="AO36" i="7"/>
  <c r="E79" i="11" s="1"/>
  <c r="F79" i="11" s="1"/>
  <c r="AJ33" i="7"/>
  <c r="AY34" i="7"/>
  <c r="J103" i="11"/>
  <c r="AJ18" i="7"/>
  <c r="AO19" i="7"/>
  <c r="AP19" i="7" s="1"/>
  <c r="BB19" i="7" s="1"/>
  <c r="AY26" i="7"/>
  <c r="AY37" i="7"/>
  <c r="AU33" i="7"/>
  <c r="B57" i="7"/>
  <c r="AJ57" i="7" s="1"/>
  <c r="AC18" i="14"/>
  <c r="AC13" i="14"/>
  <c r="J97" i="11"/>
  <c r="E66" i="7"/>
  <c r="AJ29" i="7"/>
  <c r="AU27" i="7"/>
  <c r="AC19" i="14"/>
  <c r="AY21" i="7"/>
  <c r="AJ22" i="7"/>
  <c r="AU23" i="7"/>
  <c r="AV23" i="7" s="1"/>
  <c r="BC23" i="7" s="1"/>
  <c r="AY23" i="7"/>
  <c r="AY25" i="7"/>
  <c r="AJ34" i="7"/>
  <c r="AJ36" i="7"/>
  <c r="AY27" i="7"/>
  <c r="L66" i="7"/>
  <c r="V66" i="7" s="1"/>
  <c r="AB66" i="7" s="1"/>
  <c r="BH37" i="7" s="1"/>
  <c r="B64" i="7"/>
  <c r="AJ64" i="7" s="1"/>
  <c r="AJ35" i="7"/>
  <c r="E48" i="7"/>
  <c r="AU19" i="7"/>
  <c r="E53" i="7"/>
  <c r="AY24" i="7"/>
  <c r="AU24" i="7"/>
  <c r="AY20" i="7"/>
  <c r="E49" i="7"/>
  <c r="AU20" i="7"/>
  <c r="AY19" i="7"/>
  <c r="BD33" i="7"/>
  <c r="K76" i="11"/>
  <c r="E51" i="7"/>
  <c r="AO22" i="7"/>
  <c r="E65" i="7"/>
  <c r="AU36" i="7"/>
  <c r="AU30" i="7"/>
  <c r="E59" i="7"/>
  <c r="AY30" i="7"/>
  <c r="AO30" i="7"/>
  <c r="AU22" i="7"/>
  <c r="AV31" i="7"/>
  <c r="BC31" i="7" s="1"/>
  <c r="H74" i="11"/>
  <c r="I74" i="11" s="1"/>
  <c r="AC3" i="14"/>
  <c r="L64" i="7"/>
  <c r="L63" i="7"/>
  <c r="AO20" i="7"/>
  <c r="E50" i="7"/>
  <c r="T21" i="7"/>
  <c r="AU21" i="7"/>
  <c r="E46" i="7"/>
  <c r="AY17" i="7"/>
  <c r="AJ26" i="7"/>
  <c r="AA52" i="7"/>
  <c r="B60" i="7"/>
  <c r="AJ60" i="7" s="1"/>
  <c r="AJ31" i="7"/>
  <c r="E61" i="7"/>
  <c r="AY32" i="7"/>
  <c r="AU32" i="7"/>
  <c r="AO31" i="7"/>
  <c r="B59" i="7"/>
  <c r="AJ59" i="7" s="1"/>
  <c r="AJ30" i="7"/>
  <c r="AC9" i="14"/>
  <c r="L53" i="7"/>
  <c r="U53" i="7"/>
  <c r="AE53" i="7" s="1"/>
  <c r="E47" i="7"/>
  <c r="AO29" i="7"/>
  <c r="AC7" i="14"/>
  <c r="U59" i="7"/>
  <c r="AE59" i="7" s="1"/>
  <c r="L59" i="7"/>
  <c r="E63" i="7"/>
  <c r="AU29" i="7"/>
  <c r="AJ32" i="7"/>
  <c r="B66" i="7"/>
  <c r="AJ66" i="7" s="1"/>
  <c r="AJ37" i="7"/>
  <c r="B48" i="7"/>
  <c r="AJ48" i="7" s="1"/>
  <c r="L61" i="7"/>
  <c r="L50" i="7"/>
  <c r="L62" i="7"/>
  <c r="L60" i="7"/>
  <c r="AU37" i="7"/>
  <c r="E58" i="7"/>
  <c r="AY29" i="7"/>
  <c r="L49" i="7"/>
  <c r="L48" i="7"/>
  <c r="AJ24" i="7"/>
  <c r="B54" i="7"/>
  <c r="AJ54" i="7" s="1"/>
  <c r="AJ25" i="7"/>
  <c r="E64" i="7"/>
  <c r="AY35" i="7"/>
  <c r="AO37" i="7"/>
  <c r="E57" i="7"/>
  <c r="E54" i="7"/>
  <c r="AC10" i="14"/>
  <c r="AK11" i="14"/>
  <c r="AL11" i="14" s="1"/>
  <c r="AM11" i="14" s="1"/>
  <c r="AN11" i="14" s="1"/>
  <c r="AO11" i="14" s="1"/>
  <c r="AP11" i="14" s="1"/>
  <c r="AQ11" i="14" s="1"/>
  <c r="AR11" i="14" s="1"/>
  <c r="AS11" i="14" s="1"/>
  <c r="AT11" i="14" s="1"/>
  <c r="AU11" i="14" s="1"/>
  <c r="AV11" i="14" s="1"/>
  <c r="AW11" i="14" s="1"/>
  <c r="AX11" i="14" s="1"/>
  <c r="AY11" i="14" s="1"/>
  <c r="AZ11" i="14" s="1"/>
  <c r="BA11" i="14" s="1"/>
  <c r="BB11" i="14" s="1"/>
  <c r="BC11" i="14" s="1"/>
  <c r="BD11" i="14" s="1"/>
  <c r="BE11" i="14" s="1"/>
  <c r="BF11" i="14" s="1"/>
  <c r="AC11" i="14"/>
  <c r="AJ27" i="7"/>
  <c r="AA55" i="7"/>
  <c r="AA56" i="7"/>
  <c r="T55" i="7"/>
  <c r="AC4" i="14"/>
  <c r="AC47" i="14"/>
  <c r="AC48" i="14"/>
  <c r="AK12" i="14"/>
  <c r="AL12" i="14" s="1"/>
  <c r="AM12" i="14" s="1"/>
  <c r="AN12" i="14" s="1"/>
  <c r="AO12" i="14" s="1"/>
  <c r="AP12" i="14" s="1"/>
  <c r="AQ12" i="14" s="1"/>
  <c r="AR12" i="14" s="1"/>
  <c r="AS12" i="14" s="1"/>
  <c r="AT12" i="14" s="1"/>
  <c r="AU12" i="14" s="1"/>
  <c r="AV12" i="14" s="1"/>
  <c r="AW12" i="14" s="1"/>
  <c r="AX12" i="14" s="1"/>
  <c r="AY12" i="14" s="1"/>
  <c r="AZ12" i="14" s="1"/>
  <c r="BA12" i="14" s="1"/>
  <c r="BB12" i="14" s="1"/>
  <c r="BC12" i="14" s="1"/>
  <c r="BD12" i="14" s="1"/>
  <c r="BE12" i="14" s="1"/>
  <c r="BF12" i="14" s="1"/>
  <c r="BG62" i="14" l="1"/>
  <c r="AX51" i="7"/>
  <c r="AY51" i="7" s="1"/>
  <c r="L110" i="11"/>
  <c r="BG7" i="14"/>
  <c r="AL50" i="7"/>
  <c r="AO50" i="7" s="1"/>
  <c r="BG12" i="14"/>
  <c r="AL55" i="7"/>
  <c r="AO55" i="7" s="1"/>
  <c r="AP55" i="7" s="1"/>
  <c r="AW55" i="7" s="1"/>
  <c r="AZ55" i="7" s="1"/>
  <c r="BJ26" i="7" s="1"/>
  <c r="BG20" i="14"/>
  <c r="AO63" i="7"/>
  <c r="BG21" i="14"/>
  <c r="AO64" i="7"/>
  <c r="BG17" i="14"/>
  <c r="AO60" i="7"/>
  <c r="E135" i="11" s="1"/>
  <c r="F135" i="11" s="1"/>
  <c r="BG47" i="14"/>
  <c r="AU63" i="7"/>
  <c r="BG19" i="14"/>
  <c r="AO62" i="7"/>
  <c r="BG10" i="14"/>
  <c r="AL53" i="7"/>
  <c r="AO53" i="7" s="1"/>
  <c r="BG3" i="14"/>
  <c r="AL46" i="7"/>
  <c r="AO46" i="7" s="1"/>
  <c r="BG48" i="14"/>
  <c r="AU64" i="7"/>
  <c r="BG11" i="14"/>
  <c r="AL54" i="7"/>
  <c r="AO54" i="7" s="1"/>
  <c r="BG18" i="14"/>
  <c r="AO61" i="7"/>
  <c r="BG4" i="14"/>
  <c r="AL47" i="7"/>
  <c r="AO47" i="7" s="1"/>
  <c r="BG13" i="14"/>
  <c r="AO56" i="7"/>
  <c r="AP56" i="7" s="1"/>
  <c r="BB56" i="7" s="1"/>
  <c r="BG9" i="14"/>
  <c r="AL52" i="7"/>
  <c r="AO52" i="7" s="1"/>
  <c r="H100" i="11"/>
  <c r="I100" i="11" s="1"/>
  <c r="J100" i="11" s="1"/>
  <c r="U56" i="7"/>
  <c r="AE56" i="7" s="1"/>
  <c r="T63" i="7"/>
  <c r="AU50" i="7"/>
  <c r="AA50" i="7"/>
  <c r="AU59" i="7"/>
  <c r="AU46" i="7"/>
  <c r="AO66" i="7"/>
  <c r="AP66" i="7" s="1"/>
  <c r="AY57" i="7"/>
  <c r="AY58" i="7"/>
  <c r="AO58" i="7"/>
  <c r="AA62" i="7"/>
  <c r="AU61" i="7"/>
  <c r="AF34" i="7"/>
  <c r="BV34" i="7" s="1"/>
  <c r="K33" i="11"/>
  <c r="N33" i="11" s="1"/>
  <c r="AA36" i="7"/>
  <c r="AF36" i="7" s="1"/>
  <c r="BV36" i="7" s="1"/>
  <c r="AA35" i="7"/>
  <c r="AF35" i="7" s="1"/>
  <c r="BV35" i="7" s="1"/>
  <c r="AA24" i="7"/>
  <c r="K23" i="11" s="1"/>
  <c r="N23" i="11" s="1"/>
  <c r="AA26" i="7"/>
  <c r="AF26" i="7" s="1"/>
  <c r="BV26" i="7" s="1"/>
  <c r="AV28" i="7"/>
  <c r="BC28" i="7" s="1"/>
  <c r="BD36" i="7"/>
  <c r="J91" i="11"/>
  <c r="L91" i="11" s="1"/>
  <c r="AO23" i="7"/>
  <c r="AP23" i="7" s="1"/>
  <c r="L97" i="11"/>
  <c r="T19" i="7"/>
  <c r="U19" i="7" s="1"/>
  <c r="AY47" i="7"/>
  <c r="AU47" i="7"/>
  <c r="AY61" i="7"/>
  <c r="AY65" i="7"/>
  <c r="K65" i="7"/>
  <c r="AU65" i="7"/>
  <c r="AU51" i="7"/>
  <c r="AY59" i="7"/>
  <c r="AU60" i="7"/>
  <c r="AV60" i="7" s="1"/>
  <c r="BC60" i="7" s="1"/>
  <c r="AY60" i="7"/>
  <c r="BD60" i="7" s="1"/>
  <c r="AY46" i="7"/>
  <c r="AY49" i="7"/>
  <c r="AU49" i="7"/>
  <c r="AY66" i="7"/>
  <c r="AU66" i="7"/>
  <c r="AV66" i="7" s="1"/>
  <c r="BC66" i="7" s="1"/>
  <c r="K54" i="7"/>
  <c r="AU54" i="7"/>
  <c r="AY54" i="7"/>
  <c r="AO28" i="7"/>
  <c r="AP28" i="7" s="1"/>
  <c r="AY48" i="7"/>
  <c r="AU48" i="7"/>
  <c r="AU62" i="7"/>
  <c r="AY62" i="7"/>
  <c r="BD62" i="7" s="1"/>
  <c r="AY64" i="7"/>
  <c r="AU53" i="7"/>
  <c r="AY53" i="7"/>
  <c r="AY50" i="7"/>
  <c r="AY63" i="7"/>
  <c r="AU58" i="7"/>
  <c r="AU57" i="7"/>
  <c r="K26" i="7"/>
  <c r="L26" i="7" s="1"/>
  <c r="AD26" i="7" s="1"/>
  <c r="BT26" i="7" s="1"/>
  <c r="L93" i="11"/>
  <c r="J90" i="11"/>
  <c r="AF33" i="7"/>
  <c r="BV33" i="7" s="1"/>
  <c r="AF25" i="7"/>
  <c r="BV25" i="7" s="1"/>
  <c r="AD66" i="7"/>
  <c r="BD18" i="7"/>
  <c r="AY28" i="7"/>
  <c r="K71" i="11" s="1"/>
  <c r="AY22" i="7"/>
  <c r="BD22" i="7" s="1"/>
  <c r="H66" i="11"/>
  <c r="I66" i="11" s="1"/>
  <c r="T28" i="7"/>
  <c r="AO25" i="7"/>
  <c r="AP25" i="7" s="1"/>
  <c r="K18" i="7"/>
  <c r="AO34" i="7"/>
  <c r="AP34" i="7" s="1"/>
  <c r="K17" i="7"/>
  <c r="K37" i="7"/>
  <c r="AA28" i="7"/>
  <c r="AH28" i="7" s="1"/>
  <c r="K32" i="11"/>
  <c r="N32" i="11" s="1"/>
  <c r="L55" i="7"/>
  <c r="AD55" i="7" s="1"/>
  <c r="E62" i="11"/>
  <c r="F62" i="11" s="1"/>
  <c r="AV26" i="7"/>
  <c r="BC26" i="7" s="1"/>
  <c r="AP36" i="7"/>
  <c r="BB36" i="7" s="1"/>
  <c r="T33" i="7"/>
  <c r="AA60" i="7"/>
  <c r="AF60" i="7" s="1"/>
  <c r="T27" i="7"/>
  <c r="K29" i="7"/>
  <c r="T29" i="7"/>
  <c r="K28" i="7"/>
  <c r="K31" i="7"/>
  <c r="AA27" i="7"/>
  <c r="AH27" i="7" s="1"/>
  <c r="AA29" i="7"/>
  <c r="E64" i="11"/>
  <c r="F64" i="11" s="1"/>
  <c r="AA18" i="7"/>
  <c r="H68" i="11"/>
  <c r="I68" i="11" s="1"/>
  <c r="AO26" i="7"/>
  <c r="AP26" i="7" s="1"/>
  <c r="T26" i="7"/>
  <c r="T52" i="7"/>
  <c r="H96" i="11" s="1"/>
  <c r="I96" i="11" s="1"/>
  <c r="J96" i="11" s="1"/>
  <c r="AO32" i="7"/>
  <c r="E75" i="11" s="1"/>
  <c r="F75" i="11" s="1"/>
  <c r="AF32" i="7"/>
  <c r="BV32" i="7" s="1"/>
  <c r="K31" i="11"/>
  <c r="N31" i="11" s="1"/>
  <c r="BD31" i="7"/>
  <c r="K74" i="11"/>
  <c r="K127" i="11"/>
  <c r="K131" i="11"/>
  <c r="AO24" i="7"/>
  <c r="AP24" i="7" s="1"/>
  <c r="T22" i="7"/>
  <c r="K130" i="11"/>
  <c r="K70" i="11"/>
  <c r="BD27" i="7"/>
  <c r="BD21" i="7"/>
  <c r="K64" i="11"/>
  <c r="AV27" i="7"/>
  <c r="BC27" i="7" s="1"/>
  <c r="H70" i="11"/>
  <c r="I70" i="11" s="1"/>
  <c r="AV33" i="7"/>
  <c r="BC33" i="7" s="1"/>
  <c r="H76" i="11"/>
  <c r="I76" i="11" s="1"/>
  <c r="K35" i="7"/>
  <c r="K23" i="7"/>
  <c r="T32" i="7"/>
  <c r="K36" i="7"/>
  <c r="AA21" i="7"/>
  <c r="AH21" i="7" s="1"/>
  <c r="BD25" i="7"/>
  <c r="K68" i="11"/>
  <c r="BD23" i="7"/>
  <c r="K66" i="11"/>
  <c r="AP27" i="7"/>
  <c r="E70" i="11"/>
  <c r="F70" i="11" s="1"/>
  <c r="K21" i="7"/>
  <c r="T25" i="7"/>
  <c r="E78" i="11"/>
  <c r="F78" i="11" s="1"/>
  <c r="K30" i="7"/>
  <c r="E29" i="11" s="1"/>
  <c r="F29" i="11" s="1"/>
  <c r="K24" i="11"/>
  <c r="N24" i="11" s="1"/>
  <c r="AO33" i="7"/>
  <c r="BD37" i="7"/>
  <c r="K80" i="11"/>
  <c r="AU35" i="7"/>
  <c r="T35" i="7"/>
  <c r="K25" i="7"/>
  <c r="T24" i="7"/>
  <c r="K33" i="7"/>
  <c r="AF37" i="7"/>
  <c r="BV37" i="7" s="1"/>
  <c r="K36" i="11"/>
  <c r="N36" i="11" s="1"/>
  <c r="BD26" i="7"/>
  <c r="K69" i="11"/>
  <c r="BD34" i="7"/>
  <c r="K77" i="11"/>
  <c r="E80" i="11"/>
  <c r="F80" i="11" s="1"/>
  <c r="AP37" i="7"/>
  <c r="AV37" i="7"/>
  <c r="BC37" i="7" s="1"/>
  <c r="H80" i="11"/>
  <c r="I80" i="11" s="1"/>
  <c r="AV29" i="7"/>
  <c r="BC29" i="7" s="1"/>
  <c r="H72" i="11"/>
  <c r="I72" i="11" s="1"/>
  <c r="AD63" i="7"/>
  <c r="AV30" i="7"/>
  <c r="BC30" i="7" s="1"/>
  <c r="H73" i="11"/>
  <c r="I73" i="11" s="1"/>
  <c r="K67" i="11"/>
  <c r="BD24" i="7"/>
  <c r="H131" i="11"/>
  <c r="I131" i="11" s="1"/>
  <c r="T37" i="7"/>
  <c r="V59" i="7"/>
  <c r="AD59" i="7"/>
  <c r="K27" i="7"/>
  <c r="AD64" i="7"/>
  <c r="AV36" i="7"/>
  <c r="H79" i="11"/>
  <c r="I79" i="11" s="1"/>
  <c r="J79" i="11" s="1"/>
  <c r="L79" i="11" s="1"/>
  <c r="T20" i="7"/>
  <c r="BD17" i="7"/>
  <c r="K60" i="11"/>
  <c r="AV22" i="7"/>
  <c r="BC22" i="7" s="1"/>
  <c r="H65" i="11"/>
  <c r="I65" i="11" s="1"/>
  <c r="AP30" i="7"/>
  <c r="E73" i="11"/>
  <c r="F73" i="11" s="1"/>
  <c r="AO49" i="7"/>
  <c r="E61" i="11"/>
  <c r="F61" i="11" s="1"/>
  <c r="J61" i="11" s="1"/>
  <c r="L61" i="11" s="1"/>
  <c r="AP18" i="7"/>
  <c r="AP31" i="7"/>
  <c r="E74" i="11"/>
  <c r="F74" i="11" s="1"/>
  <c r="J74" i="11" s="1"/>
  <c r="AA17" i="7"/>
  <c r="AA22" i="7"/>
  <c r="BD30" i="7"/>
  <c r="K73" i="11"/>
  <c r="BD19" i="7"/>
  <c r="K62" i="11"/>
  <c r="BD35" i="7"/>
  <c r="K78" i="11"/>
  <c r="K100" i="11"/>
  <c r="AF56" i="7"/>
  <c r="AD48" i="7"/>
  <c r="AP29" i="7"/>
  <c r="E72" i="11"/>
  <c r="F72" i="11" s="1"/>
  <c r="AA61" i="7"/>
  <c r="AA46" i="7"/>
  <c r="U55" i="7"/>
  <c r="AE55" i="7" s="1"/>
  <c r="H99" i="11"/>
  <c r="I99" i="11" s="1"/>
  <c r="J99" i="11" s="1"/>
  <c r="H127" i="11"/>
  <c r="I127" i="11" s="1"/>
  <c r="H130" i="11"/>
  <c r="I130" i="11" s="1"/>
  <c r="AA54" i="7"/>
  <c r="AD49" i="7"/>
  <c r="V49" i="7"/>
  <c r="AB49" i="7" s="1"/>
  <c r="BH20" i="7" s="1"/>
  <c r="AD62" i="7"/>
  <c r="T23" i="7"/>
  <c r="AD53" i="7"/>
  <c r="V53" i="7"/>
  <c r="AB53" i="7" s="1"/>
  <c r="BH24" i="7" s="1"/>
  <c r="K32" i="7"/>
  <c r="T30" i="7"/>
  <c r="BD20" i="7"/>
  <c r="K63" i="11"/>
  <c r="AV24" i="7"/>
  <c r="BC24" i="7" s="1"/>
  <c r="H67" i="11"/>
  <c r="I67" i="11" s="1"/>
  <c r="BD29" i="7"/>
  <c r="K72" i="11"/>
  <c r="AD50" i="7"/>
  <c r="T31" i="7"/>
  <c r="AA30" i="7"/>
  <c r="AA65" i="7"/>
  <c r="AO65" i="7"/>
  <c r="T65" i="7"/>
  <c r="K22" i="7"/>
  <c r="K24" i="7"/>
  <c r="H62" i="11"/>
  <c r="I62" i="11" s="1"/>
  <c r="AV19" i="7"/>
  <c r="AD60" i="7"/>
  <c r="AD61" i="7"/>
  <c r="AV21" i="7"/>
  <c r="BC21" i="7" s="1"/>
  <c r="H64" i="11"/>
  <c r="I64" i="11" s="1"/>
  <c r="AU34" i="7"/>
  <c r="AA20" i="7"/>
  <c r="K19" i="7"/>
  <c r="AA31" i="7"/>
  <c r="AH31" i="7" s="1"/>
  <c r="AF52" i="7"/>
  <c r="K96" i="11"/>
  <c r="BB35" i="7"/>
  <c r="K34" i="7"/>
  <c r="AA63" i="7"/>
  <c r="U21" i="7"/>
  <c r="AE21" i="7" s="1"/>
  <c r="BU21" i="7" s="1"/>
  <c r="H20" i="11"/>
  <c r="I20" i="11" s="1"/>
  <c r="T34" i="7"/>
  <c r="AV20" i="7"/>
  <c r="BC20" i="7" s="1"/>
  <c r="H63" i="11"/>
  <c r="I63" i="11" s="1"/>
  <c r="AA19" i="7"/>
  <c r="BB21" i="7"/>
  <c r="AA58" i="7"/>
  <c r="AP17" i="7"/>
  <c r="E60" i="11"/>
  <c r="F60" i="11" s="1"/>
  <c r="AA59" i="7"/>
  <c r="AO59" i="7"/>
  <c r="T36" i="7"/>
  <c r="E65" i="11"/>
  <c r="F65" i="11" s="1"/>
  <c r="AP22" i="7"/>
  <c r="AA64" i="7"/>
  <c r="T64" i="7"/>
  <c r="AF23" i="7"/>
  <c r="BV23" i="7" s="1"/>
  <c r="K22" i="11"/>
  <c r="N22" i="11" s="1"/>
  <c r="H75" i="11"/>
  <c r="I75" i="11" s="1"/>
  <c r="AV32" i="7"/>
  <c r="BC32" i="7" s="1"/>
  <c r="AF55" i="7"/>
  <c r="K99" i="11"/>
  <c r="AA57" i="7"/>
  <c r="AO57" i="7"/>
  <c r="BD32" i="7"/>
  <c r="K75" i="11"/>
  <c r="E63" i="11"/>
  <c r="F63" i="11" s="1"/>
  <c r="AP20" i="7"/>
  <c r="AA51" i="7"/>
  <c r="AO51" i="7"/>
  <c r="K20" i="7"/>
  <c r="AO48" i="7"/>
  <c r="T48" i="7"/>
  <c r="AA48" i="7"/>
  <c r="L100" i="11" l="1"/>
  <c r="AH19" i="7"/>
  <c r="AH17" i="7"/>
  <c r="AH29" i="7"/>
  <c r="V56" i="7"/>
  <c r="AB56" i="7" s="1"/>
  <c r="BH27" i="7" s="1"/>
  <c r="N98" i="11"/>
  <c r="N68" i="11"/>
  <c r="N129" i="11"/>
  <c r="N136" i="11"/>
  <c r="N105" i="11"/>
  <c r="N75" i="11"/>
  <c r="N76" i="11"/>
  <c r="N137" i="11"/>
  <c r="N106" i="11"/>
  <c r="N67" i="11"/>
  <c r="N128" i="11"/>
  <c r="N97" i="11"/>
  <c r="N96" i="11"/>
  <c r="N66" i="11"/>
  <c r="N127" i="11"/>
  <c r="N80" i="11"/>
  <c r="N141" i="11"/>
  <c r="N110" i="11"/>
  <c r="N107" i="11"/>
  <c r="N77" i="11"/>
  <c r="N138" i="11"/>
  <c r="BB55" i="7"/>
  <c r="E130" i="11"/>
  <c r="F130" i="11" s="1"/>
  <c r="J130" i="11" s="1"/>
  <c r="L130" i="11" s="1"/>
  <c r="AF24" i="7"/>
  <c r="BV24" i="7" s="1"/>
  <c r="K34" i="11"/>
  <c r="N34" i="11" s="1"/>
  <c r="AF62" i="7"/>
  <c r="K106" i="11"/>
  <c r="K35" i="11"/>
  <c r="N35" i="11" s="1"/>
  <c r="K25" i="11"/>
  <c r="N25" i="11" s="1"/>
  <c r="H18" i="11"/>
  <c r="I18" i="11" s="1"/>
  <c r="E25" i="11"/>
  <c r="F25" i="11" s="1"/>
  <c r="AW56" i="7"/>
  <c r="AZ56" i="7" s="1"/>
  <c r="BJ27" i="7" s="1"/>
  <c r="E131" i="11"/>
  <c r="F131" i="11" s="1"/>
  <c r="J131" i="11" s="1"/>
  <c r="L131" i="11" s="1"/>
  <c r="E66" i="11"/>
  <c r="F66" i="11" s="1"/>
  <c r="J66" i="11" s="1"/>
  <c r="L66" i="11" s="1"/>
  <c r="E71" i="11"/>
  <c r="F71" i="11" s="1"/>
  <c r="J71" i="11" s="1"/>
  <c r="L71" i="11" s="1"/>
  <c r="K137" i="11"/>
  <c r="L18" i="7"/>
  <c r="AD18" i="7" s="1"/>
  <c r="BT18" i="7" s="1"/>
  <c r="E17" i="11"/>
  <c r="F17" i="11" s="1"/>
  <c r="J17" i="11" s="1"/>
  <c r="T60" i="7"/>
  <c r="U60" i="7" s="1"/>
  <c r="AV62" i="7"/>
  <c r="BC62" i="7" s="1"/>
  <c r="H137" i="11"/>
  <c r="I137" i="11" s="1"/>
  <c r="E141" i="11"/>
  <c r="F141" i="11" s="1"/>
  <c r="AF27" i="7"/>
  <c r="BV27" i="7" s="1"/>
  <c r="AF18" i="7"/>
  <c r="BV18" i="7" s="1"/>
  <c r="L31" i="7"/>
  <c r="AD31" i="7" s="1"/>
  <c r="BT31" i="7" s="1"/>
  <c r="K20" i="11"/>
  <c r="N20" i="11" s="1"/>
  <c r="L28" i="7"/>
  <c r="E35" i="11"/>
  <c r="F35" i="11" s="1"/>
  <c r="U29" i="7"/>
  <c r="AE29" i="7" s="1"/>
  <c r="BU29" i="7" s="1"/>
  <c r="L30" i="7"/>
  <c r="AD30" i="7" s="1"/>
  <c r="BT30" i="7" s="1"/>
  <c r="U32" i="7"/>
  <c r="AE32" i="7" s="1"/>
  <c r="BU32" i="7" s="1"/>
  <c r="L29" i="7"/>
  <c r="AD29" i="7" s="1"/>
  <c r="BT29" i="7" s="1"/>
  <c r="H26" i="11"/>
  <c r="I26" i="11" s="1"/>
  <c r="U28" i="7"/>
  <c r="AE28" i="7" s="1"/>
  <c r="BU28" i="7" s="1"/>
  <c r="K26" i="11"/>
  <c r="N26" i="11" s="1"/>
  <c r="U25" i="7"/>
  <c r="AE25" i="7" s="1"/>
  <c r="BU25" i="7" s="1"/>
  <c r="L23" i="7"/>
  <c r="AD23" i="7" s="1"/>
  <c r="BT23" i="7" s="1"/>
  <c r="H21" i="11"/>
  <c r="I21" i="11" s="1"/>
  <c r="AF28" i="7"/>
  <c r="BV28" i="7" s="1"/>
  <c r="E27" i="11"/>
  <c r="F27" i="11" s="1"/>
  <c r="U24" i="7"/>
  <c r="AE24" i="7" s="1"/>
  <c r="BU24" i="7" s="1"/>
  <c r="L21" i="7"/>
  <c r="V21" i="7" s="1"/>
  <c r="AB21" i="7" s="1"/>
  <c r="L35" i="7"/>
  <c r="AD35" i="7" s="1"/>
  <c r="BT35" i="7" s="1"/>
  <c r="U26" i="7"/>
  <c r="V26" i="7" s="1"/>
  <c r="AB26" i="7" s="1"/>
  <c r="L25" i="7"/>
  <c r="AD25" i="7" s="1"/>
  <c r="BT25" i="7" s="1"/>
  <c r="L37" i="7"/>
  <c r="AD37" i="7" s="1"/>
  <c r="BT37" i="7" s="1"/>
  <c r="U35" i="7"/>
  <c r="AE35" i="7" s="1"/>
  <c r="BU35" i="7" s="1"/>
  <c r="AF29" i="7"/>
  <c r="BV29" i="7" s="1"/>
  <c r="H32" i="11"/>
  <c r="I32" i="11" s="1"/>
  <c r="E16" i="11"/>
  <c r="F16" i="11" s="1"/>
  <c r="J16" i="11" s="1"/>
  <c r="U27" i="7"/>
  <c r="AE27" i="7" s="1"/>
  <c r="BU27" i="7" s="1"/>
  <c r="H25" i="11"/>
  <c r="I25" i="11" s="1"/>
  <c r="U33" i="7"/>
  <c r="AE33" i="7" s="1"/>
  <c r="BU33" i="7" s="1"/>
  <c r="J62" i="11"/>
  <c r="L62" i="11" s="1"/>
  <c r="E28" i="11"/>
  <c r="F28" i="11" s="1"/>
  <c r="U22" i="7"/>
  <c r="AE22" i="7" s="1"/>
  <c r="BU22" i="7" s="1"/>
  <c r="BD28" i="7"/>
  <c r="BD38" i="7" s="1"/>
  <c r="K104" i="11"/>
  <c r="AY38" i="7"/>
  <c r="K27" i="11"/>
  <c r="N27" i="11" s="1"/>
  <c r="K65" i="11"/>
  <c r="K81" i="11" s="1"/>
  <c r="H27" i="11"/>
  <c r="I27" i="11" s="1"/>
  <c r="H28" i="11"/>
  <c r="I28" i="11" s="1"/>
  <c r="U52" i="7"/>
  <c r="AE52" i="7" s="1"/>
  <c r="J72" i="11"/>
  <c r="L72" i="11" s="1"/>
  <c r="J73" i="11"/>
  <c r="L73" i="11" s="1"/>
  <c r="T62" i="7"/>
  <c r="J64" i="11"/>
  <c r="L64" i="11" s="1"/>
  <c r="E69" i="11"/>
  <c r="F69" i="11" s="1"/>
  <c r="J69" i="11" s="1"/>
  <c r="L69" i="11" s="1"/>
  <c r="E68" i="11"/>
  <c r="F68" i="11" s="1"/>
  <c r="J68" i="11" s="1"/>
  <c r="L68" i="11" s="1"/>
  <c r="AP32" i="7"/>
  <c r="AW32" i="7" s="1"/>
  <c r="AZ32" i="7" s="1"/>
  <c r="E77" i="11"/>
  <c r="F77" i="11" s="1"/>
  <c r="L17" i="7"/>
  <c r="V17" i="7" s="1"/>
  <c r="E36" i="11"/>
  <c r="F36" i="11" s="1"/>
  <c r="E24" i="11"/>
  <c r="F24" i="11" s="1"/>
  <c r="E67" i="11"/>
  <c r="F67" i="11" s="1"/>
  <c r="J67" i="11" s="1"/>
  <c r="L67" i="11" s="1"/>
  <c r="E30" i="11"/>
  <c r="F30" i="11" s="1"/>
  <c r="E22" i="11"/>
  <c r="F22" i="11" s="1"/>
  <c r="AP60" i="7"/>
  <c r="BB60" i="7" s="1"/>
  <c r="AF21" i="7"/>
  <c r="BV21" i="7" s="1"/>
  <c r="K17" i="11"/>
  <c r="N17" i="11" s="1"/>
  <c r="K135" i="11"/>
  <c r="L74" i="11"/>
  <c r="E20" i="11"/>
  <c r="F20" i="11" s="1"/>
  <c r="J20" i="11" s="1"/>
  <c r="H141" i="11"/>
  <c r="I141" i="11" s="1"/>
  <c r="AP62" i="7"/>
  <c r="E137" i="11"/>
  <c r="F137" i="11" s="1"/>
  <c r="K28" i="11"/>
  <c r="N28" i="11" s="1"/>
  <c r="H23" i="11"/>
  <c r="I23" i="11" s="1"/>
  <c r="H135" i="11"/>
  <c r="I135" i="11" s="1"/>
  <c r="J135" i="11" s="1"/>
  <c r="H24" i="11"/>
  <c r="I24" i="11" s="1"/>
  <c r="T58" i="7"/>
  <c r="U58" i="7" s="1"/>
  <c r="L36" i="7"/>
  <c r="AD36" i="7" s="1"/>
  <c r="BT36" i="7" s="1"/>
  <c r="H34" i="11"/>
  <c r="I34" i="11" s="1"/>
  <c r="BD66" i="7"/>
  <c r="K141" i="11"/>
  <c r="E34" i="11"/>
  <c r="F34" i="11" s="1"/>
  <c r="AV35" i="7"/>
  <c r="H78" i="11"/>
  <c r="I78" i="11" s="1"/>
  <c r="J78" i="11" s="1"/>
  <c r="L78" i="11" s="1"/>
  <c r="J70" i="11"/>
  <c r="L70" i="11" s="1"/>
  <c r="J75" i="11"/>
  <c r="L75" i="11" s="1"/>
  <c r="T61" i="7"/>
  <c r="U61" i="7" s="1"/>
  <c r="H31" i="11"/>
  <c r="I31" i="11" s="1"/>
  <c r="L33" i="7"/>
  <c r="AD33" i="7" s="1"/>
  <c r="BT33" i="7" s="1"/>
  <c r="E32" i="11"/>
  <c r="F32" i="11" s="1"/>
  <c r="BB27" i="7"/>
  <c r="AW27" i="7"/>
  <c r="AZ27" i="7" s="1"/>
  <c r="L96" i="11"/>
  <c r="T51" i="7"/>
  <c r="U51" i="7" s="1"/>
  <c r="AE51" i="7" s="1"/>
  <c r="T57" i="7"/>
  <c r="U57" i="7" s="1"/>
  <c r="AP33" i="7"/>
  <c r="E76" i="11"/>
  <c r="F76" i="11" s="1"/>
  <c r="J76" i="11" s="1"/>
  <c r="L76" i="11" s="1"/>
  <c r="AP63" i="7"/>
  <c r="E138" i="11"/>
  <c r="F138" i="11" s="1"/>
  <c r="AE19" i="7"/>
  <c r="BU19" i="7" s="1"/>
  <c r="AV53" i="7"/>
  <c r="BC53" i="7" s="1"/>
  <c r="H128" i="11"/>
  <c r="I128" i="11" s="1"/>
  <c r="AV48" i="7"/>
  <c r="BC48" i="7" s="1"/>
  <c r="H123" i="11"/>
  <c r="I123" i="11" s="1"/>
  <c r="AF51" i="7"/>
  <c r="K95" i="11"/>
  <c r="H132" i="11"/>
  <c r="I132" i="11" s="1"/>
  <c r="AV57" i="7"/>
  <c r="BC57" i="7" s="1"/>
  <c r="E139" i="11"/>
  <c r="F139" i="11" s="1"/>
  <c r="AP64" i="7"/>
  <c r="AF59" i="7"/>
  <c r="K103" i="11"/>
  <c r="L103" i="11" s="1"/>
  <c r="AV63" i="7"/>
  <c r="BC63" i="7" s="1"/>
  <c r="H138" i="11"/>
  <c r="I138" i="11" s="1"/>
  <c r="AV34" i="7"/>
  <c r="BC34" i="7" s="1"/>
  <c r="H77" i="11"/>
  <c r="I77" i="11" s="1"/>
  <c r="L65" i="7"/>
  <c r="E109" i="11"/>
  <c r="F109" i="11" s="1"/>
  <c r="H22" i="11"/>
  <c r="I22" i="11" s="1"/>
  <c r="U23" i="7"/>
  <c r="AE23" i="7" s="1"/>
  <c r="BU23" i="7" s="1"/>
  <c r="AV54" i="7"/>
  <c r="BC54" i="7" s="1"/>
  <c r="H129" i="11"/>
  <c r="I129" i="11" s="1"/>
  <c r="BD53" i="7"/>
  <c r="K128" i="11"/>
  <c r="AP47" i="7"/>
  <c r="E122" i="11"/>
  <c r="F122" i="11" s="1"/>
  <c r="BB24" i="7"/>
  <c r="AW24" i="7"/>
  <c r="AZ24" i="7" s="1"/>
  <c r="H33" i="11"/>
  <c r="I33" i="11" s="1"/>
  <c r="U34" i="7"/>
  <c r="AE34" i="7" s="1"/>
  <c r="BU34" i="7" s="1"/>
  <c r="K136" i="11"/>
  <c r="BD61" i="7"/>
  <c r="K123" i="11"/>
  <c r="BD48" i="7"/>
  <c r="BD51" i="7"/>
  <c r="K126" i="11"/>
  <c r="AF57" i="7"/>
  <c r="K101" i="11"/>
  <c r="AV64" i="7"/>
  <c r="BC64" i="7" s="1"/>
  <c r="H139" i="11"/>
  <c r="I139" i="11" s="1"/>
  <c r="J60" i="11"/>
  <c r="AP58" i="7"/>
  <c r="E133" i="11"/>
  <c r="F133" i="11" s="1"/>
  <c r="BD63" i="7"/>
  <c r="K138" i="11"/>
  <c r="BB26" i="7"/>
  <c r="AW26" i="7"/>
  <c r="AZ26" i="7" s="1"/>
  <c r="AF30" i="7"/>
  <c r="BV30" i="7" s="1"/>
  <c r="K29" i="11"/>
  <c r="N29" i="11" s="1"/>
  <c r="BD54" i="7"/>
  <c r="K129" i="11"/>
  <c r="V55" i="7"/>
  <c r="AB55" i="7" s="1"/>
  <c r="BH26" i="7" s="1"/>
  <c r="H19" i="11"/>
  <c r="I19" i="11" s="1"/>
  <c r="U20" i="7"/>
  <c r="AE20" i="7" s="1"/>
  <c r="BU20" i="7" s="1"/>
  <c r="H122" i="11"/>
  <c r="I122" i="11" s="1"/>
  <c r="AV47" i="7"/>
  <c r="BC47" i="7" s="1"/>
  <c r="AP48" i="7"/>
  <c r="E123" i="11"/>
  <c r="F123" i="11" s="1"/>
  <c r="K140" i="11"/>
  <c r="BD65" i="7"/>
  <c r="E19" i="11"/>
  <c r="F19" i="11" s="1"/>
  <c r="L20" i="7"/>
  <c r="BD57" i="7"/>
  <c r="K132" i="11"/>
  <c r="BD64" i="7"/>
  <c r="K139" i="11"/>
  <c r="BB17" i="7"/>
  <c r="AW17" i="7"/>
  <c r="AV58" i="7"/>
  <c r="BC58" i="7" s="1"/>
  <c r="H133" i="11"/>
  <c r="I133" i="11" s="1"/>
  <c r="AF46" i="7"/>
  <c r="AB46" i="7"/>
  <c r="AA67" i="7"/>
  <c r="AF67" i="7" s="1"/>
  <c r="K90" i="11"/>
  <c r="BD47" i="7"/>
  <c r="K122" i="11"/>
  <c r="AV51" i="7"/>
  <c r="BC51" i="7" s="1"/>
  <c r="H126" i="11"/>
  <c r="I126" i="11" s="1"/>
  <c r="AW66" i="7"/>
  <c r="AZ66" i="7" s="1"/>
  <c r="BJ37" i="7" s="1"/>
  <c r="BB66" i="7"/>
  <c r="BB20" i="7"/>
  <c r="AW20" i="7"/>
  <c r="AZ20" i="7" s="1"/>
  <c r="BB25" i="7"/>
  <c r="AW25" i="7"/>
  <c r="AZ25" i="7" s="1"/>
  <c r="AP54" i="7"/>
  <c r="E129" i="11"/>
  <c r="F129" i="11" s="1"/>
  <c r="AF64" i="7"/>
  <c r="K108" i="11"/>
  <c r="BC19" i="7"/>
  <c r="AW19" i="7"/>
  <c r="AZ19" i="7" s="1"/>
  <c r="J63" i="11"/>
  <c r="L63" i="11" s="1"/>
  <c r="T50" i="7"/>
  <c r="AW21" i="7"/>
  <c r="AZ21" i="7" s="1"/>
  <c r="AP52" i="7"/>
  <c r="E127" i="11"/>
  <c r="F127" i="11" s="1"/>
  <c r="J127" i="11" s="1"/>
  <c r="L127" i="11" s="1"/>
  <c r="AV46" i="7"/>
  <c r="H121" i="11"/>
  <c r="I121" i="11" s="1"/>
  <c r="AB59" i="7"/>
  <c r="BH30" i="7" s="1"/>
  <c r="BB34" i="7"/>
  <c r="AP57" i="7"/>
  <c r="E132" i="11"/>
  <c r="F132" i="11" s="1"/>
  <c r="AP46" i="7"/>
  <c r="E121" i="11"/>
  <c r="F121" i="11" s="1"/>
  <c r="AF31" i="7"/>
  <c r="BV31" i="7" s="1"/>
  <c r="K30" i="11"/>
  <c r="N30" i="11" s="1"/>
  <c r="L24" i="7"/>
  <c r="E23" i="11"/>
  <c r="F23" i="11" s="1"/>
  <c r="U31" i="7"/>
  <c r="AE31" i="7" s="1"/>
  <c r="BU31" i="7" s="1"/>
  <c r="H30" i="11"/>
  <c r="I30" i="11" s="1"/>
  <c r="BD46" i="7"/>
  <c r="AY67" i="7"/>
  <c r="K121" i="11"/>
  <c r="AW29" i="7"/>
  <c r="AZ29" i="7" s="1"/>
  <c r="BB29" i="7"/>
  <c r="U37" i="7"/>
  <c r="AE37" i="7" s="1"/>
  <c r="BU37" i="7" s="1"/>
  <c r="H36" i="11"/>
  <c r="I36" i="11" s="1"/>
  <c r="K134" i="11"/>
  <c r="BD59" i="7"/>
  <c r="BD58" i="7"/>
  <c r="K133" i="11"/>
  <c r="K51" i="7"/>
  <c r="BB22" i="7"/>
  <c r="AW22" i="7"/>
  <c r="AZ22" i="7" s="1"/>
  <c r="K18" i="11"/>
  <c r="N18" i="11" s="1"/>
  <c r="AF19" i="7"/>
  <c r="BV19" i="7" s="1"/>
  <c r="L22" i="7"/>
  <c r="E21" i="11"/>
  <c r="F21" i="11" s="1"/>
  <c r="U30" i="7"/>
  <c r="AE30" i="7" s="1"/>
  <c r="BU30" i="7" s="1"/>
  <c r="H29" i="11"/>
  <c r="I29" i="11" s="1"/>
  <c r="J29" i="11" s="1"/>
  <c r="L99" i="11"/>
  <c r="AF22" i="7"/>
  <c r="BV22" i="7" s="1"/>
  <c r="K21" i="11"/>
  <c r="N21" i="11" s="1"/>
  <c r="AP49" i="7"/>
  <c r="E124" i="11"/>
  <c r="F124" i="11" s="1"/>
  <c r="BC36" i="7"/>
  <c r="AW36" i="7"/>
  <c r="AZ36" i="7" s="1"/>
  <c r="E126" i="11"/>
  <c r="F126" i="11" s="1"/>
  <c r="AP51" i="7"/>
  <c r="J65" i="11"/>
  <c r="AP50" i="7"/>
  <c r="E125" i="11"/>
  <c r="F125" i="11" s="1"/>
  <c r="U65" i="7"/>
  <c r="AE65" i="7" s="1"/>
  <c r="H109" i="11"/>
  <c r="I109" i="11" s="1"/>
  <c r="L32" i="7"/>
  <c r="E31" i="11"/>
  <c r="F31" i="11" s="1"/>
  <c r="L54" i="7"/>
  <c r="E98" i="11"/>
  <c r="F98" i="11" s="1"/>
  <c r="AF17" i="7"/>
  <c r="BV17" i="7" s="1"/>
  <c r="AA38" i="7"/>
  <c r="AF38" i="7" s="1"/>
  <c r="K16" i="11"/>
  <c r="N16" i="11" s="1"/>
  <c r="H124" i="11"/>
  <c r="I124" i="11" s="1"/>
  <c r="AV49" i="7"/>
  <c r="BC49" i="7" s="1"/>
  <c r="U64" i="7"/>
  <c r="H108" i="11"/>
  <c r="I108" i="11" s="1"/>
  <c r="J108" i="11" s="1"/>
  <c r="K94" i="11"/>
  <c r="AF50" i="7"/>
  <c r="BB23" i="7"/>
  <c r="AW23" i="7"/>
  <c r="AZ23" i="7" s="1"/>
  <c r="U36" i="7"/>
  <c r="AE36" i="7" s="1"/>
  <c r="BU36" i="7" s="1"/>
  <c r="H35" i="11"/>
  <c r="I35" i="11" s="1"/>
  <c r="AV50" i="7"/>
  <c r="BC50" i="7" s="1"/>
  <c r="H125" i="11"/>
  <c r="I125" i="11" s="1"/>
  <c r="L34" i="7"/>
  <c r="E33" i="11"/>
  <c r="F33" i="11" s="1"/>
  <c r="L19" i="7"/>
  <c r="E18" i="11"/>
  <c r="F18" i="11" s="1"/>
  <c r="AP65" i="7"/>
  <c r="E140" i="11"/>
  <c r="F140" i="11" s="1"/>
  <c r="T54" i="7"/>
  <c r="AF61" i="7"/>
  <c r="K105" i="11"/>
  <c r="BD49" i="7"/>
  <c r="K124" i="11"/>
  <c r="AW28" i="7"/>
  <c r="AZ28" i="7" s="1"/>
  <c r="BB28" i="7"/>
  <c r="AP59" i="7"/>
  <c r="E134" i="11"/>
  <c r="F134" i="11" s="1"/>
  <c r="U63" i="7"/>
  <c r="H107" i="11"/>
  <c r="I107" i="11" s="1"/>
  <c r="J107" i="11" s="1"/>
  <c r="AP61" i="7"/>
  <c r="E136" i="11"/>
  <c r="F136" i="11" s="1"/>
  <c r="BB31" i="7"/>
  <c r="AW31" i="7"/>
  <c r="AZ31" i="7" s="1"/>
  <c r="BB37" i="7"/>
  <c r="AW37" i="7"/>
  <c r="AZ37" i="7" s="1"/>
  <c r="AF48" i="7"/>
  <c r="K92" i="11"/>
  <c r="BD50" i="7"/>
  <c r="K125" i="11"/>
  <c r="AF20" i="7"/>
  <c r="BV20" i="7" s="1"/>
  <c r="K19" i="11"/>
  <c r="N19" i="11" s="1"/>
  <c r="AV65" i="7"/>
  <c r="BC65" i="7" s="1"/>
  <c r="H140" i="11"/>
  <c r="I140" i="11" s="1"/>
  <c r="U48" i="7"/>
  <c r="H92" i="11"/>
  <c r="I92" i="11" s="1"/>
  <c r="H134" i="11"/>
  <c r="I134" i="11" s="1"/>
  <c r="AV59" i="7"/>
  <c r="BC59" i="7" s="1"/>
  <c r="K102" i="11"/>
  <c r="AF58" i="7"/>
  <c r="AF63" i="7"/>
  <c r="K107" i="11"/>
  <c r="AF65" i="7"/>
  <c r="K109" i="11"/>
  <c r="AF54" i="7"/>
  <c r="K98" i="11"/>
  <c r="AV61" i="7"/>
  <c r="BC61" i="7" s="1"/>
  <c r="H136" i="11"/>
  <c r="I136" i="11" s="1"/>
  <c r="BB18" i="7"/>
  <c r="AW18" i="7"/>
  <c r="AZ18" i="7" s="1"/>
  <c r="BB30" i="7"/>
  <c r="AW30" i="7"/>
  <c r="AZ30" i="7" s="1"/>
  <c r="AP53" i="7"/>
  <c r="E128" i="11"/>
  <c r="F128" i="11" s="1"/>
  <c r="L27" i="7"/>
  <c r="E26" i="11"/>
  <c r="F26" i="11" s="1"/>
  <c r="J80" i="11"/>
  <c r="L80" i="11" s="1"/>
  <c r="AH38" i="7" l="1"/>
  <c r="N90" i="11"/>
  <c r="N121" i="11"/>
  <c r="N60" i="11"/>
  <c r="N125" i="11"/>
  <c r="N94" i="11"/>
  <c r="N64" i="11"/>
  <c r="N135" i="11"/>
  <c r="N74" i="11"/>
  <c r="N104" i="11"/>
  <c r="N73" i="11"/>
  <c r="N103" i="11"/>
  <c r="N134" i="11"/>
  <c r="N122" i="11"/>
  <c r="N61" i="11"/>
  <c r="N91" i="11"/>
  <c r="N92" i="11"/>
  <c r="N123" i="11"/>
  <c r="N62" i="11"/>
  <c r="N102" i="11"/>
  <c r="N133" i="11"/>
  <c r="N72" i="11"/>
  <c r="N131" i="11"/>
  <c r="N70" i="11"/>
  <c r="N100" i="11"/>
  <c r="N93" i="11"/>
  <c r="N124" i="11"/>
  <c r="N63" i="11"/>
  <c r="N132" i="11"/>
  <c r="N71" i="11"/>
  <c r="N101" i="11"/>
  <c r="N139" i="11"/>
  <c r="N108" i="11"/>
  <c r="N78" i="11"/>
  <c r="N140" i="11"/>
  <c r="N109" i="11"/>
  <c r="N79" i="11"/>
  <c r="N126" i="11"/>
  <c r="N95" i="11"/>
  <c r="N65" i="11"/>
  <c r="N130" i="11"/>
  <c r="N99" i="11"/>
  <c r="N69" i="11"/>
  <c r="J18" i="11"/>
  <c r="L18" i="11" s="1"/>
  <c r="J25" i="11"/>
  <c r="L25" i="11" s="1"/>
  <c r="V18" i="7"/>
  <c r="AB18" i="7" s="1"/>
  <c r="BQ18" i="7" s="1"/>
  <c r="AD21" i="7"/>
  <c r="BT21" i="7" s="1"/>
  <c r="I81" i="11"/>
  <c r="L17" i="11"/>
  <c r="H104" i="11"/>
  <c r="I104" i="11" s="1"/>
  <c r="J104" i="11" s="1"/>
  <c r="L104" i="11" s="1"/>
  <c r="J137" i="11"/>
  <c r="L137" i="11" s="1"/>
  <c r="AD17" i="7"/>
  <c r="BT17" i="7" s="1"/>
  <c r="J141" i="11"/>
  <c r="L141" i="11" s="1"/>
  <c r="AE26" i="7"/>
  <c r="BU26" i="7" s="1"/>
  <c r="BU38" i="7" s="1"/>
  <c r="V35" i="7"/>
  <c r="AB35" i="7" s="1"/>
  <c r="BG35" i="7" s="1"/>
  <c r="V25" i="7"/>
  <c r="AB25" i="7" s="1"/>
  <c r="BG25" i="7" s="1"/>
  <c r="AP38" i="7"/>
  <c r="V28" i="7"/>
  <c r="AB28" i="7" s="1"/>
  <c r="BQ28" i="7" s="1"/>
  <c r="V29" i="7"/>
  <c r="AB29" i="7" s="1"/>
  <c r="BG29" i="7" s="1"/>
  <c r="J21" i="11"/>
  <c r="L21" i="11" s="1"/>
  <c r="AD28" i="7"/>
  <c r="BT28" i="7" s="1"/>
  <c r="J26" i="11"/>
  <c r="L26" i="11" s="1"/>
  <c r="J35" i="11"/>
  <c r="L35" i="11" s="1"/>
  <c r="L20" i="11"/>
  <c r="J27" i="11"/>
  <c r="L27" i="11" s="1"/>
  <c r="J32" i="11"/>
  <c r="L32" i="11" s="1"/>
  <c r="V52" i="7"/>
  <c r="AB52" i="7" s="1"/>
  <c r="BH23" i="7" s="1"/>
  <c r="J28" i="11"/>
  <c r="L28" i="11" s="1"/>
  <c r="J23" i="11"/>
  <c r="L23" i="11" s="1"/>
  <c r="L65" i="11"/>
  <c r="V23" i="7"/>
  <c r="AB23" i="7" s="1"/>
  <c r="BQ23" i="7" s="1"/>
  <c r="J24" i="11"/>
  <c r="L24" i="11" s="1"/>
  <c r="J34" i="11"/>
  <c r="L34" i="11" s="1"/>
  <c r="J77" i="11"/>
  <c r="L77" i="11" s="1"/>
  <c r="U62" i="7"/>
  <c r="H106" i="11"/>
  <c r="I106" i="11" s="1"/>
  <c r="J106" i="11" s="1"/>
  <c r="L106" i="11" s="1"/>
  <c r="BB32" i="7"/>
  <c r="J36" i="11"/>
  <c r="L36" i="11" s="1"/>
  <c r="J128" i="11"/>
  <c r="L128" i="11" s="1"/>
  <c r="V33" i="7"/>
  <c r="AB33" i="7" s="1"/>
  <c r="BG33" i="7" s="1"/>
  <c r="J30" i="11"/>
  <c r="L30" i="11" s="1"/>
  <c r="AW60" i="7"/>
  <c r="AZ60" i="7" s="1"/>
  <c r="BJ31" i="7" s="1"/>
  <c r="L135" i="11"/>
  <c r="J123" i="11"/>
  <c r="L123" i="11" s="1"/>
  <c r="BB62" i="7"/>
  <c r="AW62" i="7"/>
  <c r="AZ62" i="7" s="1"/>
  <c r="BJ33" i="7" s="1"/>
  <c r="J33" i="11"/>
  <c r="L33" i="11" s="1"/>
  <c r="H101" i="11"/>
  <c r="I101" i="11" s="1"/>
  <c r="J101" i="11" s="1"/>
  <c r="L101" i="11" s="1"/>
  <c r="H102" i="11"/>
  <c r="I102" i="11" s="1"/>
  <c r="J102" i="11" s="1"/>
  <c r="L102" i="11" s="1"/>
  <c r="H105" i="11"/>
  <c r="I105" i="11" s="1"/>
  <c r="J105" i="11" s="1"/>
  <c r="L105" i="11" s="1"/>
  <c r="J134" i="11"/>
  <c r="L134" i="11" s="1"/>
  <c r="L38" i="7"/>
  <c r="AD38" i="7" s="1"/>
  <c r="V30" i="7"/>
  <c r="AB30" i="7" s="1"/>
  <c r="BG30" i="7" s="1"/>
  <c r="J129" i="11"/>
  <c r="L129" i="11" s="1"/>
  <c r="J31" i="11"/>
  <c r="L31" i="11" s="1"/>
  <c r="J124" i="11"/>
  <c r="L124" i="11" s="1"/>
  <c r="V31" i="7"/>
  <c r="AB31" i="7" s="1"/>
  <c r="BG31" i="7" s="1"/>
  <c r="AW34" i="7"/>
  <c r="AZ34" i="7" s="1"/>
  <c r="BI34" i="7" s="1"/>
  <c r="F81" i="11"/>
  <c r="BB33" i="7"/>
  <c r="AW33" i="7"/>
  <c r="AZ33" i="7" s="1"/>
  <c r="L108" i="11"/>
  <c r="H95" i="11"/>
  <c r="I95" i="11" s="1"/>
  <c r="AV38" i="7"/>
  <c r="J138" i="11"/>
  <c r="L138" i="11" s="1"/>
  <c r="I37" i="11"/>
  <c r="J140" i="11"/>
  <c r="L140" i="11" s="1"/>
  <c r="J22" i="11"/>
  <c r="L22" i="11" s="1"/>
  <c r="K142" i="11"/>
  <c r="J133" i="11"/>
  <c r="L133" i="11" s="1"/>
  <c r="V37" i="7"/>
  <c r="AB37" i="7" s="1"/>
  <c r="BG37" i="7" s="1"/>
  <c r="BR27" i="7"/>
  <c r="BI27" i="7"/>
  <c r="BC35" i="7"/>
  <c r="BC38" i="7" s="1"/>
  <c r="AW35" i="7"/>
  <c r="AZ35" i="7" s="1"/>
  <c r="F37" i="11"/>
  <c r="J122" i="11"/>
  <c r="L122" i="11" s="1"/>
  <c r="AW65" i="7"/>
  <c r="AZ65" i="7" s="1"/>
  <c r="BJ36" i="7" s="1"/>
  <c r="BB65" i="7"/>
  <c r="BV38" i="7"/>
  <c r="J125" i="11"/>
  <c r="L125" i="11" s="1"/>
  <c r="BR22" i="7"/>
  <c r="BI22" i="7"/>
  <c r="J121" i="11"/>
  <c r="F142" i="11"/>
  <c r="U50" i="7"/>
  <c r="H94" i="11"/>
  <c r="I94" i="11" s="1"/>
  <c r="J94" i="11" s="1"/>
  <c r="L94" i="11" s="1"/>
  <c r="AW47" i="7"/>
  <c r="AZ47" i="7" s="1"/>
  <c r="BJ18" i="7" s="1"/>
  <c r="BB47" i="7"/>
  <c r="BI21" i="7"/>
  <c r="BR21" i="7"/>
  <c r="BI18" i="7"/>
  <c r="BR18" i="7"/>
  <c r="BB59" i="7"/>
  <c r="AW59" i="7"/>
  <c r="AZ59" i="7" s="1"/>
  <c r="BJ30" i="7" s="1"/>
  <c r="BI23" i="7"/>
  <c r="BR23" i="7"/>
  <c r="AW50" i="7"/>
  <c r="AZ50" i="7" s="1"/>
  <c r="BJ21" i="7" s="1"/>
  <c r="BB50" i="7"/>
  <c r="BD67" i="7"/>
  <c r="AW46" i="7"/>
  <c r="BB46" i="7"/>
  <c r="AP67" i="7"/>
  <c r="BI25" i="7"/>
  <c r="BR25" i="7"/>
  <c r="BI30" i="7"/>
  <c r="BR30" i="7"/>
  <c r="AE63" i="7"/>
  <c r="V63" i="7"/>
  <c r="AB63" i="7" s="1"/>
  <c r="BH34" i="7" s="1"/>
  <c r="BR26" i="7"/>
  <c r="BI26" i="7"/>
  <c r="BN26" i="7" s="1"/>
  <c r="V65" i="7"/>
  <c r="AB65" i="7" s="1"/>
  <c r="BH36" i="7" s="1"/>
  <c r="AD65" i="7"/>
  <c r="BR37" i="7"/>
  <c r="BI37" i="7"/>
  <c r="V19" i="7"/>
  <c r="AB19" i="7" s="1"/>
  <c r="AD19" i="7"/>
  <c r="BT19" i="7" s="1"/>
  <c r="AE61" i="7"/>
  <c r="V61" i="7"/>
  <c r="AB61" i="7" s="1"/>
  <c r="BH32" i="7" s="1"/>
  <c r="L51" i="7"/>
  <c r="E95" i="11"/>
  <c r="F95" i="11" s="1"/>
  <c r="I142" i="11"/>
  <c r="BR19" i="7"/>
  <c r="BI19" i="7"/>
  <c r="K111" i="11"/>
  <c r="L90" i="11"/>
  <c r="AD34" i="7"/>
  <c r="BT34" i="7" s="1"/>
  <c r="V34" i="7"/>
  <c r="AB34" i="7" s="1"/>
  <c r="AD54" i="7"/>
  <c r="J126" i="11"/>
  <c r="L126" i="11" s="1"/>
  <c r="J132" i="11"/>
  <c r="L132" i="11" s="1"/>
  <c r="BH17" i="7"/>
  <c r="J19" i="11"/>
  <c r="L19" i="11" s="1"/>
  <c r="BB58" i="7"/>
  <c r="AW58" i="7"/>
  <c r="AZ58" i="7" s="1"/>
  <c r="BJ29" i="7" s="1"/>
  <c r="AE60" i="7"/>
  <c r="V60" i="7"/>
  <c r="AB60" i="7" s="1"/>
  <c r="BH31" i="7" s="1"/>
  <c r="L29" i="11"/>
  <c r="BI28" i="7"/>
  <c r="BR28" i="7"/>
  <c r="BB57" i="7"/>
  <c r="AW57" i="7"/>
  <c r="AZ57" i="7" s="1"/>
  <c r="BJ28" i="7" s="1"/>
  <c r="V36" i="7"/>
  <c r="AB36" i="7" s="1"/>
  <c r="BC46" i="7"/>
  <c r="BC67" i="7" s="1"/>
  <c r="AV67" i="7"/>
  <c r="BR20" i="7"/>
  <c r="BI20" i="7"/>
  <c r="BR31" i="7"/>
  <c r="BI31" i="7"/>
  <c r="AE64" i="7"/>
  <c r="V64" i="7"/>
  <c r="AB64" i="7" s="1"/>
  <c r="BH35" i="7" s="1"/>
  <c r="AD32" i="7"/>
  <c r="BT32" i="7" s="1"/>
  <c r="V32" i="7"/>
  <c r="AB32" i="7" s="1"/>
  <c r="AE58" i="7"/>
  <c r="V58" i="7"/>
  <c r="AB58" i="7" s="1"/>
  <c r="BH29" i="7" s="1"/>
  <c r="AD24" i="7"/>
  <c r="BT24" i="7" s="1"/>
  <c r="V24" i="7"/>
  <c r="AB24" i="7" s="1"/>
  <c r="L60" i="11"/>
  <c r="BB64" i="7"/>
  <c r="AW64" i="7"/>
  <c r="AZ64" i="7" s="1"/>
  <c r="BJ35" i="7" s="1"/>
  <c r="BR36" i="7"/>
  <c r="BI36" i="7"/>
  <c r="V22" i="7"/>
  <c r="AB22" i="7" s="1"/>
  <c r="AD22" i="7"/>
  <c r="BT22" i="7" s="1"/>
  <c r="J139" i="11"/>
  <c r="L139" i="11" s="1"/>
  <c r="BB51" i="7"/>
  <c r="AW51" i="7"/>
  <c r="AZ51" i="7" s="1"/>
  <c r="BJ22" i="7" s="1"/>
  <c r="V20" i="7"/>
  <c r="AB20" i="7" s="1"/>
  <c r="AD20" i="7"/>
  <c r="BT20" i="7" s="1"/>
  <c r="AD27" i="7"/>
  <c r="BT27" i="7" s="1"/>
  <c r="V27" i="7"/>
  <c r="AB27" i="7" s="1"/>
  <c r="J92" i="11"/>
  <c r="J136" i="11"/>
  <c r="L136" i="11" s="1"/>
  <c r="BI32" i="7"/>
  <c r="BR32" i="7"/>
  <c r="BB54" i="7"/>
  <c r="AW54" i="7"/>
  <c r="AZ54" i="7" s="1"/>
  <c r="BJ25" i="7" s="1"/>
  <c r="AZ17" i="7"/>
  <c r="AW48" i="7"/>
  <c r="AZ48" i="7" s="1"/>
  <c r="BJ19" i="7" s="1"/>
  <c r="BB48" i="7"/>
  <c r="BQ21" i="7"/>
  <c r="BG21" i="7"/>
  <c r="U38" i="7"/>
  <c r="AE38" i="7" s="1"/>
  <c r="AE57" i="7"/>
  <c r="V57" i="7"/>
  <c r="AB57" i="7" s="1"/>
  <c r="BH28" i="7" s="1"/>
  <c r="AE48" i="7"/>
  <c r="V48" i="7"/>
  <c r="AW61" i="7"/>
  <c r="AZ61" i="7" s="1"/>
  <c r="BJ32" i="7" s="1"/>
  <c r="BB61" i="7"/>
  <c r="BG26" i="7"/>
  <c r="BQ26" i="7"/>
  <c r="BR24" i="7"/>
  <c r="BI24" i="7"/>
  <c r="BB53" i="7"/>
  <c r="AW53" i="7"/>
  <c r="AZ53" i="7" s="1"/>
  <c r="BJ24" i="7" s="1"/>
  <c r="L107" i="11"/>
  <c r="U54" i="7"/>
  <c r="AE54" i="7" s="1"/>
  <c r="H98" i="11"/>
  <c r="I98" i="11" s="1"/>
  <c r="J98" i="11" s="1"/>
  <c r="L98" i="11" s="1"/>
  <c r="K37" i="11"/>
  <c r="BB49" i="7"/>
  <c r="AW49" i="7"/>
  <c r="AZ49" i="7" s="1"/>
  <c r="BJ20" i="7" s="1"/>
  <c r="BR29" i="7"/>
  <c r="BI29" i="7"/>
  <c r="AB17" i="7"/>
  <c r="AW52" i="7"/>
  <c r="AZ52" i="7" s="1"/>
  <c r="BJ23" i="7" s="1"/>
  <c r="BB52" i="7"/>
  <c r="L16" i="11"/>
  <c r="J109" i="11"/>
  <c r="L109" i="11" s="1"/>
  <c r="BB63" i="7"/>
  <c r="AW63" i="7"/>
  <c r="AZ63" i="7" s="1"/>
  <c r="BJ34" i="7" s="1"/>
  <c r="BY38" i="7" l="1"/>
  <c r="BQ35" i="7"/>
  <c r="BG18" i="7"/>
  <c r="BK18" i="7" s="1"/>
  <c r="BQ29" i="7"/>
  <c r="BQ25" i="7"/>
  <c r="BB38" i="7"/>
  <c r="BG28" i="7"/>
  <c r="BM28" i="7" s="1"/>
  <c r="BG23" i="7"/>
  <c r="BL23" i="7" s="1"/>
  <c r="L81" i="11"/>
  <c r="J81" i="11"/>
  <c r="AE62" i="7"/>
  <c r="V62" i="7"/>
  <c r="AB62" i="7" s="1"/>
  <c r="BH33" i="7" s="1"/>
  <c r="BK33" i="7" s="1"/>
  <c r="BQ37" i="7"/>
  <c r="BQ33" i="7"/>
  <c r="BN31" i="7"/>
  <c r="BQ30" i="7"/>
  <c r="J37" i="11"/>
  <c r="BW28" i="7"/>
  <c r="BQ31" i="7"/>
  <c r="BW30" i="7"/>
  <c r="BT38" i="7"/>
  <c r="BR34" i="7"/>
  <c r="BW27" i="7"/>
  <c r="BN27" i="7"/>
  <c r="BR33" i="7"/>
  <c r="BI33" i="7"/>
  <c r="BW29" i="7"/>
  <c r="BN36" i="7"/>
  <c r="U67" i="7"/>
  <c r="AE67" i="7" s="1"/>
  <c r="AW38" i="7"/>
  <c r="BN28" i="7"/>
  <c r="BW31" i="7"/>
  <c r="BW23" i="7"/>
  <c r="BI35" i="7"/>
  <c r="BN35" i="7" s="1"/>
  <c r="BR35" i="7"/>
  <c r="I111" i="11"/>
  <c r="BG22" i="7"/>
  <c r="BQ22" i="7"/>
  <c r="J95" i="11"/>
  <c r="L95" i="11" s="1"/>
  <c r="F111" i="11"/>
  <c r="L37" i="11"/>
  <c r="L92" i="11"/>
  <c r="AD51" i="7"/>
  <c r="V51" i="7"/>
  <c r="AB51" i="7" s="1"/>
  <c r="BH22" i="7" s="1"/>
  <c r="BW22" i="7" s="1"/>
  <c r="L67" i="7"/>
  <c r="AD67" i="7" s="1"/>
  <c r="BN21" i="7"/>
  <c r="AB48" i="7"/>
  <c r="BQ27" i="7"/>
  <c r="BG27" i="7"/>
  <c r="BG32" i="7"/>
  <c r="BQ32" i="7"/>
  <c r="BK35" i="7"/>
  <c r="V54" i="7"/>
  <c r="AB54" i="7" s="1"/>
  <c r="BH25" i="7" s="1"/>
  <c r="BW25" i="7" s="1"/>
  <c r="BW32" i="7"/>
  <c r="BW34" i="7"/>
  <c r="BG36" i="7"/>
  <c r="BQ36" i="7"/>
  <c r="BN23" i="7"/>
  <c r="BQ17" i="7"/>
  <c r="AB38" i="7"/>
  <c r="BG17" i="7"/>
  <c r="BW24" i="7"/>
  <c r="BN24" i="7"/>
  <c r="BQ20" i="7"/>
  <c r="BG20" i="7"/>
  <c r="BQ19" i="7"/>
  <c r="BG19" i="7"/>
  <c r="BN30" i="7"/>
  <c r="V38" i="7"/>
  <c r="BN37" i="7"/>
  <c r="BW37" i="7"/>
  <c r="BK26" i="7"/>
  <c r="BO26" i="7" s="1"/>
  <c r="BL26" i="7"/>
  <c r="BM26" i="7"/>
  <c r="BQ34" i="7"/>
  <c r="BG34" i="7"/>
  <c r="BL29" i="7"/>
  <c r="BK29" i="7"/>
  <c r="BM29" i="7"/>
  <c r="AZ38" i="7"/>
  <c r="BR17" i="7"/>
  <c r="BI17" i="7"/>
  <c r="BN29" i="7"/>
  <c r="BN25" i="7"/>
  <c r="BW26" i="7"/>
  <c r="BN32" i="7"/>
  <c r="BN34" i="7"/>
  <c r="BM37" i="7"/>
  <c r="BL37" i="7"/>
  <c r="BK37" i="7"/>
  <c r="BN19" i="7"/>
  <c r="BK30" i="7"/>
  <c r="BM30" i="7"/>
  <c r="BL30" i="7"/>
  <c r="AE50" i="7"/>
  <c r="V50" i="7"/>
  <c r="AB50" i="7" s="1"/>
  <c r="BH21" i="7" s="1"/>
  <c r="BW21" i="7" s="1"/>
  <c r="BQ24" i="7"/>
  <c r="BG24" i="7"/>
  <c r="BB67" i="7"/>
  <c r="BL21" i="7"/>
  <c r="BW20" i="7"/>
  <c r="BN20" i="7"/>
  <c r="BL25" i="7"/>
  <c r="AZ46" i="7"/>
  <c r="AW67" i="7"/>
  <c r="L121" i="11"/>
  <c r="L142" i="11" s="1"/>
  <c r="J142" i="11"/>
  <c r="BL31" i="7"/>
  <c r="BM31" i="7"/>
  <c r="BK31" i="7"/>
  <c r="BW36" i="7"/>
  <c r="BW18" i="7"/>
  <c r="BN18" i="7"/>
  <c r="BN22" i="7"/>
  <c r="BM18" i="7" l="1"/>
  <c r="BL18" i="7"/>
  <c r="BK28" i="7"/>
  <c r="BO28" i="7" s="1"/>
  <c r="BL28" i="7"/>
  <c r="BK23" i="7"/>
  <c r="BO23" i="7" s="1"/>
  <c r="BM23" i="7"/>
  <c r="BM33" i="7"/>
  <c r="J111" i="11"/>
  <c r="BO31" i="7"/>
  <c r="BO18" i="7"/>
  <c r="BL33" i="7"/>
  <c r="BW35" i="7"/>
  <c r="BL35" i="7"/>
  <c r="BM35" i="7"/>
  <c r="BR38" i="7"/>
  <c r="BM25" i="7"/>
  <c r="BQ38" i="7"/>
  <c r="BO35" i="7"/>
  <c r="L111" i="11"/>
  <c r="BN33" i="7"/>
  <c r="BO33" i="7" s="1"/>
  <c r="BW33" i="7"/>
  <c r="BK21" i="7"/>
  <c r="BO21" i="7" s="1"/>
  <c r="BK25" i="7"/>
  <c r="BO25" i="7" s="1"/>
  <c r="BM17" i="7"/>
  <c r="BG38" i="7"/>
  <c r="BL17" i="7"/>
  <c r="BK17" i="7"/>
  <c r="BL24" i="7"/>
  <c r="BM24" i="7"/>
  <c r="BK24" i="7"/>
  <c r="BO24" i="7" s="1"/>
  <c r="BM34" i="7"/>
  <c r="BK34" i="7"/>
  <c r="BO34" i="7" s="1"/>
  <c r="BL34" i="7"/>
  <c r="BL32" i="7"/>
  <c r="BK32" i="7"/>
  <c r="BO32" i="7" s="1"/>
  <c r="BM32" i="7"/>
  <c r="BO30" i="7"/>
  <c r="BL27" i="7"/>
  <c r="BK27" i="7"/>
  <c r="BO27" i="7" s="1"/>
  <c r="BM27" i="7"/>
  <c r="BL19" i="7"/>
  <c r="BM36" i="7"/>
  <c r="BK36" i="7"/>
  <c r="BO36" i="7" s="1"/>
  <c r="BL36" i="7"/>
  <c r="BH19" i="7"/>
  <c r="BW19" i="7" s="1"/>
  <c r="AB67" i="7"/>
  <c r="BH38" i="7" s="1"/>
  <c r="BL22" i="7"/>
  <c r="BM22" i="7"/>
  <c r="BK22" i="7"/>
  <c r="BO22" i="7" s="1"/>
  <c r="AH39" i="7"/>
  <c r="V67" i="7"/>
  <c r="BO29" i="7"/>
  <c r="BM20" i="7"/>
  <c r="BK20" i="7"/>
  <c r="BO20" i="7" s="1"/>
  <c r="BL20" i="7"/>
  <c r="BM21" i="7"/>
  <c r="BI38" i="7"/>
  <c r="BO37" i="7"/>
  <c r="AZ67" i="7"/>
  <c r="BJ38" i="7" s="1"/>
  <c r="BJ17" i="7"/>
  <c r="BN17" i="7" s="1"/>
  <c r="BO17" i="7" l="1"/>
  <c r="BM19" i="7"/>
  <c r="BW17" i="7"/>
  <c r="BW38" i="7" s="1"/>
  <c r="BM38" i="7"/>
  <c r="BN38" i="7"/>
  <c r="BL38" i="7"/>
  <c r="BK38" i="7"/>
  <c r="BK19" i="7"/>
  <c r="BO19" i="7" s="1"/>
  <c r="BO38" i="7" l="1"/>
  <c r="BZ38" i="7" s="1"/>
  <c r="CB38" i="7" s="1"/>
  <c r="A262" i="11" s="1"/>
  <c r="A252" i="11" l="1"/>
</calcChain>
</file>

<file path=xl/sharedStrings.xml><?xml version="1.0" encoding="utf-8"?>
<sst xmlns="http://schemas.openxmlformats.org/spreadsheetml/2006/main" count="1020" uniqueCount="344">
  <si>
    <t>專利類型</t>
    <phoneticPr fontId="1" type="noConversion"/>
  </si>
  <si>
    <t>申請費</t>
    <phoneticPr fontId="1" type="noConversion"/>
  </si>
  <si>
    <t>台灣</t>
    <phoneticPr fontId="1" type="noConversion"/>
  </si>
  <si>
    <t>大陸</t>
    <phoneticPr fontId="1" type="noConversion"/>
  </si>
  <si>
    <t>美國</t>
    <phoneticPr fontId="1" type="noConversion"/>
  </si>
  <si>
    <t>歐洲</t>
    <phoneticPr fontId="1" type="noConversion"/>
  </si>
  <si>
    <t>日本</t>
    <phoneticPr fontId="1" type="noConversion"/>
  </si>
  <si>
    <t>韓國</t>
    <phoneticPr fontId="1" type="noConversion"/>
  </si>
  <si>
    <t>新加坡</t>
    <phoneticPr fontId="1" type="noConversion"/>
  </si>
  <si>
    <t>越南</t>
    <phoneticPr fontId="1" type="noConversion"/>
  </si>
  <si>
    <t>泰國</t>
    <phoneticPr fontId="1" type="noConversion"/>
  </si>
  <si>
    <t>馬來西亞</t>
    <phoneticPr fontId="1" type="noConversion"/>
  </si>
  <si>
    <t>發明</t>
    <phoneticPr fontId="1" type="noConversion"/>
  </si>
  <si>
    <t>幣別</t>
    <phoneticPr fontId="1" type="noConversion"/>
  </si>
  <si>
    <t>NTD</t>
    <phoneticPr fontId="1" type="noConversion"/>
  </si>
  <si>
    <t>CNY</t>
    <phoneticPr fontId="1" type="noConversion"/>
  </si>
  <si>
    <t>USD</t>
    <phoneticPr fontId="1" type="noConversion"/>
  </si>
  <si>
    <t>EUR</t>
    <phoneticPr fontId="1" type="noConversion"/>
  </si>
  <si>
    <t>JPY</t>
    <phoneticPr fontId="1" type="noConversion"/>
  </si>
  <si>
    <t>KRW</t>
    <phoneticPr fontId="1" type="noConversion"/>
  </si>
  <si>
    <t>SGD</t>
    <phoneticPr fontId="1" type="noConversion"/>
  </si>
  <si>
    <t>VND</t>
    <phoneticPr fontId="1" type="noConversion"/>
  </si>
  <si>
    <t>THB</t>
    <phoneticPr fontId="1" type="noConversion"/>
  </si>
  <si>
    <t>MYR</t>
    <phoneticPr fontId="1" type="noConversion"/>
  </si>
  <si>
    <t>基本費</t>
    <phoneticPr fontId="1" type="noConversion"/>
  </si>
  <si>
    <t>總請求項數</t>
    <phoneticPr fontId="1" type="noConversion"/>
  </si>
  <si>
    <t>獨立項數</t>
    <phoneticPr fontId="1" type="noConversion"/>
  </si>
  <si>
    <t>案件基本參數</t>
    <phoneticPr fontId="1" type="noConversion"/>
  </si>
  <si>
    <t>請求項費</t>
    <phoneticPr fontId="1" type="noConversion"/>
  </si>
  <si>
    <t>獨立項費</t>
    <phoneticPr fontId="1" type="noConversion"/>
  </si>
  <si>
    <t>超字費</t>
    <phoneticPr fontId="1" type="noConversion"/>
  </si>
  <si>
    <t>超圖費</t>
    <phoneticPr fontId="1" type="noConversion"/>
  </si>
  <si>
    <t>慧盈服務費細項</t>
    <phoneticPr fontId="1" type="noConversion"/>
  </si>
  <si>
    <t>翻譯費</t>
    <phoneticPr fontId="1" type="noConversion"/>
  </si>
  <si>
    <t>中文案字數</t>
    <phoneticPr fontId="1" type="noConversion"/>
  </si>
  <si>
    <t>英文案字數</t>
    <phoneticPr fontId="1" type="noConversion"/>
  </si>
  <si>
    <t>外國代理人費用
(A2)</t>
    <phoneticPr fontId="1" type="noConversion"/>
  </si>
  <si>
    <t>申請人規模</t>
    <phoneticPr fontId="1" type="noConversion"/>
  </si>
  <si>
    <t>申請人規模</t>
    <phoneticPr fontId="1" type="noConversion"/>
  </si>
  <si>
    <t>500人以上</t>
    <phoneticPr fontId="1" type="noConversion"/>
  </si>
  <si>
    <t>翻譯案</t>
    <phoneticPr fontId="4" type="noConversion"/>
  </si>
  <si>
    <t>單純送件</t>
    <phoneticPr fontId="1" type="noConversion"/>
  </si>
  <si>
    <t>加拿大</t>
    <phoneticPr fontId="1" type="noConversion"/>
  </si>
  <si>
    <t>CAD</t>
    <phoneticPr fontId="1" type="noConversion"/>
  </si>
  <si>
    <t>審查費</t>
    <phoneticPr fontId="1" type="noConversion"/>
  </si>
  <si>
    <t>製圖費</t>
    <phoneticPr fontId="1" type="noConversion"/>
  </si>
  <si>
    <t>特殊程序費</t>
    <phoneticPr fontId="1" type="noConversion"/>
  </si>
  <si>
    <t>折合台幣</t>
    <phoneticPr fontId="1" type="noConversion"/>
  </si>
  <si>
    <t>備註：</t>
    <phoneticPr fontId="1" type="noConversion"/>
  </si>
  <si>
    <t>新型</t>
    <phoneticPr fontId="1" type="noConversion"/>
  </si>
  <si>
    <t>合計</t>
    <phoneticPr fontId="1" type="noConversion"/>
  </si>
  <si>
    <t>初稿案</t>
    <phoneticPr fontId="4" type="noConversion"/>
  </si>
  <si>
    <t>是</t>
    <phoneticPr fontId="1" type="noConversion"/>
  </si>
  <si>
    <t>否</t>
    <phoneticPr fontId="1" type="noConversion"/>
  </si>
  <si>
    <t>同語言轉換案</t>
    <phoneticPr fontId="1" type="noConversion"/>
  </si>
  <si>
    <t>專利類型</t>
    <phoneticPr fontId="1" type="noConversion"/>
  </si>
  <si>
    <t>原幣別金額</t>
    <phoneticPr fontId="1" type="noConversion"/>
  </si>
  <si>
    <t>是否選項</t>
    <phoneticPr fontId="1" type="noConversion"/>
  </si>
  <si>
    <t>附圖張數</t>
    <phoneticPr fontId="1" type="noConversion"/>
  </si>
  <si>
    <r>
      <t>要提供估算結果給客戶時，先把</t>
    </r>
    <r>
      <rPr>
        <b/>
        <sz val="12"/>
        <color rgb="FF0000FF"/>
        <rFont val="新細明體"/>
        <family val="1"/>
        <charset val="136"/>
        <scheme val="minor"/>
      </rPr>
      <t>藍底色「</t>
    </r>
    <r>
      <rPr>
        <b/>
        <sz val="12"/>
        <color theme="1"/>
        <rFont val="新細明體"/>
        <family val="1"/>
        <charset val="136"/>
        <scheme val="minor"/>
      </rPr>
      <t>以外」的欄位都設「隱藏」，只留下</t>
    </r>
    <r>
      <rPr>
        <b/>
        <sz val="12"/>
        <color rgb="FF0000FF"/>
        <rFont val="新細明體"/>
        <family val="1"/>
        <charset val="136"/>
        <scheme val="minor"/>
      </rPr>
      <t>藍底色</t>
    </r>
    <r>
      <rPr>
        <b/>
        <sz val="12"/>
        <color theme="1"/>
        <rFont val="新細明體"/>
        <family val="1"/>
        <charset val="136"/>
        <scheme val="minor"/>
      </rPr>
      <t>的欄位後再copy到WORD或Email中給客戶。</t>
    </r>
    <phoneticPr fontId="1" type="noConversion"/>
  </si>
  <si>
    <t>官方費用
(A1)</t>
    <phoneticPr fontId="1" type="noConversion"/>
  </si>
  <si>
    <t>中小企業</t>
    <phoneticPr fontId="1" type="noConversion"/>
  </si>
  <si>
    <t>繪製申請費圓餅圖專用</t>
    <phoneticPr fontId="1" type="noConversion"/>
  </si>
  <si>
    <t>大企業</t>
    <phoneticPr fontId="1" type="noConversion"/>
  </si>
  <si>
    <t>學校</t>
    <phoneticPr fontId="1" type="noConversion"/>
  </si>
  <si>
    <t>自然人</t>
    <phoneticPr fontId="1" type="noConversion"/>
  </si>
  <si>
    <t>領證繳年費</t>
    <phoneticPr fontId="1" type="noConversion"/>
  </si>
  <si>
    <t>申請人屬性</t>
    <phoneticPr fontId="1" type="noConversion"/>
  </si>
  <si>
    <r>
      <t>下表是委託慧盈專利辦理各國「</t>
    </r>
    <r>
      <rPr>
        <b/>
        <sz val="12"/>
        <color rgb="FFCC00FF"/>
        <rFont val="新細明體"/>
        <family val="1"/>
        <charset val="136"/>
        <scheme val="minor"/>
      </rPr>
      <t>發明/新型專利</t>
    </r>
    <r>
      <rPr>
        <b/>
        <sz val="12"/>
        <color theme="1"/>
        <rFont val="新細明體"/>
        <family val="1"/>
        <charset val="136"/>
        <scheme val="minor"/>
      </rPr>
      <t>」申請案的預估費用。</t>
    </r>
    <r>
      <rPr>
        <b/>
        <sz val="12"/>
        <color rgb="FFFF0000"/>
        <rFont val="新細明體"/>
        <family val="1"/>
        <charset val="136"/>
        <scheme val="minor"/>
      </rPr>
      <t>紅色部份</t>
    </r>
    <r>
      <rPr>
        <b/>
        <sz val="12"/>
        <color theme="1"/>
        <rFont val="新細明體"/>
        <family val="1"/>
        <charset val="136"/>
        <scheme val="minor"/>
      </rPr>
      <t>是可自行調整的數字或選單，</t>
    </r>
    <r>
      <rPr>
        <b/>
        <sz val="12"/>
        <color rgb="FF0000FF"/>
        <rFont val="新細明體"/>
        <family val="1"/>
        <charset val="136"/>
        <scheme val="minor"/>
      </rPr>
      <t>藍色數字</t>
    </r>
    <r>
      <rPr>
        <b/>
        <sz val="12"/>
        <color theme="1"/>
        <rFont val="新細明體"/>
        <family val="1"/>
        <charset val="136"/>
        <scheme val="minor"/>
      </rPr>
      <t>是依照本所收費標準估算的金額。</t>
    </r>
    <phoneticPr fontId="1" type="noConversion"/>
  </si>
  <si>
    <t>申請人屬性</t>
    <phoneticPr fontId="1" type="noConversion"/>
  </si>
  <si>
    <t>計費類型1</t>
  </si>
  <si>
    <t>不申請</t>
    <phoneticPr fontId="4" type="noConversion"/>
  </si>
  <si>
    <t>計費類型(越)</t>
    <phoneticPr fontId="1" type="noConversion"/>
  </si>
  <si>
    <t>計費類型(日韓泰)</t>
    <phoneticPr fontId="1" type="noConversion"/>
  </si>
  <si>
    <t>計費類型(台中美歐新馬加)</t>
    <phoneticPr fontId="1" type="noConversion"/>
  </si>
  <si>
    <t>USD</t>
    <phoneticPr fontId="1" type="noConversion"/>
  </si>
  <si>
    <t>外國代理人費用(A2)</t>
    <phoneticPr fontId="1" type="noConversion"/>
  </si>
  <si>
    <t>官方費用(A1)</t>
    <phoneticPr fontId="1" type="noConversion"/>
  </si>
  <si>
    <t>計費類型(設計)</t>
    <phoneticPr fontId="1" type="noConversion"/>
  </si>
  <si>
    <t>申請</t>
    <phoneticPr fontId="4" type="noConversion"/>
  </si>
  <si>
    <t>人民幣(CNY)</t>
    <phoneticPr fontId="1" type="noConversion"/>
  </si>
  <si>
    <t>美元(USD)</t>
    <phoneticPr fontId="1" type="noConversion"/>
  </si>
  <si>
    <t>歐元(EUR)</t>
    <phoneticPr fontId="1" type="noConversion"/>
  </si>
  <si>
    <t>日圓(JPY)</t>
    <phoneticPr fontId="1" type="noConversion"/>
  </si>
  <si>
    <t>韓元(KRW)</t>
    <phoneticPr fontId="1" type="noConversion"/>
  </si>
  <si>
    <t>新加坡幣(SGD)</t>
    <phoneticPr fontId="1" type="noConversion"/>
  </si>
  <si>
    <t>越南幣(VND)</t>
    <phoneticPr fontId="1" type="noConversion"/>
  </si>
  <si>
    <t>泰幣(THB)</t>
    <phoneticPr fontId="1" type="noConversion"/>
  </si>
  <si>
    <t>馬來幣(MYR)</t>
    <phoneticPr fontId="1" type="noConversion"/>
  </si>
  <si>
    <t>加拿大幣(CAD)</t>
    <phoneticPr fontId="1" type="noConversion"/>
  </si>
  <si>
    <t>←影響美國案、加拿大案的官方費用</t>
    <phoneticPr fontId="1" type="noConversion"/>
  </si>
  <si>
    <t>←影響部分中文案的慧盈服務費</t>
    <phoneticPr fontId="1" type="noConversion"/>
  </si>
  <si>
    <t>←影響部分英文案的慧盈服務費，及部分地區案件的外國代理人費</t>
    <phoneticPr fontId="1" type="noConversion"/>
  </si>
  <si>
    <t>←影響部分地區案件的官方費用，和/或外國代理人費</t>
    <phoneticPr fontId="1" type="noConversion"/>
  </si>
  <si>
    <t>←影響許多地區案件的官方費用，及部分案件的外國代理人費</t>
    <phoneticPr fontId="1" type="noConversion"/>
  </si>
  <si>
    <t>「初稿案」之慧盈服務費</t>
    <phoneticPr fontId="1" type="noConversion"/>
  </si>
  <si>
    <t>繪製申請費與年費加總分析圖</t>
    <phoneticPr fontId="1" type="noConversion"/>
  </si>
  <si>
    <t>←影響部分案件的慧盈服務費、官方費用、或外國代理人費</t>
    <phoneticPr fontId="1" type="noConversion"/>
  </si>
  <si>
    <t>←影響台灣案在年費階段的官方費用，企業需符合經濟部的中小企業認定標準才能算「中小企業」</t>
    <phoneticPr fontId="1" type="noConversion"/>
  </si>
  <si>
    <t>台灣-發明</t>
    <phoneticPr fontId="1" type="noConversion"/>
  </si>
  <si>
    <t>台灣-新型</t>
    <phoneticPr fontId="1" type="noConversion"/>
  </si>
  <si>
    <t>大陸-發明</t>
    <phoneticPr fontId="1" type="noConversion"/>
  </si>
  <si>
    <t>大陸-新型</t>
    <phoneticPr fontId="1" type="noConversion"/>
  </si>
  <si>
    <t>日本-發明</t>
    <phoneticPr fontId="1" type="noConversion"/>
  </si>
  <si>
    <t>日本-新型</t>
    <phoneticPr fontId="1" type="noConversion"/>
  </si>
  <si>
    <t>韓國-發明</t>
    <phoneticPr fontId="1" type="noConversion"/>
  </si>
  <si>
    <t>韓國-新型</t>
    <phoneticPr fontId="1" type="noConversion"/>
  </si>
  <si>
    <t>越南-發明</t>
    <phoneticPr fontId="1" type="noConversion"/>
  </si>
  <si>
    <t>越南-新型</t>
    <phoneticPr fontId="1" type="noConversion"/>
  </si>
  <si>
    <t>泰國-發明</t>
    <phoneticPr fontId="1" type="noConversion"/>
  </si>
  <si>
    <t>泰國-新型</t>
    <phoneticPr fontId="1" type="noConversion"/>
  </si>
  <si>
    <t>馬來西亞-發明</t>
    <phoneticPr fontId="1" type="noConversion"/>
  </si>
  <si>
    <t>馬來西亞-新型</t>
    <phoneticPr fontId="1" type="noConversion"/>
  </si>
  <si>
    <t>計費類型(一案兩請之新型)</t>
    <phoneticPr fontId="1" type="noConversion"/>
  </si>
  <si>
    <t>申請地區</t>
    <phoneticPr fontId="1" type="noConversion"/>
  </si>
  <si>
    <t>申請地區</t>
    <phoneticPr fontId="1" type="noConversion"/>
  </si>
  <si>
    <t>申請地區</t>
    <phoneticPr fontId="1" type="noConversion"/>
  </si>
  <si>
    <r>
      <t>*</t>
    </r>
    <r>
      <rPr>
        <b/>
        <sz val="12"/>
        <color theme="1"/>
        <rFont val="新細明體"/>
        <family val="1"/>
        <charset val="136"/>
      </rPr>
      <t>「計費類型」跟「慧盈服務費」之計算方式有關，選擇方式如下：</t>
    </r>
    <phoneticPr fontId="1" type="noConversion"/>
  </si>
  <si>
    <r>
      <rPr>
        <b/>
        <sz val="12"/>
        <color theme="1"/>
        <rFont val="新細明體"/>
        <family val="1"/>
        <charset val="136"/>
      </rPr>
      <t>　　</t>
    </r>
    <r>
      <rPr>
        <b/>
        <sz val="12"/>
        <color theme="1"/>
        <rFont val="Times New Roman"/>
        <family val="1"/>
      </rPr>
      <t xml:space="preserve">1. </t>
    </r>
    <r>
      <rPr>
        <b/>
        <sz val="12"/>
        <color theme="1"/>
        <rFont val="新細明體"/>
        <family val="1"/>
        <charset val="136"/>
      </rPr>
      <t>選擇需要最先撰稿的案件作為「初稿案」，且「初稿案」的總數只要「一件」就好。</t>
    </r>
    <phoneticPr fontId="1" type="noConversion"/>
  </si>
  <si>
    <r>
      <rPr>
        <b/>
        <sz val="12"/>
        <color theme="1"/>
        <rFont val="新細明體"/>
        <family val="1"/>
        <charset val="136"/>
      </rPr>
      <t>　　</t>
    </r>
    <r>
      <rPr>
        <b/>
        <sz val="12"/>
        <color theme="1"/>
        <rFont val="Times New Roman"/>
        <family val="1"/>
      </rPr>
      <t xml:space="preserve">5. </t>
    </r>
    <r>
      <rPr>
        <b/>
        <sz val="12"/>
        <color theme="1"/>
        <rFont val="新細明體"/>
        <family val="1"/>
        <charset val="136"/>
      </rPr>
      <t>使用「中文」的地區：台灣、大陸；使用「英文」的地區：美國、歐洲、新加坡、馬來西亞、加拿大。</t>
    </r>
    <phoneticPr fontId="1" type="noConversion"/>
  </si>
  <si>
    <r>
      <rPr>
        <b/>
        <sz val="12"/>
        <color theme="1"/>
        <rFont val="新細明體"/>
        <family val="1"/>
        <charset val="136"/>
      </rPr>
      <t>　　</t>
    </r>
    <r>
      <rPr>
        <b/>
        <sz val="12"/>
        <color theme="1"/>
        <rFont val="Times New Roman"/>
        <family val="1"/>
      </rPr>
      <t xml:space="preserve">3. </t>
    </r>
    <r>
      <rPr>
        <b/>
        <sz val="12"/>
        <color theme="1"/>
        <rFont val="新細明體"/>
        <family val="1"/>
        <charset val="136"/>
      </rPr>
      <t>個別案件後續可能發生的核駁答辯費用，以及領取專利證書的費用。</t>
    </r>
    <phoneticPr fontId="1" type="noConversion"/>
  </si>
  <si>
    <r>
      <t>*</t>
    </r>
    <r>
      <rPr>
        <b/>
        <sz val="12"/>
        <color theme="1"/>
        <rFont val="新細明體"/>
        <family val="1"/>
        <charset val="136"/>
      </rPr>
      <t>歐洲案申請時「不」一併申請實審，等將來回覆檢索報告時再決定要不要申請實審。</t>
    </r>
    <phoneticPr fontId="1" type="noConversion"/>
  </si>
  <si>
    <r>
      <t>*</t>
    </r>
    <r>
      <rPr>
        <b/>
        <sz val="12"/>
        <color theme="1"/>
        <rFont val="新細明體"/>
        <family val="1"/>
        <charset val="136"/>
      </rPr>
      <t>日本案跟韓國案的翻譯費皆優先以英文稿字數估價，沒有英文稿時才用中文稿字數估價。</t>
    </r>
    <phoneticPr fontId="1" type="noConversion"/>
  </si>
  <si>
    <r>
      <t>*</t>
    </r>
    <r>
      <rPr>
        <b/>
        <sz val="12"/>
        <color theme="1"/>
        <rFont val="新細明體"/>
        <family val="1"/>
        <charset val="136"/>
      </rPr>
      <t>泰國案需等到案件公開之後才能申請實審。</t>
    </r>
    <phoneticPr fontId="1" type="noConversion"/>
  </si>
  <si>
    <r>
      <t>*</t>
    </r>
    <r>
      <rPr>
        <b/>
        <sz val="12"/>
        <color theme="1"/>
        <rFont val="新細明體"/>
        <family val="1"/>
        <charset val="136"/>
      </rPr>
      <t>「沒有」新型專利制度的地區：美國、新加坡、加拿大。</t>
    </r>
    <phoneticPr fontId="1" type="noConversion"/>
  </si>
  <si>
    <r>
      <t>*</t>
    </r>
    <r>
      <rPr>
        <b/>
        <sz val="12"/>
        <rFont val="新細明體"/>
        <family val="1"/>
        <charset val="136"/>
      </rPr>
      <t>泰國案申請前需要在台辦理委任書</t>
    </r>
    <r>
      <rPr>
        <b/>
        <sz val="12"/>
        <rFont val="Times New Roman"/>
        <family val="1"/>
      </rPr>
      <t>(POA)</t>
    </r>
    <r>
      <rPr>
        <b/>
        <sz val="12"/>
        <rFont val="新細明體"/>
        <family val="1"/>
        <charset val="136"/>
      </rPr>
      <t>的公證跟認證程序。</t>
    </r>
    <phoneticPr fontId="1" type="noConversion"/>
  </si>
  <si>
    <r>
      <t>*</t>
    </r>
    <r>
      <rPr>
        <b/>
        <sz val="12"/>
        <color theme="1"/>
        <rFont val="新細明體"/>
        <family val="1"/>
        <charset val="136"/>
      </rPr>
      <t>由於專利申請態樣的組合甚多，上表自動檢核各案之「計費類型」有無選擇錯誤的能力有限，若有疑問請與本所聯繫。</t>
    </r>
    <phoneticPr fontId="1" type="noConversion"/>
  </si>
  <si>
    <r>
      <t>*</t>
    </r>
    <r>
      <rPr>
        <b/>
        <sz val="12"/>
        <color rgb="FFFF0000"/>
        <rFont val="新細明體"/>
        <family val="1"/>
        <charset val="136"/>
      </rPr>
      <t>「允許」發明與新型一案兩請的地區：台灣、大陸、越南、馬來西亞。</t>
    </r>
    <phoneticPr fontId="1" type="noConversion"/>
  </si>
  <si>
    <r>
      <rPr>
        <b/>
        <sz val="12"/>
        <color rgb="FFFF0000"/>
        <rFont val="新細明體"/>
        <family val="1"/>
        <charset val="136"/>
      </rPr>
      <t>【公開版刪除此列】</t>
    </r>
  </si>
  <si>
    <t>　　2. 各地區官方或代理人因案件篇幅過長所收取的「超頁費」。</t>
  </si>
  <si>
    <r>
      <t>*</t>
    </r>
    <r>
      <rPr>
        <b/>
        <sz val="12"/>
        <color rgb="FFFF0000"/>
        <rFont val="新細明體"/>
        <family val="1"/>
        <charset val="136"/>
      </rPr>
      <t>「不允許」發明與新型一案兩請的地區：日本、韓國、泰國、印尼。</t>
    </r>
    <phoneticPr fontId="1" type="noConversion"/>
  </si>
  <si>
    <t>印尼</t>
    <phoneticPr fontId="1" type="noConversion"/>
  </si>
  <si>
    <t>印尼-發明</t>
    <phoneticPr fontId="1" type="noConversion"/>
  </si>
  <si>
    <t>印尼-新型</t>
    <phoneticPr fontId="1" type="noConversion"/>
  </si>
  <si>
    <r>
      <t>*</t>
    </r>
    <r>
      <rPr>
        <b/>
        <sz val="12"/>
        <color theme="1"/>
        <rFont val="新細明體"/>
        <family val="1"/>
        <charset val="136"/>
      </rPr>
      <t>越南案、泰國案、印尼案皆係以英文稿字數來估算代理人費用，若無申請其他地區的英文對應案，則另需額外翻譯費用。</t>
    </r>
    <phoneticPr fontId="1" type="noConversion"/>
  </si>
  <si>
    <r>
      <t>*</t>
    </r>
    <r>
      <rPr>
        <b/>
        <sz val="12"/>
        <color theme="1"/>
        <rFont val="新細明體"/>
        <family val="1"/>
        <charset val="136"/>
      </rPr>
      <t>「新型專利需要實審」的地區：韓國、越南、馬來西亞、印尼。</t>
    </r>
    <phoneticPr fontId="1" type="noConversion"/>
  </si>
  <si>
    <r>
      <rPr>
        <b/>
        <sz val="12"/>
        <color theme="1"/>
        <rFont val="新細明體"/>
        <family val="1"/>
        <charset val="136"/>
      </rPr>
      <t>　　</t>
    </r>
    <r>
      <rPr>
        <b/>
        <sz val="12"/>
        <color theme="1"/>
        <rFont val="Times New Roman"/>
        <family val="1"/>
      </rPr>
      <t xml:space="preserve">2. </t>
    </r>
    <r>
      <rPr>
        <b/>
        <sz val="12"/>
        <color theme="1"/>
        <rFont val="新細明體"/>
        <family val="1"/>
        <charset val="136"/>
      </rPr>
      <t>跟「初稿案」使用語言「相同」的其他案件，計費類型都選「同語言轉換案」即可，費用較優惠。</t>
    </r>
    <phoneticPr fontId="1" type="noConversion"/>
  </si>
  <si>
    <r>
      <rPr>
        <b/>
        <sz val="12"/>
        <color theme="1"/>
        <rFont val="新細明體"/>
        <family val="1"/>
        <charset val="136"/>
      </rPr>
      <t>　　</t>
    </r>
    <r>
      <rPr>
        <b/>
        <sz val="12"/>
        <color theme="1"/>
        <rFont val="Times New Roman"/>
        <family val="1"/>
      </rPr>
      <t xml:space="preserve">3. </t>
    </r>
    <r>
      <rPr>
        <b/>
        <sz val="12"/>
        <color theme="1"/>
        <rFont val="新細明體"/>
        <family val="1"/>
        <charset val="136"/>
      </rPr>
      <t>要提出申請、但跟「初稿案」使用語言「不同」的其他案件，每種語言的案件中要選「一件」作為「翻譯案」。</t>
    </r>
    <phoneticPr fontId="1" type="noConversion"/>
  </si>
  <si>
    <r>
      <rPr>
        <b/>
        <sz val="12"/>
        <color theme="1"/>
        <rFont val="新細明體"/>
        <family val="1"/>
        <charset val="136"/>
      </rPr>
      <t>　　</t>
    </r>
    <r>
      <rPr>
        <b/>
        <sz val="12"/>
        <color theme="1"/>
        <rFont val="Times New Roman"/>
        <family val="1"/>
      </rPr>
      <t xml:space="preserve">4. </t>
    </r>
    <r>
      <rPr>
        <b/>
        <sz val="12"/>
        <color theme="1"/>
        <rFont val="新細明體"/>
        <family val="1"/>
        <charset val="136"/>
      </rPr>
      <t>跟「翻譯案」使用語言「相同」的其他案件，計費類型都選「同語言轉換案」即可，費用較優惠。</t>
    </r>
    <phoneticPr fontId="1" type="noConversion"/>
  </si>
  <si>
    <r>
      <rPr>
        <b/>
        <sz val="12"/>
        <color theme="1"/>
        <rFont val="新細明體"/>
        <family val="1"/>
        <charset val="136"/>
      </rPr>
      <t>　　</t>
    </r>
    <r>
      <rPr>
        <b/>
        <sz val="12"/>
        <color theme="1"/>
        <rFont val="Times New Roman"/>
        <family val="1"/>
      </rPr>
      <t xml:space="preserve">1. </t>
    </r>
    <r>
      <rPr>
        <b/>
        <sz val="12"/>
        <color theme="1"/>
        <rFont val="新細明體"/>
        <family val="1"/>
        <charset val="136"/>
      </rPr>
      <t>個別案件之「主張優先權」、「申請優先權證」、「提呈</t>
    </r>
    <r>
      <rPr>
        <b/>
        <sz val="12"/>
        <color theme="1"/>
        <rFont val="Times New Roman"/>
        <family val="1"/>
      </rPr>
      <t>IDS</t>
    </r>
    <r>
      <rPr>
        <b/>
        <sz val="12"/>
        <color theme="1"/>
        <rFont val="新細明體"/>
        <family val="1"/>
        <charset val="136"/>
      </rPr>
      <t>」、「補正文件」等額外程序費用。</t>
    </r>
    <phoneticPr fontId="1" type="noConversion"/>
  </si>
  <si>
    <r>
      <t>*</t>
    </r>
    <r>
      <rPr>
        <b/>
        <sz val="12"/>
        <color theme="1"/>
        <rFont val="新細明體"/>
        <family val="1"/>
        <charset val="136"/>
      </rPr>
      <t>上表計算結果僅係送件申請的概估費用，並「不」包含以下費用：</t>
    </r>
    <phoneticPr fontId="1" type="noConversion"/>
  </si>
  <si>
    <t>計費項目</t>
    <phoneticPr fontId="1" type="noConversion"/>
  </si>
  <si>
    <t>官方費用</t>
    <phoneticPr fontId="1" type="noConversion"/>
  </si>
  <si>
    <t>外國代理人費</t>
    <phoneticPr fontId="1" type="noConversion"/>
  </si>
  <si>
    <t>慧盈服務費</t>
    <phoneticPr fontId="1" type="noConversion"/>
  </si>
  <si>
    <t>匯率基礎</t>
    <phoneticPr fontId="1" type="noConversion"/>
  </si>
  <si>
    <t>菲律賓</t>
    <phoneticPr fontId="1" type="noConversion"/>
  </si>
  <si>
    <t>設計類型</t>
    <phoneticPr fontId="1" type="noConversion"/>
  </si>
  <si>
    <t>1 = 圖像設計</t>
    <phoneticPr fontId="4" type="noConversion"/>
  </si>
  <si>
    <t>2 = 其他設計</t>
    <phoneticPr fontId="4" type="noConversion"/>
  </si>
  <si>
    <r>
      <rPr>
        <b/>
        <sz val="12"/>
        <color theme="1"/>
        <rFont val="標楷體"/>
        <family val="4"/>
        <charset val="136"/>
      </rPr>
      <t>案件基本參數</t>
    </r>
    <phoneticPr fontId="1" type="noConversion"/>
  </si>
  <si>
    <r>
      <rPr>
        <b/>
        <sz val="12"/>
        <color theme="1"/>
        <rFont val="標楷體"/>
        <family val="4"/>
        <charset val="136"/>
      </rPr>
      <t>計費項目</t>
    </r>
    <phoneticPr fontId="1" type="noConversion"/>
  </si>
  <si>
    <r>
      <rPr>
        <b/>
        <sz val="12"/>
        <color theme="1"/>
        <rFont val="標楷體"/>
        <family val="4"/>
        <charset val="136"/>
      </rPr>
      <t>匯率基礎</t>
    </r>
    <phoneticPr fontId="1" type="noConversion"/>
  </si>
  <si>
    <r>
      <t>(</t>
    </r>
    <r>
      <rPr>
        <b/>
        <sz val="10"/>
        <color rgb="FFFF0000"/>
        <rFont val="標楷體"/>
        <family val="4"/>
        <charset val="136"/>
      </rPr>
      <t>正常要全勾</t>
    </r>
    <r>
      <rPr>
        <b/>
        <sz val="10"/>
        <color rgb="FFFF0000"/>
        <rFont val="Times New Roman"/>
        <family val="1"/>
      </rPr>
      <t>)</t>
    </r>
    <phoneticPr fontId="1" type="noConversion"/>
  </si>
  <si>
    <r>
      <rPr>
        <b/>
        <sz val="12"/>
        <color theme="1"/>
        <rFont val="標楷體"/>
        <family val="4"/>
        <charset val="136"/>
      </rPr>
      <t>美元</t>
    </r>
    <r>
      <rPr>
        <b/>
        <sz val="12"/>
        <color theme="1"/>
        <rFont val="Times New Roman"/>
        <family val="1"/>
      </rPr>
      <t>(USD)</t>
    </r>
    <phoneticPr fontId="1" type="noConversion"/>
  </si>
  <si>
    <r>
      <rPr>
        <b/>
        <sz val="12"/>
        <color theme="1"/>
        <rFont val="標楷體"/>
        <family val="4"/>
        <charset val="136"/>
      </rPr>
      <t>人民幣</t>
    </r>
    <r>
      <rPr>
        <b/>
        <sz val="12"/>
        <color theme="1"/>
        <rFont val="Times New Roman"/>
        <family val="1"/>
      </rPr>
      <t>(CNY)</t>
    </r>
    <phoneticPr fontId="1" type="noConversion"/>
  </si>
  <si>
    <r>
      <rPr>
        <b/>
        <sz val="12"/>
        <color theme="1"/>
        <rFont val="標楷體"/>
        <family val="4"/>
        <charset val="136"/>
      </rPr>
      <t>歐元</t>
    </r>
    <r>
      <rPr>
        <b/>
        <sz val="12"/>
        <color theme="1"/>
        <rFont val="Times New Roman"/>
        <family val="1"/>
      </rPr>
      <t>(EUR)</t>
    </r>
    <phoneticPr fontId="1" type="noConversion"/>
  </si>
  <si>
    <r>
      <rPr>
        <b/>
        <sz val="12"/>
        <color theme="1"/>
        <rFont val="標楷體"/>
        <family val="4"/>
        <charset val="136"/>
      </rPr>
      <t>新加坡幣</t>
    </r>
    <r>
      <rPr>
        <b/>
        <sz val="12"/>
        <color theme="1"/>
        <rFont val="Times New Roman"/>
        <family val="1"/>
      </rPr>
      <t>(SGD)</t>
    </r>
    <phoneticPr fontId="1" type="noConversion"/>
  </si>
  <si>
    <r>
      <rPr>
        <b/>
        <sz val="12"/>
        <color theme="1"/>
        <rFont val="標楷體"/>
        <family val="4"/>
        <charset val="136"/>
      </rPr>
      <t>日圓</t>
    </r>
    <r>
      <rPr>
        <b/>
        <sz val="12"/>
        <color theme="1"/>
        <rFont val="Times New Roman"/>
        <family val="1"/>
      </rPr>
      <t>(JPY)</t>
    </r>
    <phoneticPr fontId="1" type="noConversion"/>
  </si>
  <si>
    <r>
      <rPr>
        <b/>
        <sz val="12"/>
        <color theme="1"/>
        <rFont val="標楷體"/>
        <family val="4"/>
        <charset val="136"/>
      </rPr>
      <t>越南幣</t>
    </r>
    <r>
      <rPr>
        <b/>
        <sz val="12"/>
        <color theme="1"/>
        <rFont val="Times New Roman"/>
        <family val="1"/>
      </rPr>
      <t>(VND)</t>
    </r>
    <phoneticPr fontId="1" type="noConversion"/>
  </si>
  <si>
    <r>
      <rPr>
        <b/>
        <sz val="12"/>
        <color theme="1"/>
        <rFont val="標楷體"/>
        <family val="4"/>
        <charset val="136"/>
      </rPr>
      <t>韓元</t>
    </r>
    <r>
      <rPr>
        <b/>
        <sz val="12"/>
        <color theme="1"/>
        <rFont val="Times New Roman"/>
        <family val="1"/>
      </rPr>
      <t>(KRW)</t>
    </r>
    <phoneticPr fontId="1" type="noConversion"/>
  </si>
  <si>
    <r>
      <rPr>
        <b/>
        <sz val="12"/>
        <color theme="1"/>
        <rFont val="標楷體"/>
        <family val="4"/>
        <charset val="136"/>
      </rPr>
      <t>馬來幣</t>
    </r>
    <r>
      <rPr>
        <b/>
        <sz val="12"/>
        <color theme="1"/>
        <rFont val="Times New Roman"/>
        <family val="1"/>
      </rPr>
      <t>(MYR)</t>
    </r>
    <phoneticPr fontId="1" type="noConversion"/>
  </si>
  <si>
    <r>
      <rPr>
        <b/>
        <sz val="12"/>
        <color theme="1"/>
        <rFont val="標楷體"/>
        <family val="4"/>
        <charset val="136"/>
      </rPr>
      <t>申請人規模</t>
    </r>
    <phoneticPr fontId="1" type="noConversion"/>
  </si>
  <si>
    <r>
      <rPr>
        <b/>
        <sz val="12"/>
        <color theme="1"/>
        <rFont val="標楷體"/>
        <family val="4"/>
        <charset val="136"/>
      </rPr>
      <t>泰幣</t>
    </r>
    <r>
      <rPr>
        <b/>
        <sz val="12"/>
        <color theme="1"/>
        <rFont val="Times New Roman"/>
        <family val="1"/>
      </rPr>
      <t>(THB)</t>
    </r>
    <phoneticPr fontId="1" type="noConversion"/>
  </si>
  <si>
    <r>
      <rPr>
        <b/>
        <sz val="12"/>
        <color theme="1"/>
        <rFont val="標楷體"/>
        <family val="4"/>
        <charset val="136"/>
      </rPr>
      <t>加拿大幣</t>
    </r>
    <r>
      <rPr>
        <b/>
        <sz val="12"/>
        <color theme="1"/>
        <rFont val="Times New Roman"/>
        <family val="1"/>
      </rPr>
      <t>(CAD)</t>
    </r>
    <phoneticPr fontId="1" type="noConversion"/>
  </si>
  <si>
    <r>
      <rPr>
        <b/>
        <sz val="12"/>
        <color theme="1"/>
        <rFont val="標楷體"/>
        <family val="4"/>
        <charset val="136"/>
      </rPr>
      <t>申請人屬性</t>
    </r>
    <phoneticPr fontId="1" type="noConversion"/>
  </si>
  <si>
    <r>
      <rPr>
        <b/>
        <sz val="12"/>
        <color theme="1"/>
        <rFont val="標楷體"/>
        <family val="4"/>
        <charset val="136"/>
      </rPr>
      <t>申請地區</t>
    </r>
    <phoneticPr fontId="1" type="noConversion"/>
  </si>
  <si>
    <r>
      <rPr>
        <b/>
        <sz val="12"/>
        <color theme="1"/>
        <rFont val="標楷體"/>
        <family val="4"/>
        <charset val="136"/>
      </rPr>
      <t xml:space="preserve">是否申請
</t>
    </r>
    <r>
      <rPr>
        <b/>
        <sz val="12"/>
        <color rgb="FFFF0000"/>
        <rFont val="Times New Roman"/>
        <family val="1"/>
      </rPr>
      <t>(</t>
    </r>
    <r>
      <rPr>
        <b/>
        <sz val="12"/>
        <color rgb="FFFF0000"/>
        <rFont val="標楷體"/>
        <family val="4"/>
        <charset val="136"/>
      </rPr>
      <t>請勾選</t>
    </r>
    <r>
      <rPr>
        <b/>
        <sz val="12"/>
        <color rgb="FFFF0000"/>
        <rFont val="Times New Roman"/>
        <family val="1"/>
      </rPr>
      <t>)</t>
    </r>
    <phoneticPr fontId="1" type="noConversion"/>
  </si>
  <si>
    <r>
      <rPr>
        <b/>
        <sz val="12"/>
        <color theme="1"/>
        <rFont val="標楷體"/>
        <family val="4"/>
        <charset val="136"/>
      </rPr>
      <t xml:space="preserve">官方費用
</t>
    </r>
    <r>
      <rPr>
        <b/>
        <sz val="12"/>
        <color theme="1"/>
        <rFont val="Times New Roman"/>
        <family val="1"/>
      </rPr>
      <t>(A1)</t>
    </r>
    <phoneticPr fontId="1" type="noConversion"/>
  </si>
  <si>
    <r>
      <rPr>
        <b/>
        <sz val="12"/>
        <color theme="1"/>
        <rFont val="標楷體"/>
        <family val="4"/>
        <charset val="136"/>
      </rPr>
      <t xml:space="preserve">外國代理人費用
</t>
    </r>
    <r>
      <rPr>
        <b/>
        <sz val="12"/>
        <color theme="1"/>
        <rFont val="Times New Roman"/>
        <family val="1"/>
      </rPr>
      <t>(A2)</t>
    </r>
    <phoneticPr fontId="1" type="noConversion"/>
  </si>
  <si>
    <r>
      <rPr>
        <b/>
        <sz val="12"/>
        <color theme="1"/>
        <rFont val="標楷體"/>
        <family val="4"/>
        <charset val="136"/>
      </rPr>
      <t>幣別</t>
    </r>
    <phoneticPr fontId="1" type="noConversion"/>
  </si>
  <si>
    <r>
      <rPr>
        <b/>
        <sz val="12"/>
        <color theme="1"/>
        <rFont val="標楷體"/>
        <family val="4"/>
        <charset val="136"/>
      </rPr>
      <t>原幣別金額</t>
    </r>
    <phoneticPr fontId="1" type="noConversion"/>
  </si>
  <si>
    <r>
      <rPr>
        <b/>
        <sz val="12"/>
        <color theme="1"/>
        <rFont val="標楷體"/>
        <family val="4"/>
        <charset val="136"/>
      </rPr>
      <t>折合台幣</t>
    </r>
    <phoneticPr fontId="1" type="noConversion"/>
  </si>
  <si>
    <r>
      <rPr>
        <b/>
        <sz val="12"/>
        <color theme="1"/>
        <rFont val="標楷體"/>
        <family val="4"/>
        <charset val="136"/>
      </rPr>
      <t>台灣</t>
    </r>
    <phoneticPr fontId="1" type="noConversion"/>
  </si>
  <si>
    <r>
      <rPr>
        <b/>
        <sz val="12"/>
        <color theme="1"/>
        <rFont val="標楷體"/>
        <family val="4"/>
        <charset val="136"/>
      </rPr>
      <t>大陸</t>
    </r>
    <phoneticPr fontId="1" type="noConversion"/>
  </si>
  <si>
    <r>
      <rPr>
        <b/>
        <sz val="12"/>
        <color theme="1"/>
        <rFont val="標楷體"/>
        <family val="4"/>
        <charset val="136"/>
      </rPr>
      <t>美國</t>
    </r>
    <phoneticPr fontId="1" type="noConversion"/>
  </si>
  <si>
    <r>
      <rPr>
        <b/>
        <sz val="12"/>
        <color theme="1"/>
        <rFont val="標楷體"/>
        <family val="4"/>
        <charset val="136"/>
      </rPr>
      <t>日本</t>
    </r>
    <phoneticPr fontId="1" type="noConversion"/>
  </si>
  <si>
    <r>
      <rPr>
        <b/>
        <sz val="12"/>
        <color theme="1"/>
        <rFont val="標楷體"/>
        <family val="4"/>
        <charset val="136"/>
      </rPr>
      <t>韓國</t>
    </r>
    <phoneticPr fontId="1" type="noConversion"/>
  </si>
  <si>
    <r>
      <rPr>
        <b/>
        <sz val="12"/>
        <color theme="1"/>
        <rFont val="標楷體"/>
        <family val="4"/>
        <charset val="136"/>
      </rPr>
      <t>新加坡</t>
    </r>
    <phoneticPr fontId="1" type="noConversion"/>
  </si>
  <si>
    <r>
      <rPr>
        <b/>
        <sz val="12"/>
        <color theme="1"/>
        <rFont val="標楷體"/>
        <family val="4"/>
        <charset val="136"/>
      </rPr>
      <t>越南</t>
    </r>
    <phoneticPr fontId="1" type="noConversion"/>
  </si>
  <si>
    <r>
      <rPr>
        <b/>
        <sz val="12"/>
        <color theme="1"/>
        <rFont val="標楷體"/>
        <family val="4"/>
        <charset val="136"/>
      </rPr>
      <t>泰國</t>
    </r>
    <phoneticPr fontId="1" type="noConversion"/>
  </si>
  <si>
    <r>
      <rPr>
        <b/>
        <sz val="12"/>
        <color theme="1"/>
        <rFont val="標楷體"/>
        <family val="4"/>
        <charset val="136"/>
      </rPr>
      <t>馬來西亞</t>
    </r>
    <phoneticPr fontId="1" type="noConversion"/>
  </si>
  <si>
    <r>
      <rPr>
        <b/>
        <sz val="12"/>
        <color theme="1"/>
        <rFont val="標楷體"/>
        <family val="4"/>
        <charset val="136"/>
      </rPr>
      <t>印尼</t>
    </r>
    <phoneticPr fontId="1" type="noConversion"/>
  </si>
  <si>
    <r>
      <rPr>
        <b/>
        <sz val="12"/>
        <color theme="1"/>
        <rFont val="標楷體"/>
        <family val="4"/>
        <charset val="136"/>
      </rPr>
      <t>合計</t>
    </r>
    <phoneticPr fontId="1" type="noConversion"/>
  </si>
  <si>
    <r>
      <rPr>
        <b/>
        <sz val="12"/>
        <color theme="1"/>
        <rFont val="標楷體"/>
        <family val="4"/>
        <charset val="136"/>
      </rPr>
      <t>以下為慧盈提供各地區「發明</t>
    </r>
    <r>
      <rPr>
        <b/>
        <sz val="12"/>
        <color theme="1"/>
        <rFont val="Times New Roman"/>
        <family val="1"/>
      </rPr>
      <t>/</t>
    </r>
    <r>
      <rPr>
        <b/>
        <sz val="12"/>
        <color theme="1"/>
        <rFont val="標楷體"/>
        <family val="4"/>
        <charset val="136"/>
      </rPr>
      <t>新型專利」申請服務之預估費用。</t>
    </r>
    <r>
      <rPr>
        <b/>
        <sz val="12"/>
        <color rgb="FFFF0000"/>
        <rFont val="標楷體"/>
        <family val="4"/>
        <charset val="136"/>
      </rPr>
      <t>紅色部份</t>
    </r>
    <r>
      <rPr>
        <b/>
        <sz val="12"/>
        <color theme="1"/>
        <rFont val="標楷體"/>
        <family val="4"/>
        <charset val="136"/>
      </rPr>
      <t>是您可自行調整的數字</t>
    </r>
    <r>
      <rPr>
        <b/>
        <sz val="12"/>
        <color theme="1"/>
        <rFont val="Times New Roman"/>
        <family val="1"/>
      </rPr>
      <t>/</t>
    </r>
    <r>
      <rPr>
        <b/>
        <sz val="12"/>
        <color theme="1"/>
        <rFont val="標楷體"/>
        <family val="4"/>
        <charset val="136"/>
      </rPr>
      <t>選項，</t>
    </r>
    <r>
      <rPr>
        <b/>
        <sz val="12"/>
        <color rgb="FF0000FF"/>
        <rFont val="標楷體"/>
        <family val="4"/>
        <charset val="136"/>
      </rPr>
      <t>藍色數字</t>
    </r>
    <r>
      <rPr>
        <b/>
        <sz val="12"/>
        <color theme="1"/>
        <rFont val="標楷體"/>
        <family val="4"/>
        <charset val="136"/>
      </rPr>
      <t>是依照收費標準估算的金額。</t>
    </r>
    <phoneticPr fontId="1" type="noConversion"/>
  </si>
  <si>
    <r>
      <rPr>
        <b/>
        <sz val="12"/>
        <color theme="1"/>
        <rFont val="標楷體"/>
        <family val="4"/>
        <charset val="136"/>
      </rPr>
      <t>中文案字數</t>
    </r>
    <phoneticPr fontId="1" type="noConversion"/>
  </si>
  <si>
    <r>
      <rPr>
        <b/>
        <sz val="12"/>
        <color theme="1"/>
        <rFont val="標楷體"/>
        <family val="4"/>
        <charset val="136"/>
      </rPr>
      <t>英文案字數</t>
    </r>
    <phoneticPr fontId="1" type="noConversion"/>
  </si>
  <si>
    <r>
      <rPr>
        <b/>
        <sz val="12"/>
        <color theme="1"/>
        <rFont val="標楷體"/>
        <family val="4"/>
        <charset val="136"/>
      </rPr>
      <t>總請求項數</t>
    </r>
    <phoneticPr fontId="1" type="noConversion"/>
  </si>
  <si>
    <r>
      <rPr>
        <b/>
        <sz val="12"/>
        <color theme="1"/>
        <rFont val="標楷體"/>
        <family val="4"/>
        <charset val="136"/>
      </rPr>
      <t>獨立項數</t>
    </r>
    <phoneticPr fontId="1" type="noConversion"/>
  </si>
  <si>
    <r>
      <rPr>
        <b/>
        <sz val="12"/>
        <color theme="1"/>
        <rFont val="標楷體"/>
        <family val="4"/>
        <charset val="136"/>
      </rPr>
      <t>附圖張數</t>
    </r>
    <phoneticPr fontId="1" type="noConversion"/>
  </si>
  <si>
    <r>
      <rPr>
        <b/>
        <sz val="12"/>
        <color theme="1"/>
        <rFont val="標楷體"/>
        <family val="4"/>
        <charset val="136"/>
      </rPr>
      <t>歐洲</t>
    </r>
    <phoneticPr fontId="1" type="noConversion"/>
  </si>
  <si>
    <r>
      <rPr>
        <b/>
        <sz val="12"/>
        <color theme="1"/>
        <rFont val="標楷體"/>
        <family val="4"/>
        <charset val="136"/>
      </rPr>
      <t>加拿大</t>
    </r>
    <phoneticPr fontId="1" type="noConversion"/>
  </si>
  <si>
    <t>中小企業</t>
  </si>
  <si>
    <t>小計</t>
    <phoneticPr fontId="1" type="noConversion"/>
  </si>
  <si>
    <t>類型</t>
    <phoneticPr fontId="1" type="noConversion"/>
  </si>
  <si>
    <t>繳費年數，領證會含第一次年費，所以年費不能從第1年起算</t>
    <phoneticPr fontId="1" type="noConversion"/>
  </si>
  <si>
    <t>各年度官費</t>
    <phoneticPr fontId="1" type="noConversion"/>
  </si>
  <si>
    <t>各年官費（領證費會包含「第一次年費」，所以「第一次年費」要填0，以避免重複計算）</t>
    <phoneticPr fontId="1" type="noConversion"/>
  </si>
  <si>
    <t>不同繳納年數之累計官費</t>
    <phoneticPr fontId="1" type="noConversion"/>
  </si>
  <si>
    <t>各年度國外代理人費</t>
    <phoneticPr fontId="1" type="noConversion"/>
  </si>
  <si>
    <t>各年度慧盈服務費</t>
    <phoneticPr fontId="1" type="noConversion"/>
  </si>
  <si>
    <t>累計國外代理人費</t>
    <phoneticPr fontId="1" type="noConversion"/>
  </si>
  <si>
    <t>累計慧盈服務費</t>
    <phoneticPr fontId="1" type="noConversion"/>
  </si>
  <si>
    <r>
      <t>第一部分：辦理各地區「</t>
    </r>
    <r>
      <rPr>
        <b/>
        <sz val="12"/>
        <color rgb="FFCC00FF"/>
        <rFont val="新細明體"/>
        <family val="1"/>
        <charset val="136"/>
        <scheme val="minor"/>
      </rPr>
      <t>發明/新型專利</t>
    </r>
    <r>
      <rPr>
        <b/>
        <sz val="12"/>
        <color theme="1"/>
        <rFont val="新細明體"/>
        <family val="1"/>
        <charset val="136"/>
        <scheme val="minor"/>
      </rPr>
      <t>」的「申請費用」：從撰稿到提交申請。</t>
    </r>
    <phoneticPr fontId="1" type="noConversion"/>
  </si>
  <si>
    <t>撰稿到提交申請階段</t>
    <phoneticPr fontId="1" type="noConversion"/>
  </si>
  <si>
    <t>領證階段（包含最基本的第一次年費）</t>
    <phoneticPr fontId="1" type="noConversion"/>
  </si>
  <si>
    <t>後續年費階段（不包含最基本的第一次年費）</t>
    <phoneticPr fontId="1" type="noConversion"/>
  </si>
  <si>
    <t>答辯階段</t>
    <phoneticPr fontId="1" type="noConversion"/>
  </si>
  <si>
    <t>「初稿案」之慧盈服務費在所有費用中的佔比：</t>
    <phoneticPr fontId="1" type="noConversion"/>
  </si>
  <si>
    <t>繪製答辯費圓餅圖專用</t>
    <phoneticPr fontId="1" type="noConversion"/>
  </si>
  <si>
    <t>繪製領證費圓餅圖專用</t>
    <phoneticPr fontId="1" type="noConversion"/>
  </si>
  <si>
    <t>繪製後續年費圓餅圖專用</t>
    <phoneticPr fontId="1" type="noConversion"/>
  </si>
  <si>
    <t>答辯費</t>
    <phoneticPr fontId="1" type="noConversion"/>
  </si>
  <si>
    <t>OA通知費</t>
    <phoneticPr fontId="1" type="noConversion"/>
  </si>
  <si>
    <t>公開費</t>
    <phoneticPr fontId="1" type="noConversion"/>
  </si>
  <si>
    <t>實審費</t>
    <phoneticPr fontId="1" type="noConversion"/>
  </si>
  <si>
    <t>指定國費</t>
    <phoneticPr fontId="1" type="noConversion"/>
  </si>
  <si>
    <t>第二部分：辦理各地區「發明/新型專利」的「領證費用（包含最基本的第一次年費）」。</t>
    <phoneticPr fontId="1" type="noConversion"/>
  </si>
  <si>
    <t>修正費</t>
    <phoneticPr fontId="1" type="noConversion"/>
  </si>
  <si>
    <t>後續年費</t>
    <phoneticPr fontId="1" type="noConversion"/>
  </si>
  <si>
    <t>領證費</t>
    <phoneticPr fontId="1" type="noConversion"/>
  </si>
  <si>
    <t>階段費用</t>
    <phoneticPr fontId="1" type="noConversion"/>
  </si>
  <si>
    <t>最大年限</t>
    <phoneticPr fontId="1" type="noConversion"/>
  </si>
  <si>
    <t>二、委託慧盈辦理專利領證程序的「領證費」（包含最基本的第一次年費）：</t>
    <phoneticPr fontId="1" type="noConversion"/>
  </si>
  <si>
    <r>
      <rPr>
        <b/>
        <sz val="12"/>
        <color theme="1"/>
        <rFont val="標楷體"/>
        <family val="4"/>
        <charset val="136"/>
      </rPr>
      <t xml:space="preserve">總代墊費用
</t>
    </r>
    <r>
      <rPr>
        <b/>
        <sz val="12"/>
        <color theme="1"/>
        <rFont val="Times New Roman"/>
        <family val="1"/>
      </rPr>
      <t>(A1+A2)</t>
    </r>
    <phoneticPr fontId="1" type="noConversion"/>
  </si>
  <si>
    <r>
      <rPr>
        <b/>
        <sz val="12"/>
        <color theme="1"/>
        <rFont val="標楷體"/>
        <family val="4"/>
        <charset val="136"/>
      </rPr>
      <t xml:space="preserve">慧盈服務費
</t>
    </r>
    <r>
      <rPr>
        <b/>
        <sz val="12"/>
        <color theme="1"/>
        <rFont val="Times New Roman"/>
        <family val="1"/>
      </rPr>
      <t>(A3)
(NTD)</t>
    </r>
    <phoneticPr fontId="1" type="noConversion"/>
  </si>
  <si>
    <r>
      <rPr>
        <b/>
        <sz val="12"/>
        <color theme="1"/>
        <rFont val="標楷體"/>
        <family val="4"/>
        <charset val="136"/>
      </rPr>
      <t xml:space="preserve">專利申請費用
小計
</t>
    </r>
    <r>
      <rPr>
        <b/>
        <sz val="12"/>
        <color theme="1"/>
        <rFont val="Times New Roman"/>
        <family val="1"/>
      </rPr>
      <t>(A = A1+A2+A3)</t>
    </r>
    <phoneticPr fontId="1" type="noConversion"/>
  </si>
  <si>
    <r>
      <rPr>
        <b/>
        <sz val="12"/>
        <color theme="1"/>
        <rFont val="標楷體"/>
        <family val="4"/>
        <charset val="136"/>
      </rPr>
      <t xml:space="preserve">官方費用
</t>
    </r>
    <r>
      <rPr>
        <b/>
        <sz val="12"/>
        <color theme="1"/>
        <rFont val="Times New Roman"/>
        <family val="1"/>
      </rPr>
      <t>(M1)</t>
    </r>
    <phoneticPr fontId="1" type="noConversion"/>
  </si>
  <si>
    <r>
      <rPr>
        <b/>
        <sz val="12"/>
        <color theme="1"/>
        <rFont val="標楷體"/>
        <family val="4"/>
        <charset val="136"/>
      </rPr>
      <t xml:space="preserve">外國代理人費用
</t>
    </r>
    <r>
      <rPr>
        <b/>
        <sz val="12"/>
        <color theme="1"/>
        <rFont val="Times New Roman"/>
        <family val="1"/>
      </rPr>
      <t>(M2)</t>
    </r>
    <phoneticPr fontId="1" type="noConversion"/>
  </si>
  <si>
    <r>
      <rPr>
        <b/>
        <sz val="12"/>
        <color theme="1"/>
        <rFont val="標楷體"/>
        <family val="4"/>
        <charset val="136"/>
      </rPr>
      <t xml:space="preserve">總代墊費用
</t>
    </r>
    <r>
      <rPr>
        <b/>
        <sz val="12"/>
        <color theme="1"/>
        <rFont val="Times New Roman"/>
        <family val="1"/>
      </rPr>
      <t>(M1+M2)</t>
    </r>
    <phoneticPr fontId="1" type="noConversion"/>
  </si>
  <si>
    <r>
      <rPr>
        <b/>
        <sz val="12"/>
        <color theme="1"/>
        <rFont val="標楷體"/>
        <family val="4"/>
        <charset val="136"/>
      </rPr>
      <t xml:space="preserve">慧盈服務費
</t>
    </r>
    <r>
      <rPr>
        <b/>
        <sz val="12"/>
        <color theme="1"/>
        <rFont val="Times New Roman"/>
        <family val="1"/>
      </rPr>
      <t>(M3)
(NTD)</t>
    </r>
    <phoneticPr fontId="1" type="noConversion"/>
  </si>
  <si>
    <r>
      <rPr>
        <b/>
        <sz val="12"/>
        <color theme="1"/>
        <rFont val="標楷體"/>
        <family val="4"/>
        <charset val="136"/>
      </rPr>
      <t xml:space="preserve">專利後續年費
小計
</t>
    </r>
    <r>
      <rPr>
        <b/>
        <sz val="12"/>
        <color theme="1"/>
        <rFont val="Times New Roman"/>
        <family val="1"/>
      </rPr>
      <t>(M = M1+M2+M3)</t>
    </r>
    <phoneticPr fontId="1" type="noConversion"/>
  </si>
  <si>
    <r>
      <rPr>
        <b/>
        <sz val="12"/>
        <color theme="1"/>
        <rFont val="標楷體"/>
        <family val="4"/>
        <charset val="136"/>
      </rPr>
      <t xml:space="preserve">官方費用
</t>
    </r>
    <r>
      <rPr>
        <b/>
        <sz val="12"/>
        <color theme="1"/>
        <rFont val="Times New Roman"/>
        <family val="1"/>
      </rPr>
      <t>(R1)</t>
    </r>
    <phoneticPr fontId="1" type="noConversion"/>
  </si>
  <si>
    <r>
      <rPr>
        <b/>
        <sz val="12"/>
        <color theme="1"/>
        <rFont val="標楷體"/>
        <family val="4"/>
        <charset val="136"/>
      </rPr>
      <t xml:space="preserve">外國代理人費用
</t>
    </r>
    <r>
      <rPr>
        <b/>
        <sz val="12"/>
        <color theme="1"/>
        <rFont val="Times New Roman"/>
        <family val="1"/>
      </rPr>
      <t>(R2)</t>
    </r>
    <phoneticPr fontId="1" type="noConversion"/>
  </si>
  <si>
    <r>
      <rPr>
        <b/>
        <sz val="12"/>
        <color theme="1"/>
        <rFont val="標楷體"/>
        <family val="4"/>
        <charset val="136"/>
      </rPr>
      <t xml:space="preserve">總代墊費用
</t>
    </r>
    <r>
      <rPr>
        <b/>
        <sz val="12"/>
        <color theme="1"/>
        <rFont val="Times New Roman"/>
        <family val="1"/>
      </rPr>
      <t>(R1+R2)</t>
    </r>
    <phoneticPr fontId="1" type="noConversion"/>
  </si>
  <si>
    <r>
      <rPr>
        <b/>
        <sz val="12"/>
        <color theme="1"/>
        <rFont val="標楷體"/>
        <family val="4"/>
        <charset val="136"/>
      </rPr>
      <t xml:space="preserve">慧盈服務費
</t>
    </r>
    <r>
      <rPr>
        <b/>
        <sz val="12"/>
        <color theme="1"/>
        <rFont val="Times New Roman"/>
        <family val="1"/>
      </rPr>
      <t>(R3)
(NTD)</t>
    </r>
    <phoneticPr fontId="1" type="noConversion"/>
  </si>
  <si>
    <r>
      <rPr>
        <b/>
        <sz val="12"/>
        <color theme="1"/>
        <rFont val="標楷體"/>
        <family val="4"/>
        <charset val="136"/>
      </rPr>
      <t xml:space="preserve">專利答辯費用
小計
</t>
    </r>
    <r>
      <rPr>
        <b/>
        <sz val="12"/>
        <color theme="1"/>
        <rFont val="Times New Roman"/>
        <family val="1"/>
      </rPr>
      <t>(R = R1+R2+R3)</t>
    </r>
    <phoneticPr fontId="1" type="noConversion"/>
  </si>
  <si>
    <t>總代墊費用
(A1+A2)</t>
    <phoneticPr fontId="1" type="noConversion"/>
  </si>
  <si>
    <t>慧盈服務費
(A3)
(NTD)</t>
    <phoneticPr fontId="1" type="noConversion"/>
  </si>
  <si>
    <t>專利申請費用小計
(A = A1+A2+A3)
(NTD)</t>
    <phoneticPr fontId="1" type="noConversion"/>
  </si>
  <si>
    <t>慧盈服務費(A3)</t>
    <phoneticPr fontId="1" type="noConversion"/>
  </si>
  <si>
    <t>專利申請費用(A)</t>
    <phoneticPr fontId="1" type="noConversion"/>
  </si>
  <si>
    <t>官方費用
(R1)</t>
    <phoneticPr fontId="1" type="noConversion"/>
  </si>
  <si>
    <t>外國代理人費用
(R2)</t>
    <phoneticPr fontId="1" type="noConversion"/>
  </si>
  <si>
    <t>總代墊費用
(R1+R2)</t>
    <phoneticPr fontId="1" type="noConversion"/>
  </si>
  <si>
    <t>慧盈服務費
(R3)
(NTD)</t>
    <phoneticPr fontId="1" type="noConversion"/>
  </si>
  <si>
    <t>專利答辯費用小計
(R = R1+R2+R3)
(NTD)</t>
    <phoneticPr fontId="1" type="noConversion"/>
  </si>
  <si>
    <t>官方費用(R1)</t>
    <phoneticPr fontId="1" type="noConversion"/>
  </si>
  <si>
    <t>外國代理人費用(R2)</t>
    <phoneticPr fontId="1" type="noConversion"/>
  </si>
  <si>
    <t>慧盈服務費(R3)</t>
    <phoneticPr fontId="1" type="noConversion"/>
  </si>
  <si>
    <t>官方費用
(M1)</t>
    <phoneticPr fontId="1" type="noConversion"/>
  </si>
  <si>
    <t>外國代理人費用
(M2)</t>
    <phoneticPr fontId="1" type="noConversion"/>
  </si>
  <si>
    <t>總代墊費用
(M1+M2)</t>
    <phoneticPr fontId="1" type="noConversion"/>
  </si>
  <si>
    <t>慧盈服務費
(M3)
(NTD)</t>
    <phoneticPr fontId="1" type="noConversion"/>
  </si>
  <si>
    <t>專利後續維護費用小計
(M = M1+M2+M3)
(NTD)</t>
    <phoneticPr fontId="1" type="noConversion"/>
  </si>
  <si>
    <t>官方費用(M1)</t>
    <phoneticPr fontId="1" type="noConversion"/>
  </si>
  <si>
    <t>外國代理人費用(M2)</t>
    <phoneticPr fontId="1" type="noConversion"/>
  </si>
  <si>
    <t>慧盈服務費(M3)</t>
    <phoneticPr fontId="1" type="noConversion"/>
  </si>
  <si>
    <t>申請＋答辯一條、領證＋年費一條</t>
    <phoneticPr fontId="1" type="noConversion"/>
  </si>
  <si>
    <t>申請費用(A)</t>
    <phoneticPr fontId="1" type="noConversion"/>
  </si>
  <si>
    <t>答辯費用(R)</t>
    <phoneticPr fontId="1" type="noConversion"/>
  </si>
  <si>
    <t>後續年費(M)</t>
    <phoneticPr fontId="1" type="noConversion"/>
  </si>
  <si>
    <t>申請+答辯費用(A+R)</t>
    <phoneticPr fontId="1" type="noConversion"/>
  </si>
  <si>
    <t>繪製各國（申請+答辯費）與（領證＋年費）長條圖</t>
    <phoneticPr fontId="1" type="noConversion"/>
  </si>
  <si>
    <t>「初稿案」申請服務費(F)</t>
    <phoneticPr fontId="1" type="noConversion"/>
  </si>
  <si>
    <t>繪製初稿費與總成本之比較橫條圖</t>
    <phoneticPr fontId="1" type="noConversion"/>
  </si>
  <si>
    <t>繪製申請費與其他費用加總分析子母圖</t>
    <phoneticPr fontId="1" type="noConversion"/>
  </si>
  <si>
    <t>計算初稿費佔總成本之比例</t>
    <phoneticPr fontId="1" type="noConversion"/>
  </si>
  <si>
    <t>一、委託慧盈辦理「發明/新型專利」從撰稿到提交申請階段的預估「申請費」：</t>
    <phoneticPr fontId="1" type="noConversion"/>
  </si>
  <si>
    <r>
      <t>第四部分：辦理各地區「發明/新型專利」的「後續年費費用（不包含最基本的第一次年費）」，</t>
    </r>
    <r>
      <rPr>
        <b/>
        <sz val="12"/>
        <color rgb="FFFF0000"/>
        <rFont val="新細明體"/>
        <family val="1"/>
        <charset val="136"/>
        <scheme val="minor"/>
      </rPr>
      <t>連動「年費繳納年數」下拉選單</t>
    </r>
    <phoneticPr fontId="1" type="noConversion"/>
  </si>
  <si>
    <r>
      <t>第三部分：辦理各地區「</t>
    </r>
    <r>
      <rPr>
        <b/>
        <sz val="12"/>
        <color rgb="FFCC00FF"/>
        <rFont val="新細明體"/>
        <family val="1"/>
        <charset val="136"/>
        <scheme val="minor"/>
      </rPr>
      <t>發明/新型專利</t>
    </r>
    <r>
      <rPr>
        <b/>
        <sz val="12"/>
        <color theme="1"/>
        <rFont val="新細明體"/>
        <family val="1"/>
        <charset val="136"/>
        <scheme val="minor"/>
      </rPr>
      <t>」的「一次答辯費用」：估多次會牽涉到RCE、再審查等額外官費，太複雜。</t>
    </r>
    <phoneticPr fontId="1" type="noConversion"/>
  </si>
  <si>
    <r>
      <rPr>
        <b/>
        <sz val="12"/>
        <color theme="1"/>
        <rFont val="標楷體"/>
        <family val="4"/>
        <charset val="136"/>
      </rPr>
      <t xml:space="preserve">官方費用
</t>
    </r>
    <r>
      <rPr>
        <b/>
        <sz val="12"/>
        <color theme="1"/>
        <rFont val="Times New Roman"/>
        <family val="1"/>
      </rPr>
      <t>(C1)</t>
    </r>
    <phoneticPr fontId="1" type="noConversion"/>
  </si>
  <si>
    <r>
      <rPr>
        <b/>
        <sz val="12"/>
        <color theme="1"/>
        <rFont val="標楷體"/>
        <family val="4"/>
        <charset val="136"/>
      </rPr>
      <t xml:space="preserve">外國代理人費用
</t>
    </r>
    <r>
      <rPr>
        <b/>
        <sz val="12"/>
        <color theme="1"/>
        <rFont val="Times New Roman"/>
        <family val="1"/>
      </rPr>
      <t>(C2)</t>
    </r>
    <phoneticPr fontId="1" type="noConversion"/>
  </si>
  <si>
    <r>
      <rPr>
        <b/>
        <sz val="12"/>
        <color theme="1"/>
        <rFont val="標楷體"/>
        <family val="4"/>
        <charset val="136"/>
      </rPr>
      <t xml:space="preserve">總代墊費用
</t>
    </r>
    <r>
      <rPr>
        <b/>
        <sz val="12"/>
        <color theme="1"/>
        <rFont val="Times New Roman"/>
        <family val="1"/>
      </rPr>
      <t>(C1+C2)</t>
    </r>
    <phoneticPr fontId="1" type="noConversion"/>
  </si>
  <si>
    <r>
      <rPr>
        <b/>
        <sz val="12"/>
        <color theme="1"/>
        <rFont val="標楷體"/>
        <family val="4"/>
        <charset val="136"/>
      </rPr>
      <t xml:space="preserve">慧盈服務費
</t>
    </r>
    <r>
      <rPr>
        <b/>
        <sz val="12"/>
        <color theme="1"/>
        <rFont val="Times New Roman"/>
        <family val="1"/>
      </rPr>
      <t>(C3)
(NTD)</t>
    </r>
    <phoneticPr fontId="1" type="noConversion"/>
  </si>
  <si>
    <r>
      <rPr>
        <b/>
        <sz val="12"/>
        <color theme="1"/>
        <rFont val="標楷體"/>
        <family val="4"/>
        <charset val="136"/>
      </rPr>
      <t>專利領證費用
小計</t>
    </r>
    <r>
      <rPr>
        <b/>
        <sz val="12"/>
        <color theme="1"/>
        <rFont val="Times New Roman"/>
        <family val="4"/>
      </rPr>
      <t xml:space="preserve">
</t>
    </r>
    <r>
      <rPr>
        <b/>
        <sz val="12"/>
        <color theme="1"/>
        <rFont val="Times New Roman"/>
        <family val="1"/>
      </rPr>
      <t>(C = C1+C2+C3)</t>
    </r>
    <phoneticPr fontId="1" type="noConversion"/>
  </si>
  <si>
    <t>官方費用
(C1)</t>
    <phoneticPr fontId="1" type="noConversion"/>
  </si>
  <si>
    <t>外國代理人費用
(C2)</t>
    <phoneticPr fontId="1" type="noConversion"/>
  </si>
  <si>
    <t>總代墊費用
(C1+C2)</t>
    <phoneticPr fontId="1" type="noConversion"/>
  </si>
  <si>
    <t>慧盈服務費
(C3)
(NTD)</t>
    <phoneticPr fontId="1" type="noConversion"/>
  </si>
  <si>
    <t>專利領證費用小計
(C = C1+C2+C3)
(NTD)</t>
    <phoneticPr fontId="1" type="noConversion"/>
  </si>
  <si>
    <t>官方費用(C1)</t>
    <phoneticPr fontId="1" type="noConversion"/>
  </si>
  <si>
    <t>外國代理人費用(C2)</t>
    <phoneticPr fontId="1" type="noConversion"/>
  </si>
  <si>
    <t>慧盈服務費(C3)</t>
    <phoneticPr fontId="1" type="noConversion"/>
  </si>
  <si>
    <t>領證費用(C)</t>
    <phoneticPr fontId="1" type="noConversion"/>
  </si>
  <si>
    <t>申請+領證費用(A+C)</t>
    <phoneticPr fontId="1" type="noConversion"/>
  </si>
  <si>
    <t>申請+答辯+領證費(A+R+C)</t>
    <phoneticPr fontId="1" type="noConversion"/>
  </si>
  <si>
    <t>專利布局總成本(T = A+C+R+M)</t>
    <phoneticPr fontId="1" type="noConversion"/>
  </si>
  <si>
    <t>專利領證費用(C)</t>
    <phoneticPr fontId="1" type="noConversion"/>
  </si>
  <si>
    <t>領證+答辯+後續年費(C+R+M)</t>
    <phoneticPr fontId="1" type="noConversion"/>
  </si>
  <si>
    <t>領證+後續年費(C+M)</t>
    <phoneticPr fontId="1" type="noConversion"/>
  </si>
  <si>
    <t>備註：</t>
  </si>
  <si>
    <t>備註：大陸發明專利預估最快要2-3年左右才核准，所以領證時要繳納的第一次年費估計是「第3年年費」，因此，領證之後第2個年度的後續年費，應該要從「第4年年費」開始算，等於將第4年以後的年費往前平移。</t>
    <phoneticPr fontId="1" type="noConversion"/>
  </si>
  <si>
    <t>「初稿案」申請服務費</t>
    <phoneticPr fontId="1" type="noConversion"/>
  </si>
  <si>
    <r>
      <t>(</t>
    </r>
    <r>
      <rPr>
        <b/>
        <sz val="10"/>
        <color rgb="FFFF0000"/>
        <rFont val="標楷體"/>
        <family val="4"/>
        <charset val="136"/>
      </rPr>
      <t>視需要勾選</t>
    </r>
    <r>
      <rPr>
        <b/>
        <sz val="10"/>
        <color rgb="FFFF0000"/>
        <rFont val="Times New Roman"/>
        <family val="1"/>
      </rPr>
      <t>)</t>
    </r>
    <phoneticPr fontId="1" type="noConversion"/>
  </si>
  <si>
    <t>三、委託慧盈辦理專利申請案「核駁答辯程序」的預估「答辯費用」（只以答辯一次作為估算基礎）：</t>
    <phoneticPr fontId="1" type="noConversion"/>
  </si>
  <si>
    <t>四、委託慧盈控管及代繳已領證專利的「後續年費」（已扣除最基本的第一次年費）：</t>
    <phoneticPr fontId="1" type="noConversion"/>
  </si>
  <si>
    <t>年費繳納年數(下拉選單)</t>
    <phoneticPr fontId="1" type="noConversion"/>
  </si>
  <si>
    <r>
      <t xml:space="preserve">年費繳納年數
</t>
    </r>
    <r>
      <rPr>
        <b/>
        <sz val="12"/>
        <color rgb="FFFF0000"/>
        <rFont val="標楷體"/>
        <family val="4"/>
        <charset val="136"/>
      </rPr>
      <t>可自行調整→</t>
    </r>
    <phoneticPr fontId="1" type="noConversion"/>
  </si>
  <si>
    <t>設計年費繳納年數(黑圈)</t>
    <phoneticPr fontId="1" type="noConversion"/>
  </si>
  <si>
    <t>發明年費繳納年數(黑圈)</t>
    <phoneticPr fontId="1" type="noConversion"/>
  </si>
  <si>
    <t>是否申請</t>
    <phoneticPr fontId="1" type="noConversion"/>
  </si>
  <si>
    <t>發明</t>
  </si>
  <si>
    <t>新型</t>
  </si>
  <si>
    <t>初稿案</t>
    <phoneticPr fontId="1" type="noConversion"/>
  </si>
  <si>
    <t>初稿案代碼</t>
    <phoneticPr fontId="1" type="noConversion"/>
  </si>
  <si>
    <t>計費類型
(自動判斷)</t>
    <phoneticPr fontId="1" type="noConversion"/>
  </si>
  <si>
    <r>
      <t xml:space="preserve">要先送件
之初稿案
</t>
    </r>
    <r>
      <rPr>
        <b/>
        <sz val="12"/>
        <color rgb="FFFF0000"/>
        <rFont val="標楷體"/>
        <family val="4"/>
        <charset val="136"/>
      </rPr>
      <t>(請選擇)</t>
    </r>
    <phoneticPr fontId="1" type="noConversion"/>
  </si>
  <si>
    <t>如果有新增國別或調整國別排列順序，要記得重新設定上面三個欄位中的HLOOKUP的最後一個索引欄位數值是否由上而下依序順號，只要沒有順號，HLOOKUP抓出來的金額就會是錯的</t>
    <phoneticPr fontId="1" type="noConversion"/>
  </si>
  <si>
    <t>↑↑↑↑</t>
    <phoneticPr fontId="1" type="noConversion"/>
  </si>
  <si>
    <t>初稿案代碼：
1 = 台灣
2 = 大陸
3 = 美國
4 = 加拿大
5 = 新加坡
6 = 馬來西亞
7 = 菲律賓</t>
    <phoneticPr fontId="1" type="noConversion"/>
  </si>
  <si>
    <t>1.上表中之「慧盈服務費」之計費原則說明如下：</t>
    <phoneticPr fontId="1" type="noConversion"/>
  </si>
  <si>
    <t>2.上表計算結果僅係送件申請的概估費用，並「不」包含以下費用：</t>
    <phoneticPr fontId="1" type="noConversion"/>
  </si>
  <si>
    <t>3.歐洲案申請時「不會」一併申請實審，等將來回覆檢索報告時再決定要不要申請實審。</t>
    <phoneticPr fontId="1" type="noConversion"/>
  </si>
  <si>
    <t>4.日本案跟韓國案的翻譯費皆優先以英文稿字數估價，沒有英文稿時才用中文稿字數估價。</t>
    <phoneticPr fontId="1" type="noConversion"/>
  </si>
  <si>
    <t>5.越南案、泰國案、印尼案皆係以英文稿字數來估算代理人費用，若無申請其他地區的英文對應案，則另需額外翻譯費用。</t>
    <phoneticPr fontId="1" type="noConversion"/>
  </si>
  <si>
    <t>6.泰國案需等到案件公開之後才能申請實審，且泰國案申請前需要在台辦理委任書(POA)的公證跟認證程序。</t>
    <phoneticPr fontId="1" type="noConversion"/>
  </si>
  <si>
    <t>7.「沒有」新型專利制度的地區：美國、新加坡、加拿大。</t>
    <phoneticPr fontId="1" type="noConversion"/>
  </si>
  <si>
    <t>8.「新型專利需要實審」的地區：韓國、越南、馬來西亞、印尼。</t>
    <phoneticPr fontId="1" type="noConversion"/>
  </si>
  <si>
    <t>9.「允許」發明與新型一案兩請的地區：台灣、大陸、越南、馬來西亞。</t>
    <phoneticPr fontId="1" type="noConversion"/>
  </si>
  <si>
    <t>10.「不允許」發明與新型一案兩請的地區：日本、韓國、泰國、印尼。</t>
    <phoneticPr fontId="1" type="noConversion"/>
  </si>
  <si>
    <t>11.當上表中的案件勾選方式有誤、或是「初稿案」的選擇出現異常時，表格右側會自動顯示提示文字，若有疑問請與本所聯繫。</t>
    <phoneticPr fontId="1" type="noConversion"/>
  </si>
  <si>
    <t>五、以下用視覺化圖形呈現各地區「發明/新型專利」的費用組成結構，讓您迅速掌握專利佈局成本的真實樣貌：</t>
    <phoneticPr fontId="1" type="noConversion"/>
  </si>
  <si>
    <t>　　(2)與「初稿案」同時委辦之其他地區的案件，「慧盈服務費」會自動以優惠費率計算。</t>
    <phoneticPr fontId="1" type="noConversion"/>
  </si>
  <si>
    <t>　　(3)使用「相同語言」的另一個地區案件，「慧盈服務費」會自動以更優惠的費率計算。</t>
    <phoneticPr fontId="1" type="noConversion"/>
  </si>
  <si>
    <t>　　(4)使用「中文」的地區：台灣、大陸；使用「英文」的地區：美國、歐洲、加拿大、新加坡、馬來西亞、菲律賓。</t>
    <phoneticPr fontId="1" type="noConversion"/>
  </si>
  <si>
    <t>　　(1)個別案件之「主張優先權」、「申請優先權證」、「提呈IDS」、「補正文件」等額外程序費用。</t>
    <phoneticPr fontId="1" type="noConversion"/>
  </si>
  <si>
    <t>　　(2)各地區官方或代理人因案件篇幅過長所收取的「超頁費」、「超項費」等額外費用。</t>
    <phoneticPr fontId="1" type="noConversion"/>
  </si>
  <si>
    <t>1.上表中的預估費用，只包含領證費用及領證時必須一併繳納的最基本的第一次年費，不包含後續年費。</t>
  </si>
  <si>
    <t>1.上表是針對「發明專利案」及「要實體審查的新型專利案」進行答辯「一次」的估算費用，但有時候申請案不需要任何答辯就能獲准專利。</t>
  </si>
  <si>
    <t>3.新型專利案「要實體審查」的地區：韓國、越南、馬來西亞、印尼。</t>
  </si>
  <si>
    <t>4.新型專利案「不需實體審查」的地區基本上不需要進行答辯，只有在特殊情況下可能發生需要答辯的狀況，所以在上表中的估算費用都是0。</t>
  </si>
  <si>
    <t>獨立項費/申請權登記費</t>
    <phoneticPr fontId="1" type="noConversion"/>
  </si>
  <si>
    <t>1.新型專利的最長保護年限一般是10年，但韓國為15年、馬來西亞為20年。</t>
    <phoneticPr fontId="1" type="noConversion"/>
  </si>
  <si>
    <t>2.部分地區允許一次繳納複數年份的年費，採用這種繳費方式可使實際的外國代理人費用及慧盈服務費比上表的估算金額降低一半（甚至更多）。</t>
    <phoneticPr fontId="1" type="noConversion"/>
  </si>
  <si>
    <t>　　(1)在每次要跨國申請的專利家族中，需要事務所最先撰稿、送件的那一個地區的案件，就是「初稿案」。</t>
    <phoneticPr fontId="1" type="noConversion"/>
  </si>
  <si>
    <t>2.上表的估算金額並「不」包含：答辯字數超過門檻時的超字費、修改請求項後可能衍生的請求項超項官費、以及需要答辯超過一次時的費用。</t>
    <phoneticPr fontId="1" type="noConversion"/>
  </si>
  <si>
    <t>EP代理人費，包含英、法、德三國生效官費、以及請求項的法文+德文翻譯費（翻譯費以5000字來高估，一般字數遠低於5000字）</t>
    <phoneticPr fontId="1" type="noConversion"/>
  </si>
  <si>
    <t>EP領證官費，已包含英、法、德三國生效官費(因為三國都是0元)</t>
    <phoneticPr fontId="1" type="noConversion"/>
  </si>
  <si>
    <t>100~500人</t>
    <phoneticPr fontId="1" type="noConversion"/>
  </si>
  <si>
    <t>少於100人</t>
  </si>
  <si>
    <t>少於100人</t>
    <phoneticPr fontId="1" type="noConversion"/>
  </si>
  <si>
    <t>歐洲發明案的年費，是使用CPA的2025年度報價中的英、法、德三國的費用的加總結果，而非按照Metida報價</t>
    <phoneticPr fontId="1" type="noConversion"/>
  </si>
  <si>
    <t>申請權登記費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</si>
</sst>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9" x14ac:knownFonts="1">
    <font>
      <sz val="12"/>
      <color theme="1"/>
      <name val="新細明體"/>
      <family val="2"/>
      <scheme val="minor"/>
    </font>
    <font>
      <sz val="9"/>
      <name val="新細明體"/>
      <family val="3"/>
      <charset val="136"/>
      <scheme val="minor"/>
    </font>
    <font>
      <sz val="11"/>
      <color rgb="FF222222"/>
      <name val="細明體"/>
      <family val="3"/>
      <charset val="136"/>
    </font>
    <font>
      <b/>
      <sz val="12"/>
      <color rgb="FF0000FF"/>
      <name val="新細明體"/>
      <family val="1"/>
      <charset val="136"/>
      <scheme val="minor"/>
    </font>
    <font>
      <sz val="9"/>
      <name val="新細明體"/>
      <family val="1"/>
      <charset val="136"/>
    </font>
    <font>
      <sz val="12"/>
      <color rgb="FFFF0000"/>
      <name val="新細明體"/>
      <family val="2"/>
      <scheme val="minor"/>
    </font>
    <font>
      <sz val="12"/>
      <color rgb="FFFF0000"/>
      <name val="新細明體"/>
      <family val="1"/>
      <charset val="136"/>
      <scheme val="minor"/>
    </font>
    <font>
      <b/>
      <sz val="12"/>
      <color theme="1"/>
      <name val="新細明體"/>
      <family val="1"/>
      <charset val="136"/>
      <scheme val="minor"/>
    </font>
    <font>
      <b/>
      <sz val="12"/>
      <color rgb="FFFF0000"/>
      <name val="新細明體"/>
      <family val="1"/>
      <charset val="136"/>
      <scheme val="minor"/>
    </font>
    <font>
      <b/>
      <sz val="12"/>
      <color rgb="FFCC00FF"/>
      <name val="新細明體"/>
      <family val="1"/>
      <charset val="136"/>
      <scheme val="minor"/>
    </font>
    <font>
      <b/>
      <sz val="14"/>
      <color rgb="FF0000FF"/>
      <name val="新細明體"/>
      <family val="1"/>
      <charset val="136"/>
      <scheme val="minor"/>
    </font>
    <font>
      <sz val="12"/>
      <color rgb="FF0000FF"/>
      <name val="新細明體"/>
      <family val="2"/>
      <scheme val="minor"/>
    </font>
    <font>
      <sz val="11"/>
      <name val="細明體"/>
      <family val="3"/>
      <charset val="136"/>
    </font>
    <font>
      <sz val="11"/>
      <color rgb="FFFF0000"/>
      <name val="細明體"/>
      <family val="3"/>
      <charset val="136"/>
    </font>
    <font>
      <b/>
      <sz val="12"/>
      <color theme="1"/>
      <name val="新細明體"/>
      <family val="1"/>
      <charset val="136"/>
    </font>
    <font>
      <b/>
      <sz val="12"/>
      <color rgb="FFFF0000"/>
      <name val="新細明體"/>
      <family val="1"/>
      <charset val="136"/>
    </font>
    <font>
      <b/>
      <sz val="12"/>
      <name val="新細明體"/>
      <family val="1"/>
      <charset val="136"/>
    </font>
    <font>
      <b/>
      <sz val="12"/>
      <color theme="1"/>
      <name val="Times New Roman"/>
      <family val="1"/>
    </font>
    <font>
      <sz val="12"/>
      <color theme="1"/>
      <name val="Times New Roman"/>
      <family val="1"/>
    </font>
    <font>
      <b/>
      <sz val="12"/>
      <color rgb="FFFF0000"/>
      <name val="Times New Roman"/>
      <family val="1"/>
    </font>
    <font>
      <b/>
      <sz val="12"/>
      <name val="Times New Roman"/>
      <family val="1"/>
    </font>
    <font>
      <b/>
      <sz val="12"/>
      <color rgb="FF0000FF"/>
      <name val="Times New Roman"/>
      <family val="1"/>
    </font>
    <font>
      <b/>
      <sz val="14"/>
      <color rgb="FF0000FF"/>
      <name val="Times New Roman"/>
      <family val="1"/>
    </font>
    <font>
      <sz val="12"/>
      <color rgb="FFFF0000"/>
      <name val="Times New Roman"/>
      <family val="1"/>
    </font>
    <font>
      <b/>
      <sz val="12"/>
      <color theme="1"/>
      <name val="Times New Roman"/>
      <family val="1"/>
      <charset val="136"/>
    </font>
    <font>
      <sz val="12"/>
      <color theme="1"/>
      <name val="新細明體"/>
      <family val="2"/>
      <charset val="136"/>
    </font>
    <font>
      <b/>
      <sz val="10"/>
      <color rgb="FFFF0000"/>
      <name val="Times New Roman"/>
      <family val="1"/>
    </font>
    <font>
      <b/>
      <sz val="12"/>
      <color theme="1"/>
      <name val="標楷體"/>
      <family val="4"/>
      <charset val="136"/>
    </font>
    <font>
      <b/>
      <sz val="12"/>
      <color rgb="FFFF0000"/>
      <name val="標楷體"/>
      <family val="4"/>
      <charset val="136"/>
    </font>
    <font>
      <b/>
      <sz val="12"/>
      <color rgb="FF0000FF"/>
      <name val="標楷體"/>
      <family val="4"/>
      <charset val="136"/>
    </font>
    <font>
      <b/>
      <sz val="10"/>
      <color rgb="FFFF0000"/>
      <name val="標楷體"/>
      <family val="4"/>
      <charset val="136"/>
    </font>
    <font>
      <b/>
      <sz val="12"/>
      <name val="標楷體"/>
      <family val="4"/>
      <charset val="136"/>
    </font>
    <font>
      <b/>
      <sz val="14"/>
      <color rgb="FF0000FF"/>
      <name val="標楷體"/>
      <family val="4"/>
      <charset val="136"/>
    </font>
    <font>
      <b/>
      <sz val="14"/>
      <color theme="1"/>
      <name val="Times New Roman"/>
      <family val="1"/>
    </font>
    <font>
      <b/>
      <sz val="12"/>
      <color theme="1"/>
      <name val="Times New Roman"/>
      <family val="4"/>
    </font>
    <font>
      <b/>
      <sz val="12"/>
      <color theme="1"/>
      <name val="Times New Roman"/>
      <family val="4"/>
      <charset val="136"/>
    </font>
    <font>
      <b/>
      <sz val="12"/>
      <color theme="1"/>
      <name val="細明體"/>
      <family val="1"/>
      <charset val="136"/>
    </font>
    <font>
      <sz val="12"/>
      <name val="新細明體"/>
      <family val="2"/>
      <scheme val="minor"/>
    </font>
    <font>
      <sz val="12"/>
      <color theme="1"/>
      <name val="標楷體"/>
      <family val="4"/>
      <charset val="136"/>
    </font>
    <font>
      <sz val="9"/>
      <color rgb="FF000000"/>
      <name val="新細明體"/>
      <family val="1"/>
      <charset val="136"/>
    </font>
    <font>
      <sz val="9"/>
      <color rgb="FF000000"/>
      <name val="Microsoft JhengHei UI"/>
      <family val="2"/>
      <charset val="136"/>
    </font>
    <font>
      <b/>
      <strike/>
      <sz val="12"/>
      <color rgb="FFFF0000"/>
      <name val="新細明體"/>
      <family val="1"/>
      <charset val="136"/>
      <scheme val="minor"/>
    </font>
    <font>
      <strike/>
      <sz val="12"/>
      <color rgb="FFFF0000"/>
      <name val="新細明體"/>
      <family val="2"/>
      <scheme val="minor"/>
    </font>
    <font>
      <b/>
      <strike/>
      <sz val="12"/>
      <color rgb="FFFF0000"/>
      <name val="Times New Roman"/>
      <family val="1"/>
    </font>
    <font>
      <sz val="12"/>
      <color rgb="FF0000FF"/>
      <name val="標楷體"/>
      <family val="4"/>
      <charset val="136"/>
    </font>
    <font>
      <sz val="12"/>
      <color rgb="FF0000FF"/>
      <name val="新細明體"/>
      <family val="1"/>
      <charset val="136"/>
      <scheme val="minor"/>
    </font>
    <font>
      <sz val="14"/>
      <color theme="1"/>
      <name val="Times New Roman"/>
      <family val="1"/>
    </font>
    <font>
      <sz val="12"/>
      <color theme="1"/>
      <name val="Microsoft JhengHei UI"/>
      <family val="2"/>
      <charset val="136"/>
    </font>
    <font>
      <sz val="12"/>
      <color rgb="FFFF0000"/>
      <name val="標楷體"/>
      <family val="4"/>
      <charset val="136"/>
    </font>
  </fonts>
  <fills count="1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gradientFill degree="270">
        <stop position="0">
          <color theme="0"/>
        </stop>
        <stop position="1">
          <color rgb="FFCCFFFF"/>
        </stop>
      </gradientFill>
    </fill>
    <fill>
      <gradientFill degree="270">
        <stop position="0">
          <color theme="0"/>
        </stop>
        <stop position="1">
          <color rgb="FFCCFFCC"/>
        </stop>
      </gradientFill>
    </fill>
    <fill>
      <gradientFill degree="270">
        <stop position="0">
          <color theme="0"/>
        </stop>
        <stop position="1">
          <color rgb="FFFFFFCC"/>
        </stop>
      </gradientFill>
    </fill>
    <fill>
      <gradientFill degree="270">
        <stop position="0">
          <color theme="0"/>
        </stop>
        <stop position="1">
          <color rgb="FFFFCCFF"/>
        </stop>
      </gradientFill>
    </fill>
    <fill>
      <gradientFill degree="270">
        <stop position="0">
          <color theme="0"/>
        </stop>
        <stop position="1">
          <color rgb="FFFFCC00"/>
        </stop>
      </gradientFill>
    </fill>
    <fill>
      <patternFill patternType="solid">
        <fgColor rgb="FFFFD757"/>
        <bgColor indexed="64"/>
      </patternFill>
    </fill>
    <fill>
      <patternFill patternType="solid">
        <fgColor rgb="FF99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254">
    <xf numFmtId="0" fontId="0" fillId="0" borderId="0" xfId="0"/>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xf numFmtId="0" fontId="0" fillId="0" borderId="1" xfId="0" applyBorder="1" applyAlignment="1">
      <alignment horizontal="center"/>
    </xf>
    <xf numFmtId="176" fontId="3" fillId="0" borderId="1" xfId="0" applyNumberFormat="1" applyFont="1" applyBorder="1" applyAlignment="1">
      <alignment horizontal="right" vertical="center"/>
    </xf>
    <xf numFmtId="0" fontId="0" fillId="0" borderId="1" xfId="0" applyBorder="1" applyAlignment="1">
      <alignment horizontal="right" vertical="center"/>
    </xf>
    <xf numFmtId="0" fontId="7" fillId="0" borderId="0" xfId="0" applyFont="1"/>
    <xf numFmtId="176" fontId="3" fillId="3" borderId="1" xfId="0" applyNumberFormat="1" applyFont="1" applyFill="1" applyBorder="1" applyAlignment="1">
      <alignment horizontal="right" vertical="center"/>
    </xf>
    <xf numFmtId="0" fontId="11" fillId="0" borderId="1" xfId="0" applyFont="1" applyBorder="1" applyAlignment="1">
      <alignment horizontal="center"/>
    </xf>
    <xf numFmtId="176" fontId="3" fillId="0" borderId="1" xfId="0" applyNumberFormat="1" applyFont="1" applyBorder="1"/>
    <xf numFmtId="0" fontId="3" fillId="0" borderId="1" xfId="0" applyFont="1" applyBorder="1"/>
    <xf numFmtId="0" fontId="11" fillId="0" borderId="1" xfId="0" applyFont="1" applyBorder="1" applyAlignment="1">
      <alignment horizontal="center" vertical="center"/>
    </xf>
    <xf numFmtId="0" fontId="0" fillId="2" borderId="1" xfId="0" applyFill="1" applyBorder="1" applyAlignment="1">
      <alignment horizontal="center" vertical="center" wrapText="1"/>
    </xf>
    <xf numFmtId="0" fontId="5" fillId="0" borderId="0" xfId="0" applyFont="1"/>
    <xf numFmtId="0" fontId="12" fillId="0" borderId="0" xfId="0" applyFont="1"/>
    <xf numFmtId="0" fontId="0" fillId="0" borderId="4" xfId="0" applyBorder="1" applyAlignment="1">
      <alignment horizontal="center" vertical="center"/>
    </xf>
    <xf numFmtId="176" fontId="10" fillId="5" borderId="1" xfId="0" applyNumberFormat="1" applyFont="1" applyFill="1" applyBorder="1" applyAlignment="1">
      <alignment horizontal="right" vertical="center"/>
    </xf>
    <xf numFmtId="176" fontId="10" fillId="6" borderId="1" xfId="0" applyNumberFormat="1" applyFont="1" applyFill="1" applyBorder="1" applyAlignment="1">
      <alignment horizontal="right" vertical="center"/>
    </xf>
    <xf numFmtId="176" fontId="3" fillId="0" borderId="1" xfId="0" applyNumberFormat="1" applyFont="1" applyBorder="1" applyAlignment="1">
      <alignment horizontal="center"/>
    </xf>
    <xf numFmtId="176" fontId="3" fillId="6" borderId="1"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76" fontId="10" fillId="2" borderId="1" xfId="0" applyNumberFormat="1" applyFont="1" applyFill="1" applyBorder="1" applyAlignment="1">
      <alignment horizontal="righ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176" fontId="3" fillId="5" borderId="1" xfId="0" applyNumberFormat="1" applyFont="1" applyFill="1" applyBorder="1" applyAlignment="1">
      <alignment horizontal="right" vertical="center"/>
    </xf>
    <xf numFmtId="0" fontId="13" fillId="0" borderId="0" xfId="0" applyFont="1" applyAlignment="1">
      <alignment horizontal="center"/>
    </xf>
    <xf numFmtId="0" fontId="5" fillId="0" borderId="0" xfId="0" applyFont="1" applyAlignment="1">
      <alignment horizontal="center"/>
    </xf>
    <xf numFmtId="0" fontId="7" fillId="5" borderId="0" xfId="0" applyFont="1" applyFill="1"/>
    <xf numFmtId="0" fontId="0" fillId="5" borderId="0" xfId="0" applyFill="1"/>
    <xf numFmtId="0" fontId="3" fillId="0" borderId="1" xfId="0" applyFont="1" applyBorder="1" applyAlignment="1">
      <alignment horizontal="center"/>
    </xf>
    <xf numFmtId="10" fontId="3" fillId="0" borderId="7" xfId="0" applyNumberFormat="1" applyFont="1" applyBorder="1" applyAlignment="1">
      <alignment horizontal="center"/>
    </xf>
    <xf numFmtId="0" fontId="17" fillId="7" borderId="0" xfId="0" applyFont="1" applyFill="1"/>
    <xf numFmtId="0" fontId="18" fillId="7" borderId="0" xfId="0" applyFont="1" applyFill="1"/>
    <xf numFmtId="0" fontId="18" fillId="0" borderId="0" xfId="0" applyFont="1"/>
    <xf numFmtId="0" fontId="17" fillId="7" borderId="0" xfId="0" applyFont="1" applyFill="1" applyProtection="1">
      <protection locked="0"/>
    </xf>
    <xf numFmtId="0" fontId="18" fillId="7" borderId="0" xfId="0" applyFont="1" applyFill="1" applyAlignment="1">
      <alignment vertical="center"/>
    </xf>
    <xf numFmtId="176" fontId="21" fillId="0" borderId="1" xfId="0" applyNumberFormat="1" applyFont="1" applyBorder="1" applyAlignment="1">
      <alignment horizontal="right" vertical="center"/>
    </xf>
    <xf numFmtId="0" fontId="17" fillId="0" borderId="0" xfId="0" applyFont="1"/>
    <xf numFmtId="0" fontId="17" fillId="7" borderId="0" xfId="0" applyFont="1" applyFill="1" applyAlignment="1">
      <alignment vertical="center"/>
    </xf>
    <xf numFmtId="0" fontId="18" fillId="7" borderId="0" xfId="0" applyFont="1" applyFill="1" applyProtection="1">
      <protection locked="0"/>
    </xf>
    <xf numFmtId="0" fontId="19" fillId="7" borderId="1" xfId="0" applyFont="1" applyFill="1" applyBorder="1" applyAlignment="1" applyProtection="1">
      <alignment vertical="center"/>
      <protection locked="0"/>
    </xf>
    <xf numFmtId="0" fontId="18" fillId="0" borderId="0" xfId="0" applyFont="1" applyAlignment="1">
      <alignment vertical="center"/>
    </xf>
    <xf numFmtId="0" fontId="17" fillId="7" borderId="0" xfId="0" applyFont="1" applyFill="1" applyAlignment="1" applyProtection="1">
      <alignment vertical="center"/>
      <protection locked="0"/>
    </xf>
    <xf numFmtId="0" fontId="20" fillId="7" borderId="0" xfId="0" applyFont="1" applyFill="1" applyAlignment="1">
      <alignment vertical="center"/>
    </xf>
    <xf numFmtId="0" fontId="19" fillId="7" borderId="0" xfId="0" applyFont="1" applyFill="1" applyAlignment="1" applyProtection="1">
      <alignment vertical="center"/>
      <protection locked="0"/>
    </xf>
    <xf numFmtId="0" fontId="23" fillId="7" borderId="0" xfId="0" applyFont="1" applyFill="1" applyAlignment="1">
      <alignment vertical="center"/>
    </xf>
    <xf numFmtId="0" fontId="19" fillId="7" borderId="0" xfId="0" applyFont="1" applyFill="1" applyAlignment="1">
      <alignment vertical="center"/>
    </xf>
    <xf numFmtId="0" fontId="19" fillId="3" borderId="0" xfId="0" applyFont="1" applyFill="1" applyAlignment="1" applyProtection="1">
      <alignment vertical="center"/>
      <protection locked="0"/>
    </xf>
    <xf numFmtId="0" fontId="17" fillId="3" borderId="0" xfId="0" applyFont="1" applyFill="1" applyAlignment="1" applyProtection="1">
      <alignment vertical="center"/>
      <protection locked="0"/>
    </xf>
    <xf numFmtId="0" fontId="24" fillId="7" borderId="0" xfId="0" applyFont="1" applyFill="1" applyAlignment="1">
      <alignment vertical="center"/>
    </xf>
    <xf numFmtId="0" fontId="25" fillId="0" borderId="1" xfId="0" applyFont="1" applyBorder="1" applyAlignment="1">
      <alignment horizontal="center" vertical="center"/>
    </xf>
    <xf numFmtId="0" fontId="17" fillId="7" borderId="1" xfId="0" applyFont="1" applyFill="1" applyBorder="1" applyAlignment="1" applyProtection="1">
      <alignment vertical="center"/>
      <protection locked="0"/>
    </xf>
    <xf numFmtId="0" fontId="17" fillId="0" borderId="1" xfId="0" applyFont="1" applyBorder="1" applyProtection="1">
      <protection locked="0"/>
    </xf>
    <xf numFmtId="0" fontId="17" fillId="0" borderId="1" xfId="0" applyFont="1" applyBorder="1" applyAlignment="1" applyProtection="1">
      <alignment horizontal="right" vertical="center"/>
      <protection locked="0"/>
    </xf>
    <xf numFmtId="176" fontId="22" fillId="10" borderId="1" xfId="0" applyNumberFormat="1" applyFont="1" applyFill="1" applyBorder="1" applyAlignment="1" applyProtection="1">
      <alignment horizontal="right" vertical="center"/>
      <protection locked="0"/>
    </xf>
    <xf numFmtId="176" fontId="22" fillId="11" borderId="1" xfId="0" applyNumberFormat="1" applyFont="1" applyFill="1" applyBorder="1" applyAlignment="1" applyProtection="1">
      <alignment horizontal="right" vertical="center"/>
      <protection locked="0"/>
    </xf>
    <xf numFmtId="176" fontId="22" fillId="0" borderId="1" xfId="0" applyNumberFormat="1" applyFont="1" applyBorder="1" applyAlignment="1" applyProtection="1">
      <alignment horizontal="right" vertical="center"/>
      <protection locked="0"/>
    </xf>
    <xf numFmtId="176" fontId="22" fillId="9" borderId="1" xfId="0" applyNumberFormat="1" applyFont="1" applyFill="1" applyBorder="1" applyAlignment="1" applyProtection="1">
      <alignment horizontal="right" vertical="center"/>
      <protection locked="0"/>
    </xf>
    <xf numFmtId="176" fontId="22" fillId="8" borderId="1" xfId="0" applyNumberFormat="1" applyFont="1" applyFill="1" applyBorder="1" applyAlignment="1" applyProtection="1">
      <alignment horizontal="right" vertical="center"/>
      <protection locked="0"/>
    </xf>
    <xf numFmtId="0" fontId="17" fillId="0" borderId="1" xfId="0" applyFont="1" applyBorder="1" applyAlignment="1" applyProtection="1">
      <alignment horizontal="center" vertical="center"/>
      <protection locked="0"/>
    </xf>
    <xf numFmtId="176" fontId="22" fillId="12" borderId="1" xfId="0" applyNumberFormat="1" applyFont="1" applyFill="1" applyBorder="1" applyAlignment="1" applyProtection="1">
      <alignment horizontal="right" vertical="center"/>
      <protection locked="0"/>
    </xf>
    <xf numFmtId="176" fontId="20" fillId="0" borderId="1" xfId="0" applyNumberFormat="1" applyFont="1" applyBorder="1" applyAlignment="1">
      <alignment horizontal="right" vertical="center"/>
    </xf>
    <xf numFmtId="0" fontId="18" fillId="7" borderId="0" xfId="0" applyFont="1" applyFill="1" applyAlignment="1">
      <alignment vertical="top"/>
    </xf>
    <xf numFmtId="0" fontId="18" fillId="0" borderId="0" xfId="0" applyFont="1" applyAlignment="1">
      <alignment vertical="top"/>
    </xf>
    <xf numFmtId="0" fontId="2" fillId="0" borderId="0" xfId="0" applyFont="1" applyAlignment="1">
      <alignment horizontal="center" vertical="center"/>
    </xf>
    <xf numFmtId="0" fontId="27" fillId="0" borderId="1" xfId="0" applyFont="1" applyBorder="1" applyAlignment="1" applyProtection="1">
      <alignment horizontal="center" vertical="center"/>
      <protection locked="0"/>
    </xf>
    <xf numFmtId="0" fontId="29" fillId="7" borderId="0" xfId="0" applyFont="1" applyFill="1" applyAlignment="1">
      <alignment vertical="center"/>
    </xf>
    <xf numFmtId="0" fontId="32" fillId="7" borderId="0" xfId="0" applyFont="1" applyFill="1" applyAlignment="1">
      <alignment vertical="center"/>
    </xf>
    <xf numFmtId="0" fontId="3" fillId="0" borderId="0" xfId="0" applyFont="1" applyAlignment="1">
      <alignment horizontal="center"/>
    </xf>
    <xf numFmtId="0" fontId="28" fillId="7" borderId="1" xfId="0" applyFont="1" applyFill="1" applyBorder="1" applyAlignment="1" applyProtection="1">
      <alignment horizontal="center" vertical="center"/>
      <protection locked="0"/>
    </xf>
    <xf numFmtId="10" fontId="10" fillId="5" borderId="1" xfId="0" applyNumberFormat="1" applyFont="1" applyFill="1" applyBorder="1" applyAlignment="1">
      <alignment horizontal="right" vertical="center"/>
    </xf>
    <xf numFmtId="0" fontId="0" fillId="2" borderId="2" xfId="0" applyFill="1" applyBorder="1" applyAlignment="1">
      <alignment horizontal="center" vertical="center"/>
    </xf>
    <xf numFmtId="176" fontId="11" fillId="0" borderId="1" xfId="0" applyNumberFormat="1" applyFont="1" applyBorder="1" applyAlignment="1">
      <alignment horizontal="center"/>
    </xf>
    <xf numFmtId="0" fontId="0" fillId="0" borderId="0" xfId="0" applyAlignment="1">
      <alignment vertical="center"/>
    </xf>
    <xf numFmtId="0" fontId="0" fillId="2" borderId="2" xfId="0" applyFill="1" applyBorder="1" applyAlignment="1">
      <alignment horizontal="left" vertical="center"/>
    </xf>
    <xf numFmtId="0" fontId="0" fillId="0" borderId="0" xfId="0" applyAlignment="1">
      <alignment horizontal="right" vertical="center"/>
    </xf>
    <xf numFmtId="176" fontId="10" fillId="0" borderId="0" xfId="0" applyNumberFormat="1" applyFont="1" applyAlignment="1">
      <alignment horizontal="right" vertical="center"/>
    </xf>
    <xf numFmtId="176" fontId="3" fillId="0" borderId="0" xfId="0" applyNumberFormat="1" applyFont="1" applyAlignment="1">
      <alignment horizontal="right" vertical="center"/>
    </xf>
    <xf numFmtId="0" fontId="0" fillId="0" borderId="0" xfId="0" applyAlignment="1">
      <alignment horizontal="center" vertical="center"/>
    </xf>
    <xf numFmtId="10" fontId="10" fillId="0" borderId="0" xfId="0" applyNumberFormat="1" applyFont="1" applyAlignment="1">
      <alignment horizontal="right" vertical="center"/>
    </xf>
    <xf numFmtId="0" fontId="3" fillId="0" borderId="7" xfId="0" applyFont="1" applyBorder="1" applyAlignment="1">
      <alignment horizontal="center"/>
    </xf>
    <xf numFmtId="10" fontId="3" fillId="2" borderId="7" xfId="0" applyNumberFormat="1" applyFont="1" applyFill="1" applyBorder="1" applyAlignment="1">
      <alignment horizontal="center"/>
    </xf>
    <xf numFmtId="0" fontId="3" fillId="0" borderId="0" xfId="0" applyFont="1" applyAlignment="1">
      <alignment horizontal="right"/>
    </xf>
    <xf numFmtId="176" fontId="7" fillId="0" borderId="1" xfId="0" applyNumberFormat="1" applyFont="1" applyBorder="1" applyAlignment="1">
      <alignment horizontal="right" vertical="center"/>
    </xf>
    <xf numFmtId="176" fontId="8" fillId="0" borderId="1" xfId="0" applyNumberFormat="1" applyFont="1" applyBorder="1" applyAlignment="1">
      <alignment horizontal="right" vertical="center"/>
    </xf>
    <xf numFmtId="0" fontId="36" fillId="7" borderId="0" xfId="0" applyFont="1" applyFill="1" applyProtection="1">
      <protection locked="0"/>
    </xf>
    <xf numFmtId="176" fontId="3" fillId="14" borderId="1"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5" borderId="10" xfId="0" applyNumberFormat="1" applyFont="1" applyFill="1" applyBorder="1" applyAlignment="1">
      <alignment horizontal="right" vertical="center"/>
    </xf>
    <xf numFmtId="176" fontId="3" fillId="5" borderId="11" xfId="0" applyNumberFormat="1" applyFont="1" applyFill="1" applyBorder="1" applyAlignment="1">
      <alignment horizontal="right" vertical="center"/>
    </xf>
    <xf numFmtId="176" fontId="10" fillId="5" borderId="12" xfId="0" applyNumberFormat="1" applyFont="1" applyFill="1" applyBorder="1" applyAlignment="1">
      <alignment horizontal="right" vertical="center"/>
    </xf>
    <xf numFmtId="176" fontId="3" fillId="5" borderId="15" xfId="0" applyNumberFormat="1" applyFont="1" applyFill="1" applyBorder="1" applyAlignment="1">
      <alignment horizontal="right" vertical="center"/>
    </xf>
    <xf numFmtId="176" fontId="3" fillId="5" borderId="16" xfId="0" applyNumberFormat="1" applyFont="1" applyFill="1" applyBorder="1" applyAlignment="1">
      <alignment horizontal="right" vertical="center"/>
    </xf>
    <xf numFmtId="0" fontId="37" fillId="0" borderId="1" xfId="0" applyFont="1" applyBorder="1" applyAlignment="1">
      <alignment horizontal="center"/>
    </xf>
    <xf numFmtId="177" fontId="11" fillId="0" borderId="1" xfId="0" applyNumberFormat="1" applyFont="1" applyBorder="1" applyAlignment="1">
      <alignment horizontal="center"/>
    </xf>
    <xf numFmtId="177" fontId="0" fillId="0" borderId="1" xfId="0" applyNumberFormat="1" applyBorder="1"/>
    <xf numFmtId="177" fontId="0" fillId="0" borderId="0" xfId="0" applyNumberFormat="1"/>
    <xf numFmtId="177" fontId="0" fillId="2" borderId="2" xfId="0" applyNumberFormat="1" applyFill="1" applyBorder="1" applyAlignment="1">
      <alignment horizontal="left" vertical="center"/>
    </xf>
    <xf numFmtId="177" fontId="0" fillId="2" borderId="2"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11" fillId="3" borderId="1" xfId="0" applyNumberFormat="1" applyFont="1" applyFill="1" applyBorder="1" applyAlignment="1">
      <alignment horizontal="center"/>
    </xf>
    <xf numFmtId="176" fontId="21" fillId="0" borderId="1" xfId="0" applyNumberFormat="1" applyFont="1" applyBorder="1" applyAlignment="1" applyProtection="1">
      <alignment horizontal="right" vertical="center"/>
      <protection locked="0"/>
    </xf>
    <xf numFmtId="0" fontId="35"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protection locked="0"/>
    </xf>
    <xf numFmtId="0" fontId="27" fillId="7" borderId="0" xfId="0" applyFont="1" applyFill="1" applyAlignment="1" applyProtection="1">
      <alignment vertical="center"/>
      <protection locked="0"/>
    </xf>
    <xf numFmtId="0" fontId="29" fillId="7" borderId="0" xfId="0" applyFont="1" applyFill="1" applyAlignment="1" applyProtection="1">
      <alignment vertical="center"/>
      <protection locked="0"/>
    </xf>
    <xf numFmtId="0" fontId="31" fillId="7" borderId="0" xfId="0" applyFont="1" applyFill="1" applyAlignment="1" applyProtection="1">
      <alignment vertical="center"/>
      <protection locked="0"/>
    </xf>
    <xf numFmtId="0" fontId="27" fillId="9" borderId="0" xfId="0" applyFont="1" applyFill="1" applyAlignment="1" applyProtection="1">
      <alignment vertical="top"/>
      <protection locked="0"/>
    </xf>
    <xf numFmtId="0" fontId="17" fillId="9" borderId="0" xfId="0" applyFont="1" applyFill="1" applyAlignment="1" applyProtection="1">
      <alignment vertical="top"/>
      <protection locked="0"/>
    </xf>
    <xf numFmtId="0" fontId="35" fillId="10"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protection locked="0"/>
    </xf>
    <xf numFmtId="0" fontId="18" fillId="0" borderId="0" xfId="0" applyFont="1" applyProtection="1">
      <protection locked="0"/>
    </xf>
    <xf numFmtId="0" fontId="18" fillId="7" borderId="0" xfId="0" applyFont="1" applyFill="1" applyAlignment="1" applyProtection="1">
      <alignment vertical="top"/>
      <protection locked="0"/>
    </xf>
    <xf numFmtId="0" fontId="18" fillId="0" borderId="0" xfId="0" applyFont="1" applyAlignment="1" applyProtection="1">
      <alignment vertical="top"/>
      <protection locked="0"/>
    </xf>
    <xf numFmtId="0" fontId="18" fillId="7" borderId="0" xfId="0" applyFont="1" applyFill="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Protection="1">
      <protection locked="0"/>
    </xf>
    <xf numFmtId="0" fontId="27" fillId="7" borderId="2" xfId="0" applyFont="1" applyFill="1" applyBorder="1" applyAlignment="1" applyProtection="1">
      <alignment horizontal="center" vertical="center"/>
      <protection locked="0"/>
    </xf>
    <xf numFmtId="0" fontId="17" fillId="7" borderId="2"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26" fillId="7" borderId="3" xfId="0" applyFont="1" applyFill="1" applyBorder="1" applyAlignment="1" applyProtection="1">
      <alignment horizontal="center" vertical="center" shrinkToFit="1"/>
      <protection locked="0"/>
    </xf>
    <xf numFmtId="0" fontId="17" fillId="7" borderId="1" xfId="0" applyFont="1" applyFill="1" applyBorder="1" applyAlignment="1" applyProtection="1">
      <alignment horizontal="center" vertical="center" shrinkToFit="1"/>
      <protection locked="0"/>
    </xf>
    <xf numFmtId="177" fontId="11" fillId="5" borderId="1" xfId="0" applyNumberFormat="1" applyFont="1" applyFill="1" applyBorder="1" applyAlignment="1">
      <alignment horizontal="center"/>
    </xf>
    <xf numFmtId="0" fontId="0" fillId="14" borderId="1" xfId="0" applyFill="1" applyBorder="1" applyAlignment="1">
      <alignment horizontal="center" vertical="center"/>
    </xf>
    <xf numFmtId="176" fontId="28" fillId="7" borderId="1" xfId="0" applyNumberFormat="1" applyFont="1" applyFill="1" applyBorder="1" applyAlignment="1" applyProtection="1">
      <alignment vertical="center"/>
      <protection locked="0"/>
    </xf>
    <xf numFmtId="0" fontId="41" fillId="0" borderId="0" xfId="0" applyFont="1"/>
    <xf numFmtId="0" fontId="29" fillId="7" borderId="0" xfId="0" applyFont="1" applyFill="1"/>
    <xf numFmtId="176" fontId="3" fillId="0" borderId="0" xfId="0" applyNumberFormat="1" applyFont="1"/>
    <xf numFmtId="176" fontId="3" fillId="0" borderId="0" xfId="0" applyNumberFormat="1" applyFont="1" applyAlignment="1">
      <alignment horizontal="center"/>
    </xf>
    <xf numFmtId="0" fontId="0" fillId="2" borderId="3" xfId="0" applyFill="1" applyBorder="1" applyAlignment="1">
      <alignment horizontal="center" vertical="center"/>
    </xf>
    <xf numFmtId="0" fontId="42" fillId="0" borderId="0" xfId="0" applyFont="1"/>
    <xf numFmtId="0" fontId="42" fillId="0" borderId="1" xfId="0" applyFont="1" applyBorder="1" applyAlignment="1">
      <alignment horizontal="right" vertical="center"/>
    </xf>
    <xf numFmtId="0" fontId="42" fillId="0" borderId="0" xfId="0" applyFont="1" applyAlignment="1">
      <alignment horizontal="right" vertical="center"/>
    </xf>
    <xf numFmtId="0" fontId="43" fillId="7" borderId="0" xfId="0" applyFont="1" applyFill="1" applyAlignment="1" applyProtection="1">
      <alignment vertical="center"/>
      <protection locked="0"/>
    </xf>
    <xf numFmtId="0" fontId="44" fillId="7" borderId="0" xfId="0" applyFont="1" applyFill="1" applyAlignment="1">
      <alignment vertical="center"/>
    </xf>
    <xf numFmtId="176" fontId="11" fillId="0" borderId="1" xfId="0" applyNumberFormat="1" applyFont="1" applyBorder="1" applyAlignment="1">
      <alignment horizontal="center" vertical="center"/>
    </xf>
    <xf numFmtId="0" fontId="45" fillId="0" borderId="1" xfId="0" applyFont="1" applyBorder="1" applyAlignment="1">
      <alignment horizontal="center"/>
    </xf>
    <xf numFmtId="0" fontId="46" fillId="7" borderId="0" xfId="0" applyFont="1" applyFill="1" applyAlignment="1">
      <alignment horizontal="left"/>
    </xf>
    <xf numFmtId="0" fontId="46" fillId="0" borderId="0" xfId="0" applyFont="1" applyAlignment="1">
      <alignment horizontal="left"/>
    </xf>
    <xf numFmtId="0" fontId="46" fillId="7" borderId="0" xfId="0" applyFont="1" applyFill="1" applyAlignment="1">
      <alignment horizontal="center"/>
    </xf>
    <xf numFmtId="0" fontId="46" fillId="0" borderId="0" xfId="0" applyFont="1" applyAlignment="1">
      <alignment horizontal="center"/>
    </xf>
    <xf numFmtId="0" fontId="47" fillId="0" borderId="0" xfId="0" applyFont="1"/>
    <xf numFmtId="0" fontId="38" fillId="7" borderId="0" xfId="0" applyFont="1" applyFill="1"/>
    <xf numFmtId="0" fontId="38" fillId="7" borderId="0" xfId="0" applyFont="1" applyFill="1" applyAlignment="1" applyProtection="1">
      <alignment vertical="center"/>
      <protection locked="0"/>
    </xf>
    <xf numFmtId="0" fontId="38" fillId="0" borderId="0" xfId="0" applyFont="1" applyAlignment="1" applyProtection="1">
      <alignment vertical="center"/>
      <protection locked="0"/>
    </xf>
    <xf numFmtId="0" fontId="28" fillId="7" borderId="0" xfId="0" applyFont="1" applyFill="1" applyAlignment="1" applyProtection="1">
      <alignment vertical="center"/>
      <protection locked="0"/>
    </xf>
    <xf numFmtId="0" fontId="48" fillId="7" borderId="0" xfId="0" applyFont="1" applyFill="1" applyAlignment="1" applyProtection="1">
      <alignment vertical="center"/>
      <protection locked="0"/>
    </xf>
    <xf numFmtId="0" fontId="27" fillId="7" borderId="0" xfId="0" applyFont="1" applyFill="1" applyAlignment="1">
      <alignment vertical="center"/>
    </xf>
    <xf numFmtId="0" fontId="38" fillId="7" borderId="0" xfId="0" applyFont="1" applyFill="1" applyAlignment="1">
      <alignment vertical="center"/>
    </xf>
    <xf numFmtId="0" fontId="38" fillId="0" borderId="0" xfId="0" applyFont="1" applyAlignment="1">
      <alignment vertical="center"/>
    </xf>
    <xf numFmtId="0" fontId="27" fillId="7" borderId="0" xfId="0" applyFont="1" applyFill="1" applyProtection="1">
      <protection locked="0"/>
    </xf>
    <xf numFmtId="0" fontId="17" fillId="7" borderId="1" xfId="0" applyFont="1" applyFill="1" applyBorder="1" applyProtection="1">
      <protection locked="0"/>
    </xf>
    <xf numFmtId="10" fontId="33" fillId="7" borderId="0" xfId="0" applyNumberFormat="1" applyFont="1" applyFill="1" applyAlignment="1">
      <alignment horizontal="center" vertical="center"/>
    </xf>
    <xf numFmtId="0" fontId="33" fillId="7" borderId="0" xfId="0" applyFont="1" applyFill="1" applyAlignment="1">
      <alignment horizontal="left"/>
    </xf>
    <xf numFmtId="0" fontId="33" fillId="7" borderId="0" xfId="0" applyFont="1" applyFill="1" applyAlignment="1">
      <alignment horizontal="center"/>
    </xf>
    <xf numFmtId="0" fontId="33" fillId="0" borderId="0" xfId="0" applyFont="1" applyAlignment="1">
      <alignment horizontal="center"/>
    </xf>
    <xf numFmtId="0" fontId="38" fillId="0" borderId="1" xfId="0" applyFont="1" applyBorder="1" applyAlignment="1">
      <alignment horizontal="center" vertical="center"/>
    </xf>
    <xf numFmtId="0" fontId="8" fillId="0" borderId="0" xfId="0" applyFont="1"/>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5" fillId="10" borderId="1" xfId="0" applyFont="1" applyFill="1" applyBorder="1" applyAlignment="1" applyProtection="1">
      <alignment horizontal="center" vertical="center" wrapText="1"/>
      <protection locked="0"/>
    </xf>
    <xf numFmtId="0" fontId="27" fillId="10" borderId="1" xfId="0" applyFont="1" applyFill="1" applyBorder="1" applyAlignment="1" applyProtection="1">
      <alignment horizontal="center" vertical="center" wrapText="1"/>
      <protection locked="0"/>
    </xf>
    <xf numFmtId="0" fontId="27" fillId="10" borderId="1" xfId="0" applyFont="1" applyFill="1" applyBorder="1" applyAlignment="1" applyProtection="1">
      <alignment horizontal="center" vertical="center"/>
      <protection locked="0"/>
    </xf>
    <xf numFmtId="0" fontId="27" fillId="0" borderId="18"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17" fillId="0" borderId="18" xfId="0" applyFont="1" applyBorder="1" applyAlignment="1" applyProtection="1">
      <alignment horizontal="right" vertical="center"/>
      <protection locked="0"/>
    </xf>
    <xf numFmtId="0" fontId="0" fillId="0" borderId="20" xfId="0" applyBorder="1" applyProtection="1">
      <protection locked="0"/>
    </xf>
    <xf numFmtId="0" fontId="0" fillId="0" borderId="21" xfId="0" applyBorder="1" applyProtection="1">
      <protection locked="0"/>
    </xf>
    <xf numFmtId="0" fontId="0" fillId="0" borderId="19" xfId="0" applyBorder="1" applyProtection="1">
      <protection locked="0"/>
    </xf>
    <xf numFmtId="0" fontId="0" fillId="0" borderId="17" xfId="0" applyBorder="1" applyProtection="1">
      <protection locked="0"/>
    </xf>
    <xf numFmtId="0" fontId="0" fillId="0" borderId="22" xfId="0" applyBorder="1" applyProtection="1">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35" fillId="10" borderId="2" xfId="0" applyFont="1" applyFill="1" applyBorder="1" applyAlignment="1" applyProtection="1">
      <alignment horizontal="center" vertical="center" wrapText="1"/>
      <protection locked="0"/>
    </xf>
    <xf numFmtId="0" fontId="17" fillId="10" borderId="3"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27" fillId="8" borderId="3" xfId="0"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vertical="center"/>
      <protection locked="0"/>
    </xf>
    <xf numFmtId="0" fontId="17" fillId="10" borderId="1"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13" borderId="4" xfId="0" applyFill="1" applyBorder="1" applyAlignment="1">
      <alignment horizontal="center"/>
    </xf>
    <xf numFmtId="0" fontId="0" fillId="13" borderId="5" xfId="0" applyFill="1" applyBorder="1" applyAlignment="1">
      <alignment horizontal="center"/>
    </xf>
    <xf numFmtId="0" fontId="0" fillId="13" borderId="5" xfId="0" applyFill="1" applyBorder="1"/>
    <xf numFmtId="0" fontId="0" fillId="13" borderId="6" xfId="0" applyFill="1" applyBorder="1"/>
    <xf numFmtId="0" fontId="11" fillId="0" borderId="2" xfId="0" applyFont="1" applyBorder="1" applyAlignment="1">
      <alignment horizontal="center" vertical="center"/>
    </xf>
    <xf numFmtId="0" fontId="5" fillId="5" borderId="1" xfId="0" applyFont="1" applyFill="1" applyBorder="1" applyAlignment="1">
      <alignment horizontal="center" wrapText="1"/>
    </xf>
    <xf numFmtId="0" fontId="6" fillId="5" borderId="1" xfId="0" applyFont="1" applyFill="1" applyBorder="1" applyAlignment="1">
      <alignment horizontal="center" wrapText="1"/>
    </xf>
    <xf numFmtId="0" fontId="0" fillId="2" borderId="1" xfId="0" applyFill="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25" fillId="0" borderId="4" xfId="0" applyFont="1" applyBorder="1" applyAlignment="1">
      <alignment horizontal="center"/>
    </xf>
    <xf numFmtId="0" fontId="0" fillId="0" borderId="6" xfId="0" applyBorder="1"/>
    <xf numFmtId="0" fontId="0" fillId="3" borderId="4" xfId="0" applyFill="1" applyBorder="1" applyAlignment="1">
      <alignment horizontal="center"/>
    </xf>
    <xf numFmtId="0" fontId="0" fillId="3" borderId="5" xfId="0" applyFill="1" applyBorder="1" applyAlignment="1">
      <alignment horizontal="center"/>
    </xf>
    <xf numFmtId="0" fontId="0" fillId="3" borderId="5" xfId="0" applyFill="1" applyBorder="1"/>
    <xf numFmtId="0" fontId="0" fillId="3" borderId="6" xfId="0" applyFill="1" applyBorder="1"/>
    <xf numFmtId="0" fontId="0" fillId="0" borderId="1" xfId="0" applyBorder="1" applyAlignment="1">
      <alignment horizontal="center" vertical="center" wrapText="1"/>
    </xf>
    <xf numFmtId="0" fontId="0" fillId="4" borderId="1" xfId="0" applyFill="1" applyBorder="1" applyAlignment="1">
      <alignment horizontal="center"/>
    </xf>
    <xf numFmtId="0" fontId="0" fillId="0" borderId="1" xfId="0" applyBorder="1" applyAlignment="1">
      <alignment horizont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0" fontId="37" fillId="0" borderId="2" xfId="0" applyFont="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5" fillId="5" borderId="4" xfId="0" applyFont="1" applyFill="1" applyBorder="1" applyAlignment="1">
      <alignment horizontal="center" wrapText="1"/>
    </xf>
    <xf numFmtId="0" fontId="0" fillId="0" borderId="6" xfId="0" applyBorder="1" applyAlignment="1">
      <alignment horizont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6" fillId="5" borderId="2" xfId="0" applyFont="1" applyFill="1"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cellXfs>
  <cellStyles count="1">
    <cellStyle name="一般" xfId="0" builtinId="0"/>
  </cellStyles>
  <dxfs count="0"/>
  <tableStyles count="0" defaultTableStyle="TableStyleMedium2" defaultPivotStyle="PivotStyleMedium9"/>
  <colors>
    <mruColors>
      <color rgb="FF0000FF"/>
      <color rgb="FFCCFFCC"/>
      <color rgb="FFCCECFF"/>
      <color rgb="FF99FF99"/>
      <color rgb="FFFFFF66"/>
      <color rgb="FFFFFF99"/>
      <color rgb="FFFFFFCC"/>
      <color rgb="FFFFD757"/>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慧盈之「初稿案」申請服務費在專利佈局總成本</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(T</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 </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 </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A+C+R+M)</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中之佔比分析</a:t>
            </a:r>
            <a:endPar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endParaRPr>
          </a:p>
        </c:rich>
      </c:tx>
      <c:layout>
        <c:manualLayout>
          <c:xMode val="edge"/>
          <c:yMode val="edge"/>
          <c:x val="1.9321890708552763E-2"/>
          <c:y val="2.9729308777920089E-2"/>
        </c:manualLayout>
      </c:layout>
      <c:overlay val="0"/>
    </c:title>
    <c:autoTitleDeleted val="0"/>
    <c:plotArea>
      <c:layout>
        <c:manualLayout>
          <c:layoutTarget val="inner"/>
          <c:xMode val="edge"/>
          <c:yMode val="edge"/>
          <c:x val="7.8770383483109885E-2"/>
          <c:y val="0.18504561224941479"/>
          <c:w val="0.88603198009470496"/>
          <c:h val="0.71412854989520091"/>
        </c:manualLayout>
      </c:layout>
      <c:barChart>
        <c:barDir val="bar"/>
        <c:grouping val="stacked"/>
        <c:varyColors val="0"/>
        <c:ser>
          <c:idx val="0"/>
          <c:order val="0"/>
          <c:invertIfNegative val="0"/>
          <c:dPt>
            <c:idx val="0"/>
            <c:invertIfNegative val="0"/>
            <c:bubble3D val="0"/>
            <c:spPr>
              <a:gradFill>
                <a:gsLst>
                  <a:gs pos="0">
                    <a:srgbClr val="00B050"/>
                  </a:gs>
                  <a:gs pos="50000">
                    <a:srgbClr val="99FF99"/>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10A2-45BA-AE4B-588ACF04F8D2}"/>
              </c:ext>
            </c:extLst>
          </c:dPt>
          <c:dPt>
            <c:idx val="1"/>
            <c:invertIfNegative val="0"/>
            <c:bubble3D val="0"/>
            <c:spPr>
              <a:gradFill>
                <a:gsLst>
                  <a:gs pos="0">
                    <a:srgbClr val="7030A0"/>
                  </a:gs>
                  <a:gs pos="40000">
                    <a:srgbClr val="CC99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10A2-45BA-AE4B-588ACF04F8D2}"/>
              </c:ext>
            </c:extLst>
          </c:dPt>
          <c:dPt>
            <c:idx val="2"/>
            <c:invertIfNegative val="0"/>
            <c:bubble3D val="0"/>
            <c:spPr>
              <a:gradFill>
                <a:gsLst>
                  <a:gs pos="0">
                    <a:srgbClr val="99FF99"/>
                  </a:gs>
                  <a:gs pos="50000">
                    <a:srgbClr val="CCFFCC"/>
                  </a:gs>
                  <a:gs pos="100000">
                    <a:schemeClr val="bg1"/>
                  </a:gs>
                </a:gsLst>
                <a:lin ang="5400000" scaled="0"/>
              </a:gradFill>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10A2-45BA-AE4B-588ACF04F8D2}"/>
              </c:ext>
            </c:extLst>
          </c:dPt>
          <c:dLbls>
            <c:dLbl>
              <c:idx val="0"/>
              <c:layout>
                <c:manualLayout>
                  <c:x val="7.2377406542596376E-2"/>
                  <c:y val="-0.17283954351004904"/>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0A2-45BA-AE4B-588ACF04F8D2}"/>
                </c:ext>
              </c:extLst>
            </c:dLbl>
            <c:dLbl>
              <c:idx val="1"/>
              <c:layout>
                <c:manualLayout>
                  <c:x val="-0.12929792412924651"/>
                  <c:y val="-0.17563904537575184"/>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0A2-45BA-AE4B-588ACF04F8D2}"/>
                </c:ext>
              </c:extLst>
            </c:dLbl>
            <c:dLbl>
              <c:idx val="2"/>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0A2-45BA-AE4B-588ACF04F8D2}"/>
                </c:ext>
              </c:extLst>
            </c:dLbl>
            <c:numFmt formatCode="#,##0_);[Red]\(#,##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ct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cat>
            <c:strRef>
              <c:f>'P(M)'!$BY$15:$BZ$16</c:f>
              <c:strCache>
                <c:ptCount val="2"/>
                <c:pt idx="0">
                  <c:v>「初稿案」申請服務費</c:v>
                </c:pt>
                <c:pt idx="1">
                  <c:v>專利布局總成本(T = A+C+R+M)</c:v>
                </c:pt>
              </c:strCache>
            </c:strRef>
          </c:cat>
          <c:val>
            <c:numRef>
              <c:f>'P(M)'!$BY$38:$BZ$38</c:f>
              <c:numCache>
                <c:formatCode>#,##0_ </c:formatCode>
                <c:ptCount val="2"/>
                <c:pt idx="0">
                  <c:v>85000</c:v>
                </c:pt>
                <c:pt idx="1">
                  <c:v>6051912.2599999998</c:v>
                </c:pt>
              </c:numCache>
            </c:numRef>
          </c:val>
          <c:extLst>
            <c:ext xmlns:c16="http://schemas.microsoft.com/office/drawing/2014/chart" uri="{C3380CC4-5D6E-409C-BE32-E72D297353CC}">
              <c16:uniqueId val="{00000006-10A2-45BA-AE4B-588ACF04F8D2}"/>
            </c:ext>
          </c:extLst>
        </c:ser>
        <c:dLbls>
          <c:showLegendKey val="0"/>
          <c:showVal val="0"/>
          <c:showCatName val="0"/>
          <c:showSerName val="0"/>
          <c:showPercent val="0"/>
          <c:showBubbleSize val="0"/>
        </c:dLbls>
        <c:gapWidth val="200"/>
        <c:overlap val="100"/>
        <c:axId val="2034351887"/>
        <c:axId val="2034352719"/>
      </c:barChart>
      <c:valAx>
        <c:axId val="2034352719"/>
        <c:scaling>
          <c:orientation val="minMax"/>
        </c:scaling>
        <c:delete val="0"/>
        <c:axPos val="b"/>
        <c:majorGridlines>
          <c:spPr>
            <a:ln>
              <a:prstDash val="sysDot"/>
            </a:ln>
          </c:spPr>
        </c:majorGridlines>
        <c:numFmt formatCode="#,##0_ " sourceLinked="1"/>
        <c:majorTickMark val="out"/>
        <c:minorTickMark val="none"/>
        <c:tickLblPos val="nextTo"/>
        <c:txPr>
          <a:bodyPr/>
          <a:lstStyle/>
          <a:p>
            <a:pPr>
              <a:defRPr sz="1200" b="1">
                <a:latin typeface="Times New Roman" panose="02020603050405020304" pitchFamily="18" charset="0"/>
                <a:cs typeface="Times New Roman" panose="02020603050405020304" pitchFamily="18" charset="0"/>
              </a:defRPr>
            </a:pPr>
            <a:endParaRPr lang="zh-TW"/>
          </a:p>
        </c:txPr>
        <c:crossAx val="2034351887"/>
        <c:crosses val="autoZero"/>
        <c:crossBetween val="between"/>
      </c:valAx>
      <c:catAx>
        <c:axId val="2034351887"/>
        <c:scaling>
          <c:orientation val="minMax"/>
        </c:scaling>
        <c:delete val="1"/>
        <c:axPos val="l"/>
        <c:numFmt formatCode="General" sourceLinked="1"/>
        <c:majorTickMark val="out"/>
        <c:minorTickMark val="none"/>
        <c:tickLblPos val="nextTo"/>
        <c:crossAx val="2034352719"/>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專利申請費用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與</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其他</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(C+R+M)</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加總分析</a:t>
            </a:r>
            <a:endParaRPr lang="zh-TW" altLang="zh-TW" sz="1400" b="0">
              <a:effectLst/>
              <a:latin typeface="Times New Roman" panose="02020603050405020304" pitchFamily="18" charset="0"/>
              <a:ea typeface="標楷體" panose="03000509000000000000" pitchFamily="65" charset="-120"/>
              <a:cs typeface="Times New Roman" panose="02020603050405020304" pitchFamily="18" charset="0"/>
            </a:endParaRPr>
          </a:p>
        </c:rich>
      </c:tx>
      <c:layout>
        <c:manualLayout>
          <c:xMode val="edge"/>
          <c:yMode val="edge"/>
          <c:x val="0.35504307462638812"/>
          <c:y val="6.9135600068488082E-2"/>
        </c:manualLayout>
      </c:layout>
      <c:overlay val="0"/>
    </c:title>
    <c:autoTitleDeleted val="0"/>
    <c:plotArea>
      <c:layout>
        <c:manualLayout>
          <c:layoutTarget val="inner"/>
          <c:xMode val="edge"/>
          <c:yMode val="edge"/>
          <c:x val="1.6645654116771994E-2"/>
          <c:y val="0.12911140612502564"/>
          <c:w val="0.94746854964802474"/>
          <c:h val="0.83101127094354932"/>
        </c:manualLayout>
      </c:layout>
      <c:ofPieChart>
        <c:ofPieType val="pie"/>
        <c:varyColors val="1"/>
        <c:ser>
          <c:idx val="0"/>
          <c:order val="0"/>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162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88D8-47BD-8EC6-1CA8595C94B3}"/>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88D8-47BD-8EC6-1CA8595C94B3}"/>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88D8-47BD-8EC6-1CA8595C94B3}"/>
              </c:ext>
            </c:extLst>
          </c:dPt>
          <c:dPt>
            <c:idx val="3"/>
            <c:bubble3D val="0"/>
            <c:spPr>
              <a:gradFill>
                <a:gsLst>
                  <a:gs pos="0">
                    <a:srgbClr val="FFC000"/>
                  </a:gs>
                  <a:gs pos="50000">
                    <a:srgbClr val="FFCC99"/>
                  </a:gs>
                  <a:gs pos="100000">
                    <a:schemeClr val="bg1"/>
                  </a:gs>
                </a:gsLst>
                <a:lin ang="8100000" scaled="1"/>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7-88D8-47BD-8EC6-1CA8595C94B3}"/>
              </c:ext>
            </c:extLst>
          </c:dPt>
          <c:dPt>
            <c:idx val="4"/>
            <c:bubble3D val="0"/>
            <c:spPr>
              <a:gradFill>
                <a:gsLst>
                  <a:gs pos="0">
                    <a:srgbClr val="CCECFF"/>
                  </a:gs>
                  <a:gs pos="50000">
                    <a:srgbClr val="CCE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9-88D8-47BD-8EC6-1CA8595C94B3}"/>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D8-47BD-8EC6-1CA8595C94B3}"/>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D8-47BD-8EC6-1CA8595C94B3}"/>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D8-47BD-8EC6-1CA8595C94B3}"/>
                </c:ext>
              </c:extLst>
            </c:dLbl>
            <c:dLbl>
              <c:idx val="3"/>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D8-47BD-8EC6-1CA8595C94B3}"/>
                </c:ext>
              </c:extLst>
            </c:dLbl>
            <c:dLbl>
              <c:idx val="4"/>
              <c:tx>
                <c:rich>
                  <a:bodyPr/>
                  <a:lstStyle/>
                  <a:p>
                    <a:r>
                      <a:rPr lang="zh-TW" altLang="en-US" baseline="0"/>
                      <a:t>申請費用</a:t>
                    </a:r>
                    <a:r>
                      <a:rPr lang="en-US" altLang="zh-TW" baseline="0"/>
                      <a:t>(A)
</a:t>
                    </a:r>
                    <a:fld id="{97B56B14-ECD6-42B9-A444-BA392EE1FED0}" type="VALUE">
                      <a:rPr lang="en-US" altLang="zh-TW" baseline="0"/>
                      <a:pPr/>
                      <a:t>[值]</a:t>
                    </a:fld>
                    <a:r>
                      <a:rPr lang="en-US" altLang="zh-TW" baseline="0"/>
                      <a:t>
</a:t>
                    </a:r>
                    <a:fld id="{0344FA96-8415-4842-931B-A6AE0DA28647}" type="PERCENTAGE">
                      <a:rPr lang="en-US" altLang="zh-TW" baseline="0"/>
                      <a:pPr/>
                      <a:t>[百分比]</a:t>
                    </a:fld>
                    <a:endParaRPr lang="en-US" altLang="zh-TW"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0505621438085448"/>
                      <c:h val="0.20327832011613919"/>
                    </c:manualLayout>
                  </c15:layout>
                  <c15:dlblFieldTable/>
                  <c15:showDataLabelsRange val="0"/>
                </c:ext>
                <c:ext xmlns:c16="http://schemas.microsoft.com/office/drawing/2014/chart" uri="{C3380CC4-5D6E-409C-BE32-E72D297353CC}">
                  <c16:uniqueId val="{00000009-88D8-47BD-8EC6-1CA8595C94B3}"/>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'P(M)'!$BT$15:$BW$16</c:f>
              <c:strCache>
                <c:ptCount val="4"/>
                <c:pt idx="0">
                  <c:v>官方費用(A1)</c:v>
                </c:pt>
                <c:pt idx="1">
                  <c:v>外國代理人費用(A2)</c:v>
                </c:pt>
                <c:pt idx="2">
                  <c:v>慧盈服務費(A3)</c:v>
                </c:pt>
                <c:pt idx="3">
                  <c:v>領證+答辯+後續年費(C+R+M)</c:v>
                </c:pt>
              </c:strCache>
            </c:strRef>
          </c:cat>
          <c:val>
            <c:numRef>
              <c:f>'P(M)'!$BT$38:$BW$38</c:f>
              <c:numCache>
                <c:formatCode>#,##0_ </c:formatCode>
                <c:ptCount val="4"/>
                <c:pt idx="0">
                  <c:v>243477.9</c:v>
                </c:pt>
                <c:pt idx="1">
                  <c:v>273831.2</c:v>
                </c:pt>
                <c:pt idx="2">
                  <c:v>355000</c:v>
                </c:pt>
                <c:pt idx="3">
                  <c:v>5179603.16</c:v>
                </c:pt>
              </c:numCache>
            </c:numRef>
          </c:val>
          <c:extLst>
            <c:ext xmlns:c16="http://schemas.microsoft.com/office/drawing/2014/chart" uri="{C3380CC4-5D6E-409C-BE32-E72D297353CC}">
              <c16:uniqueId val="{0000000A-88D8-47BD-8EC6-1CA8595C94B3}"/>
            </c:ext>
          </c:extLst>
        </c:ser>
        <c:dLbls>
          <c:dLblPos val="bestFit"/>
          <c:showLegendKey val="0"/>
          <c:showVal val="0"/>
          <c:showCatName val="1"/>
          <c:showSerName val="0"/>
          <c:showPercent val="1"/>
          <c:showBubbleSize val="0"/>
          <c:showLeaderLines val="1"/>
        </c:dLbls>
        <c:gapWidth val="105"/>
        <c:splitType val="cust"/>
        <c:custSplit>
          <c:secondPiePt val="0"/>
          <c:secondPiePt val="1"/>
          <c:secondPiePt val="2"/>
        </c:custSplit>
        <c:secondPieSize val="90"/>
        <c:serLines/>
      </c:of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領證</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(C)</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(C = C1+C2+C3)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245044439986952"/>
          <c:y val="0.14205565032868545"/>
          <c:w val="0.73672812910964747"/>
          <c:h val="0.79868026723932239"/>
        </c:manualLayout>
      </c:layout>
      <c:pieChart>
        <c:varyColors val="1"/>
        <c:ser>
          <c:idx val="0"/>
          <c:order val="0"/>
          <c:tx>
            <c:v>專利領證費之成本結構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68C7-4742-BA01-C4A74633B97F}"/>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68C7-4742-BA01-C4A74633B97F}"/>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68C7-4742-BA01-C4A74633B97F}"/>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8C7-4742-BA01-C4A74633B97F}"/>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8C7-4742-BA01-C4A74633B97F}"/>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8C7-4742-BA01-C4A74633B97F}"/>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'P(M)'!$BB$15:$BD$16</c:f>
              <c:strCache>
                <c:ptCount val="3"/>
                <c:pt idx="0">
                  <c:v>官方費用(C1)</c:v>
                </c:pt>
                <c:pt idx="1">
                  <c:v>外國代理人費用(C2)</c:v>
                </c:pt>
                <c:pt idx="2">
                  <c:v>慧盈服務費(C3)</c:v>
                </c:pt>
              </c:strCache>
            </c:strRef>
          </c:cat>
          <c:val>
            <c:numRef>
              <c:f>'P(M)'!$BB$38:$BD$38</c:f>
              <c:numCache>
                <c:formatCode>#,##0_ </c:formatCode>
                <c:ptCount val="3"/>
                <c:pt idx="0">
                  <c:v>82847.679999999993</c:v>
                </c:pt>
                <c:pt idx="1">
                  <c:v>147928</c:v>
                </c:pt>
                <c:pt idx="2">
                  <c:v>25000</c:v>
                </c:pt>
              </c:numCache>
            </c:numRef>
          </c:val>
          <c:extLst>
            <c:ext xmlns:c16="http://schemas.microsoft.com/office/drawing/2014/chart" uri="{C3380CC4-5D6E-409C-BE32-E72D297353CC}">
              <c16:uniqueId val="{00000006-68C7-4742-BA01-C4A74633B97F}"/>
            </c:ext>
          </c:extLst>
        </c:ser>
        <c:dLbls>
          <c:showLegendKey val="0"/>
          <c:showVal val="0"/>
          <c:showCatName val="1"/>
          <c:showSerName val="0"/>
          <c:showPercent val="1"/>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專利申請費用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 = A1+A2+A3)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884084477919722"/>
          <c:y val="0.14968570980392157"/>
          <c:w val="0.73672812910964747"/>
          <c:h val="0.79868026723932239"/>
        </c:manualLayout>
      </c:layout>
      <c:pieChart>
        <c:varyColors val="1"/>
        <c:ser>
          <c:idx val="0"/>
          <c:order val="0"/>
          <c:tx>
            <c:v>專利申請費之成本結構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5DC4-4D9C-B0A5-AFEAFF5CD650}"/>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5DC4-4D9C-B0A5-AFEAFF5CD650}"/>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5DC4-4D9C-B0A5-AFEAFF5CD650}"/>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DC4-4D9C-B0A5-AFEAFF5CD650}"/>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DC4-4D9C-B0A5-AFEAFF5CD650}"/>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DC4-4D9C-B0A5-AFEAFF5CD650}"/>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'P(M)'!$AD$15:$AF$16</c:f>
              <c:strCache>
                <c:ptCount val="3"/>
                <c:pt idx="0">
                  <c:v>官方費用(A1)</c:v>
                </c:pt>
                <c:pt idx="1">
                  <c:v>外國代理人費用(A2)</c:v>
                </c:pt>
                <c:pt idx="2">
                  <c:v>慧盈服務費(A3)</c:v>
                </c:pt>
              </c:strCache>
            </c:strRef>
          </c:cat>
          <c:val>
            <c:numRef>
              <c:f>'P(M)'!$AD$38:$AF$38</c:f>
              <c:numCache>
                <c:formatCode>#,##0_ </c:formatCode>
                <c:ptCount val="3"/>
                <c:pt idx="0">
                  <c:v>243477.9</c:v>
                </c:pt>
                <c:pt idx="1">
                  <c:v>273831.2</c:v>
                </c:pt>
                <c:pt idx="2">
                  <c:v>355000</c:v>
                </c:pt>
              </c:numCache>
            </c:numRef>
          </c:val>
          <c:extLst>
            <c:ext xmlns:c16="http://schemas.microsoft.com/office/drawing/2014/chart" uri="{C3380CC4-5D6E-409C-BE32-E72D297353CC}">
              <c16:uniqueId val="{00000006-5DC4-4D9C-B0A5-AFEAFF5CD650}"/>
            </c:ext>
          </c:extLst>
        </c:ser>
        <c:dLbls>
          <c:showLegendKey val="0"/>
          <c:showVal val="0"/>
          <c:showCatName val="1"/>
          <c:showSerName val="0"/>
          <c:showPercent val="1"/>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答辯</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(R)</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(R = R1+R2+R3)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245044439986952"/>
          <c:y val="0.14205565032868545"/>
          <c:w val="0.73672812910964747"/>
          <c:h val="0.79868026723932239"/>
        </c:manualLayout>
      </c:layout>
      <c:pieChart>
        <c:varyColors val="1"/>
        <c:ser>
          <c:idx val="0"/>
          <c:order val="0"/>
          <c:tx>
            <c:v>專利答辯費之成本結構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68C7-4742-BA01-C4A74633B97F}"/>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68C7-4742-BA01-C4A74633B97F}"/>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68C7-4742-BA01-C4A74633B97F}"/>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8C7-4742-BA01-C4A74633B97F}"/>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8C7-4742-BA01-C4A74633B97F}"/>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8C7-4742-BA01-C4A74633B97F}"/>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'P(M)'!$AD$44:$AF$45</c:f>
              <c:strCache>
                <c:ptCount val="3"/>
                <c:pt idx="0">
                  <c:v>官方費用(R1)</c:v>
                </c:pt>
                <c:pt idx="1">
                  <c:v>外國代理人費用(R2)</c:v>
                </c:pt>
                <c:pt idx="2">
                  <c:v>慧盈服務費(R3)</c:v>
                </c:pt>
              </c:strCache>
            </c:strRef>
          </c:cat>
          <c:val>
            <c:numRef>
              <c:f>'P(M)'!$AD$67:$AF$67</c:f>
              <c:numCache>
                <c:formatCode>#,##0_ </c:formatCode>
                <c:ptCount val="3"/>
                <c:pt idx="0">
                  <c:v>86850</c:v>
                </c:pt>
                <c:pt idx="1">
                  <c:v>334614.8</c:v>
                </c:pt>
                <c:pt idx="2">
                  <c:v>330000</c:v>
                </c:pt>
              </c:numCache>
            </c:numRef>
          </c:val>
          <c:extLst>
            <c:ext xmlns:c16="http://schemas.microsoft.com/office/drawing/2014/chart" uri="{C3380CC4-5D6E-409C-BE32-E72D297353CC}">
              <c16:uniqueId val="{00000006-68C7-4742-BA01-C4A74633B97F}"/>
            </c:ext>
          </c:extLst>
        </c:ser>
        <c:dLbls>
          <c:showLegendKey val="0"/>
          <c:showVal val="0"/>
          <c:showCatName val="1"/>
          <c:showSerName val="0"/>
          <c:showPercent val="1"/>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後續年</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(M)</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(M = M1+M2+M3)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884084477919722"/>
          <c:y val="0.14968570980392157"/>
          <c:w val="0.73672812910964747"/>
          <c:h val="0.79868026723932239"/>
        </c:manualLayout>
      </c:layout>
      <c:pieChart>
        <c:varyColors val="1"/>
        <c:ser>
          <c:idx val="0"/>
          <c:order val="0"/>
          <c:tx>
            <c:v>專利後續年費之成本結構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5DC4-4D9C-B0A5-AFEAFF5CD650}"/>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5DC4-4D9C-B0A5-AFEAFF5CD650}"/>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5DC4-4D9C-B0A5-AFEAFF5CD650}"/>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DC4-4D9C-B0A5-AFEAFF5CD650}"/>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DC4-4D9C-B0A5-AFEAFF5CD650}"/>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DC4-4D9C-B0A5-AFEAFF5CD650}"/>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'P(M)'!$BB$44:$BD$45</c:f>
              <c:strCache>
                <c:ptCount val="3"/>
                <c:pt idx="0">
                  <c:v>官方費用(M1)</c:v>
                </c:pt>
                <c:pt idx="1">
                  <c:v>外國代理人費用(M2)</c:v>
                </c:pt>
                <c:pt idx="2">
                  <c:v>慧盈服務費(M3)</c:v>
                </c:pt>
              </c:strCache>
            </c:strRef>
          </c:cat>
          <c:val>
            <c:numRef>
              <c:f>'P(M)'!$BB$67:$BD$67</c:f>
              <c:numCache>
                <c:formatCode>#,##0_ </c:formatCode>
                <c:ptCount val="3"/>
                <c:pt idx="0">
                  <c:v>2706880.8800000004</c:v>
                </c:pt>
                <c:pt idx="1">
                  <c:v>646481.80000000005</c:v>
                </c:pt>
                <c:pt idx="2">
                  <c:v>819000</c:v>
                </c:pt>
              </c:numCache>
            </c:numRef>
          </c:val>
          <c:extLst>
            <c:ext xmlns:c16="http://schemas.microsoft.com/office/drawing/2014/chart" uri="{C3380CC4-5D6E-409C-BE32-E72D297353CC}">
              <c16:uniqueId val="{00000006-5DC4-4D9C-B0A5-AFEAFF5CD650}"/>
            </c:ext>
          </c:extLst>
        </c:ser>
        <c:dLbls>
          <c:showLegendKey val="0"/>
          <c:showVal val="0"/>
          <c:showCatName val="1"/>
          <c:showSerName val="0"/>
          <c:showPercent val="1"/>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a:latin typeface="Times New Roman" panose="02020603050405020304" pitchFamily="18" charset="0"/>
                <a:ea typeface="標楷體" panose="03000509000000000000" pitchFamily="65" charset="-120"/>
                <a:cs typeface="Times New Roman" panose="02020603050405020304" pitchFamily="18" charset="0"/>
              </a:rPr>
              <a:t>「專利申請費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」與「領證費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＋後續年費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(M)</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」之比較</a:t>
            </a:r>
          </a:p>
        </c:rich>
      </c:tx>
      <c:layout>
        <c:manualLayout>
          <c:xMode val="edge"/>
          <c:yMode val="edge"/>
          <c:x val="0.15435140761661775"/>
          <c:y val="1.8833564674757684E-2"/>
        </c:manualLayout>
      </c:layout>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clustered"/>
        <c:varyColors val="0"/>
        <c:ser>
          <c:idx val="0"/>
          <c:order val="0"/>
          <c:tx>
            <c:strRef>
              <c:f>'P(M)'!$BG$15:$BG$16</c:f>
              <c:strCache>
                <c:ptCount val="2"/>
                <c:pt idx="0">
                  <c:v>申請費用(A)</c:v>
                </c:pt>
              </c:strCache>
            </c:strRef>
          </c:tx>
          <c:spPr>
            <a:solidFill>
              <a:srgbClr val="CCE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'P(M)'!$BG$17:$BG$37</c:f>
              <c:numCache>
                <c:formatCode>#,##0_ </c:formatCode>
                <c:ptCount val="21"/>
                <c:pt idx="0">
                  <c:v>94100</c:v>
                </c:pt>
                <c:pt idx="1">
                  <c:v>0</c:v>
                </c:pt>
                <c:pt idx="2">
                  <c:v>41630</c:v>
                </c:pt>
                <c:pt idx="3">
                  <c:v>0</c:v>
                </c:pt>
                <c:pt idx="4">
                  <c:v>101400</c:v>
                </c:pt>
                <c:pt idx="5">
                  <c:v>113390.50000000001</c:v>
                </c:pt>
                <c:pt idx="6">
                  <c:v>134265</c:v>
                </c:pt>
                <c:pt idx="7">
                  <c:v>0</c:v>
                </c:pt>
                <c:pt idx="8">
                  <c:v>131750</c:v>
                </c:pt>
                <c:pt idx="9">
                  <c:v>0</c:v>
                </c:pt>
                <c:pt idx="10">
                  <c:v>79933.399999999994</c:v>
                </c:pt>
                <c:pt idx="11">
                  <c:v>119770</c:v>
                </c:pt>
                <c:pt idx="12">
                  <c:v>56070.2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86E-47FD-86A4-BCCC4FA228A8}"/>
            </c:ext>
          </c:extLst>
        </c:ser>
        <c:ser>
          <c:idx val="1"/>
          <c:order val="1"/>
          <c:tx>
            <c:strRef>
              <c:f>'P(M)'!$BN$15:$BN$16</c:f>
              <c:strCache>
                <c:ptCount val="2"/>
                <c:pt idx="0">
                  <c:v>領證+後續年費(C+M)</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'P(M)'!$BN$17:$BN$37</c:f>
              <c:numCache>
                <c:formatCode>#,##0_ </c:formatCode>
                <c:ptCount val="21"/>
                <c:pt idx="0">
                  <c:v>274500</c:v>
                </c:pt>
                <c:pt idx="1">
                  <c:v>0</c:v>
                </c:pt>
                <c:pt idx="2">
                  <c:v>419481</c:v>
                </c:pt>
                <c:pt idx="3">
                  <c:v>0</c:v>
                </c:pt>
                <c:pt idx="4">
                  <c:v>225960</c:v>
                </c:pt>
                <c:pt idx="5">
                  <c:v>1565650</c:v>
                </c:pt>
                <c:pt idx="6">
                  <c:v>418396</c:v>
                </c:pt>
                <c:pt idx="7">
                  <c:v>0</c:v>
                </c:pt>
                <c:pt idx="8">
                  <c:v>464775</c:v>
                </c:pt>
                <c:pt idx="9">
                  <c:v>0</c:v>
                </c:pt>
                <c:pt idx="10">
                  <c:v>261437.86</c:v>
                </c:pt>
                <c:pt idx="11">
                  <c:v>480087.5</c:v>
                </c:pt>
                <c:pt idx="12">
                  <c:v>317851</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86E-47FD-86A4-BCCC4FA228A8}"/>
            </c:ext>
          </c:extLst>
        </c:ser>
        <c:dLbls>
          <c:showLegendKey val="0"/>
          <c:showVal val="0"/>
          <c:showCatName val="0"/>
          <c:showSerName val="0"/>
          <c:showPercent val="0"/>
          <c:showBubbleSize val="0"/>
        </c:dLbls>
        <c:gapWidth val="30"/>
        <c:axId val="185535104"/>
        <c:axId val="185561472"/>
      </c:barChart>
      <c:catAx>
        <c:axId val="185535104"/>
        <c:scaling>
          <c:orientation val="minMax"/>
        </c:scaling>
        <c:delete val="0"/>
        <c:axPos val="b"/>
        <c:numFmt formatCode="General" sourceLinked="0"/>
        <c:majorTickMark val="out"/>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5561472"/>
        <c:crosses val="autoZero"/>
        <c:auto val="1"/>
        <c:lblAlgn val="ctr"/>
        <c:lblOffset val="0"/>
        <c:tickLblSkip val="1"/>
        <c:tickMarkSkip val="1"/>
        <c:noMultiLvlLbl val="0"/>
      </c:catAx>
      <c:valAx>
        <c:axId val="185561472"/>
        <c:scaling>
          <c:orientation val="minMax"/>
        </c:scaling>
        <c:delete val="0"/>
        <c:axPos val="l"/>
        <c:majorGridlines/>
        <c:title>
          <c:tx>
            <c:rich>
              <a:bodyPr rot="0" vert="horz"/>
              <a:lstStyle/>
              <a:p>
                <a:pPr>
                  <a:defRPr sz="1200" b="1">
                    <a:latin typeface="Times New Roman" panose="02020603050405020304" pitchFamily="18" charset="0"/>
                    <a:ea typeface="+mn-ea"/>
                    <a:cs typeface="Times New Roman" panose="02020603050405020304" pitchFamily="18" charset="0"/>
                  </a:defRPr>
                </a:pPr>
                <a:r>
                  <a:rPr lang="en-US" altLang="zh-TW" sz="1200" b="1">
                    <a:latin typeface="Times New Roman" panose="02020603050405020304" pitchFamily="18" charset="0"/>
                    <a:ea typeface="+mn-ea"/>
                    <a:cs typeface="Times New Roman" panose="02020603050405020304" pitchFamily="18" charset="0"/>
                  </a:rPr>
                  <a:t>(NTD)</a:t>
                </a:r>
                <a:endParaRPr lang="zh-TW" altLang="en-US" sz="1200" b="1">
                  <a:latin typeface="Times New Roman" panose="02020603050405020304" pitchFamily="18" charset="0"/>
                  <a:ea typeface="+mn-ea"/>
                  <a:cs typeface="Times New Roman" panose="02020603050405020304" pitchFamily="18" charset="0"/>
                </a:endParaRPr>
              </a:p>
            </c:rich>
          </c:tx>
          <c:layout>
            <c:manualLayout>
              <c:xMode val="edge"/>
              <c:yMode val="edge"/>
              <c:x val="2.4441251154491753E-2"/>
              <c:y val="2.8549505859071088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ea typeface="+mn-ea"/>
                <a:cs typeface="Times New Roman" panose="02020603050405020304" pitchFamily="18" charset="0"/>
              </a:defRPr>
            </a:pPr>
            <a:endParaRPr lang="zh-TW"/>
          </a:p>
        </c:txPr>
        <c:crossAx val="185535104"/>
        <c:crosses val="autoZero"/>
        <c:crossBetween val="between"/>
      </c:valAx>
      <c:spPr>
        <a:noFill/>
      </c:spPr>
    </c:plotArea>
    <c:legend>
      <c:legendPos val="t"/>
      <c:layout>
        <c:manualLayout>
          <c:xMode val="edge"/>
          <c:yMode val="edge"/>
          <c:x val="0.65950119445613997"/>
          <c:y val="2.5702378268933419E-2"/>
          <c:w val="0.31709818705764609"/>
          <c:h val="6.5354039215686263E-2"/>
        </c:manualLayout>
      </c:layout>
      <c:overlay val="1"/>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ea typeface="+mn-ea"/>
              </a:defRPr>
            </a:pPr>
            <a:r>
              <a:rPr lang="zh-TW" altLang="en-US" sz="1400">
                <a:latin typeface="+mn-lt"/>
                <a:ea typeface="+mn-ea"/>
              </a:rPr>
              <a:t>各地區之專利申請費用</a:t>
            </a:r>
            <a:r>
              <a:rPr lang="en-US" altLang="zh-TW" sz="1400">
                <a:latin typeface="+mn-lt"/>
                <a:ea typeface="+mn-ea"/>
              </a:rPr>
              <a:t>(C)</a:t>
            </a:r>
            <a:r>
              <a:rPr lang="zh-TW" altLang="en-US" sz="1400">
                <a:latin typeface="+mn-lt"/>
                <a:ea typeface="+mn-ea"/>
              </a:rPr>
              <a:t>與專利維護費用</a:t>
            </a:r>
            <a:r>
              <a:rPr lang="en-US" altLang="zh-TW" sz="1400">
                <a:latin typeface="+mn-lt"/>
                <a:ea typeface="+mn-ea"/>
              </a:rPr>
              <a:t>(F)</a:t>
            </a:r>
            <a:r>
              <a:rPr lang="zh-TW" altLang="en-US" sz="1400">
                <a:latin typeface="+mn-lt"/>
                <a:ea typeface="+mn-ea"/>
              </a:rPr>
              <a:t>比較</a:t>
            </a:r>
          </a:p>
        </c:rich>
      </c:tx>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stacked"/>
        <c:varyColors val="0"/>
        <c:ser>
          <c:idx val="0"/>
          <c:order val="0"/>
          <c:tx>
            <c:strRef>
              <c:f>'P(M)'!$BG$15:$BG$16</c:f>
              <c:strCache>
                <c:ptCount val="2"/>
                <c:pt idx="0">
                  <c:v>申請費用(A)</c:v>
                </c:pt>
              </c:strCache>
            </c:strRef>
          </c:tx>
          <c:spPr>
            <a:solidFill>
              <a:srgbClr val="99C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'P(M)'!$BG$17:$BG$37</c:f>
              <c:numCache>
                <c:formatCode>#,##0_ </c:formatCode>
                <c:ptCount val="21"/>
                <c:pt idx="0">
                  <c:v>94100</c:v>
                </c:pt>
                <c:pt idx="1">
                  <c:v>0</c:v>
                </c:pt>
                <c:pt idx="2">
                  <c:v>41630</c:v>
                </c:pt>
                <c:pt idx="3">
                  <c:v>0</c:v>
                </c:pt>
                <c:pt idx="4">
                  <c:v>101400</c:v>
                </c:pt>
                <c:pt idx="5">
                  <c:v>113390.50000000001</c:v>
                </c:pt>
                <c:pt idx="6">
                  <c:v>134265</c:v>
                </c:pt>
                <c:pt idx="7">
                  <c:v>0</c:v>
                </c:pt>
                <c:pt idx="8">
                  <c:v>131750</c:v>
                </c:pt>
                <c:pt idx="9">
                  <c:v>0</c:v>
                </c:pt>
                <c:pt idx="10">
                  <c:v>79933.399999999994</c:v>
                </c:pt>
                <c:pt idx="11">
                  <c:v>119770</c:v>
                </c:pt>
                <c:pt idx="12">
                  <c:v>56070.2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F02-4146-A80F-9F626C967CE2}"/>
            </c:ext>
          </c:extLst>
        </c:ser>
        <c:ser>
          <c:idx val="1"/>
          <c:order val="1"/>
          <c:tx>
            <c:strRef>
              <c:f>'P(M)'!$BI$15:$BI$16</c:f>
              <c:strCache>
                <c:ptCount val="2"/>
                <c:pt idx="0">
                  <c:v>領證費用(C)</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'P(M)'!$BI$17:$BI$37</c:f>
              <c:numCache>
                <c:formatCode>#,##0_ </c:formatCode>
                <c:ptCount val="21"/>
                <c:pt idx="0">
                  <c:v>2700</c:v>
                </c:pt>
                <c:pt idx="1">
                  <c:v>0</c:v>
                </c:pt>
                <c:pt idx="2">
                  <c:v>4641</c:v>
                </c:pt>
                <c:pt idx="3">
                  <c:v>0</c:v>
                </c:pt>
                <c:pt idx="4">
                  <c:v>25980</c:v>
                </c:pt>
                <c:pt idx="5">
                  <c:v>125977</c:v>
                </c:pt>
                <c:pt idx="6">
                  <c:v>9849</c:v>
                </c:pt>
                <c:pt idx="7">
                  <c:v>0</c:v>
                </c:pt>
                <c:pt idx="8">
                  <c:v>17775</c:v>
                </c:pt>
                <c:pt idx="9">
                  <c:v>0</c:v>
                </c:pt>
                <c:pt idx="10">
                  <c:v>23571.68</c:v>
                </c:pt>
                <c:pt idx="11">
                  <c:v>41360</c:v>
                </c:pt>
                <c:pt idx="12">
                  <c:v>3922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F02-4146-A80F-9F626C967CE2}"/>
            </c:ext>
          </c:extLst>
        </c:ser>
        <c:dLbls>
          <c:showLegendKey val="0"/>
          <c:showVal val="0"/>
          <c:showCatName val="0"/>
          <c:showSerName val="0"/>
          <c:showPercent val="0"/>
          <c:showBubbleSize val="0"/>
        </c:dLbls>
        <c:gapWidth val="30"/>
        <c:overlap val="100"/>
        <c:axId val="187956224"/>
        <c:axId val="183689984"/>
      </c:barChart>
      <c:catAx>
        <c:axId val="187956224"/>
        <c:scaling>
          <c:orientation val="minMax"/>
        </c:scaling>
        <c:delete val="0"/>
        <c:axPos val="b"/>
        <c:numFmt formatCode="General" sourceLinked="0"/>
        <c:majorTickMark val="out"/>
        <c:minorTickMark val="none"/>
        <c:tickLblPos val="nextTo"/>
        <c:txPr>
          <a:bodyPr/>
          <a:lstStyle/>
          <a:p>
            <a:pPr>
              <a:defRPr sz="1200" b="1">
                <a:latin typeface="+mn-ea"/>
                <a:ea typeface="+mn-ea"/>
              </a:defRPr>
            </a:pPr>
            <a:endParaRPr lang="zh-TW"/>
          </a:p>
        </c:txPr>
        <c:crossAx val="183689984"/>
        <c:crosses val="autoZero"/>
        <c:auto val="1"/>
        <c:lblAlgn val="ctr"/>
        <c:lblOffset val="0"/>
        <c:noMultiLvlLbl val="0"/>
      </c:catAx>
      <c:valAx>
        <c:axId val="183689984"/>
        <c:scaling>
          <c:orientation val="minMax"/>
        </c:scaling>
        <c:delete val="0"/>
        <c:axPos val="l"/>
        <c:majorGridlines/>
        <c:title>
          <c:tx>
            <c:rich>
              <a:bodyPr rot="0" vert="horz"/>
              <a:lstStyle/>
              <a:p>
                <a:pPr>
                  <a:defRPr sz="1200" b="1">
                    <a:latin typeface="+mn-lt"/>
                    <a:ea typeface="+mn-ea"/>
                  </a:defRPr>
                </a:pPr>
                <a:r>
                  <a:rPr lang="en-US" altLang="zh-TW" sz="1200" b="1">
                    <a:latin typeface="+mn-lt"/>
                    <a:ea typeface="+mn-ea"/>
                    <a:cs typeface="Times New Roman" panose="02020603050405020304" pitchFamily="18" charset="0"/>
                  </a:rPr>
                  <a:t>(NTD)</a:t>
                </a:r>
                <a:endParaRPr lang="zh-TW" altLang="en-US" sz="1200" b="1">
                  <a:latin typeface="+mn-lt"/>
                  <a:ea typeface="+mn-ea"/>
                  <a:cs typeface="Times New Roman" panose="02020603050405020304" pitchFamily="18" charset="0"/>
                </a:endParaRPr>
              </a:p>
            </c:rich>
          </c:tx>
          <c:layout>
            <c:manualLayout>
              <c:xMode val="edge"/>
              <c:yMode val="edge"/>
              <c:x val="2.8849639564705067E-2"/>
              <c:y val="3.1716458825774368E-2"/>
            </c:manualLayout>
          </c:layout>
          <c:overlay val="0"/>
        </c:title>
        <c:numFmt formatCode="#,##0_ " sourceLinked="1"/>
        <c:majorTickMark val="none"/>
        <c:minorTickMark val="none"/>
        <c:tickLblPos val="nextTo"/>
        <c:spPr>
          <a:ln w="9525">
            <a:noFill/>
          </a:ln>
        </c:spPr>
        <c:txPr>
          <a:bodyPr/>
          <a:lstStyle/>
          <a:p>
            <a:pPr>
              <a:defRPr sz="1200" b="1">
                <a:latin typeface="+mn-lt"/>
                <a:ea typeface="+mn-ea"/>
                <a:cs typeface="Times New Roman" panose="02020603050405020304" pitchFamily="18" charset="0"/>
              </a:defRPr>
            </a:pPr>
            <a:endParaRPr lang="zh-TW"/>
          </a:p>
        </c:txPr>
        <c:crossAx val="187956224"/>
        <c:crosses val="autoZero"/>
        <c:crossBetween val="between"/>
        <c:majorUnit val="200000"/>
      </c:valAx>
    </c:plotArea>
    <c:legend>
      <c:legendPos val="t"/>
      <c:layout>
        <c:manualLayout>
          <c:xMode val="edge"/>
          <c:yMode val="edge"/>
          <c:x val="0.70527083496741005"/>
          <c:y val="0.1152985542482918"/>
          <c:w val="0.26053623414431276"/>
          <c:h val="6.5354039215686263E-2"/>
        </c:manualLayout>
      </c:layout>
      <c:overlay val="1"/>
      <c:txPr>
        <a:bodyPr/>
        <a:lstStyle/>
        <a:p>
          <a:pPr>
            <a:defRPr sz="1200" b="1">
              <a:latin typeface="+mn-lt"/>
            </a:defRPr>
          </a:pPr>
          <a:endParaRPr lang="zh-TW"/>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a:latin typeface="Times New Roman" panose="02020603050405020304" pitchFamily="18" charset="0"/>
                <a:ea typeface="標楷體" panose="03000509000000000000" pitchFamily="65" charset="-120"/>
                <a:cs typeface="Times New Roman" panose="02020603050405020304" pitchFamily="18" charset="0"/>
              </a:rPr>
              <a:t>「專利申請費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領證費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」與「後續年費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(M)</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」之比較</a:t>
            </a:r>
          </a:p>
        </c:rich>
      </c:tx>
      <c:layout>
        <c:manualLayout>
          <c:xMode val="edge"/>
          <c:yMode val="edge"/>
          <c:x val="0.15435140761661775"/>
          <c:y val="1.8833564674757684E-2"/>
        </c:manualLayout>
      </c:layout>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clustered"/>
        <c:varyColors val="0"/>
        <c:ser>
          <c:idx val="0"/>
          <c:order val="0"/>
          <c:tx>
            <c:strRef>
              <c:f>'P(M)'!$BL$15:$BL$16</c:f>
              <c:strCache>
                <c:ptCount val="2"/>
                <c:pt idx="0">
                  <c:v>申請+領證費用(A+C)</c:v>
                </c:pt>
              </c:strCache>
            </c:strRef>
          </c:tx>
          <c:spPr>
            <a:solidFill>
              <a:srgbClr val="99C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'P(M)'!$BL$17:$BL$37</c:f>
              <c:numCache>
                <c:formatCode>#,##0_ </c:formatCode>
                <c:ptCount val="21"/>
                <c:pt idx="0">
                  <c:v>96800</c:v>
                </c:pt>
                <c:pt idx="1">
                  <c:v>0</c:v>
                </c:pt>
                <c:pt idx="2">
                  <c:v>46271</c:v>
                </c:pt>
                <c:pt idx="3">
                  <c:v>0</c:v>
                </c:pt>
                <c:pt idx="4">
                  <c:v>127380</c:v>
                </c:pt>
                <c:pt idx="5">
                  <c:v>239367.5</c:v>
                </c:pt>
                <c:pt idx="6">
                  <c:v>144114</c:v>
                </c:pt>
                <c:pt idx="7">
                  <c:v>0</c:v>
                </c:pt>
                <c:pt idx="8">
                  <c:v>149525</c:v>
                </c:pt>
                <c:pt idx="9">
                  <c:v>0</c:v>
                </c:pt>
                <c:pt idx="10">
                  <c:v>103505.07999999999</c:v>
                </c:pt>
                <c:pt idx="11">
                  <c:v>161130</c:v>
                </c:pt>
                <c:pt idx="12">
                  <c:v>59992.2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9AFD-4D2E-A07F-9E5B711DCC51}"/>
            </c:ext>
          </c:extLst>
        </c:ser>
        <c:ser>
          <c:idx val="1"/>
          <c:order val="1"/>
          <c:tx>
            <c:strRef>
              <c:f>'P(M)'!$BJ$15:$BJ$16</c:f>
              <c:strCache>
                <c:ptCount val="2"/>
                <c:pt idx="0">
                  <c:v>後續年費(M)</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'P(M)'!$BJ$17:$BJ$37</c:f>
              <c:numCache>
                <c:formatCode>#,##0_ </c:formatCode>
                <c:ptCount val="21"/>
                <c:pt idx="0">
                  <c:v>271800</c:v>
                </c:pt>
                <c:pt idx="1">
                  <c:v>0</c:v>
                </c:pt>
                <c:pt idx="2">
                  <c:v>414840</c:v>
                </c:pt>
                <c:pt idx="3">
                  <c:v>0</c:v>
                </c:pt>
                <c:pt idx="4">
                  <c:v>199980</c:v>
                </c:pt>
                <c:pt idx="5">
                  <c:v>1439673</c:v>
                </c:pt>
                <c:pt idx="6">
                  <c:v>408547</c:v>
                </c:pt>
                <c:pt idx="7">
                  <c:v>0</c:v>
                </c:pt>
                <c:pt idx="8">
                  <c:v>447000</c:v>
                </c:pt>
                <c:pt idx="9">
                  <c:v>0</c:v>
                </c:pt>
                <c:pt idx="10">
                  <c:v>237866.18</c:v>
                </c:pt>
                <c:pt idx="11">
                  <c:v>438727.5</c:v>
                </c:pt>
                <c:pt idx="12">
                  <c:v>313929</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AFD-4D2E-A07F-9E5B711DCC51}"/>
            </c:ext>
          </c:extLst>
        </c:ser>
        <c:dLbls>
          <c:showLegendKey val="0"/>
          <c:showVal val="0"/>
          <c:showCatName val="0"/>
          <c:showSerName val="0"/>
          <c:showPercent val="0"/>
          <c:showBubbleSize val="0"/>
        </c:dLbls>
        <c:gapWidth val="30"/>
        <c:axId val="185535104"/>
        <c:axId val="185561472"/>
      </c:barChart>
      <c:catAx>
        <c:axId val="185535104"/>
        <c:scaling>
          <c:orientation val="minMax"/>
        </c:scaling>
        <c:delete val="0"/>
        <c:axPos val="b"/>
        <c:numFmt formatCode="General" sourceLinked="0"/>
        <c:majorTickMark val="out"/>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5561472"/>
        <c:crosses val="autoZero"/>
        <c:auto val="1"/>
        <c:lblAlgn val="ctr"/>
        <c:lblOffset val="0"/>
        <c:tickLblSkip val="1"/>
        <c:tickMarkSkip val="1"/>
        <c:noMultiLvlLbl val="0"/>
      </c:catAx>
      <c:valAx>
        <c:axId val="185561472"/>
        <c:scaling>
          <c:orientation val="minMax"/>
        </c:scaling>
        <c:delete val="0"/>
        <c:axPos val="l"/>
        <c:majorGridlines/>
        <c:title>
          <c:tx>
            <c:rich>
              <a:bodyPr rot="0" vert="horz"/>
              <a:lstStyle/>
              <a:p>
                <a:pPr>
                  <a:defRPr sz="1200" b="1">
                    <a:latin typeface="Times New Roman" panose="02020603050405020304" pitchFamily="18" charset="0"/>
                    <a:ea typeface="+mn-ea"/>
                    <a:cs typeface="Times New Roman" panose="02020603050405020304" pitchFamily="18" charset="0"/>
                  </a:defRPr>
                </a:pPr>
                <a:r>
                  <a:rPr lang="en-US" altLang="zh-TW" sz="1200" b="1">
                    <a:latin typeface="Times New Roman" panose="02020603050405020304" pitchFamily="18" charset="0"/>
                    <a:ea typeface="+mn-ea"/>
                    <a:cs typeface="Times New Roman" panose="02020603050405020304" pitchFamily="18" charset="0"/>
                  </a:rPr>
                  <a:t>(NTD)</a:t>
                </a:r>
                <a:endParaRPr lang="zh-TW" altLang="en-US" sz="1200" b="1">
                  <a:latin typeface="Times New Roman" panose="02020603050405020304" pitchFamily="18" charset="0"/>
                  <a:ea typeface="+mn-ea"/>
                  <a:cs typeface="Times New Roman" panose="02020603050405020304" pitchFamily="18" charset="0"/>
                </a:endParaRPr>
              </a:p>
            </c:rich>
          </c:tx>
          <c:layout>
            <c:manualLayout>
              <c:xMode val="edge"/>
              <c:yMode val="edge"/>
              <c:x val="2.4441251154491753E-2"/>
              <c:y val="2.8549505859071088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ea typeface="+mn-ea"/>
                <a:cs typeface="Times New Roman" panose="02020603050405020304" pitchFamily="18" charset="0"/>
              </a:defRPr>
            </a:pPr>
            <a:endParaRPr lang="zh-TW"/>
          </a:p>
        </c:txPr>
        <c:crossAx val="185535104"/>
        <c:crosses val="autoZero"/>
        <c:crossBetween val="between"/>
      </c:valAx>
    </c:plotArea>
    <c:legend>
      <c:legendPos val="t"/>
      <c:layout>
        <c:manualLayout>
          <c:xMode val="edge"/>
          <c:yMode val="edge"/>
          <c:x val="0.65950119445613997"/>
          <c:y val="2.5702378268933419E-2"/>
          <c:w val="0.31709818705764609"/>
          <c:h val="6.5354039215686263E-2"/>
        </c:manualLayout>
      </c:layout>
      <c:overlay val="1"/>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a:latin typeface="Times New Roman" panose="02020603050405020304" pitchFamily="18" charset="0"/>
                <a:ea typeface="標楷體" panose="03000509000000000000" pitchFamily="65" charset="-120"/>
                <a:cs typeface="Times New Roman" panose="02020603050405020304" pitchFamily="18" charset="0"/>
              </a:rPr>
              <a:t>「申請費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答辯費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(R)+</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領證費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」與「後續年費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(M)</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」之比較</a:t>
            </a:r>
          </a:p>
        </c:rich>
      </c:tx>
      <c:layout>
        <c:manualLayout>
          <c:xMode val="edge"/>
          <c:yMode val="edge"/>
          <c:x val="0.15435140761661775"/>
          <c:y val="1.8833564674757684E-2"/>
        </c:manualLayout>
      </c:layout>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clustered"/>
        <c:varyColors val="0"/>
        <c:ser>
          <c:idx val="0"/>
          <c:order val="0"/>
          <c:tx>
            <c:strRef>
              <c:f>'P(M)'!$BM$15:$BM$16</c:f>
              <c:strCache>
                <c:ptCount val="2"/>
                <c:pt idx="0">
                  <c:v>申請+答辯+領證費(A+R+C)</c:v>
                </c:pt>
              </c:strCache>
            </c:strRef>
          </c:tx>
          <c:spPr>
            <a:solidFill>
              <a:srgbClr val="99C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'P(M)'!$BM$17:$BM$37</c:f>
              <c:numCache>
                <c:formatCode>#,##0_ </c:formatCode>
                <c:ptCount val="21"/>
                <c:pt idx="0">
                  <c:v>121800</c:v>
                </c:pt>
                <c:pt idx="1">
                  <c:v>0</c:v>
                </c:pt>
                <c:pt idx="2">
                  <c:v>76311</c:v>
                </c:pt>
                <c:pt idx="3">
                  <c:v>0</c:v>
                </c:pt>
                <c:pt idx="4">
                  <c:v>206980</c:v>
                </c:pt>
                <c:pt idx="5">
                  <c:v>434823.5</c:v>
                </c:pt>
                <c:pt idx="6">
                  <c:v>229264</c:v>
                </c:pt>
                <c:pt idx="7">
                  <c:v>0</c:v>
                </c:pt>
                <c:pt idx="8">
                  <c:v>249625</c:v>
                </c:pt>
                <c:pt idx="9">
                  <c:v>0</c:v>
                </c:pt>
                <c:pt idx="10">
                  <c:v>187505.08</c:v>
                </c:pt>
                <c:pt idx="11">
                  <c:v>245780</c:v>
                </c:pt>
                <c:pt idx="12">
                  <c:v>127461</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97F-41A7-938B-6026BD735F62}"/>
            </c:ext>
          </c:extLst>
        </c:ser>
        <c:ser>
          <c:idx val="1"/>
          <c:order val="1"/>
          <c:tx>
            <c:strRef>
              <c:f>'P(M)'!$BJ$15:$BJ$16</c:f>
              <c:strCache>
                <c:ptCount val="2"/>
                <c:pt idx="0">
                  <c:v>後續年費(M)</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'P(M)'!$BJ$17:$BJ$37</c:f>
              <c:numCache>
                <c:formatCode>#,##0_ </c:formatCode>
                <c:ptCount val="21"/>
                <c:pt idx="0">
                  <c:v>271800</c:v>
                </c:pt>
                <c:pt idx="1">
                  <c:v>0</c:v>
                </c:pt>
                <c:pt idx="2">
                  <c:v>414840</c:v>
                </c:pt>
                <c:pt idx="3">
                  <c:v>0</c:v>
                </c:pt>
                <c:pt idx="4">
                  <c:v>199980</c:v>
                </c:pt>
                <c:pt idx="5">
                  <c:v>1439673</c:v>
                </c:pt>
                <c:pt idx="6">
                  <c:v>408547</c:v>
                </c:pt>
                <c:pt idx="7">
                  <c:v>0</c:v>
                </c:pt>
                <c:pt idx="8">
                  <c:v>447000</c:v>
                </c:pt>
                <c:pt idx="9">
                  <c:v>0</c:v>
                </c:pt>
                <c:pt idx="10">
                  <c:v>237866.18</c:v>
                </c:pt>
                <c:pt idx="11">
                  <c:v>438727.5</c:v>
                </c:pt>
                <c:pt idx="12">
                  <c:v>313929</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97F-41A7-938B-6026BD735F62}"/>
            </c:ext>
          </c:extLst>
        </c:ser>
        <c:dLbls>
          <c:showLegendKey val="0"/>
          <c:showVal val="0"/>
          <c:showCatName val="0"/>
          <c:showSerName val="0"/>
          <c:showPercent val="0"/>
          <c:showBubbleSize val="0"/>
        </c:dLbls>
        <c:gapWidth val="30"/>
        <c:axId val="185535104"/>
        <c:axId val="185561472"/>
      </c:barChart>
      <c:catAx>
        <c:axId val="185535104"/>
        <c:scaling>
          <c:orientation val="minMax"/>
        </c:scaling>
        <c:delete val="0"/>
        <c:axPos val="b"/>
        <c:numFmt formatCode="General" sourceLinked="0"/>
        <c:majorTickMark val="out"/>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5561472"/>
        <c:crosses val="autoZero"/>
        <c:auto val="1"/>
        <c:lblAlgn val="ctr"/>
        <c:lblOffset val="0"/>
        <c:tickLblSkip val="1"/>
        <c:tickMarkSkip val="1"/>
        <c:noMultiLvlLbl val="0"/>
      </c:catAx>
      <c:valAx>
        <c:axId val="185561472"/>
        <c:scaling>
          <c:orientation val="minMax"/>
        </c:scaling>
        <c:delete val="0"/>
        <c:axPos val="l"/>
        <c:majorGridlines/>
        <c:title>
          <c:tx>
            <c:rich>
              <a:bodyPr rot="0" vert="horz"/>
              <a:lstStyle/>
              <a:p>
                <a:pPr>
                  <a:defRPr sz="1200" b="1">
                    <a:latin typeface="Times New Roman" panose="02020603050405020304" pitchFamily="18" charset="0"/>
                    <a:ea typeface="+mn-ea"/>
                    <a:cs typeface="Times New Roman" panose="02020603050405020304" pitchFamily="18" charset="0"/>
                  </a:defRPr>
                </a:pPr>
                <a:r>
                  <a:rPr lang="en-US" altLang="zh-TW" sz="1200" b="1">
                    <a:latin typeface="Times New Roman" panose="02020603050405020304" pitchFamily="18" charset="0"/>
                    <a:ea typeface="+mn-ea"/>
                    <a:cs typeface="Times New Roman" panose="02020603050405020304" pitchFamily="18" charset="0"/>
                  </a:rPr>
                  <a:t>(NTD)</a:t>
                </a:r>
                <a:endParaRPr lang="zh-TW" altLang="en-US" sz="1200" b="1">
                  <a:latin typeface="Times New Roman" panose="02020603050405020304" pitchFamily="18" charset="0"/>
                  <a:ea typeface="+mn-ea"/>
                  <a:cs typeface="Times New Roman" panose="02020603050405020304" pitchFamily="18" charset="0"/>
                </a:endParaRPr>
              </a:p>
            </c:rich>
          </c:tx>
          <c:layout>
            <c:manualLayout>
              <c:xMode val="edge"/>
              <c:yMode val="edge"/>
              <c:x val="2.4441251154491753E-2"/>
              <c:y val="2.8549505859071088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ea typeface="+mn-ea"/>
                <a:cs typeface="Times New Roman" panose="02020603050405020304" pitchFamily="18" charset="0"/>
              </a:defRPr>
            </a:pPr>
            <a:endParaRPr lang="zh-TW"/>
          </a:p>
        </c:txPr>
        <c:crossAx val="185535104"/>
        <c:crosses val="autoZero"/>
        <c:crossBetween val="between"/>
      </c:valAx>
    </c:plotArea>
    <c:legend>
      <c:legendPos val="t"/>
      <c:layout>
        <c:manualLayout>
          <c:xMode val="edge"/>
          <c:yMode val="edge"/>
          <c:x val="0.65950119445613997"/>
          <c:y val="2.5702378268933419E-2"/>
          <c:w val="0.31709818705764609"/>
          <c:h val="6.5354039215686263E-2"/>
        </c:manualLayout>
      </c:layout>
      <c:overlay val="1"/>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ln>
      <a:noFill/>
    </a:ln>
  </c:sp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CheckBox" checked="Checked" fmlaLink="'P(M)'!$W$5" lockText="1" noThreeD="1"/>
</file>

<file path=xl/ctrlProps/ctrlProp2.xml><?xml version="1.0" encoding="utf-8"?>
<formControlPr xmlns="http://schemas.microsoft.com/office/spreadsheetml/2009/9/main" objectType="CheckBox" checked="Checked" fmlaLink="'P(M)'!$W$6" lockText="1" noThreeD="1"/>
</file>

<file path=xl/ctrlProps/ctrlProp3.xml><?xml version="1.0" encoding="utf-8"?>
<formControlPr xmlns="http://schemas.microsoft.com/office/spreadsheetml/2009/9/main" objectType="CheckBox" checked="Checked" fmlaLink="'P(M)'!$W$7" lockText="1" noThreeD="1"/>
</file>

<file path=xl/ctrlProps/ctrlProp4.xml><?xml version="1.0" encoding="utf-8"?>
<formControlPr xmlns="http://schemas.microsoft.com/office/spreadsheetml/2009/9/main" objectType="CheckBox" checked="Checked" fmlaLink="'P(M)'!$U$5" lockText="1" noThreeD="1"/>
</file>

<file path=xl/ctrlProps/ctrlProp5.xml><?xml version="1.0" encoding="utf-8"?>
<formControlPr xmlns="http://schemas.microsoft.com/office/spreadsheetml/2009/9/main" objectType="CheckBox" checked="Checked" fmlaLink="'P(M)'!$U$6" lockText="1" noThreeD="1"/>
</file>

<file path=xl/ctrlProps/ctrlProp6.xml><?xml version="1.0" encoding="utf-8"?>
<formControlPr xmlns="http://schemas.microsoft.com/office/spreadsheetml/2009/9/main" objectType="CheckBox" checked="Checked" fmlaLink="'P(M)'!$U$7" lockText="1" noThreeD="1"/>
</file>

<file path=xl/ctrlProps/ctrlProp7.xml><?xml version="1.0" encoding="utf-8"?>
<formControlPr xmlns="http://schemas.microsoft.com/office/spreadsheetml/2009/9/main" objectType="CheckBox" checked="Checked" fmlaLink="'P(M)'!$U$8" lockText="1" noThreeD="1"/>
</file>

<file path=xl/ctrlProps/ctrlProp8.xml><?xml version="1.0" encoding="utf-8"?>
<formControlPr xmlns="http://schemas.microsoft.com/office/spreadsheetml/2009/9/main" objectType="Radio" firstButton="1" fmlaLink="選項!$M$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checked="Checked" fmlaLink="'P(M)'!$C$17" lockText="1" noThreeD="1"/>
</file>

<file path=xl/ctrlProps/ctrlProp35.xml><?xml version="1.0" encoding="utf-8"?>
<formControlPr xmlns="http://schemas.microsoft.com/office/spreadsheetml/2009/9/main" objectType="CheckBox" fmlaLink="'P(M)'!$C$18" lockText="1" noThreeD="1"/>
</file>

<file path=xl/ctrlProps/ctrlProp36.xml><?xml version="1.0" encoding="utf-8"?>
<formControlPr xmlns="http://schemas.microsoft.com/office/spreadsheetml/2009/9/main" objectType="CheckBox" checked="Checked" fmlaLink="'P(M)'!$C$19" lockText="1" noThreeD="1"/>
</file>

<file path=xl/ctrlProps/ctrlProp37.xml><?xml version="1.0" encoding="utf-8"?>
<formControlPr xmlns="http://schemas.microsoft.com/office/spreadsheetml/2009/9/main" objectType="CheckBox" fmlaLink="'P(M)'!$C$20" lockText="1" noThreeD="1"/>
</file>

<file path=xl/ctrlProps/ctrlProp38.xml><?xml version="1.0" encoding="utf-8"?>
<formControlPr xmlns="http://schemas.microsoft.com/office/spreadsheetml/2009/9/main" objectType="CheckBox" checked="Checked" fmlaLink="'P(M)'!$C$21" lockText="1" noThreeD="1"/>
</file>

<file path=xl/ctrlProps/ctrlProp39.xml><?xml version="1.0" encoding="utf-8"?>
<formControlPr xmlns="http://schemas.microsoft.com/office/spreadsheetml/2009/9/main" objectType="CheckBox" checked="Checked" fmlaLink="'P(M)'!$C$22" lockText="1" noThreeD="1"/>
</file>

<file path=xl/ctrlProps/ctrlProp40.xml><?xml version="1.0" encoding="utf-8"?>
<formControlPr xmlns="http://schemas.microsoft.com/office/spreadsheetml/2009/9/main" objectType="CheckBox" checked="Checked" fmlaLink="'P(M)'!$C$23" lockText="1" noThreeD="1"/>
</file>

<file path=xl/ctrlProps/ctrlProp41.xml><?xml version="1.0" encoding="utf-8"?>
<formControlPr xmlns="http://schemas.microsoft.com/office/spreadsheetml/2009/9/main" objectType="CheckBox" fmlaLink="'P(M)'!$C$24" lockText="1" noThreeD="1"/>
</file>

<file path=xl/ctrlProps/ctrlProp42.xml><?xml version="1.0" encoding="utf-8"?>
<formControlPr xmlns="http://schemas.microsoft.com/office/spreadsheetml/2009/9/main" objectType="CheckBox" checked="Checked" fmlaLink="'P(M)'!$C$25" lockText="1" noThreeD="1"/>
</file>

<file path=xl/ctrlProps/ctrlProp43.xml><?xml version="1.0" encoding="utf-8"?>
<formControlPr xmlns="http://schemas.microsoft.com/office/spreadsheetml/2009/9/main" objectType="CheckBox" fmlaLink="'P(M)'!$C$26" lockText="1" noThreeD="1"/>
</file>

<file path=xl/ctrlProps/ctrlProp44.xml><?xml version="1.0" encoding="utf-8"?>
<formControlPr xmlns="http://schemas.microsoft.com/office/spreadsheetml/2009/9/main" objectType="CheckBox" fmlaLink="'P(M)'!$C$34" lockText="1" noThreeD="1"/>
</file>

<file path=xl/ctrlProps/ctrlProp45.xml><?xml version="1.0" encoding="utf-8"?>
<formControlPr xmlns="http://schemas.microsoft.com/office/spreadsheetml/2009/9/main" objectType="CheckBox" fmlaLink="'P(M)'!$C$35" lockText="1" noThreeD="1"/>
</file>

<file path=xl/ctrlProps/ctrlProp46.xml><?xml version="1.0" encoding="utf-8"?>
<formControlPr xmlns="http://schemas.microsoft.com/office/spreadsheetml/2009/9/main" objectType="CheckBox" fmlaLink="'P(M)'!$C$36" lockText="1" noThreeD="1"/>
</file>

<file path=xl/ctrlProps/ctrlProp47.xml><?xml version="1.0" encoding="utf-8"?>
<formControlPr xmlns="http://schemas.microsoft.com/office/spreadsheetml/2009/9/main" objectType="CheckBox" fmlaLink="'P(M)'!$C$37" lockText="1" noThreeD="1"/>
</file>

<file path=xl/ctrlProps/ctrlProp48.xml><?xml version="1.0" encoding="utf-8"?>
<formControlPr xmlns="http://schemas.microsoft.com/office/spreadsheetml/2009/9/main" objectType="CheckBox" checked="Checked" fmlaLink="'P(M)'!$C$29" lockText="1" noThreeD="1"/>
</file>

<file path=xl/ctrlProps/ctrlProp49.xml><?xml version="1.0" encoding="utf-8"?>
<formControlPr xmlns="http://schemas.microsoft.com/office/spreadsheetml/2009/9/main" objectType="CheckBox" fmlaLink="'P(M)'!$C$30" lockText="1" noThreeD="1"/>
</file>

<file path=xl/ctrlProps/ctrlProp50.xml><?xml version="1.0" encoding="utf-8"?>
<formControlPr xmlns="http://schemas.microsoft.com/office/spreadsheetml/2009/9/main" objectType="CheckBox" fmlaLink="'P(M)'!$C$32" lockText="1" noThreeD="1"/>
</file>

<file path=xl/ctrlProps/ctrlProp51.xml><?xml version="1.0" encoding="utf-8"?>
<formControlPr xmlns="http://schemas.microsoft.com/office/spreadsheetml/2009/9/main" objectType="CheckBox" fmlaLink="'P(M)'!$C$33" lockText="1" noThreeD="1"/>
</file>

<file path=xl/ctrlProps/ctrlProp52.xml><?xml version="1.0" encoding="utf-8"?>
<formControlPr xmlns="http://schemas.microsoft.com/office/spreadsheetml/2009/9/main" objectType="CheckBox" checked="Checked" fmlaLink="'P(M)'!$C$28" lockText="1" noThreeD="1"/>
</file>

<file path=xl/ctrlProps/ctrlProp53.xml><?xml version="1.0" encoding="utf-8"?>
<formControlPr xmlns="http://schemas.microsoft.com/office/spreadsheetml/2009/9/main" objectType="CheckBox" fmlaLink="'P(M)'!$C$31" lockText="1" noThreeD="1"/>
</file>

<file path=xl/ctrlProps/ctrlProp54.xml><?xml version="1.0" encoding="utf-8"?>
<formControlPr xmlns="http://schemas.microsoft.com/office/spreadsheetml/2009/9/main" objectType="CheckBox" checked="Checked" fmlaLink="'P(M)'!$C$27" lockText="1" noThreeD="1"/>
</file>

<file path=xl/ctrlProps/ctrlProp55.xml><?xml version="1.0" encoding="utf-8"?>
<formControlPr xmlns="http://schemas.microsoft.com/office/spreadsheetml/2009/9/main" objectType="Radio" checked="Checked" firstButton="1" fmlaLink="'P(M)'!$D$17"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checked="Checked" fmlaLink="'P(M)'!$C$17" lockText="1" noThreeD="1"/>
</file>

<file path=xl/ctrlProps/ctrlProp64.xml><?xml version="1.0" encoding="utf-8"?>
<formControlPr xmlns="http://schemas.microsoft.com/office/spreadsheetml/2009/9/main" objectType="CheckBox" fmlaLink="'P(M)'!$C$18" lockText="1" noThreeD="1"/>
</file>

<file path=xl/ctrlProps/ctrlProp65.xml><?xml version="1.0" encoding="utf-8"?>
<formControlPr xmlns="http://schemas.microsoft.com/office/spreadsheetml/2009/9/main" objectType="CheckBox" checked="Checked" fmlaLink="'P(M)'!$C$19" lockText="1" noThreeD="1"/>
</file>

<file path=xl/ctrlProps/ctrlProp66.xml><?xml version="1.0" encoding="utf-8"?>
<formControlPr xmlns="http://schemas.microsoft.com/office/spreadsheetml/2009/9/main" objectType="CheckBox" fmlaLink="'P(M)'!$C$20" lockText="1" noThreeD="1"/>
</file>

<file path=xl/ctrlProps/ctrlProp67.xml><?xml version="1.0" encoding="utf-8"?>
<formControlPr xmlns="http://schemas.microsoft.com/office/spreadsheetml/2009/9/main" objectType="CheckBox" checked="Checked" fmlaLink="'P(M)'!$C$21" lockText="1" noThreeD="1"/>
</file>

<file path=xl/ctrlProps/ctrlProp68.xml><?xml version="1.0" encoding="utf-8"?>
<formControlPr xmlns="http://schemas.microsoft.com/office/spreadsheetml/2009/9/main" objectType="CheckBox" checked="Checked" fmlaLink="'P(M)'!$C$22" lockText="1" noThreeD="1"/>
</file>

<file path=xl/ctrlProps/ctrlProp69.xml><?xml version="1.0" encoding="utf-8"?>
<formControlPr xmlns="http://schemas.microsoft.com/office/spreadsheetml/2009/9/main" objectType="CheckBox" checked="Checked" fmlaLink="'P(M)'!$C$23" lockText="1" noThreeD="1"/>
</file>

<file path=xl/ctrlProps/ctrlProp70.xml><?xml version="1.0" encoding="utf-8"?>
<formControlPr xmlns="http://schemas.microsoft.com/office/spreadsheetml/2009/9/main" objectType="CheckBox" fmlaLink="'P(M)'!$C$24" lockText="1" noThreeD="1"/>
</file>

<file path=xl/ctrlProps/ctrlProp71.xml><?xml version="1.0" encoding="utf-8"?>
<formControlPr xmlns="http://schemas.microsoft.com/office/spreadsheetml/2009/9/main" objectType="CheckBox" checked="Checked" fmlaLink="'P(M)'!$C$25" lockText="1" noThreeD="1"/>
</file>

<file path=xl/ctrlProps/ctrlProp72.xml><?xml version="1.0" encoding="utf-8"?>
<formControlPr xmlns="http://schemas.microsoft.com/office/spreadsheetml/2009/9/main" objectType="CheckBox" fmlaLink="'P(M)'!$C$26" lockText="1" noThreeD="1"/>
</file>

<file path=xl/ctrlProps/ctrlProp73.xml><?xml version="1.0" encoding="utf-8"?>
<formControlPr xmlns="http://schemas.microsoft.com/office/spreadsheetml/2009/9/main" objectType="CheckBox" fmlaLink="'P(M)'!$C$34" lockText="1" noThreeD="1"/>
</file>

<file path=xl/ctrlProps/ctrlProp74.xml><?xml version="1.0" encoding="utf-8"?>
<formControlPr xmlns="http://schemas.microsoft.com/office/spreadsheetml/2009/9/main" objectType="CheckBox" fmlaLink="'P(M)'!$C$35" lockText="1" noThreeD="1"/>
</file>

<file path=xl/ctrlProps/ctrlProp75.xml><?xml version="1.0" encoding="utf-8"?>
<formControlPr xmlns="http://schemas.microsoft.com/office/spreadsheetml/2009/9/main" objectType="CheckBox" fmlaLink="'P(M)'!$C$36" lockText="1" noThreeD="1"/>
</file>

<file path=xl/ctrlProps/ctrlProp76.xml><?xml version="1.0" encoding="utf-8"?>
<formControlPr xmlns="http://schemas.microsoft.com/office/spreadsheetml/2009/9/main" objectType="CheckBox" fmlaLink="'P(M)'!$C$37" lockText="1" noThreeD="1"/>
</file>

<file path=xl/ctrlProps/ctrlProp77.xml><?xml version="1.0" encoding="utf-8"?>
<formControlPr xmlns="http://schemas.microsoft.com/office/spreadsheetml/2009/9/main" objectType="CheckBox" checked="Checked" fmlaLink="'P(M)'!$C$29" lockText="1" noThreeD="1"/>
</file>

<file path=xl/ctrlProps/ctrlProp78.xml><?xml version="1.0" encoding="utf-8"?>
<formControlPr xmlns="http://schemas.microsoft.com/office/spreadsheetml/2009/9/main" objectType="CheckBox" fmlaLink="'P(M)'!$C$30" lockText="1" noThreeD="1"/>
</file>

<file path=xl/ctrlProps/ctrlProp79.xml><?xml version="1.0" encoding="utf-8"?>
<formControlPr xmlns="http://schemas.microsoft.com/office/spreadsheetml/2009/9/main" objectType="CheckBox" fmlaLink="'P(M)'!$C$32" lockText="1" noThreeD="1"/>
</file>

<file path=xl/ctrlProps/ctrlProp80.xml><?xml version="1.0" encoding="utf-8"?>
<formControlPr xmlns="http://schemas.microsoft.com/office/spreadsheetml/2009/9/main" objectType="CheckBox" fmlaLink="'P(M)'!$C$33" lockText="1" noThreeD="1"/>
</file>

<file path=xl/ctrlProps/ctrlProp81.xml><?xml version="1.0" encoding="utf-8"?>
<formControlPr xmlns="http://schemas.microsoft.com/office/spreadsheetml/2009/9/main" objectType="CheckBox" checked="Checked" fmlaLink="'P(M)'!$C$28" lockText="1" noThreeD="1"/>
</file>

<file path=xl/ctrlProps/ctrlProp82.xml><?xml version="1.0" encoding="utf-8"?>
<formControlPr xmlns="http://schemas.microsoft.com/office/spreadsheetml/2009/9/main" objectType="CheckBox" fmlaLink="'P(M)'!$C$31" lockText="1" noThreeD="1"/>
</file>

<file path=xl/ctrlProps/ctrlProp83.xml><?xml version="1.0" encoding="utf-8"?>
<formControlPr xmlns="http://schemas.microsoft.com/office/spreadsheetml/2009/9/main" objectType="CheckBox" checked="Checked" fmlaLink="'P(M)'!$C$27" lockText="1" noThreeD="1"/>
</file>

<file path=xl/ctrlProps/ctrlProp84.xml><?xml version="1.0" encoding="utf-8"?>
<formControlPr xmlns="http://schemas.microsoft.com/office/spreadsheetml/2009/9/main" objectType="CheckBox" checked="Checked" fmlaLink="'P(M)'!$C$17" lockText="1" noThreeD="1"/>
</file>

<file path=xl/ctrlProps/ctrlProp85.xml><?xml version="1.0" encoding="utf-8"?>
<formControlPr xmlns="http://schemas.microsoft.com/office/spreadsheetml/2009/9/main" objectType="CheckBox" fmlaLink="'P(M)'!$C$18" lockText="1" noThreeD="1"/>
</file>

<file path=xl/ctrlProps/ctrlProp86.xml><?xml version="1.0" encoding="utf-8"?>
<formControlPr xmlns="http://schemas.microsoft.com/office/spreadsheetml/2009/9/main" objectType="CheckBox" checked="Checked" fmlaLink="'P(M)'!$C$19" lockText="1" noThreeD="1"/>
</file>

<file path=xl/ctrlProps/ctrlProp87.xml><?xml version="1.0" encoding="utf-8"?>
<formControlPr xmlns="http://schemas.microsoft.com/office/spreadsheetml/2009/9/main" objectType="CheckBox" fmlaLink="'P(M)'!$C$20" lockText="1" noThreeD="1"/>
</file>

<file path=xl/ctrlProps/ctrlProp88.xml><?xml version="1.0" encoding="utf-8"?>
<formControlPr xmlns="http://schemas.microsoft.com/office/spreadsheetml/2009/9/main" objectType="CheckBox" checked="Checked" fmlaLink="'P(M)'!$C$21" lockText="1" noThreeD="1"/>
</file>

<file path=xl/ctrlProps/ctrlProp89.xml><?xml version="1.0" encoding="utf-8"?>
<formControlPr xmlns="http://schemas.microsoft.com/office/spreadsheetml/2009/9/main" objectType="CheckBox" checked="Checked" fmlaLink="'P(M)'!$C$22" lockText="1" noThreeD="1"/>
</file>

<file path=xl/ctrlProps/ctrlProp90.xml><?xml version="1.0" encoding="utf-8"?>
<formControlPr xmlns="http://schemas.microsoft.com/office/spreadsheetml/2009/9/main" objectType="CheckBox" checked="Checked" fmlaLink="'P(M)'!$C$23" lockText="1" noThreeD="1"/>
</file>

<file path=xl/ctrlProps/ctrlProp91.xml><?xml version="1.0" encoding="utf-8"?>
<formControlPr xmlns="http://schemas.microsoft.com/office/spreadsheetml/2009/9/main" objectType="CheckBox" fmlaLink="'P(M)'!$C$24" lockText="1" noThreeD="1"/>
</file>

<file path=xl/ctrlProps/ctrlProp92.xml><?xml version="1.0" encoding="utf-8"?>
<formControlPr xmlns="http://schemas.microsoft.com/office/spreadsheetml/2009/9/main" objectType="CheckBox" checked="Checked" fmlaLink="'P(M)'!$C$25" lockText="1" noThreeD="1"/>
</file>

<file path=xl/ctrlProps/ctrlProp93.xml><?xml version="1.0" encoding="utf-8"?>
<formControlPr xmlns="http://schemas.microsoft.com/office/spreadsheetml/2009/9/main" objectType="CheckBox" fmlaLink="'P(M)'!$C$26" lockText="1" noThreeD="1"/>
</file>

<file path=xl/ctrlProps/ctrlProp94.xml><?xml version="1.0" encoding="utf-8"?>
<formControlPr xmlns="http://schemas.microsoft.com/office/spreadsheetml/2009/9/main" objectType="CheckBox" fmlaLink="'P(M)'!$C$34" lockText="1" noThreeD="1"/>
</file>

<file path=xl/ctrlProps/ctrlProp95.xml><?xml version="1.0" encoding="utf-8"?>
<formControlPr xmlns="http://schemas.microsoft.com/office/spreadsheetml/2009/9/main" objectType="CheckBox" fmlaLink="'P(M)'!$C$35" lockText="1" noThreeD="1"/>
</file>

<file path=xl/ctrlProps/ctrlProp96.xml><?xml version="1.0" encoding="utf-8"?>
<formControlPr xmlns="http://schemas.microsoft.com/office/spreadsheetml/2009/9/main" objectType="CheckBox" fmlaLink="'P(M)'!$C$36" lockText="1" noThreeD="1"/>
</file>

<file path=xl/ctrlProps/ctrlProp97.xml><?xml version="1.0" encoding="utf-8"?>
<formControlPr xmlns="http://schemas.microsoft.com/office/spreadsheetml/2009/9/main" objectType="CheckBox" fmlaLink="'P(M)'!$C$37" lockText="1" noThreeD="1"/>
</file>

<file path=xl/ctrlProps/ctrlProp98.xml><?xml version="1.0" encoding="utf-8"?>
<formControlPr xmlns="http://schemas.microsoft.com/office/spreadsheetml/2009/9/main" objectType="CheckBox" checked="Checked" fmlaLink="'P(M)'!$C$29" lockText="1" noThreeD="1"/>
</file>

<file path=xl/ctrlProps/ctrlProp99.xml><?xml version="1.0" encoding="utf-8"?>
<formControlPr xmlns="http://schemas.microsoft.com/office/spreadsheetml/2009/9/main" objectType="CheckBox" fmlaLink="'P(M)'!$C$30" lockText="1" noThreeD="1"/>
</file>

<file path=xl/ctrlProps/ctrlProp100.xml><?xml version="1.0" encoding="utf-8"?>
<formControlPr xmlns="http://schemas.microsoft.com/office/spreadsheetml/2009/9/main" objectType="CheckBox" fmlaLink="'P(M)'!$C$32" lockText="1" noThreeD="1"/>
</file>

<file path=xl/ctrlProps/ctrlProp101.xml><?xml version="1.0" encoding="utf-8"?>
<formControlPr xmlns="http://schemas.microsoft.com/office/spreadsheetml/2009/9/main" objectType="CheckBox" fmlaLink="'P(M)'!$C$33" lockText="1" noThreeD="1"/>
</file>

<file path=xl/ctrlProps/ctrlProp102.xml><?xml version="1.0" encoding="utf-8"?>
<formControlPr xmlns="http://schemas.microsoft.com/office/spreadsheetml/2009/9/main" objectType="CheckBox" checked="Checked" fmlaLink="'P(M)'!$C$28" lockText="1" noThreeD="1"/>
</file>

<file path=xl/ctrlProps/ctrlProp103.xml><?xml version="1.0" encoding="utf-8"?>
<formControlPr xmlns="http://schemas.microsoft.com/office/spreadsheetml/2009/9/main" objectType="CheckBox" fmlaLink="'P(M)'!$C$31" lockText="1" noThreeD="1"/>
</file>

<file path=xl/ctrlProps/ctrlProp104.xml><?xml version="1.0" encoding="utf-8"?>
<formControlPr xmlns="http://schemas.microsoft.com/office/spreadsheetml/2009/9/main" objectType="CheckBox" checked="Checked" fmlaLink="'P(M)'!$C$27" lockText="1" noThreeD="1"/>
</file>

<file path=xl/ctrlProps/ctrlProp105.xml><?xml version="1.0" encoding="utf-8"?>
<formControlPr xmlns="http://schemas.microsoft.com/office/spreadsheetml/2009/9/main" objectType="CheckBox" checked="Checked" fmlaLink="'P(M)'!$C$17" lockText="1" noThreeD="1"/>
</file>

<file path=xl/ctrlProps/ctrlProp106.xml><?xml version="1.0" encoding="utf-8"?>
<formControlPr xmlns="http://schemas.microsoft.com/office/spreadsheetml/2009/9/main" objectType="CheckBox" fmlaLink="'P(M)'!$C$18" lockText="1" noThreeD="1"/>
</file>

<file path=xl/ctrlProps/ctrlProp107.xml><?xml version="1.0" encoding="utf-8"?>
<formControlPr xmlns="http://schemas.microsoft.com/office/spreadsheetml/2009/9/main" objectType="CheckBox" checked="Checked" fmlaLink="'P(M)'!$C$19" lockText="1" noThreeD="1"/>
</file>

<file path=xl/ctrlProps/ctrlProp108.xml><?xml version="1.0" encoding="utf-8"?>
<formControlPr xmlns="http://schemas.microsoft.com/office/spreadsheetml/2009/9/main" objectType="CheckBox" fmlaLink="'P(M)'!$C$20" lockText="1" noThreeD="1"/>
</file>

<file path=xl/ctrlProps/ctrlProp109.xml><?xml version="1.0" encoding="utf-8"?>
<formControlPr xmlns="http://schemas.microsoft.com/office/spreadsheetml/2009/9/main" objectType="CheckBox" checked="Checked" fmlaLink="'P(M)'!$C$21" lockText="1" noThreeD="1"/>
</file>

<file path=xl/ctrlProps/ctrlProp110.xml><?xml version="1.0" encoding="utf-8"?>
<formControlPr xmlns="http://schemas.microsoft.com/office/spreadsheetml/2009/9/main" objectType="CheckBox" checked="Checked" fmlaLink="'P(M)'!$C$22" lockText="1" noThreeD="1"/>
</file>

<file path=xl/ctrlProps/ctrlProp111.xml><?xml version="1.0" encoding="utf-8"?>
<formControlPr xmlns="http://schemas.microsoft.com/office/spreadsheetml/2009/9/main" objectType="CheckBox" checked="Checked" fmlaLink="'P(M)'!$C$23" lockText="1" noThreeD="1"/>
</file>

<file path=xl/ctrlProps/ctrlProp112.xml><?xml version="1.0" encoding="utf-8"?>
<formControlPr xmlns="http://schemas.microsoft.com/office/spreadsheetml/2009/9/main" objectType="CheckBox" fmlaLink="'P(M)'!$C$24" lockText="1" noThreeD="1"/>
</file>

<file path=xl/ctrlProps/ctrlProp113.xml><?xml version="1.0" encoding="utf-8"?>
<formControlPr xmlns="http://schemas.microsoft.com/office/spreadsheetml/2009/9/main" objectType="CheckBox" checked="Checked" fmlaLink="'P(M)'!$C$25" lockText="1" noThreeD="1"/>
</file>

<file path=xl/ctrlProps/ctrlProp114.xml><?xml version="1.0" encoding="utf-8"?>
<formControlPr xmlns="http://schemas.microsoft.com/office/spreadsheetml/2009/9/main" objectType="CheckBox" fmlaLink="'P(M)'!$C$26" lockText="1" noThreeD="1"/>
</file>

<file path=xl/ctrlProps/ctrlProp115.xml><?xml version="1.0" encoding="utf-8"?>
<formControlPr xmlns="http://schemas.microsoft.com/office/spreadsheetml/2009/9/main" objectType="CheckBox" fmlaLink="'P(M)'!$C$34" lockText="1" noThreeD="1"/>
</file>

<file path=xl/ctrlProps/ctrlProp116.xml><?xml version="1.0" encoding="utf-8"?>
<formControlPr xmlns="http://schemas.microsoft.com/office/spreadsheetml/2009/9/main" objectType="CheckBox" fmlaLink="'P(M)'!$C$35" lockText="1" noThreeD="1"/>
</file>

<file path=xl/ctrlProps/ctrlProp117.xml><?xml version="1.0" encoding="utf-8"?>
<formControlPr xmlns="http://schemas.microsoft.com/office/spreadsheetml/2009/9/main" objectType="CheckBox" fmlaLink="'P(M)'!$C$36" lockText="1" noThreeD="1"/>
</file>

<file path=xl/ctrlProps/ctrlProp118.xml><?xml version="1.0" encoding="utf-8"?>
<formControlPr xmlns="http://schemas.microsoft.com/office/spreadsheetml/2009/9/main" objectType="CheckBox" fmlaLink="'P(M)'!$C$37" lockText="1" noThreeD="1"/>
</file>

<file path=xl/ctrlProps/ctrlProp119.xml><?xml version="1.0" encoding="utf-8"?>
<formControlPr xmlns="http://schemas.microsoft.com/office/spreadsheetml/2009/9/main" objectType="CheckBox" checked="Checked" fmlaLink="'P(M)'!$C$29" lockText="1" noThreeD="1"/>
</file>

<file path=xl/ctrlProps/ctrlProp120.xml><?xml version="1.0" encoding="utf-8"?>
<formControlPr xmlns="http://schemas.microsoft.com/office/spreadsheetml/2009/9/main" objectType="CheckBox" fmlaLink="'P(M)'!$C$30" lockText="1" noThreeD="1"/>
</file>

<file path=xl/ctrlProps/ctrlProp121.xml><?xml version="1.0" encoding="utf-8"?>
<formControlPr xmlns="http://schemas.microsoft.com/office/spreadsheetml/2009/9/main" objectType="CheckBox" fmlaLink="'P(M)'!$C$32" lockText="1" noThreeD="1"/>
</file>

<file path=xl/ctrlProps/ctrlProp122.xml><?xml version="1.0" encoding="utf-8"?>
<formControlPr xmlns="http://schemas.microsoft.com/office/spreadsheetml/2009/9/main" objectType="CheckBox" fmlaLink="'P(M)'!$C$33" lockText="1" noThreeD="1"/>
</file>

<file path=xl/ctrlProps/ctrlProp123.xml><?xml version="1.0" encoding="utf-8"?>
<formControlPr xmlns="http://schemas.microsoft.com/office/spreadsheetml/2009/9/main" objectType="CheckBox" checked="Checked" fmlaLink="'P(M)'!$C$28" lockText="1" noThreeD="1"/>
</file>

<file path=xl/ctrlProps/ctrlProp124.xml><?xml version="1.0" encoding="utf-8"?>
<formControlPr xmlns="http://schemas.microsoft.com/office/spreadsheetml/2009/9/main" objectType="CheckBox" fmlaLink="'P(M)'!$C$31" lockText="1" noThreeD="1"/>
</file>

<file path=xl/ctrlProps/ctrlProp125.xml><?xml version="1.0" encoding="utf-8"?>
<formControlPr xmlns="http://schemas.microsoft.com/office/spreadsheetml/2009/9/main" objectType="CheckBox" checked="Checked" fmlaLink="'P(M)'!$C$27"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238</xdr:row>
      <xdr:rowOff>111489</xdr:rowOff>
    </xdr:from>
    <xdr:to>
      <xdr:col>13</xdr:col>
      <xdr:colOff>2495</xdr:colOff>
      <xdr:row>257</xdr:row>
      <xdr:rowOff>16565</xdr:rowOff>
    </xdr:to>
    <xdr:graphicFrame macro="">
      <xdr:nvGraphicFramePr>
        <xdr:cNvPr id="21" name="圖表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5603</xdr:colOff>
      <xdr:row>216</xdr:row>
      <xdr:rowOff>0</xdr:rowOff>
    </xdr:from>
    <xdr:to>
      <xdr:col>12</xdr:col>
      <xdr:colOff>669952</xdr:colOff>
      <xdr:row>237</xdr:row>
      <xdr:rowOff>5181</xdr:rowOff>
    </xdr:to>
    <xdr:graphicFrame macro="">
      <xdr:nvGraphicFramePr>
        <xdr:cNvPr id="24" name="圖表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33617</xdr:colOff>
      <xdr:row>172</xdr:row>
      <xdr:rowOff>27214</xdr:rowOff>
    </xdr:from>
    <xdr:to>
      <xdr:col>12</xdr:col>
      <xdr:colOff>78440</xdr:colOff>
      <xdr:row>192</xdr:row>
      <xdr:rowOff>13809</xdr:rowOff>
    </xdr:to>
    <xdr:graphicFrame macro="">
      <xdr:nvGraphicFramePr>
        <xdr:cNvPr id="10" name="圖表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112059</xdr:colOff>
      <xdr:row>172</xdr:row>
      <xdr:rowOff>27214</xdr:rowOff>
    </xdr:from>
    <xdr:to>
      <xdr:col>7</xdr:col>
      <xdr:colOff>246529</xdr:colOff>
      <xdr:row>192</xdr:row>
      <xdr:rowOff>13809</xdr:rowOff>
    </xdr:to>
    <xdr:graphicFrame macro="">
      <xdr:nvGraphicFramePr>
        <xdr:cNvPr id="11" name="圖表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xdr:from>
          <xdr:col>4</xdr:col>
          <xdr:colOff>38100</xdr:colOff>
          <xdr:row>5</xdr:row>
          <xdr:rowOff>49751</xdr:rowOff>
        </xdr:from>
        <xdr:to>
          <xdr:col>5</xdr:col>
          <xdr:colOff>781050</xdr:colOff>
          <xdr:row>8</xdr:row>
          <xdr:rowOff>192882</xdr:rowOff>
        </xdr:to>
        <xdr:grpSp>
          <xdr:nvGrpSpPr>
            <xdr:cNvPr id="4" name="群組 3">
              <a:extLst>
                <a:ext uri="{FF2B5EF4-FFF2-40B4-BE49-F238E27FC236}">
                  <a16:creationId xmlns:a16="http://schemas.microsoft.com/office/drawing/2014/main" id="{00000000-0008-0000-0000-000004000000}"/>
                </a:ext>
              </a:extLst>
            </xdr:cNvPr>
            <xdr:cNvGrpSpPr/>
          </xdr:nvGrpSpPr>
          <xdr:grpSpPr>
            <a:xfrm>
              <a:off x="3267075" y="1107026"/>
              <a:ext cx="1781175" cy="828931"/>
              <a:chOff x="3062288" y="1107009"/>
              <a:chExt cx="1714500" cy="828932"/>
            </a:xfrm>
          </xdr:grpSpPr>
          <xdr:sp macro="" textlink="">
            <xdr:nvSpPr>
              <xdr:cNvPr id="1025" name="Check Box 1" descr="官方費用"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4033838" y="1107009"/>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官方費用</a:t>
                </a:r>
              </a:p>
            </xdr:txBody>
          </xdr:sp>
          <xdr:sp macro="" textlink="">
            <xdr:nvSpPr>
              <xdr:cNvPr id="1026" name="Check Box 2" descr="官方費用"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033838" y="1332887"/>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外國代理費</a:t>
                </a:r>
              </a:p>
            </xdr:txBody>
          </xdr:sp>
          <xdr:sp macro="" textlink="">
            <xdr:nvSpPr>
              <xdr:cNvPr id="1027" name="Check Box 3" descr="官方費用"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033838" y="1561486"/>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慧盈服務費</a:t>
                </a:r>
              </a:p>
            </xdr:txBody>
          </xdr:sp>
          <xdr:sp macro="" textlink="">
            <xdr:nvSpPr>
              <xdr:cNvPr id="1028" name="Check Box 4" descr="官方費用"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062288" y="1107009"/>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申請費</a:t>
                </a:r>
              </a:p>
            </xdr:txBody>
          </xdr:sp>
          <xdr:sp macro="" textlink="">
            <xdr:nvSpPr>
              <xdr:cNvPr id="1029" name="Check Box 5" descr="官方費用"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3062288" y="1332887"/>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領證費</a:t>
                </a:r>
              </a:p>
            </xdr:txBody>
          </xdr:sp>
          <xdr:sp macro="" textlink="">
            <xdr:nvSpPr>
              <xdr:cNvPr id="1030" name="Check Box 6" descr="官方費用"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062288" y="1561486"/>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後續年費</a:t>
                </a:r>
              </a:p>
            </xdr:txBody>
          </xdr:sp>
          <xdr:sp macro="" textlink="">
            <xdr:nvSpPr>
              <xdr:cNvPr id="1031" name="Check Box 7" descr="官方費用"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062288" y="1793066"/>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答辯費</a:t>
                </a:r>
              </a:p>
            </xdr:txBody>
          </xdr:sp>
        </xdr:grpSp>
        <xdr:clientData/>
      </xdr:twoCellAnchor>
    </mc:Choice>
    <mc:Fallback/>
  </mc:AlternateContent>
  <xdr:twoCellAnchor>
    <xdr:from>
      <xdr:col>6</xdr:col>
      <xdr:colOff>33617</xdr:colOff>
      <xdr:row>194</xdr:row>
      <xdr:rowOff>103054</xdr:rowOff>
    </xdr:from>
    <xdr:to>
      <xdr:col>12</xdr:col>
      <xdr:colOff>78440</xdr:colOff>
      <xdr:row>214</xdr:row>
      <xdr:rowOff>89648</xdr:rowOff>
    </xdr:to>
    <xdr:graphicFrame macro="">
      <xdr:nvGraphicFramePr>
        <xdr:cNvPr id="17" name="圖表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112059</xdr:colOff>
      <xdr:row>194</xdr:row>
      <xdr:rowOff>103054</xdr:rowOff>
    </xdr:from>
    <xdr:to>
      <xdr:col>7</xdr:col>
      <xdr:colOff>246529</xdr:colOff>
      <xdr:row>214</xdr:row>
      <xdr:rowOff>89648</xdr:rowOff>
    </xdr:to>
    <xdr:graphicFrame macro="">
      <xdr:nvGraphicFramePr>
        <xdr:cNvPr id="18" name="圖表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2</xdr:col>
          <xdr:colOff>76200</xdr:colOff>
          <xdr:row>142</xdr:row>
          <xdr:rowOff>0</xdr:rowOff>
        </xdr:from>
        <xdr:to>
          <xdr:col>12</xdr:col>
          <xdr:colOff>761999</xdr:colOff>
          <xdr:row>143</xdr:row>
          <xdr:rowOff>248478</xdr:rowOff>
        </xdr:to>
        <xdr:grpSp>
          <xdr:nvGrpSpPr>
            <xdr:cNvPr id="6" name="群組 5">
              <a:extLst>
                <a:ext uri="{FF2B5EF4-FFF2-40B4-BE49-F238E27FC236}">
                  <a16:creationId xmlns:a16="http://schemas.microsoft.com/office/drawing/2014/main" id="{00000000-0008-0000-0000-000006000000}"/>
                </a:ext>
              </a:extLst>
            </xdr:cNvPr>
            <xdr:cNvGrpSpPr/>
          </xdr:nvGrpSpPr>
          <xdr:grpSpPr>
            <a:xfrm>
              <a:off x="1971675" y="30851475"/>
              <a:ext cx="10001249" cy="496128"/>
              <a:chOff x="1972917" y="31010087"/>
              <a:chExt cx="9987170" cy="496956"/>
            </a:xfrm>
          </xdr:grpSpPr>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2861711" y="31010087"/>
                <a:ext cx="49606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1年</a:t>
                </a:r>
              </a:p>
            </xdr:txBody>
          </xdr:sp>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3476638" y="31010087"/>
                <a:ext cx="49490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2年</a:t>
                </a:r>
              </a:p>
            </xdr:txBody>
          </xdr:sp>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4087858" y="31010087"/>
                <a:ext cx="492475"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3年</a:t>
                </a:r>
              </a:p>
            </xdr:txBody>
          </xdr:sp>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4676006"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4年</a:t>
                </a:r>
              </a:p>
            </xdr:txBody>
          </xdr:sp>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5286850" y="31010087"/>
                <a:ext cx="496141"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5年</a:t>
                </a:r>
              </a:p>
            </xdr:txBody>
          </xdr:sp>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5910172"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6年</a:t>
                </a:r>
              </a:p>
            </xdr:txBody>
          </xdr:sp>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6506711" y="31010087"/>
                <a:ext cx="49502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7年</a:t>
                </a:r>
              </a:p>
            </xdr:txBody>
          </xdr:sp>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7118044" y="31010087"/>
                <a:ext cx="49519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8年</a:t>
                </a:r>
              </a:p>
            </xdr:txBody>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7719815"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9年</a:t>
                </a:r>
              </a:p>
            </xdr:txBody>
          </xdr:sp>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8334517" y="31010087"/>
                <a:ext cx="493870"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10年</a:t>
                </a:r>
              </a:p>
            </xdr:txBody>
          </xdr:sp>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8948304"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11年</a:t>
                </a:r>
              </a:p>
            </xdr:txBody>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9552108" y="31010087"/>
                <a:ext cx="493775"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12年</a:t>
                </a:r>
              </a:p>
            </xdr:txBody>
          </xdr:sp>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10151296" y="31010087"/>
                <a:ext cx="495426"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13年</a:t>
                </a:r>
              </a:p>
            </xdr:txBody>
          </xdr:sp>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10753293" y="31010087"/>
                <a:ext cx="492890"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14年</a:t>
                </a:r>
              </a:p>
            </xdr:txBody>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11354144" y="31010087"/>
                <a:ext cx="60594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15年</a:t>
                </a:r>
              </a:p>
            </xdr:txBody>
          </xdr:sp>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2861711" y="31267476"/>
                <a:ext cx="49606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16年</a:t>
                </a:r>
              </a:p>
            </xdr:txBody>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3476638" y="31267476"/>
                <a:ext cx="49490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17年</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4076960" y="31267476"/>
                <a:ext cx="492475"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18年</a:t>
                </a:r>
              </a:p>
            </xdr:txBody>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676006" y="31267476"/>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19年</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5286850" y="31267476"/>
                <a:ext cx="496141"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20年</a:t>
                </a:r>
              </a:p>
            </xdr:txBody>
          </xdr:sp>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910172" y="31267476"/>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21年</a:t>
                </a:r>
              </a:p>
            </xdr:txBody>
          </xdr:sp>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6506711" y="31267476"/>
                <a:ext cx="49502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22年</a:t>
                </a:r>
              </a:p>
            </xdr:txBody>
          </xdr:sp>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7118044" y="31267476"/>
                <a:ext cx="49519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23年</a:t>
                </a:r>
              </a:p>
            </xdr:txBody>
          </xdr:sp>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7719815" y="31267476"/>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24年</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8334517" y="31267476"/>
                <a:ext cx="493870"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25年</a:t>
                </a:r>
              </a:p>
            </xdr:txBody>
          </xdr:sp>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1972917" y="31010087"/>
                <a:ext cx="85244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最大年限</a:t>
                </a:r>
              </a:p>
            </xdr:txBody>
          </xdr:sp>
        </xdr:grpSp>
        <xdr:clientData/>
      </xdr:twoCellAnchor>
    </mc:Choice>
    <mc:Fallback/>
  </mc:AlternateContent>
  <xdr:twoCellAnchor editAs="oneCell">
    <xdr:from>
      <xdr:col>0</xdr:col>
      <xdr:colOff>0</xdr:colOff>
      <xdr:row>151</xdr:row>
      <xdr:rowOff>0</xdr:rowOff>
    </xdr:from>
    <xdr:to>
      <xdr:col>13</xdr:col>
      <xdr:colOff>640</xdr:colOff>
      <xdr:row>171</xdr:row>
      <xdr:rowOff>11849</xdr:rowOff>
    </xdr:to>
    <xdr:graphicFrame macro="">
      <xdr:nvGraphicFramePr>
        <xdr:cNvPr id="44" name="圖表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171450</xdr:colOff>
          <xdr:row>15</xdr:row>
          <xdr:rowOff>38100</xdr:rowOff>
        </xdr:from>
        <xdr:to>
          <xdr:col>1</xdr:col>
          <xdr:colOff>695325</xdr:colOff>
          <xdr:row>35</xdr:row>
          <xdr:rowOff>185738</xdr:rowOff>
        </xdr:to>
        <xdr:grpSp>
          <xdr:nvGrpSpPr>
            <xdr:cNvPr id="3" name="群組 2">
              <a:extLst>
                <a:ext uri="{FF2B5EF4-FFF2-40B4-BE49-F238E27FC236}">
                  <a16:creationId xmlns:a16="http://schemas.microsoft.com/office/drawing/2014/main" id="{00000000-0008-0000-0000-000003000000}"/>
                </a:ext>
              </a:extLst>
            </xdr:cNvPr>
            <xdr:cNvGrpSpPr/>
          </xdr:nvGrpSpPr>
          <xdr:grpSpPr>
            <a:xfrm>
              <a:off x="1171575" y="3533775"/>
              <a:ext cx="523875" cy="4338638"/>
              <a:chOff x="1111527" y="3516798"/>
              <a:chExt cx="523875" cy="4206117"/>
            </a:xfrm>
          </xdr:grpSpPr>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13</xdr:col>
          <xdr:colOff>5043</xdr:colOff>
          <xdr:row>37</xdr:row>
          <xdr:rowOff>2802</xdr:rowOff>
        </xdr:to>
        <xdr:sp macro="" textlink="">
          <xdr:nvSpPr>
            <xdr:cNvPr id="1670" name="Group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52388</xdr:colOff>
          <xdr:row>15</xdr:row>
          <xdr:rowOff>123825</xdr:rowOff>
        </xdr:from>
        <xdr:to>
          <xdr:col>2</xdr:col>
          <xdr:colOff>695325</xdr:colOff>
          <xdr:row>29</xdr:row>
          <xdr:rowOff>187788</xdr:rowOff>
        </xdr:to>
        <xdr:grpSp>
          <xdr:nvGrpSpPr>
            <xdr:cNvPr id="2" name="群組 1">
              <a:extLst>
                <a:ext uri="{FF2B5EF4-FFF2-40B4-BE49-F238E27FC236}">
                  <a16:creationId xmlns:a16="http://schemas.microsoft.com/office/drawing/2014/main" id="{00000000-0008-0000-0000-000002000000}"/>
                </a:ext>
              </a:extLst>
            </xdr:cNvPr>
            <xdr:cNvGrpSpPr/>
          </xdr:nvGrpSpPr>
          <xdr:grpSpPr>
            <a:xfrm>
              <a:off x="1947863" y="3619500"/>
              <a:ext cx="642937" cy="2997663"/>
              <a:chOff x="1829008" y="3602522"/>
              <a:chExt cx="642937" cy="2904890"/>
            </a:xfrm>
          </xdr:grpSpPr>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1829008" y="3602522"/>
                <a:ext cx="642937" cy="1743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台灣</a:t>
                </a:r>
              </a:p>
            </xdr:txBody>
          </xdr:sp>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1829008" y="4008368"/>
                <a:ext cx="642937" cy="164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大陸</a:t>
                </a:r>
              </a:p>
            </xdr:txBody>
          </xdr:sp>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1829008" y="4314204"/>
                <a:ext cx="642937" cy="1666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美國</a:t>
                </a:r>
              </a:p>
            </xdr:txBody>
          </xdr:sp>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1829008" y="5530414"/>
                <a:ext cx="642937" cy="16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加拿大</a:t>
                </a:r>
              </a:p>
            </xdr:txBody>
          </xdr:sp>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1829008" y="5730554"/>
                <a:ext cx="642937" cy="171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新加坡</a:t>
                </a:r>
              </a:p>
            </xdr:txBody>
          </xdr:sp>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1829008" y="6035773"/>
                <a:ext cx="642937" cy="1655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馬來西亞</a:t>
                </a:r>
              </a:p>
            </xdr:txBody>
          </xdr:sp>
          <xdr:sp macro="" textlink="">
            <xdr:nvSpPr>
              <xdr:cNvPr id="1671" name="Option Button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1829008" y="6340725"/>
                <a:ext cx="642937" cy="1666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菲律賓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59</xdr:row>
          <xdr:rowOff>38100</xdr:rowOff>
        </xdr:from>
        <xdr:to>
          <xdr:col>1</xdr:col>
          <xdr:colOff>695325</xdr:colOff>
          <xdr:row>79</xdr:row>
          <xdr:rowOff>185738</xdr:rowOff>
        </xdr:to>
        <xdr:grpSp>
          <xdr:nvGrpSpPr>
            <xdr:cNvPr id="185" name="群組 184">
              <a:extLst>
                <a:ext uri="{FF2B5EF4-FFF2-40B4-BE49-F238E27FC236}">
                  <a16:creationId xmlns:a16="http://schemas.microsoft.com/office/drawing/2014/main" id="{00000000-0008-0000-0000-0000B9000000}"/>
                </a:ext>
              </a:extLst>
            </xdr:cNvPr>
            <xdr:cNvGrpSpPr/>
          </xdr:nvGrpSpPr>
          <xdr:grpSpPr>
            <a:xfrm>
              <a:off x="1171575" y="12992100"/>
              <a:ext cx="523875" cy="4338638"/>
              <a:chOff x="1111527" y="3516798"/>
              <a:chExt cx="523875" cy="4206117"/>
            </a:xfrm>
          </xdr:grpSpPr>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89</xdr:row>
          <xdr:rowOff>38100</xdr:rowOff>
        </xdr:from>
        <xdr:to>
          <xdr:col>1</xdr:col>
          <xdr:colOff>695325</xdr:colOff>
          <xdr:row>109</xdr:row>
          <xdr:rowOff>185738</xdr:rowOff>
        </xdr:to>
        <xdr:grpSp>
          <xdr:nvGrpSpPr>
            <xdr:cNvPr id="207" name="群組 206">
              <a:extLst>
                <a:ext uri="{FF2B5EF4-FFF2-40B4-BE49-F238E27FC236}">
                  <a16:creationId xmlns:a16="http://schemas.microsoft.com/office/drawing/2014/main" id="{00000000-0008-0000-0000-0000CF000000}"/>
                </a:ext>
              </a:extLst>
            </xdr:cNvPr>
            <xdr:cNvGrpSpPr/>
          </xdr:nvGrpSpPr>
          <xdr:grpSpPr>
            <a:xfrm>
              <a:off x="1171575" y="19516725"/>
              <a:ext cx="523875" cy="4338638"/>
              <a:chOff x="1111527" y="3516798"/>
              <a:chExt cx="523875" cy="4206117"/>
            </a:xfrm>
          </xdr:grpSpPr>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120</xdr:row>
          <xdr:rowOff>38100</xdr:rowOff>
        </xdr:from>
        <xdr:to>
          <xdr:col>1</xdr:col>
          <xdr:colOff>695325</xdr:colOff>
          <xdr:row>140</xdr:row>
          <xdr:rowOff>185738</xdr:rowOff>
        </xdr:to>
        <xdr:grpSp>
          <xdr:nvGrpSpPr>
            <xdr:cNvPr id="229" name="群組 228">
              <a:extLst>
                <a:ext uri="{FF2B5EF4-FFF2-40B4-BE49-F238E27FC236}">
                  <a16:creationId xmlns:a16="http://schemas.microsoft.com/office/drawing/2014/main" id="{00000000-0008-0000-0000-0000E5000000}"/>
                </a:ext>
              </a:extLst>
            </xdr:cNvPr>
            <xdr:cNvGrpSpPr/>
          </xdr:nvGrpSpPr>
          <xdr:grpSpPr>
            <a:xfrm>
              <a:off x="1171575" y="26250900"/>
              <a:ext cx="523875" cy="4338638"/>
              <a:chOff x="1111527" y="3516798"/>
              <a:chExt cx="523875" cy="4206117"/>
            </a:xfrm>
          </xdr:grpSpPr>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57</xdr:col>
      <xdr:colOff>0</xdr:colOff>
      <xdr:row>86</xdr:row>
      <xdr:rowOff>0</xdr:rowOff>
    </xdr:from>
    <xdr:to>
      <xdr:col>68</xdr:col>
      <xdr:colOff>997425</xdr:colOff>
      <xdr:row>105</xdr:row>
      <xdr:rowOff>21974</xdr:rowOff>
    </xdr:to>
    <xdr:graphicFrame macro="">
      <xdr:nvGraphicFramePr>
        <xdr:cNvPr id="2" name="圖表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0</xdr:colOff>
      <xdr:row>39</xdr:row>
      <xdr:rowOff>0</xdr:rowOff>
    </xdr:from>
    <xdr:to>
      <xdr:col>69</xdr:col>
      <xdr:colOff>389965</xdr:colOff>
      <xdr:row>56</xdr:row>
      <xdr:rowOff>159768</xdr:rowOff>
    </xdr:to>
    <xdr:graphicFrame macro="">
      <xdr:nvGraphicFramePr>
        <xdr:cNvPr id="3" name="圖表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0</xdr:colOff>
      <xdr:row>63</xdr:row>
      <xdr:rowOff>0</xdr:rowOff>
    </xdr:from>
    <xdr:to>
      <xdr:col>69</xdr:col>
      <xdr:colOff>389965</xdr:colOff>
      <xdr:row>81</xdr:row>
      <xdr:rowOff>132877</xdr:rowOff>
    </xdr:to>
    <xdr:graphicFrame macro="">
      <xdr:nvGraphicFramePr>
        <xdr:cNvPr id="4" name="圖表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2.vml"/><Relationship Id="rId9" Type="http://schemas.openxmlformats.org/officeDocument/2006/relationships/ctrlProp" Target="../ctrlProps/ctrlProp5.xml"/><Relationship Id="rId26"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A1:DJ528"/>
  <sheetViews>
    <sheetView tabSelected="1" view="pageBreakPreview" zoomScaleNormal="100" zoomScaleSheetLayoutView="100" workbookViewId="0">
      <selection activeCell="C4" sqref="C4"/>
    </sheetView>
  </sheetViews>
  <sheetFormatPr defaultColWidth="9" defaultRowHeight="15.75" x14ac:dyDescent="0.25"/>
  <cols>
    <col min="1" max="1" width="13.125" style="40" customWidth="1"/>
    <col min="2" max="2" width="11.75" style="40" customWidth="1"/>
    <col min="3" max="3" width="11.625" style="40" customWidth="1"/>
    <col min="4" max="4" width="5.875" style="40" customWidth="1"/>
    <col min="5" max="6" width="13.625" style="40" customWidth="1"/>
    <col min="7" max="7" width="5.875" style="40" customWidth="1"/>
    <col min="8" max="11" width="13.625" style="40" customWidth="1"/>
    <col min="12" max="12" width="17.125" style="40" customWidth="1"/>
    <col min="13" max="13" width="12.125" style="40" customWidth="1"/>
    <col min="14" max="14" width="9.5" style="36" bestFit="1" customWidth="1"/>
    <col min="15" max="15" width="11.5" style="36" customWidth="1"/>
    <col min="16" max="16" width="12.25" style="36" customWidth="1"/>
    <col min="17" max="17" width="12.375" style="36" customWidth="1"/>
    <col min="18" max="19" width="9" style="36"/>
    <col min="20" max="31" width="9.75" style="36" bestFit="1" customWidth="1"/>
    <col min="32" max="38" width="10.875" style="36" bestFit="1" customWidth="1"/>
    <col min="39" max="43" width="9" style="36"/>
    <col min="44" max="44" width="11.75" style="36" bestFit="1" customWidth="1"/>
    <col min="45" max="16384" width="9" style="36"/>
  </cols>
  <sheetData>
    <row r="1" spans="1:114" s="35" customFormat="1" ht="15.95" customHeight="1" x14ac:dyDescent="0.25">
      <c r="A1" s="37"/>
      <c r="B1" s="37"/>
      <c r="C1" s="37"/>
      <c r="D1" s="37"/>
      <c r="E1" s="37"/>
      <c r="F1" s="37"/>
      <c r="G1" s="37"/>
      <c r="H1" s="37"/>
      <c r="I1" s="37"/>
      <c r="J1" s="37"/>
      <c r="K1" s="37"/>
      <c r="L1" s="37"/>
      <c r="M1" s="37"/>
    </row>
    <row r="2" spans="1:114" ht="15.95" customHeight="1" x14ac:dyDescent="0.25">
      <c r="A2" s="45" t="s">
        <v>184</v>
      </c>
      <c r="B2" s="45"/>
      <c r="C2" s="45"/>
      <c r="D2" s="45"/>
      <c r="E2" s="45"/>
      <c r="F2" s="45"/>
      <c r="G2" s="45"/>
      <c r="H2" s="45"/>
      <c r="I2" s="45"/>
      <c r="J2" s="45"/>
      <c r="K2" s="45"/>
      <c r="L2" s="45"/>
      <c r="M2" s="37"/>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row>
    <row r="3" spans="1:114" ht="15.95" customHeight="1" x14ac:dyDescent="0.25">
      <c r="A3" s="45"/>
      <c r="B3" s="45"/>
      <c r="C3" s="45"/>
      <c r="D3" s="45"/>
      <c r="E3" s="45"/>
      <c r="F3" s="45"/>
      <c r="G3" s="45"/>
      <c r="H3" s="45"/>
      <c r="I3" s="45"/>
      <c r="J3" s="45"/>
      <c r="K3" s="45"/>
      <c r="L3" s="45"/>
      <c r="M3" s="37"/>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row>
    <row r="4" spans="1:114" ht="18" customHeight="1" x14ac:dyDescent="0.25">
      <c r="A4" s="183" t="s">
        <v>150</v>
      </c>
      <c r="B4" s="183"/>
      <c r="C4" s="45"/>
      <c r="D4" s="45"/>
      <c r="E4" s="120" t="s">
        <v>221</v>
      </c>
      <c r="F4" s="121" t="s">
        <v>151</v>
      </c>
      <c r="G4" s="45"/>
      <c r="H4" s="45"/>
      <c r="I4" s="45"/>
      <c r="J4" s="183" t="s">
        <v>152</v>
      </c>
      <c r="K4" s="183"/>
      <c r="L4" s="189"/>
      <c r="M4" s="189"/>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row>
    <row r="5" spans="1:114" ht="18" customHeight="1" x14ac:dyDescent="0.25">
      <c r="A5" s="122" t="s">
        <v>185</v>
      </c>
      <c r="B5" s="127">
        <v>7500</v>
      </c>
      <c r="C5" s="107"/>
      <c r="D5" s="45"/>
      <c r="E5" s="123" t="s">
        <v>294</v>
      </c>
      <c r="F5" s="123" t="s">
        <v>153</v>
      </c>
      <c r="G5" s="45"/>
      <c r="H5" s="45"/>
      <c r="I5" s="45"/>
      <c r="J5" s="124" t="s">
        <v>154</v>
      </c>
      <c r="K5" s="43">
        <v>30</v>
      </c>
      <c r="L5" s="124" t="s">
        <v>155</v>
      </c>
      <c r="M5" s="43">
        <v>4.2</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row>
    <row r="6" spans="1:114" ht="18" customHeight="1" x14ac:dyDescent="0.25">
      <c r="A6" s="122" t="s">
        <v>186</v>
      </c>
      <c r="B6" s="127">
        <v>5000</v>
      </c>
      <c r="C6" s="107"/>
      <c r="D6" s="45"/>
      <c r="E6" s="54"/>
      <c r="F6" s="54"/>
      <c r="G6" s="45"/>
      <c r="H6" s="45"/>
      <c r="I6" s="45"/>
      <c r="J6" s="124" t="s">
        <v>156</v>
      </c>
      <c r="K6" s="43">
        <v>34.700000000000003</v>
      </c>
      <c r="L6" s="124" t="s">
        <v>157</v>
      </c>
      <c r="M6" s="43">
        <v>23.5</v>
      </c>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row>
    <row r="7" spans="1:114" ht="18" customHeight="1" x14ac:dyDescent="0.25">
      <c r="A7" s="122" t="s">
        <v>187</v>
      </c>
      <c r="B7" s="127">
        <v>10</v>
      </c>
      <c r="C7" s="107"/>
      <c r="D7" s="45"/>
      <c r="E7" s="54"/>
      <c r="F7" s="54"/>
      <c r="G7" s="45"/>
      <c r="H7" s="45"/>
      <c r="I7" s="45"/>
      <c r="J7" s="124" t="s">
        <v>158</v>
      </c>
      <c r="K7" s="43">
        <v>0.21</v>
      </c>
      <c r="L7" s="124" t="s">
        <v>159</v>
      </c>
      <c r="M7" s="43">
        <v>1.4E-3</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row>
    <row r="8" spans="1:114" ht="18" customHeight="1" x14ac:dyDescent="0.25">
      <c r="A8" s="122" t="s">
        <v>188</v>
      </c>
      <c r="B8" s="127">
        <v>3</v>
      </c>
      <c r="C8" s="107"/>
      <c r="D8" s="45"/>
      <c r="E8" s="54"/>
      <c r="F8" s="54"/>
      <c r="G8" s="45"/>
      <c r="H8" s="45"/>
      <c r="I8" s="45"/>
      <c r="J8" s="124" t="s">
        <v>160</v>
      </c>
      <c r="K8" s="43">
        <v>2.5000000000000001E-2</v>
      </c>
      <c r="L8" s="124" t="s">
        <v>161</v>
      </c>
      <c r="M8" s="43">
        <v>7.4</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row>
    <row r="9" spans="1:114" ht="18" customHeight="1" x14ac:dyDescent="0.25">
      <c r="A9" s="122" t="s">
        <v>189</v>
      </c>
      <c r="B9" s="127">
        <v>10</v>
      </c>
      <c r="C9" s="107"/>
      <c r="D9" s="45"/>
      <c r="E9" s="54"/>
      <c r="F9" s="119"/>
      <c r="G9" s="45"/>
      <c r="H9" s="45"/>
      <c r="I9" s="45"/>
      <c r="J9" s="124" t="s">
        <v>163</v>
      </c>
      <c r="K9" s="43">
        <v>1</v>
      </c>
      <c r="L9" s="124" t="s">
        <v>164</v>
      </c>
      <c r="M9" s="43">
        <v>22</v>
      </c>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row>
    <row r="10" spans="1:114" ht="18" customHeight="1" x14ac:dyDescent="0.25">
      <c r="A10" s="122" t="s">
        <v>162</v>
      </c>
      <c r="B10" s="72" t="s">
        <v>340</v>
      </c>
      <c r="C10" s="107"/>
      <c r="D10" s="45"/>
      <c r="E10" s="45"/>
      <c r="F10" s="45"/>
      <c r="G10" s="45"/>
      <c r="H10" s="45"/>
      <c r="I10" s="45"/>
      <c r="J10" s="45"/>
      <c r="K10" s="45"/>
      <c r="L10" s="45"/>
      <c r="M10" s="37"/>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row>
    <row r="11" spans="1:114" ht="18" customHeight="1" x14ac:dyDescent="0.25">
      <c r="A11" s="122" t="s">
        <v>165</v>
      </c>
      <c r="B11" s="72" t="s">
        <v>192</v>
      </c>
      <c r="C11" s="107"/>
      <c r="D11" s="45"/>
      <c r="E11" s="45"/>
      <c r="F11" s="45"/>
      <c r="G11" s="45"/>
      <c r="H11" s="45"/>
      <c r="I11" s="45"/>
      <c r="J11" s="45"/>
      <c r="K11" s="45"/>
      <c r="L11" s="45"/>
      <c r="M11" s="37"/>
      <c r="N11" s="35"/>
      <c r="O11" s="35"/>
      <c r="P11" s="35"/>
      <c r="Q11" s="35"/>
      <c r="R11" s="35"/>
      <c r="S11" s="35"/>
      <c r="T11" s="35"/>
      <c r="U11" s="35"/>
      <c r="V11" s="35"/>
      <c r="W11" s="35"/>
      <c r="X11" s="35"/>
      <c r="Y11" s="35"/>
      <c r="Z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row>
    <row r="12" spans="1:114" ht="18" customHeight="1" x14ac:dyDescent="0.25">
      <c r="A12" s="37"/>
      <c r="B12" s="37"/>
      <c r="C12" s="37"/>
      <c r="D12" s="37"/>
      <c r="E12" s="37"/>
      <c r="F12" s="37"/>
      <c r="G12" s="37"/>
      <c r="H12" s="37"/>
      <c r="I12" s="37"/>
      <c r="J12" s="37"/>
      <c r="K12" s="37"/>
      <c r="L12" s="37"/>
      <c r="M12" s="37"/>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row>
    <row r="13" spans="1:114" s="66" customFormat="1" ht="16.5" customHeight="1" x14ac:dyDescent="0.25">
      <c r="A13" s="110" t="s">
        <v>268</v>
      </c>
      <c r="B13" s="111"/>
      <c r="C13" s="111"/>
      <c r="D13" s="111"/>
      <c r="E13" s="111"/>
      <c r="F13" s="111"/>
      <c r="G13" s="111"/>
      <c r="H13" s="111"/>
      <c r="I13" s="111"/>
      <c r="J13" s="111"/>
      <c r="K13" s="111"/>
      <c r="L13" s="111"/>
      <c r="M13" s="111"/>
      <c r="N13" s="65"/>
      <c r="O13" s="35"/>
      <c r="P13" s="35"/>
      <c r="Q13" s="35"/>
      <c r="R13" s="35"/>
      <c r="S13" s="35"/>
      <c r="T13" s="35"/>
      <c r="U13" s="35"/>
      <c r="V13" s="35"/>
      <c r="W13" s="35"/>
      <c r="X13" s="35"/>
      <c r="Y13" s="35"/>
      <c r="Z13" s="3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row>
    <row r="14" spans="1:114" ht="33" customHeight="1" x14ac:dyDescent="0.25">
      <c r="A14" s="184" t="s">
        <v>166</v>
      </c>
      <c r="B14" s="185" t="s">
        <v>167</v>
      </c>
      <c r="C14" s="186" t="s">
        <v>307</v>
      </c>
      <c r="D14" s="185" t="s">
        <v>168</v>
      </c>
      <c r="E14" s="184"/>
      <c r="F14" s="184"/>
      <c r="G14" s="185" t="s">
        <v>169</v>
      </c>
      <c r="H14" s="184"/>
      <c r="I14" s="184"/>
      <c r="J14" s="105" t="s">
        <v>224</v>
      </c>
      <c r="K14" s="188" t="s">
        <v>225</v>
      </c>
      <c r="L14" s="188" t="s">
        <v>226</v>
      </c>
      <c r="M14" s="185" t="s">
        <v>166</v>
      </c>
      <c r="N14" s="137"/>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row>
    <row r="15" spans="1:114" ht="16.5" x14ac:dyDescent="0.25">
      <c r="A15" s="184"/>
      <c r="B15" s="184"/>
      <c r="C15" s="187"/>
      <c r="D15" s="106" t="s">
        <v>170</v>
      </c>
      <c r="E15" s="106" t="s">
        <v>171</v>
      </c>
      <c r="F15" s="106" t="s">
        <v>172</v>
      </c>
      <c r="G15" s="106" t="s">
        <v>170</v>
      </c>
      <c r="H15" s="106" t="s">
        <v>171</v>
      </c>
      <c r="I15" s="106" t="s">
        <v>172</v>
      </c>
      <c r="J15" s="106" t="s">
        <v>172</v>
      </c>
      <c r="K15" s="184"/>
      <c r="L15" s="184"/>
      <c r="M15" s="184"/>
      <c r="N15" s="129"/>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row>
    <row r="16" spans="1:114" ht="16.5" x14ac:dyDescent="0.25">
      <c r="A16" s="161" t="s">
        <v>173</v>
      </c>
      <c r="B16" s="154"/>
      <c r="C16" s="161"/>
      <c r="D16" s="62" t="s">
        <v>14</v>
      </c>
      <c r="E16" s="64">
        <f>'P(M)'!K17</f>
        <v>9100</v>
      </c>
      <c r="F16" s="104">
        <f>E16</f>
        <v>9100</v>
      </c>
      <c r="G16" s="62" t="s">
        <v>14</v>
      </c>
      <c r="H16" s="64">
        <f>'P(M)'!T17</f>
        <v>0</v>
      </c>
      <c r="I16" s="104">
        <f>H16</f>
        <v>0</v>
      </c>
      <c r="J16" s="104">
        <f>F16+I16</f>
        <v>9100</v>
      </c>
      <c r="K16" s="39">
        <f>'P(M)'!AA17</f>
        <v>85000</v>
      </c>
      <c r="L16" s="104">
        <f>J16+K16</f>
        <v>94100</v>
      </c>
      <c r="M16" s="161" t="s">
        <v>173</v>
      </c>
      <c r="N16" s="129" t="str">
        <f>IF(K16=999999,"初稿案申請地區選擇有誤，請加以調整！",IF(AND('P(M)'!$D$17=1,'P(M)'!C17=FALSE,'P(M)'!C18=FALSE),"以台灣案做為初稿案時，需勾選發明與新型的至少其一！",""))</f>
        <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row>
    <row r="17" spans="1:114" ht="16.5" x14ac:dyDescent="0.25">
      <c r="A17" s="162"/>
      <c r="B17" s="154"/>
      <c r="C17" s="162"/>
      <c r="D17" s="62" t="s">
        <v>14</v>
      </c>
      <c r="E17" s="64">
        <f>'P(M)'!K18</f>
        <v>0</v>
      </c>
      <c r="F17" s="104">
        <f>E17</f>
        <v>0</v>
      </c>
      <c r="G17" s="62" t="s">
        <v>14</v>
      </c>
      <c r="H17" s="64">
        <f>'P(M)'!T18</f>
        <v>0</v>
      </c>
      <c r="I17" s="104">
        <f>H17</f>
        <v>0</v>
      </c>
      <c r="J17" s="104">
        <f t="shared" ref="J17:J36" si="0">F17+I17</f>
        <v>0</v>
      </c>
      <c r="K17" s="39">
        <f>'P(M)'!AA18</f>
        <v>0</v>
      </c>
      <c r="L17" s="104">
        <f t="shared" ref="L17:L36" si="1">J17+K17</f>
        <v>0</v>
      </c>
      <c r="M17" s="162"/>
      <c r="N17" s="129" t="str">
        <f>IF(K17=999999,"初稿案申請地區選擇有誤，請加以調整！",IF(AND('P(M)'!$D$17=1,'P(M)'!C17=FALSE,'P(M)'!C18=FALSE),"以台灣案做為初稿案時，需勾選發明與新型的至少其一！",""))</f>
        <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row>
    <row r="18" spans="1:114" ht="16.5" x14ac:dyDescent="0.25">
      <c r="A18" s="161" t="s">
        <v>174</v>
      </c>
      <c r="B18" s="154"/>
      <c r="C18" s="161"/>
      <c r="D18" s="62" t="s">
        <v>15</v>
      </c>
      <c r="E18" s="64">
        <f>'P(M)'!K19</f>
        <v>3450</v>
      </c>
      <c r="F18" s="104">
        <f>E18*$M$5</f>
        <v>14490</v>
      </c>
      <c r="G18" s="62" t="s">
        <v>15</v>
      </c>
      <c r="H18" s="64">
        <f>'P(M)'!T19</f>
        <v>1700</v>
      </c>
      <c r="I18" s="104">
        <f>H18*$M$5</f>
        <v>7140</v>
      </c>
      <c r="J18" s="104">
        <f t="shared" si="0"/>
        <v>21630</v>
      </c>
      <c r="K18" s="39">
        <f>'P(M)'!AA19</f>
        <v>20000</v>
      </c>
      <c r="L18" s="104">
        <f t="shared" si="1"/>
        <v>41630</v>
      </c>
      <c r="M18" s="161" t="s">
        <v>174</v>
      </c>
      <c r="N18" s="129" t="str">
        <f>IF(K18=999999,"初稿案申請地區選擇有誤，請加以調整！",IF(AND('P(M)'!$D$17=2,'P(M)'!C19=FALSE,'P(M)'!C20=FALSE),"以大陸案做為初稿案時，需勾選發明與新型的至少其一！",""))</f>
        <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row>
    <row r="19" spans="1:114" ht="16.5" x14ac:dyDescent="0.25">
      <c r="A19" s="162"/>
      <c r="B19" s="154"/>
      <c r="C19" s="162"/>
      <c r="D19" s="62" t="s">
        <v>15</v>
      </c>
      <c r="E19" s="64">
        <f>'P(M)'!K20</f>
        <v>0</v>
      </c>
      <c r="F19" s="104">
        <f>E19*$M$5</f>
        <v>0</v>
      </c>
      <c r="G19" s="62" t="s">
        <v>15</v>
      </c>
      <c r="H19" s="64">
        <f>'P(M)'!T20</f>
        <v>0</v>
      </c>
      <c r="I19" s="104">
        <f>H19*$M$5</f>
        <v>0</v>
      </c>
      <c r="J19" s="104">
        <f t="shared" si="0"/>
        <v>0</v>
      </c>
      <c r="K19" s="39">
        <f>'P(M)'!AA20</f>
        <v>0</v>
      </c>
      <c r="L19" s="104">
        <f t="shared" si="1"/>
        <v>0</v>
      </c>
      <c r="M19" s="162"/>
      <c r="N19" s="129" t="str">
        <f>IF(K19=999999,"初稿案申請地區選擇有誤，請加以調整！",IF(AND('P(M)'!$D$17=2,'P(M)'!C19=FALSE,'P(M)'!C20=FALSE),"以大陸案做為初稿案時，需勾選發明與新型的至少其一！",""))</f>
        <v/>
      </c>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row>
    <row r="20" spans="1:114" ht="16.5" x14ac:dyDescent="0.25">
      <c r="A20" s="62" t="s">
        <v>175</v>
      </c>
      <c r="B20" s="154"/>
      <c r="C20" s="62"/>
      <c r="D20" s="62" t="s">
        <v>75</v>
      </c>
      <c r="E20" s="64">
        <f>'P(M)'!K21</f>
        <v>730</v>
      </c>
      <c r="F20" s="104">
        <f>E20*$K$5</f>
        <v>21900</v>
      </c>
      <c r="G20" s="62" t="s">
        <v>16</v>
      </c>
      <c r="H20" s="64">
        <f>'P(M)'!T21</f>
        <v>650</v>
      </c>
      <c r="I20" s="104">
        <f>H20*$K$5</f>
        <v>19500</v>
      </c>
      <c r="J20" s="104">
        <f t="shared" si="0"/>
        <v>41400</v>
      </c>
      <c r="K20" s="39">
        <f>'P(M)'!AA21</f>
        <v>60000</v>
      </c>
      <c r="L20" s="104">
        <f t="shared" si="1"/>
        <v>101400</v>
      </c>
      <c r="M20" s="62" t="s">
        <v>175</v>
      </c>
      <c r="N20" s="129" t="str">
        <f>IF(K20=999999,"初稿案申請地區選擇有誤，請加以調整！",IF(AND('P(M)'!$D$17=3,'P(M)'!C21=FALSE),"以美國案做為初稿案時，需勾選發明！",""))</f>
        <v/>
      </c>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row>
    <row r="21" spans="1:114" ht="16.5" x14ac:dyDescent="0.25">
      <c r="A21" s="62" t="s">
        <v>190</v>
      </c>
      <c r="B21" s="154"/>
      <c r="C21" s="62"/>
      <c r="D21" s="62" t="s">
        <v>17</v>
      </c>
      <c r="E21" s="64">
        <f>'P(M)'!K22</f>
        <v>1655</v>
      </c>
      <c r="F21" s="104">
        <f>E21*$K$6</f>
        <v>57428.500000000007</v>
      </c>
      <c r="G21" s="62" t="s">
        <v>17</v>
      </c>
      <c r="H21" s="64">
        <f>'P(M)'!T22</f>
        <v>460</v>
      </c>
      <c r="I21" s="104">
        <f>H21*$K$6</f>
        <v>15962.000000000002</v>
      </c>
      <c r="J21" s="104">
        <f t="shared" si="0"/>
        <v>73390.500000000015</v>
      </c>
      <c r="K21" s="39">
        <f>'P(M)'!AA22</f>
        <v>40000</v>
      </c>
      <c r="L21" s="104">
        <f t="shared" si="1"/>
        <v>113390.50000000001</v>
      </c>
      <c r="M21" s="62" t="s">
        <v>190</v>
      </c>
      <c r="N21" s="129" t="str">
        <f>IF(K21=999999,"需勾選至少一件中文案或一件其他地區的英文案，才能勾選歐洲發明案！","")</f>
        <v/>
      </c>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row>
    <row r="22" spans="1:114" ht="16.5" x14ac:dyDescent="0.25">
      <c r="A22" s="161" t="s">
        <v>176</v>
      </c>
      <c r="B22" s="154"/>
      <c r="C22" s="161"/>
      <c r="D22" s="62" t="s">
        <v>18</v>
      </c>
      <c r="E22" s="64">
        <f>'P(M)'!K23</f>
        <v>192000</v>
      </c>
      <c r="F22" s="104">
        <f>E22*$K$7</f>
        <v>40320</v>
      </c>
      <c r="G22" s="62" t="s">
        <v>18</v>
      </c>
      <c r="H22" s="64">
        <f>'P(M)'!T23</f>
        <v>304500</v>
      </c>
      <c r="I22" s="104">
        <f>H22*$K$7</f>
        <v>63945</v>
      </c>
      <c r="J22" s="104">
        <f t="shared" si="0"/>
        <v>104265</v>
      </c>
      <c r="K22" s="39">
        <f>'P(M)'!AA23</f>
        <v>30000</v>
      </c>
      <c r="L22" s="104">
        <f t="shared" si="1"/>
        <v>134265</v>
      </c>
      <c r="M22" s="161" t="s">
        <v>176</v>
      </c>
      <c r="N22" s="129" t="str">
        <f>IF(K22=999999,"需勾選至少一件英文案或一件中文案，才能勾選日本案！",IF(AND('P(M)'!C23=TRUE,'P(M)'!C24=TRUE),"日本不允許同時申請發明專利與新型專利，請擇一申請！",""))</f>
        <v/>
      </c>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row>
    <row r="23" spans="1:114" ht="16.5" x14ac:dyDescent="0.25">
      <c r="A23" s="162"/>
      <c r="B23" s="154"/>
      <c r="C23" s="162"/>
      <c r="D23" s="62" t="s">
        <v>18</v>
      </c>
      <c r="E23" s="64">
        <f>'P(M)'!K24</f>
        <v>0</v>
      </c>
      <c r="F23" s="104">
        <f>E23*$K$7</f>
        <v>0</v>
      </c>
      <c r="G23" s="62" t="s">
        <v>18</v>
      </c>
      <c r="H23" s="64">
        <f>'P(M)'!T24</f>
        <v>0</v>
      </c>
      <c r="I23" s="104">
        <f>H23*$K$7</f>
        <v>0</v>
      </c>
      <c r="J23" s="104">
        <f t="shared" si="0"/>
        <v>0</v>
      </c>
      <c r="K23" s="39">
        <f>'P(M)'!AA24</f>
        <v>0</v>
      </c>
      <c r="L23" s="104">
        <f t="shared" si="1"/>
        <v>0</v>
      </c>
      <c r="M23" s="162"/>
      <c r="N23" s="129" t="str">
        <f>IF(K23=999999,"需勾選至少一件英文案或一件中文案，才能勾選日本案！",IF(AND('P(M)'!C23=TRUE,'P(M)'!C24=TRUE),"日本不允許同時申請發明專利與新型專利，請擇一申請！",""))</f>
        <v/>
      </c>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row>
    <row r="24" spans="1:114" ht="16.5" x14ac:dyDescent="0.25">
      <c r="A24" s="161" t="s">
        <v>177</v>
      </c>
      <c r="B24" s="154"/>
      <c r="C24" s="161"/>
      <c r="D24" s="62" t="s">
        <v>19</v>
      </c>
      <c r="E24" s="64">
        <f>'P(M)'!K25</f>
        <v>722000</v>
      </c>
      <c r="F24" s="104">
        <f>E24*$K$8</f>
        <v>18050</v>
      </c>
      <c r="G24" s="62" t="s">
        <v>16</v>
      </c>
      <c r="H24" s="64">
        <f>'P(M)'!T25</f>
        <v>2790</v>
      </c>
      <c r="I24" s="104">
        <f>H24*$K$5</f>
        <v>83700</v>
      </c>
      <c r="J24" s="104">
        <f t="shared" si="0"/>
        <v>101750</v>
      </c>
      <c r="K24" s="39">
        <f>'P(M)'!AA25</f>
        <v>30000</v>
      </c>
      <c r="L24" s="104">
        <f t="shared" si="1"/>
        <v>131750</v>
      </c>
      <c r="M24" s="161" t="s">
        <v>177</v>
      </c>
      <c r="N24" s="129" t="str">
        <f>IF(K24=999999,"需勾選至少一件英文案或一件中文案，才能勾選韓國案！",IF(AND('P(M)'!C25=TRUE,'P(M)'!C26=TRUE),"韓國不允許同時申請發明專利與新型專利，請擇一申請！",""))</f>
        <v/>
      </c>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row>
    <row r="25" spans="1:114" ht="16.5" x14ac:dyDescent="0.25">
      <c r="A25" s="162"/>
      <c r="B25" s="154"/>
      <c r="C25" s="162"/>
      <c r="D25" s="62" t="s">
        <v>19</v>
      </c>
      <c r="E25" s="64">
        <f>'P(M)'!K26</f>
        <v>0</v>
      </c>
      <c r="F25" s="104">
        <f>E25*$K$8</f>
        <v>0</v>
      </c>
      <c r="G25" s="62" t="s">
        <v>16</v>
      </c>
      <c r="H25" s="64">
        <f>'P(M)'!T26</f>
        <v>0</v>
      </c>
      <c r="I25" s="104">
        <f>H25*$K$5</f>
        <v>0</v>
      </c>
      <c r="J25" s="104">
        <f t="shared" si="0"/>
        <v>0</v>
      </c>
      <c r="K25" s="39">
        <f>'P(M)'!AA26</f>
        <v>0</v>
      </c>
      <c r="L25" s="104">
        <f t="shared" si="1"/>
        <v>0</v>
      </c>
      <c r="M25" s="162"/>
      <c r="N25" s="129" t="str">
        <f>IF(K25=999999,"需勾選至少一件英文案或一件中文案，才能勾選韓國案！",IF(AND('P(M)'!C25=TRUE,'P(M)'!C26=TRUE),"韓國不允許同時申請發明專利與新型專利，請擇一申請！",""))</f>
        <v/>
      </c>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row>
    <row r="26" spans="1:114" ht="16.5" x14ac:dyDescent="0.25">
      <c r="A26" s="62" t="s">
        <v>191</v>
      </c>
      <c r="B26" s="154"/>
      <c r="C26" s="62"/>
      <c r="D26" s="62" t="s">
        <v>43</v>
      </c>
      <c r="E26" s="64">
        <f>'P(M)'!K27</f>
        <v>829.7</v>
      </c>
      <c r="F26" s="104">
        <f>E26*$M$9</f>
        <v>18253.400000000001</v>
      </c>
      <c r="G26" s="62" t="s">
        <v>43</v>
      </c>
      <c r="H26" s="64">
        <f>'P(M)'!T27</f>
        <v>1440</v>
      </c>
      <c r="I26" s="104">
        <f>H26*$M$9</f>
        <v>31680</v>
      </c>
      <c r="J26" s="104">
        <f>F26+I26</f>
        <v>49933.4</v>
      </c>
      <c r="K26" s="39">
        <f>'P(M)'!AA27</f>
        <v>30000</v>
      </c>
      <c r="L26" s="104">
        <f>J26+K26</f>
        <v>79933.399999999994</v>
      </c>
      <c r="M26" s="62" t="s">
        <v>191</v>
      </c>
      <c r="N26" s="129" t="str">
        <f>IF(K26=999999,"初稿案申請地區選擇有誤，請加以調整！",IF(AND('P(M)'!$D$17=4,'P(M)'!C27=FALSE),"以加拿大案做為初稿案時，需勾選發明！",""))</f>
        <v/>
      </c>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row>
    <row r="27" spans="1:114" ht="16.5" x14ac:dyDescent="0.25">
      <c r="A27" s="62" t="s">
        <v>178</v>
      </c>
      <c r="B27" s="154"/>
      <c r="C27" s="62"/>
      <c r="D27" s="62" t="s">
        <v>20</v>
      </c>
      <c r="E27" s="64">
        <f>'P(M)'!K28</f>
        <v>2220</v>
      </c>
      <c r="F27" s="104">
        <f>E27*$M$6</f>
        <v>52170</v>
      </c>
      <c r="G27" s="62" t="s">
        <v>20</v>
      </c>
      <c r="H27" s="64">
        <f>'P(M)'!T28</f>
        <v>1600</v>
      </c>
      <c r="I27" s="104">
        <f>H27*$M$6</f>
        <v>37600</v>
      </c>
      <c r="J27" s="104">
        <f t="shared" si="0"/>
        <v>89770</v>
      </c>
      <c r="K27" s="39">
        <f>'P(M)'!AA28</f>
        <v>30000</v>
      </c>
      <c r="L27" s="104">
        <f t="shared" si="1"/>
        <v>119770</v>
      </c>
      <c r="M27" s="62" t="s">
        <v>178</v>
      </c>
      <c r="N27" s="129" t="str">
        <f>IF(K27=999999,"初稿案申請地區選擇有誤，請加以調整！",IF(AND('P(M)'!$D$17=5,'P(M)'!C28=FALSE),"以新加坡案做為初稿案時，需勾選發明！",""))</f>
        <v/>
      </c>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row>
    <row r="28" spans="1:114" ht="16.5" x14ac:dyDescent="0.25">
      <c r="A28" s="161" t="s">
        <v>181</v>
      </c>
      <c r="B28" s="154"/>
      <c r="C28" s="161"/>
      <c r="D28" s="62" t="s">
        <v>23</v>
      </c>
      <c r="E28" s="64">
        <f>'P(M)'!K29</f>
        <v>1590</v>
      </c>
      <c r="F28" s="104">
        <f>E28*$M$8</f>
        <v>11766</v>
      </c>
      <c r="G28" s="62" t="s">
        <v>23</v>
      </c>
      <c r="H28" s="64">
        <f>'P(M)'!T29</f>
        <v>1933</v>
      </c>
      <c r="I28" s="104">
        <f>H28*$M$8</f>
        <v>14304.2</v>
      </c>
      <c r="J28" s="104">
        <f>F28+I28</f>
        <v>26070.2</v>
      </c>
      <c r="K28" s="39">
        <f>'P(M)'!AA29</f>
        <v>30000</v>
      </c>
      <c r="L28" s="104">
        <f>J28+K28</f>
        <v>56070.2</v>
      </c>
      <c r="M28" s="161" t="s">
        <v>181</v>
      </c>
      <c r="N28" s="129" t="str">
        <f>IF(K28=999999,"初稿案申請地區選擇有誤，請加以調整！",IF(AND('P(M)'!$D$17=6,'P(M)'!C29=FALSE,'P(M)'!C30=FALSE),"以馬來西亞案做為初稿案時，需勾選發明與新型的至少其一！",""))</f>
        <v/>
      </c>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row>
    <row r="29" spans="1:114" ht="16.5" x14ac:dyDescent="0.25">
      <c r="A29" s="162"/>
      <c r="B29" s="154"/>
      <c r="C29" s="162"/>
      <c r="D29" s="62" t="s">
        <v>23</v>
      </c>
      <c r="E29" s="64">
        <f>'P(M)'!K30</f>
        <v>0</v>
      </c>
      <c r="F29" s="104">
        <f>E29*$M$8</f>
        <v>0</v>
      </c>
      <c r="G29" s="62" t="s">
        <v>23</v>
      </c>
      <c r="H29" s="64">
        <f>'P(M)'!T30</f>
        <v>0</v>
      </c>
      <c r="I29" s="104">
        <f>H29*$M$8</f>
        <v>0</v>
      </c>
      <c r="J29" s="104">
        <f>F29+I29</f>
        <v>0</v>
      </c>
      <c r="K29" s="39">
        <f>'P(M)'!AA30</f>
        <v>0</v>
      </c>
      <c r="L29" s="104">
        <f>J29+K29</f>
        <v>0</v>
      </c>
      <c r="M29" s="162"/>
      <c r="N29" s="129" t="str">
        <f>IF(K29=999999,"初稿案申請地區選擇有誤，請加以調整！",IF(AND('P(M)'!$D$17=6,'P(M)'!C29=FALSE,'P(M)'!C30=FALSE),"以馬來西亞案做為初稿案時，需勾選發明與新型的至少其一！",""))</f>
        <v/>
      </c>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row>
    <row r="30" spans="1:114" ht="16.5" x14ac:dyDescent="0.25">
      <c r="A30" s="68" t="s">
        <v>146</v>
      </c>
      <c r="B30" s="154"/>
      <c r="C30" s="68"/>
      <c r="D30" s="62" t="s">
        <v>16</v>
      </c>
      <c r="E30" s="64">
        <f>'P(M)'!K31</f>
        <v>0</v>
      </c>
      <c r="F30" s="104">
        <f>E30*$K$5</f>
        <v>0</v>
      </c>
      <c r="G30" s="62" t="s">
        <v>16</v>
      </c>
      <c r="H30" s="64">
        <f>'P(M)'!T31</f>
        <v>0</v>
      </c>
      <c r="I30" s="104">
        <f>H30*$K$5</f>
        <v>0</v>
      </c>
      <c r="J30" s="104">
        <f t="shared" si="0"/>
        <v>0</v>
      </c>
      <c r="K30" s="39">
        <f>'P(M)'!AA31</f>
        <v>0</v>
      </c>
      <c r="L30" s="104">
        <f t="shared" si="1"/>
        <v>0</v>
      </c>
      <c r="M30" s="68" t="s">
        <v>146</v>
      </c>
      <c r="N30" s="129" t="str">
        <f>IF(K30=999999,"初稿案申請地區選擇有誤，請加以調整！",IF(AND('P(M)'!$D$17=7,'P(M)'!C31=FALSE),"以菲律賓案做為初稿案時，需勾選發明！",""))</f>
        <v/>
      </c>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row>
    <row r="31" spans="1:114" ht="16.5" x14ac:dyDescent="0.25">
      <c r="A31" s="161" t="s">
        <v>182</v>
      </c>
      <c r="B31" s="154"/>
      <c r="C31" s="161"/>
      <c r="D31" s="62" t="s">
        <v>16</v>
      </c>
      <c r="E31" s="64">
        <f>'P(M)'!K32</f>
        <v>0</v>
      </c>
      <c r="F31" s="104">
        <f>E31*$K$5</f>
        <v>0</v>
      </c>
      <c r="G31" s="62" t="s">
        <v>16</v>
      </c>
      <c r="H31" s="64">
        <f>'P(M)'!T32</f>
        <v>0</v>
      </c>
      <c r="I31" s="104">
        <f>H31*$K$5</f>
        <v>0</v>
      </c>
      <c r="J31" s="104">
        <f>F31+I31</f>
        <v>0</v>
      </c>
      <c r="K31" s="39">
        <f>'P(M)'!AA32</f>
        <v>0</v>
      </c>
      <c r="L31" s="104">
        <f>J31+K31</f>
        <v>0</v>
      </c>
      <c r="M31" s="161" t="s">
        <v>182</v>
      </c>
      <c r="N31" s="129" t="str">
        <f>IF(K31=999999,"需勾選至少一件英文案，才能勾選印尼案！",IF(AND('P(M)'!C32=TRUE,'P(M)'!C33=TRUE),"印尼不允許同時申請發明專利與新型專利，請擇一申請！",""))</f>
        <v/>
      </c>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row>
    <row r="32" spans="1:114" ht="16.5" x14ac:dyDescent="0.25">
      <c r="A32" s="162"/>
      <c r="B32" s="154"/>
      <c r="C32" s="162"/>
      <c r="D32" s="62" t="s">
        <v>16</v>
      </c>
      <c r="E32" s="64">
        <f>'P(M)'!K33</f>
        <v>0</v>
      </c>
      <c r="F32" s="104">
        <f>E32*$K$5</f>
        <v>0</v>
      </c>
      <c r="G32" s="62" t="s">
        <v>16</v>
      </c>
      <c r="H32" s="64">
        <f>'P(M)'!T33</f>
        <v>0</v>
      </c>
      <c r="I32" s="104">
        <f>H32*$K$5</f>
        <v>0</v>
      </c>
      <c r="J32" s="104">
        <f>F32+I32</f>
        <v>0</v>
      </c>
      <c r="K32" s="39">
        <f>'P(M)'!AA33</f>
        <v>0</v>
      </c>
      <c r="L32" s="104">
        <f>J32+K32</f>
        <v>0</v>
      </c>
      <c r="M32" s="162"/>
      <c r="N32" s="129" t="str">
        <f>IF(K32=999999,"需勾選至少一件英文案，才能勾選印尼案！",IF(AND('P(M)'!C32=TRUE,'P(M)'!C33=TRUE),"印尼不允許同時申請發明專利與新型專利，請擇一申請！",""))</f>
        <v/>
      </c>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row>
    <row r="33" spans="1:114" ht="16.5" x14ac:dyDescent="0.25">
      <c r="A33" s="161" t="s">
        <v>179</v>
      </c>
      <c r="B33" s="154"/>
      <c r="C33" s="161"/>
      <c r="D33" s="62" t="s">
        <v>21</v>
      </c>
      <c r="E33" s="64">
        <f>'P(M)'!K34</f>
        <v>0</v>
      </c>
      <c r="F33" s="104">
        <f>E33*$M$7</f>
        <v>0</v>
      </c>
      <c r="G33" s="62" t="s">
        <v>16</v>
      </c>
      <c r="H33" s="64">
        <f>'P(M)'!T34</f>
        <v>0</v>
      </c>
      <c r="I33" s="104">
        <f>H33*$K$5</f>
        <v>0</v>
      </c>
      <c r="J33" s="104">
        <f t="shared" si="0"/>
        <v>0</v>
      </c>
      <c r="K33" s="39">
        <f>'P(M)'!AA34</f>
        <v>0</v>
      </c>
      <c r="L33" s="104">
        <f t="shared" si="1"/>
        <v>0</v>
      </c>
      <c r="M33" s="161" t="s">
        <v>179</v>
      </c>
      <c r="N33" s="129" t="str">
        <f>IF(K33=999999,"需勾選至少一件英文案，才能勾選越南案！","")</f>
        <v/>
      </c>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row>
    <row r="34" spans="1:114" ht="16.5" x14ac:dyDescent="0.25">
      <c r="A34" s="162"/>
      <c r="B34" s="154"/>
      <c r="C34" s="162"/>
      <c r="D34" s="62" t="s">
        <v>21</v>
      </c>
      <c r="E34" s="64">
        <f>'P(M)'!K35</f>
        <v>0</v>
      </c>
      <c r="F34" s="104">
        <f>E34*$M$7</f>
        <v>0</v>
      </c>
      <c r="G34" s="62" t="s">
        <v>16</v>
      </c>
      <c r="H34" s="64">
        <f>'P(M)'!T35</f>
        <v>0</v>
      </c>
      <c r="I34" s="104">
        <f>H34*$K$5</f>
        <v>0</v>
      </c>
      <c r="J34" s="104">
        <f t="shared" si="0"/>
        <v>0</v>
      </c>
      <c r="K34" s="39">
        <f>'P(M)'!AA35</f>
        <v>0</v>
      </c>
      <c r="L34" s="104">
        <f t="shared" si="1"/>
        <v>0</v>
      </c>
      <c r="M34" s="162"/>
      <c r="N34" s="129" t="str">
        <f>IF(K34=999999,"需勾選至少一件英文案，才能勾選越南案！","")</f>
        <v/>
      </c>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row>
    <row r="35" spans="1:114" ht="16.5" x14ac:dyDescent="0.25">
      <c r="A35" s="161" t="s">
        <v>180</v>
      </c>
      <c r="B35" s="154"/>
      <c r="C35" s="161"/>
      <c r="D35" s="62" t="s">
        <v>22</v>
      </c>
      <c r="E35" s="64">
        <f>'P(M)'!K36</f>
        <v>0</v>
      </c>
      <c r="F35" s="104">
        <f>E35*$K$9</f>
        <v>0</v>
      </c>
      <c r="G35" s="62" t="s">
        <v>22</v>
      </c>
      <c r="H35" s="64">
        <f>'P(M)'!T36</f>
        <v>0</v>
      </c>
      <c r="I35" s="104">
        <f>H35*$K$9</f>
        <v>0</v>
      </c>
      <c r="J35" s="104">
        <f t="shared" si="0"/>
        <v>0</v>
      </c>
      <c r="K35" s="39">
        <f>'P(M)'!AA36</f>
        <v>0</v>
      </c>
      <c r="L35" s="104">
        <f t="shared" si="1"/>
        <v>0</v>
      </c>
      <c r="M35" s="161" t="s">
        <v>180</v>
      </c>
      <c r="N35" s="129" t="str">
        <f>IF(K35=999999,"需勾選至少一件英文案，才能勾選泰國案！",IF(AND('P(M)'!C36=TRUE,'P(M)'!C37=TRUE),"泰國不允許同時申請發明專利與新型專利，請擇一申請！",""))</f>
        <v/>
      </c>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row>
    <row r="36" spans="1:114" ht="16.5" x14ac:dyDescent="0.25">
      <c r="A36" s="162"/>
      <c r="B36" s="154"/>
      <c r="C36" s="162"/>
      <c r="D36" s="62" t="s">
        <v>22</v>
      </c>
      <c r="E36" s="64">
        <f>'P(M)'!K37</f>
        <v>0</v>
      </c>
      <c r="F36" s="104">
        <f>E36*$K$9</f>
        <v>0</v>
      </c>
      <c r="G36" s="62" t="s">
        <v>22</v>
      </c>
      <c r="H36" s="64">
        <f>'P(M)'!T37</f>
        <v>0</v>
      </c>
      <c r="I36" s="104">
        <f>H36*$K$9</f>
        <v>0</v>
      </c>
      <c r="J36" s="104">
        <f t="shared" si="0"/>
        <v>0</v>
      </c>
      <c r="K36" s="39">
        <f>'P(M)'!AA37</f>
        <v>0</v>
      </c>
      <c r="L36" s="104">
        <f t="shared" si="1"/>
        <v>0</v>
      </c>
      <c r="M36" s="162"/>
      <c r="N36" s="129" t="str">
        <f>IF(K36=999999,"需勾選至少一件英文案，才能勾選泰國案！",IF(AND('P(M)'!C36=TRUE,'P(M)'!C37=TRUE),"泰國不允許同時申請發明專利與新型專利，請擇一申請！",""))</f>
        <v/>
      </c>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row>
    <row r="37" spans="1:114" ht="18.75" x14ac:dyDescent="0.25">
      <c r="A37" s="55"/>
      <c r="B37" s="55"/>
      <c r="C37" s="56"/>
      <c r="D37" s="55"/>
      <c r="E37" s="56" t="s">
        <v>183</v>
      </c>
      <c r="F37" s="57">
        <f>SUM(F16:F36)</f>
        <v>243477.9</v>
      </c>
      <c r="G37" s="55"/>
      <c r="H37" s="56" t="s">
        <v>183</v>
      </c>
      <c r="I37" s="58">
        <f>SUM(I16:I36)</f>
        <v>273831.2</v>
      </c>
      <c r="J37" s="59">
        <f>SUM(J16:J36)</f>
        <v>517309.10000000003</v>
      </c>
      <c r="K37" s="60">
        <f>SUM(K16:K36)</f>
        <v>355000</v>
      </c>
      <c r="L37" s="61">
        <f>SUM(L16:L36)</f>
        <v>872309.1</v>
      </c>
      <c r="M37" s="62"/>
      <c r="N37" s="129"/>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row>
    <row r="38" spans="1:114" s="147" customFormat="1" ht="16.5" x14ac:dyDescent="0.25">
      <c r="A38" s="107" t="s">
        <v>48</v>
      </c>
      <c r="B38" s="107"/>
      <c r="C38" s="107"/>
      <c r="D38" s="107"/>
      <c r="E38" s="107"/>
      <c r="F38" s="107"/>
      <c r="G38" s="107"/>
      <c r="H38" s="107"/>
      <c r="I38" s="107"/>
      <c r="J38" s="107"/>
      <c r="K38" s="107"/>
      <c r="L38" s="107"/>
      <c r="M38" s="107"/>
      <c r="N38" s="129"/>
      <c r="O38" s="145"/>
      <c r="P38" s="145"/>
      <c r="Q38" s="145"/>
      <c r="R38" s="145"/>
      <c r="S38" s="145"/>
      <c r="T38" s="145"/>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row>
    <row r="39" spans="1:114" s="147" customFormat="1" ht="16.5" x14ac:dyDescent="0.25">
      <c r="A39" s="107" t="s">
        <v>311</v>
      </c>
      <c r="B39" s="107"/>
      <c r="C39" s="107"/>
      <c r="D39" s="107"/>
      <c r="E39" s="107"/>
      <c r="F39" s="107"/>
      <c r="G39" s="107"/>
      <c r="H39" s="107"/>
      <c r="I39" s="107"/>
      <c r="J39" s="107"/>
      <c r="K39" s="107"/>
      <c r="L39" s="107"/>
      <c r="M39" s="107"/>
      <c r="N39" s="129"/>
      <c r="O39" s="145"/>
      <c r="P39" s="145"/>
      <c r="Q39" s="145"/>
      <c r="R39" s="145"/>
      <c r="S39" s="145"/>
      <c r="T39" s="145"/>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row>
    <row r="40" spans="1:114" s="147" customFormat="1" ht="16.5" x14ac:dyDescent="0.25">
      <c r="A40" s="107" t="s">
        <v>335</v>
      </c>
      <c r="B40" s="107"/>
      <c r="C40" s="107"/>
      <c r="D40" s="107"/>
      <c r="E40" s="148"/>
      <c r="F40" s="107"/>
      <c r="G40" s="107"/>
      <c r="H40" s="107"/>
      <c r="I40" s="107"/>
      <c r="J40" s="107"/>
      <c r="K40" s="107"/>
      <c r="L40" s="107"/>
      <c r="M40" s="107"/>
      <c r="N40" s="129"/>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row>
    <row r="41" spans="1:114" s="147" customFormat="1" ht="16.5" x14ac:dyDescent="0.25">
      <c r="A41" s="107" t="s">
        <v>323</v>
      </c>
      <c r="B41" s="107"/>
      <c r="C41" s="107"/>
      <c r="D41" s="107"/>
      <c r="E41" s="148"/>
      <c r="F41" s="107"/>
      <c r="G41" s="107"/>
      <c r="H41" s="107"/>
      <c r="I41" s="107"/>
      <c r="J41" s="107"/>
      <c r="K41" s="107"/>
      <c r="L41" s="107"/>
      <c r="M41" s="107"/>
      <c r="N41" s="129"/>
      <c r="O41" s="146"/>
      <c r="P41" s="149"/>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row>
    <row r="42" spans="1:114" s="147" customFormat="1" ht="16.5" x14ac:dyDescent="0.25">
      <c r="A42" s="107" t="s">
        <v>324</v>
      </c>
      <c r="B42" s="107"/>
      <c r="C42" s="107"/>
      <c r="D42" s="107"/>
      <c r="E42" s="148"/>
      <c r="F42" s="107"/>
      <c r="G42" s="107"/>
      <c r="H42" s="107"/>
      <c r="I42" s="107"/>
      <c r="J42" s="107"/>
      <c r="K42" s="107"/>
      <c r="L42" s="107"/>
      <c r="M42" s="107"/>
      <c r="N42" s="129"/>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row>
    <row r="43" spans="1:114" s="147" customFormat="1" ht="16.5" x14ac:dyDescent="0.25">
      <c r="A43" s="107" t="s">
        <v>325</v>
      </c>
      <c r="B43" s="107"/>
      <c r="C43" s="107"/>
      <c r="D43" s="107"/>
      <c r="E43" s="107"/>
      <c r="F43" s="107"/>
      <c r="G43" s="107"/>
      <c r="H43" s="107"/>
      <c r="I43" s="107"/>
      <c r="J43" s="107"/>
      <c r="K43" s="107"/>
      <c r="L43" s="107"/>
      <c r="M43" s="107"/>
      <c r="N43" s="129"/>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row>
    <row r="44" spans="1:114" s="147" customFormat="1" ht="16.5" x14ac:dyDescent="0.25">
      <c r="A44" s="107" t="s">
        <v>312</v>
      </c>
      <c r="B44" s="107"/>
      <c r="C44" s="107"/>
      <c r="D44" s="107"/>
      <c r="E44" s="107"/>
      <c r="F44" s="107"/>
      <c r="G44" s="107"/>
      <c r="H44" s="107"/>
      <c r="I44" s="107"/>
      <c r="J44" s="107"/>
      <c r="K44" s="107"/>
      <c r="L44" s="107"/>
      <c r="M44" s="107"/>
      <c r="N44" s="129"/>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6"/>
    </row>
    <row r="45" spans="1:114" s="147" customFormat="1" ht="16.5" x14ac:dyDescent="0.25">
      <c r="A45" s="107" t="s">
        <v>326</v>
      </c>
      <c r="B45" s="107"/>
      <c r="C45" s="107"/>
      <c r="D45" s="107"/>
      <c r="E45" s="107"/>
      <c r="F45" s="107"/>
      <c r="G45" s="107"/>
      <c r="H45" s="107"/>
      <c r="I45" s="107"/>
      <c r="J45" s="107"/>
      <c r="K45" s="107"/>
      <c r="L45" s="107"/>
      <c r="M45" s="107"/>
      <c r="N45" s="129"/>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row>
    <row r="46" spans="1:114" s="147" customFormat="1" ht="16.5" x14ac:dyDescent="0.25">
      <c r="A46" s="107" t="s">
        <v>327</v>
      </c>
      <c r="B46" s="107"/>
      <c r="C46" s="107"/>
      <c r="D46" s="107"/>
      <c r="E46" s="107"/>
      <c r="F46" s="107"/>
      <c r="G46" s="107"/>
      <c r="H46" s="107"/>
      <c r="I46" s="107"/>
      <c r="J46" s="107"/>
      <c r="K46" s="107"/>
      <c r="L46" s="107"/>
      <c r="M46" s="107"/>
      <c r="N46" s="129"/>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c r="DG46" s="146"/>
      <c r="DH46" s="146"/>
      <c r="DI46" s="146"/>
      <c r="DJ46" s="146"/>
    </row>
    <row r="47" spans="1:114" s="147" customFormat="1" ht="16.5" x14ac:dyDescent="0.25">
      <c r="A47" s="107" t="s">
        <v>313</v>
      </c>
      <c r="B47" s="107"/>
      <c r="C47" s="107"/>
      <c r="D47" s="107"/>
      <c r="E47" s="107"/>
      <c r="F47" s="107"/>
      <c r="G47" s="107"/>
      <c r="H47" s="107"/>
      <c r="I47" s="107"/>
      <c r="J47" s="107"/>
      <c r="K47" s="107"/>
      <c r="L47" s="107"/>
      <c r="M47" s="107"/>
      <c r="N47" s="129"/>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c r="DC47" s="146"/>
      <c r="DD47" s="146"/>
      <c r="DE47" s="146"/>
      <c r="DF47" s="146"/>
      <c r="DG47" s="146"/>
      <c r="DH47" s="146"/>
      <c r="DI47" s="146"/>
      <c r="DJ47" s="146"/>
    </row>
    <row r="48" spans="1:114" s="147" customFormat="1" ht="16.5" x14ac:dyDescent="0.25">
      <c r="A48" s="107" t="s">
        <v>314</v>
      </c>
      <c r="B48" s="107"/>
      <c r="C48" s="107"/>
      <c r="D48" s="107"/>
      <c r="E48" s="107"/>
      <c r="F48" s="107"/>
      <c r="G48" s="107"/>
      <c r="H48" s="107"/>
      <c r="I48" s="107"/>
      <c r="J48" s="107"/>
      <c r="K48" s="107"/>
      <c r="L48" s="107"/>
      <c r="M48" s="107"/>
      <c r="N48" s="129"/>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c r="DC48" s="146"/>
      <c r="DD48" s="146"/>
      <c r="DE48" s="146"/>
      <c r="DF48" s="146"/>
      <c r="DG48" s="146"/>
      <c r="DH48" s="146"/>
      <c r="DI48" s="146"/>
      <c r="DJ48" s="146"/>
    </row>
    <row r="49" spans="1:114" s="147" customFormat="1" ht="16.5" x14ac:dyDescent="0.25">
      <c r="A49" s="107" t="s">
        <v>315</v>
      </c>
      <c r="B49" s="107"/>
      <c r="C49" s="107"/>
      <c r="D49" s="107"/>
      <c r="E49" s="107"/>
      <c r="F49" s="107"/>
      <c r="G49" s="107"/>
      <c r="H49" s="107"/>
      <c r="I49" s="107"/>
      <c r="J49" s="107"/>
      <c r="K49" s="107"/>
      <c r="L49" s="107"/>
      <c r="M49" s="107"/>
      <c r="N49" s="129"/>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row>
    <row r="50" spans="1:114" s="147" customFormat="1" ht="16.5" x14ac:dyDescent="0.25">
      <c r="A50" s="107" t="s">
        <v>316</v>
      </c>
      <c r="B50" s="107"/>
      <c r="C50" s="107"/>
      <c r="D50" s="107"/>
      <c r="E50" s="107"/>
      <c r="F50" s="107"/>
      <c r="G50" s="107"/>
      <c r="H50" s="107"/>
      <c r="I50" s="107"/>
      <c r="J50" s="107"/>
      <c r="K50" s="107"/>
      <c r="L50" s="107"/>
      <c r="M50" s="107"/>
      <c r="N50" s="129"/>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row>
    <row r="51" spans="1:114" s="147" customFormat="1" ht="16.5" x14ac:dyDescent="0.25">
      <c r="A51" s="107" t="s">
        <v>317</v>
      </c>
      <c r="B51" s="107"/>
      <c r="C51" s="107"/>
      <c r="D51" s="107"/>
      <c r="E51" s="107"/>
      <c r="F51" s="107"/>
      <c r="G51" s="107"/>
      <c r="H51" s="107"/>
      <c r="I51" s="107"/>
      <c r="J51" s="107"/>
      <c r="K51" s="107"/>
      <c r="L51" s="107"/>
      <c r="M51" s="107"/>
      <c r="N51" s="129"/>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row>
    <row r="52" spans="1:114" s="147" customFormat="1" ht="16.5" x14ac:dyDescent="0.25">
      <c r="A52" s="107" t="s">
        <v>318</v>
      </c>
      <c r="B52" s="107"/>
      <c r="C52" s="107"/>
      <c r="D52" s="107"/>
      <c r="E52" s="107"/>
      <c r="F52" s="107"/>
      <c r="G52" s="107"/>
      <c r="H52" s="107"/>
      <c r="I52" s="107"/>
      <c r="J52" s="107"/>
      <c r="K52" s="107"/>
      <c r="L52" s="107"/>
      <c r="M52" s="107"/>
      <c r="N52" s="129"/>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row>
    <row r="53" spans="1:114" s="147" customFormat="1" ht="16.5" x14ac:dyDescent="0.25">
      <c r="A53" s="109" t="s">
        <v>319</v>
      </c>
      <c r="B53" s="107"/>
      <c r="C53" s="107"/>
      <c r="D53" s="107"/>
      <c r="E53" s="107"/>
      <c r="F53" s="107"/>
      <c r="G53" s="107"/>
      <c r="H53" s="107"/>
      <c r="I53" s="107"/>
      <c r="J53" s="107"/>
      <c r="K53" s="107"/>
      <c r="L53" s="107"/>
      <c r="M53" s="107"/>
      <c r="N53" s="129"/>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row>
    <row r="54" spans="1:114" s="147" customFormat="1" ht="16.5" x14ac:dyDescent="0.25">
      <c r="A54" s="109" t="s">
        <v>320</v>
      </c>
      <c r="B54" s="107"/>
      <c r="C54" s="107"/>
      <c r="D54" s="107"/>
      <c r="E54" s="107"/>
      <c r="F54" s="107"/>
      <c r="G54" s="107"/>
      <c r="H54" s="107"/>
      <c r="I54" s="107"/>
      <c r="J54" s="107"/>
      <c r="K54" s="107"/>
      <c r="L54" s="107"/>
      <c r="M54" s="107"/>
      <c r="N54" s="129"/>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row>
    <row r="55" spans="1:114" s="147" customFormat="1" ht="16.5" x14ac:dyDescent="0.25">
      <c r="A55" s="107" t="s">
        <v>321</v>
      </c>
      <c r="B55" s="107"/>
      <c r="C55" s="107"/>
      <c r="D55" s="107"/>
      <c r="E55" s="107"/>
      <c r="F55" s="107"/>
      <c r="G55" s="107"/>
      <c r="H55" s="107"/>
      <c r="I55" s="107"/>
      <c r="J55" s="107"/>
      <c r="K55" s="107"/>
      <c r="L55" s="107"/>
      <c r="M55" s="107"/>
      <c r="N55" s="129"/>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row>
    <row r="56" spans="1:114" s="114" customFormat="1" ht="16.5" x14ac:dyDescent="0.25">
      <c r="A56" s="37"/>
      <c r="B56" s="37"/>
      <c r="C56" s="37"/>
      <c r="D56" s="37"/>
      <c r="E56" s="37"/>
      <c r="F56" s="37"/>
      <c r="G56" s="37"/>
      <c r="H56" s="37"/>
      <c r="I56" s="37"/>
      <c r="J56" s="37"/>
      <c r="K56" s="37"/>
      <c r="L56" s="37"/>
      <c r="M56" s="37"/>
      <c r="N56" s="129"/>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row>
    <row r="57" spans="1:114" s="116" customFormat="1" ht="16.5" x14ac:dyDescent="0.25">
      <c r="A57" s="110" t="s">
        <v>223</v>
      </c>
      <c r="B57" s="111"/>
      <c r="C57" s="111"/>
      <c r="D57" s="111"/>
      <c r="E57" s="111"/>
      <c r="F57" s="111"/>
      <c r="G57" s="111"/>
      <c r="H57" s="111"/>
      <c r="I57" s="111"/>
      <c r="J57" s="111"/>
      <c r="K57" s="111"/>
      <c r="L57" s="111"/>
      <c r="M57" s="111"/>
      <c r="N57" s="129"/>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row>
    <row r="58" spans="1:114" s="114" customFormat="1" ht="33" customHeight="1" x14ac:dyDescent="0.25">
      <c r="A58" s="163" t="s">
        <v>166</v>
      </c>
      <c r="B58" s="166" t="s">
        <v>167</v>
      </c>
      <c r="C58" s="167" t="s">
        <v>304</v>
      </c>
      <c r="D58" s="166" t="s">
        <v>271</v>
      </c>
      <c r="E58" s="163"/>
      <c r="F58" s="163"/>
      <c r="G58" s="166" t="s">
        <v>272</v>
      </c>
      <c r="H58" s="163"/>
      <c r="I58" s="163"/>
      <c r="J58" s="112" t="s">
        <v>273</v>
      </c>
      <c r="K58" s="166" t="s">
        <v>274</v>
      </c>
      <c r="L58" s="166" t="s">
        <v>275</v>
      </c>
      <c r="M58" s="190" t="s">
        <v>166</v>
      </c>
      <c r="N58" s="129"/>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row>
    <row r="59" spans="1:114" s="114" customFormat="1" ht="16.5" x14ac:dyDescent="0.25">
      <c r="A59" s="163"/>
      <c r="B59" s="163"/>
      <c r="C59" s="168"/>
      <c r="D59" s="113" t="s">
        <v>170</v>
      </c>
      <c r="E59" s="113" t="s">
        <v>171</v>
      </c>
      <c r="F59" s="113" t="s">
        <v>172</v>
      </c>
      <c r="G59" s="113" t="s">
        <v>170</v>
      </c>
      <c r="H59" s="113" t="s">
        <v>171</v>
      </c>
      <c r="I59" s="113" t="s">
        <v>172</v>
      </c>
      <c r="J59" s="113" t="s">
        <v>172</v>
      </c>
      <c r="K59" s="163"/>
      <c r="L59" s="163"/>
      <c r="M59" s="163"/>
      <c r="N59" s="129"/>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row>
    <row r="60" spans="1:114" ht="16.5" customHeight="1" x14ac:dyDescent="0.25">
      <c r="A60" s="161" t="s">
        <v>173</v>
      </c>
      <c r="B60" s="154"/>
      <c r="C60" s="164" t="str">
        <f>IF('P(M)'!$D$17=1,"●","○")</f>
        <v>●</v>
      </c>
      <c r="D60" s="62" t="s">
        <v>14</v>
      </c>
      <c r="E60" s="64">
        <f>'P(M)'!AO17</f>
        <v>2700</v>
      </c>
      <c r="F60" s="104">
        <f>E60</f>
        <v>2700</v>
      </c>
      <c r="G60" s="62" t="s">
        <v>14</v>
      </c>
      <c r="H60" s="64">
        <f>'P(M)'!AU17</f>
        <v>0</v>
      </c>
      <c r="I60" s="104">
        <f>H60</f>
        <v>0</v>
      </c>
      <c r="J60" s="104">
        <f>F60+I60</f>
        <v>2700</v>
      </c>
      <c r="K60" s="39">
        <f>'P(M)'!AY17</f>
        <v>0</v>
      </c>
      <c r="L60" s="104">
        <f>J60+K60</f>
        <v>2700</v>
      </c>
      <c r="M60" s="179" t="str">
        <f>A60</f>
        <v>台灣</v>
      </c>
      <c r="N60" s="129" t="str">
        <f t="shared" ref="N60:N80" si="2">N16</f>
        <v/>
      </c>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row>
    <row r="61" spans="1:114" ht="16.5" customHeight="1" x14ac:dyDescent="0.25">
      <c r="A61" s="162"/>
      <c r="B61" s="154"/>
      <c r="C61" s="165"/>
      <c r="D61" s="62" t="s">
        <v>14</v>
      </c>
      <c r="E61" s="64">
        <f>'P(M)'!AO18</f>
        <v>0</v>
      </c>
      <c r="F61" s="104">
        <f>E61</f>
        <v>0</v>
      </c>
      <c r="G61" s="62" t="s">
        <v>14</v>
      </c>
      <c r="H61" s="64">
        <f>'P(M)'!AU18</f>
        <v>0</v>
      </c>
      <c r="I61" s="104">
        <f>H61</f>
        <v>0</v>
      </c>
      <c r="J61" s="104">
        <f t="shared" ref="J61:J80" si="3">F61+I61</f>
        <v>0</v>
      </c>
      <c r="K61" s="39">
        <f>'P(M)'!AY18</f>
        <v>0</v>
      </c>
      <c r="L61" s="104">
        <f t="shared" ref="L61:L80" si="4">J61+K61</f>
        <v>0</v>
      </c>
      <c r="M61" s="180"/>
      <c r="N61" s="129" t="str">
        <f t="shared" si="2"/>
        <v/>
      </c>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row>
    <row r="62" spans="1:114" ht="16.5" customHeight="1" x14ac:dyDescent="0.25">
      <c r="A62" s="161" t="s">
        <v>174</v>
      </c>
      <c r="B62" s="154"/>
      <c r="C62" s="164" t="str">
        <f>IF('P(M)'!$D$17=2,"●","○")</f>
        <v>○</v>
      </c>
      <c r="D62" s="62" t="s">
        <v>15</v>
      </c>
      <c r="E62" s="64">
        <f>'P(M)'!AO19</f>
        <v>905</v>
      </c>
      <c r="F62" s="104">
        <f>E62*$M$5</f>
        <v>3801</v>
      </c>
      <c r="G62" s="62" t="s">
        <v>15</v>
      </c>
      <c r="H62" s="64">
        <f>'P(M)'!AU19</f>
        <v>200</v>
      </c>
      <c r="I62" s="104">
        <f>H62*$M$5</f>
        <v>840</v>
      </c>
      <c r="J62" s="104">
        <f t="shared" si="3"/>
        <v>4641</v>
      </c>
      <c r="K62" s="39">
        <f>'P(M)'!AY19</f>
        <v>0</v>
      </c>
      <c r="L62" s="104">
        <f t="shared" si="4"/>
        <v>4641</v>
      </c>
      <c r="M62" s="179" t="s">
        <v>3</v>
      </c>
      <c r="N62" s="129" t="str">
        <f t="shared" si="2"/>
        <v/>
      </c>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row>
    <row r="63" spans="1:114" ht="16.5" customHeight="1" x14ac:dyDescent="0.25">
      <c r="A63" s="162"/>
      <c r="B63" s="154"/>
      <c r="C63" s="165"/>
      <c r="D63" s="62" t="s">
        <v>15</v>
      </c>
      <c r="E63" s="64">
        <f>'P(M)'!AO20</f>
        <v>0</v>
      </c>
      <c r="F63" s="104">
        <f>E63*$M$5</f>
        <v>0</v>
      </c>
      <c r="G63" s="62" t="s">
        <v>15</v>
      </c>
      <c r="H63" s="64">
        <f>'P(M)'!AU20</f>
        <v>0</v>
      </c>
      <c r="I63" s="104">
        <f>H63*$M$5</f>
        <v>0</v>
      </c>
      <c r="J63" s="104">
        <f t="shared" si="3"/>
        <v>0</v>
      </c>
      <c r="K63" s="39">
        <f>'P(M)'!AY20</f>
        <v>0</v>
      </c>
      <c r="L63" s="104">
        <f t="shared" si="4"/>
        <v>0</v>
      </c>
      <c r="M63" s="180"/>
      <c r="N63" s="129" t="str">
        <f t="shared" si="2"/>
        <v/>
      </c>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row>
    <row r="64" spans="1:114" ht="16.5" customHeight="1" x14ac:dyDescent="0.25">
      <c r="A64" s="62" t="s">
        <v>175</v>
      </c>
      <c r="B64" s="154"/>
      <c r="C64" s="159" t="str">
        <f>IF('P(M)'!$D$17=3,"●","○")</f>
        <v>○</v>
      </c>
      <c r="D64" s="62" t="s">
        <v>16</v>
      </c>
      <c r="E64" s="64">
        <f>'P(M)'!AO21</f>
        <v>516</v>
      </c>
      <c r="F64" s="104">
        <f>E64*$K$5</f>
        <v>15480</v>
      </c>
      <c r="G64" s="62" t="s">
        <v>16</v>
      </c>
      <c r="H64" s="64">
        <f>'P(M)'!AU21</f>
        <v>350</v>
      </c>
      <c r="I64" s="104">
        <f>H64*$K$5</f>
        <v>10500</v>
      </c>
      <c r="J64" s="104">
        <f t="shared" si="3"/>
        <v>25980</v>
      </c>
      <c r="K64" s="39">
        <f>'P(M)'!AY21</f>
        <v>0</v>
      </c>
      <c r="L64" s="104">
        <f t="shared" si="4"/>
        <v>25980</v>
      </c>
      <c r="M64" s="68" t="s">
        <v>4</v>
      </c>
      <c r="N64" s="129" t="str">
        <f t="shared" si="2"/>
        <v/>
      </c>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row>
    <row r="65" spans="1:114" ht="16.5" customHeight="1" x14ac:dyDescent="0.25">
      <c r="A65" s="62" t="s">
        <v>190</v>
      </c>
      <c r="B65" s="154"/>
      <c r="C65" s="159"/>
      <c r="D65" s="62" t="s">
        <v>17</v>
      </c>
      <c r="E65" s="64">
        <f>'P(M)'!AO22</f>
        <v>1080</v>
      </c>
      <c r="F65" s="104">
        <f>E65*$K$6</f>
        <v>37476</v>
      </c>
      <c r="G65" s="62" t="s">
        <v>17</v>
      </c>
      <c r="H65" s="64">
        <f>'P(M)'!AU22</f>
        <v>1830</v>
      </c>
      <c r="I65" s="104">
        <f>H65*$K$6</f>
        <v>63501.000000000007</v>
      </c>
      <c r="J65" s="104">
        <f t="shared" si="3"/>
        <v>100977</v>
      </c>
      <c r="K65" s="39">
        <f>'P(M)'!AY22</f>
        <v>25000</v>
      </c>
      <c r="L65" s="104">
        <f t="shared" si="4"/>
        <v>125977</v>
      </c>
      <c r="M65" s="68" t="s">
        <v>5</v>
      </c>
      <c r="N65" s="129" t="str">
        <f t="shared" si="2"/>
        <v/>
      </c>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row>
    <row r="66" spans="1:114" ht="16.5" customHeight="1" x14ac:dyDescent="0.25">
      <c r="A66" s="161" t="s">
        <v>176</v>
      </c>
      <c r="B66" s="154"/>
      <c r="C66" s="164"/>
      <c r="D66" s="62" t="s">
        <v>18</v>
      </c>
      <c r="E66" s="64">
        <f>'P(M)'!AO23</f>
        <v>21900</v>
      </c>
      <c r="F66" s="104">
        <f>E66*$K$7</f>
        <v>4599</v>
      </c>
      <c r="G66" s="62" t="s">
        <v>18</v>
      </c>
      <c r="H66" s="64">
        <f>'P(M)'!AU23</f>
        <v>25000</v>
      </c>
      <c r="I66" s="104">
        <f>H66*$K$7</f>
        <v>5250</v>
      </c>
      <c r="J66" s="104">
        <f t="shared" si="3"/>
        <v>9849</v>
      </c>
      <c r="K66" s="39">
        <f>'P(M)'!AY23</f>
        <v>0</v>
      </c>
      <c r="L66" s="104">
        <f t="shared" si="4"/>
        <v>9849</v>
      </c>
      <c r="M66" s="179" t="s">
        <v>6</v>
      </c>
      <c r="N66" s="129" t="str">
        <f t="shared" si="2"/>
        <v/>
      </c>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row>
    <row r="67" spans="1:114" ht="16.5" customHeight="1" x14ac:dyDescent="0.25">
      <c r="A67" s="162"/>
      <c r="B67" s="154"/>
      <c r="C67" s="165"/>
      <c r="D67" s="62" t="s">
        <v>18</v>
      </c>
      <c r="E67" s="64">
        <f>'P(M)'!AO24</f>
        <v>0</v>
      </c>
      <c r="F67" s="104">
        <f>E67*$K$7</f>
        <v>0</v>
      </c>
      <c r="G67" s="62" t="s">
        <v>18</v>
      </c>
      <c r="H67" s="64">
        <f>'P(M)'!AU24</f>
        <v>0</v>
      </c>
      <c r="I67" s="104">
        <f>H67*$K$7</f>
        <v>0</v>
      </c>
      <c r="J67" s="104">
        <f t="shared" si="3"/>
        <v>0</v>
      </c>
      <c r="K67" s="39">
        <f>'P(M)'!AY24</f>
        <v>0</v>
      </c>
      <c r="L67" s="104">
        <f t="shared" si="4"/>
        <v>0</v>
      </c>
      <c r="M67" s="180"/>
      <c r="N67" s="129" t="str">
        <f t="shared" si="2"/>
        <v/>
      </c>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row>
    <row r="68" spans="1:114" ht="16.5" customHeight="1" x14ac:dyDescent="0.25">
      <c r="A68" s="161" t="s">
        <v>177</v>
      </c>
      <c r="B68" s="154"/>
      <c r="C68" s="164"/>
      <c r="D68" s="62" t="s">
        <v>19</v>
      </c>
      <c r="E68" s="64">
        <f>'P(M)'!AO25</f>
        <v>399000</v>
      </c>
      <c r="F68" s="104">
        <f>E68*$K$8</f>
        <v>9975</v>
      </c>
      <c r="G68" s="62" t="s">
        <v>16</v>
      </c>
      <c r="H68" s="64">
        <f>'P(M)'!AU25</f>
        <v>260</v>
      </c>
      <c r="I68" s="104">
        <f>H68*$K$5</f>
        <v>7800</v>
      </c>
      <c r="J68" s="104">
        <f t="shared" si="3"/>
        <v>17775</v>
      </c>
      <c r="K68" s="39">
        <f>'P(M)'!AY25</f>
        <v>0</v>
      </c>
      <c r="L68" s="104">
        <f t="shared" si="4"/>
        <v>17775</v>
      </c>
      <c r="M68" s="179" t="s">
        <v>7</v>
      </c>
      <c r="N68" s="129" t="str">
        <f t="shared" si="2"/>
        <v/>
      </c>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row>
    <row r="69" spans="1:114" ht="16.5" customHeight="1" x14ac:dyDescent="0.25">
      <c r="A69" s="162"/>
      <c r="B69" s="154"/>
      <c r="C69" s="165"/>
      <c r="D69" s="62" t="s">
        <v>19</v>
      </c>
      <c r="E69" s="64">
        <f>'P(M)'!AO26</f>
        <v>0</v>
      </c>
      <c r="F69" s="104">
        <f>E69*$K$8</f>
        <v>0</v>
      </c>
      <c r="G69" s="62" t="s">
        <v>16</v>
      </c>
      <c r="H69" s="64">
        <f>'P(M)'!AU26</f>
        <v>0</v>
      </c>
      <c r="I69" s="104">
        <f>H69*$K$5</f>
        <v>0</v>
      </c>
      <c r="J69" s="104">
        <f t="shared" si="3"/>
        <v>0</v>
      </c>
      <c r="K69" s="39">
        <f>'P(M)'!AY26</f>
        <v>0</v>
      </c>
      <c r="L69" s="104">
        <f t="shared" si="4"/>
        <v>0</v>
      </c>
      <c r="M69" s="180"/>
      <c r="N69" s="129" t="str">
        <f t="shared" si="2"/>
        <v/>
      </c>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row>
    <row r="70" spans="1:114" ht="16.5" customHeight="1" x14ac:dyDescent="0.25">
      <c r="A70" s="62" t="s">
        <v>191</v>
      </c>
      <c r="B70" s="154"/>
      <c r="C70" s="159" t="str">
        <f>IF('P(M)'!$D$17=4,"●","○")</f>
        <v>○</v>
      </c>
      <c r="D70" s="62" t="s">
        <v>43</v>
      </c>
      <c r="E70" s="64">
        <f>'P(M)'!AO27</f>
        <v>176.44</v>
      </c>
      <c r="F70" s="104">
        <f>E70*$M$9</f>
        <v>3881.68</v>
      </c>
      <c r="G70" s="62" t="s">
        <v>43</v>
      </c>
      <c r="H70" s="64">
        <f>'P(M)'!AU27</f>
        <v>895</v>
      </c>
      <c r="I70" s="104">
        <f>H70*$M$9</f>
        <v>19690</v>
      </c>
      <c r="J70" s="104">
        <f>F70+I70</f>
        <v>23571.68</v>
      </c>
      <c r="K70" s="39">
        <f>'P(M)'!AY27</f>
        <v>0</v>
      </c>
      <c r="L70" s="104">
        <f>J70+K70</f>
        <v>23571.68</v>
      </c>
      <c r="M70" s="68" t="s">
        <v>42</v>
      </c>
      <c r="N70" s="129" t="str">
        <f t="shared" si="2"/>
        <v/>
      </c>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row>
    <row r="71" spans="1:114" ht="16.5" customHeight="1" x14ac:dyDescent="0.25">
      <c r="A71" s="62" t="s">
        <v>178</v>
      </c>
      <c r="B71" s="154"/>
      <c r="C71" s="159" t="str">
        <f>IF('P(M)'!$D$17=5,"●","○")</f>
        <v>○</v>
      </c>
      <c r="D71" s="62" t="s">
        <v>20</v>
      </c>
      <c r="E71" s="64">
        <f>'P(M)'!AO28</f>
        <v>210</v>
      </c>
      <c r="F71" s="104">
        <f>E71*$M$6</f>
        <v>4935</v>
      </c>
      <c r="G71" s="62" t="s">
        <v>20</v>
      </c>
      <c r="H71" s="64">
        <f>'P(M)'!AU28</f>
        <v>1550</v>
      </c>
      <c r="I71" s="104">
        <f>H71*$M$6</f>
        <v>36425</v>
      </c>
      <c r="J71" s="104">
        <f t="shared" si="3"/>
        <v>41360</v>
      </c>
      <c r="K71" s="39">
        <f>'P(M)'!AY28</f>
        <v>0</v>
      </c>
      <c r="L71" s="104">
        <f t="shared" si="4"/>
        <v>41360</v>
      </c>
      <c r="M71" s="68" t="s">
        <v>8</v>
      </c>
      <c r="N71" s="129" t="str">
        <f t="shared" si="2"/>
        <v/>
      </c>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row>
    <row r="72" spans="1:114" ht="16.5" customHeight="1" x14ac:dyDescent="0.25">
      <c r="A72" s="161" t="s">
        <v>181</v>
      </c>
      <c r="B72" s="154"/>
      <c r="C72" s="164" t="str">
        <f>IF('P(M)'!$D$17=6,"●","○")</f>
        <v>○</v>
      </c>
      <c r="D72" s="62" t="s">
        <v>23</v>
      </c>
      <c r="E72" s="64">
        <f>'P(M)'!AO29</f>
        <v>0</v>
      </c>
      <c r="F72" s="104">
        <f>E72*$M$8</f>
        <v>0</v>
      </c>
      <c r="G72" s="62" t="s">
        <v>23</v>
      </c>
      <c r="H72" s="64">
        <f>'P(M)'!AU29</f>
        <v>530</v>
      </c>
      <c r="I72" s="104">
        <f>H72*$M$8</f>
        <v>3922</v>
      </c>
      <c r="J72" s="104">
        <f>F72+I72</f>
        <v>3922</v>
      </c>
      <c r="K72" s="39">
        <f>'P(M)'!AY29</f>
        <v>0</v>
      </c>
      <c r="L72" s="104">
        <f>J72+K72</f>
        <v>3922</v>
      </c>
      <c r="M72" s="179" t="s">
        <v>11</v>
      </c>
      <c r="N72" s="129" t="str">
        <f t="shared" si="2"/>
        <v/>
      </c>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row>
    <row r="73" spans="1:114" ht="16.5" customHeight="1" x14ac:dyDescent="0.25">
      <c r="A73" s="162"/>
      <c r="B73" s="154"/>
      <c r="C73" s="165"/>
      <c r="D73" s="62" t="s">
        <v>23</v>
      </c>
      <c r="E73" s="64">
        <f>'P(M)'!AO30</f>
        <v>0</v>
      </c>
      <c r="F73" s="104">
        <f>E73*$M$8</f>
        <v>0</v>
      </c>
      <c r="G73" s="62" t="s">
        <v>23</v>
      </c>
      <c r="H73" s="64">
        <f>'P(M)'!AU30</f>
        <v>0</v>
      </c>
      <c r="I73" s="104">
        <f>H73*$M$8</f>
        <v>0</v>
      </c>
      <c r="J73" s="104">
        <f>F73+I73</f>
        <v>0</v>
      </c>
      <c r="K73" s="39">
        <f>'P(M)'!AY30</f>
        <v>0</v>
      </c>
      <c r="L73" s="104">
        <f>J73+K73</f>
        <v>0</v>
      </c>
      <c r="M73" s="180"/>
      <c r="N73" s="129" t="str">
        <f t="shared" si="2"/>
        <v/>
      </c>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row>
    <row r="74" spans="1:114" ht="16.5" customHeight="1" x14ac:dyDescent="0.25">
      <c r="A74" s="68" t="s">
        <v>146</v>
      </c>
      <c r="B74" s="154"/>
      <c r="C74" s="159" t="str">
        <f>IF('P(M)'!$D$17=7,"●","○")</f>
        <v>○</v>
      </c>
      <c r="D74" s="62" t="s">
        <v>16</v>
      </c>
      <c r="E74" s="64">
        <f>'P(M)'!AO31</f>
        <v>0</v>
      </c>
      <c r="F74" s="104">
        <f>E74*$K$5</f>
        <v>0</v>
      </c>
      <c r="G74" s="62" t="s">
        <v>16</v>
      </c>
      <c r="H74" s="64">
        <f>'P(M)'!AU31</f>
        <v>0</v>
      </c>
      <c r="I74" s="104">
        <f>H74*$K$5</f>
        <v>0</v>
      </c>
      <c r="J74" s="104">
        <f t="shared" si="3"/>
        <v>0</v>
      </c>
      <c r="K74" s="39">
        <f>'P(M)'!AY31</f>
        <v>0</v>
      </c>
      <c r="L74" s="104">
        <f t="shared" si="4"/>
        <v>0</v>
      </c>
      <c r="M74" s="68" t="s">
        <v>146</v>
      </c>
      <c r="N74" s="129" t="str">
        <f t="shared" si="2"/>
        <v/>
      </c>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row>
    <row r="75" spans="1:114" ht="16.5" customHeight="1" x14ac:dyDescent="0.25">
      <c r="A75" s="161" t="s">
        <v>182</v>
      </c>
      <c r="B75" s="154"/>
      <c r="C75" s="164"/>
      <c r="D75" s="62" t="s">
        <v>16</v>
      </c>
      <c r="E75" s="64">
        <f>'P(M)'!AO32</f>
        <v>0</v>
      </c>
      <c r="F75" s="104">
        <f>E75*$K$5</f>
        <v>0</v>
      </c>
      <c r="G75" s="62" t="s">
        <v>16</v>
      </c>
      <c r="H75" s="64">
        <f>'P(M)'!AU32</f>
        <v>0</v>
      </c>
      <c r="I75" s="104">
        <f>H75*$K$5</f>
        <v>0</v>
      </c>
      <c r="J75" s="104">
        <f>F75+I75</f>
        <v>0</v>
      </c>
      <c r="K75" s="39">
        <f>'P(M)'!AY32</f>
        <v>0</v>
      </c>
      <c r="L75" s="104">
        <f>J75+K75</f>
        <v>0</v>
      </c>
      <c r="M75" s="179" t="s">
        <v>131</v>
      </c>
      <c r="N75" s="129" t="str">
        <f t="shared" si="2"/>
        <v/>
      </c>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row>
    <row r="76" spans="1:114" ht="16.5" customHeight="1" x14ac:dyDescent="0.25">
      <c r="A76" s="162"/>
      <c r="B76" s="154"/>
      <c r="C76" s="165"/>
      <c r="D76" s="62" t="s">
        <v>16</v>
      </c>
      <c r="E76" s="64">
        <f>'P(M)'!AO33</f>
        <v>0</v>
      </c>
      <c r="F76" s="104">
        <f>E76*$K$5</f>
        <v>0</v>
      </c>
      <c r="G76" s="62" t="s">
        <v>16</v>
      </c>
      <c r="H76" s="64">
        <f>'P(M)'!AU33</f>
        <v>0</v>
      </c>
      <c r="I76" s="104">
        <f>H76*$K$5</f>
        <v>0</v>
      </c>
      <c r="J76" s="104">
        <f>F76+I76</f>
        <v>0</v>
      </c>
      <c r="K76" s="39">
        <f>'P(M)'!AY33</f>
        <v>0</v>
      </c>
      <c r="L76" s="104">
        <f>J76+K76</f>
        <v>0</v>
      </c>
      <c r="M76" s="180"/>
      <c r="N76" s="129" t="str">
        <f t="shared" si="2"/>
        <v/>
      </c>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row>
    <row r="77" spans="1:114" ht="16.5" customHeight="1" x14ac:dyDescent="0.25">
      <c r="A77" s="161" t="s">
        <v>179</v>
      </c>
      <c r="B77" s="154"/>
      <c r="C77" s="164"/>
      <c r="D77" s="62" t="s">
        <v>21</v>
      </c>
      <c r="E77" s="64">
        <f>'P(M)'!AO34</f>
        <v>0</v>
      </c>
      <c r="F77" s="104">
        <f>E77*$M$7</f>
        <v>0</v>
      </c>
      <c r="G77" s="62" t="s">
        <v>16</v>
      </c>
      <c r="H77" s="64">
        <f>'P(M)'!AU34</f>
        <v>0</v>
      </c>
      <c r="I77" s="104">
        <f>H77*$K$5</f>
        <v>0</v>
      </c>
      <c r="J77" s="104">
        <f t="shared" si="3"/>
        <v>0</v>
      </c>
      <c r="K77" s="39">
        <f>'P(M)'!AY34</f>
        <v>0</v>
      </c>
      <c r="L77" s="104">
        <f t="shared" si="4"/>
        <v>0</v>
      </c>
      <c r="M77" s="179" t="s">
        <v>9</v>
      </c>
      <c r="N77" s="129" t="str">
        <f t="shared" si="2"/>
        <v/>
      </c>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row>
    <row r="78" spans="1:114" ht="16.5" customHeight="1" x14ac:dyDescent="0.25">
      <c r="A78" s="162"/>
      <c r="B78" s="154"/>
      <c r="C78" s="165"/>
      <c r="D78" s="62" t="s">
        <v>21</v>
      </c>
      <c r="E78" s="64">
        <f>'P(M)'!AO35</f>
        <v>0</v>
      </c>
      <c r="F78" s="104">
        <f>E78*$M$7</f>
        <v>0</v>
      </c>
      <c r="G78" s="62" t="s">
        <v>16</v>
      </c>
      <c r="H78" s="64">
        <f>'P(M)'!AU35</f>
        <v>0</v>
      </c>
      <c r="I78" s="104">
        <f>H78*$K$5</f>
        <v>0</v>
      </c>
      <c r="J78" s="104">
        <f t="shared" si="3"/>
        <v>0</v>
      </c>
      <c r="K78" s="39">
        <f>'P(M)'!AY35</f>
        <v>0</v>
      </c>
      <c r="L78" s="104">
        <f t="shared" si="4"/>
        <v>0</v>
      </c>
      <c r="M78" s="180"/>
      <c r="N78" s="129" t="str">
        <f t="shared" si="2"/>
        <v/>
      </c>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row>
    <row r="79" spans="1:114" ht="16.5" customHeight="1" x14ac:dyDescent="0.25">
      <c r="A79" s="161" t="s">
        <v>180</v>
      </c>
      <c r="B79" s="154"/>
      <c r="C79" s="164"/>
      <c r="D79" s="62" t="s">
        <v>22</v>
      </c>
      <c r="E79" s="64">
        <f>'P(M)'!AO36</f>
        <v>0</v>
      </c>
      <c r="F79" s="104">
        <f>E79*$K$9</f>
        <v>0</v>
      </c>
      <c r="G79" s="62" t="s">
        <v>22</v>
      </c>
      <c r="H79" s="64">
        <f>'P(M)'!AU36</f>
        <v>0</v>
      </c>
      <c r="I79" s="104">
        <f>H79*$K$9</f>
        <v>0</v>
      </c>
      <c r="J79" s="104">
        <f t="shared" si="3"/>
        <v>0</v>
      </c>
      <c r="K79" s="39">
        <f>'P(M)'!AY36</f>
        <v>0</v>
      </c>
      <c r="L79" s="104">
        <f t="shared" si="4"/>
        <v>0</v>
      </c>
      <c r="M79" s="179" t="s">
        <v>10</v>
      </c>
      <c r="N79" s="129" t="str">
        <f t="shared" si="2"/>
        <v/>
      </c>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row>
    <row r="80" spans="1:114" ht="16.5" customHeight="1" x14ac:dyDescent="0.25">
      <c r="A80" s="162"/>
      <c r="B80" s="154"/>
      <c r="C80" s="165"/>
      <c r="D80" s="62" t="s">
        <v>22</v>
      </c>
      <c r="E80" s="64">
        <f>'P(M)'!AO37</f>
        <v>0</v>
      </c>
      <c r="F80" s="104">
        <f>E80*$K$9</f>
        <v>0</v>
      </c>
      <c r="G80" s="62" t="s">
        <v>22</v>
      </c>
      <c r="H80" s="64">
        <f>'P(M)'!AU37</f>
        <v>0</v>
      </c>
      <c r="I80" s="104">
        <f>H80*$K$9</f>
        <v>0</v>
      </c>
      <c r="J80" s="104">
        <f t="shared" si="3"/>
        <v>0</v>
      </c>
      <c r="K80" s="39">
        <f>'P(M)'!AY37</f>
        <v>0</v>
      </c>
      <c r="L80" s="104">
        <f t="shared" si="4"/>
        <v>0</v>
      </c>
      <c r="M80" s="180"/>
      <c r="N80" s="129" t="str">
        <f t="shared" si="2"/>
        <v/>
      </c>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row>
    <row r="81" spans="1:114" ht="18.75" x14ac:dyDescent="0.25">
      <c r="A81" s="55"/>
      <c r="B81" s="55"/>
      <c r="C81" s="56"/>
      <c r="D81" s="55"/>
      <c r="E81" s="56" t="s">
        <v>183</v>
      </c>
      <c r="F81" s="57">
        <f>SUM(F60:F80)</f>
        <v>82847.679999999993</v>
      </c>
      <c r="G81" s="55"/>
      <c r="H81" s="56" t="s">
        <v>183</v>
      </c>
      <c r="I81" s="58">
        <f>SUM(I60:I80)</f>
        <v>147928</v>
      </c>
      <c r="J81" s="59">
        <f>SUM(J60:J80)</f>
        <v>230775.67999999999</v>
      </c>
      <c r="K81" s="60">
        <f>SUM(K60:K80)</f>
        <v>25000</v>
      </c>
      <c r="L81" s="63">
        <f>SUM(L60:L80)</f>
        <v>255775.68</v>
      </c>
      <c r="M81" s="62"/>
      <c r="N81" s="129"/>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row>
    <row r="82" spans="1:114" s="152" customFormat="1" ht="16.5" x14ac:dyDescent="0.25">
      <c r="A82" s="109" t="s">
        <v>291</v>
      </c>
      <c r="B82" s="150"/>
      <c r="C82" s="150"/>
      <c r="D82" s="150"/>
      <c r="E82" s="150"/>
      <c r="F82" s="150"/>
      <c r="G82" s="150"/>
      <c r="H82" s="150"/>
      <c r="I82" s="150"/>
      <c r="J82" s="150"/>
      <c r="K82" s="150"/>
      <c r="L82" s="150"/>
      <c r="M82" s="150"/>
      <c r="N82" s="129"/>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1"/>
      <c r="DA82" s="151"/>
      <c r="DB82" s="151"/>
      <c r="DC82" s="151"/>
      <c r="DD82" s="151"/>
      <c r="DE82" s="151"/>
      <c r="DF82" s="151"/>
      <c r="DG82" s="151"/>
      <c r="DH82" s="151"/>
      <c r="DI82" s="151"/>
      <c r="DJ82" s="151"/>
    </row>
    <row r="83" spans="1:114" s="152" customFormat="1" ht="16.5" x14ac:dyDescent="0.25">
      <c r="A83" s="109" t="s">
        <v>328</v>
      </c>
      <c r="B83" s="150"/>
      <c r="C83" s="150"/>
      <c r="D83" s="150"/>
      <c r="E83" s="150"/>
      <c r="F83" s="150"/>
      <c r="G83" s="150"/>
      <c r="H83" s="150"/>
      <c r="I83" s="150"/>
      <c r="J83" s="150"/>
      <c r="K83" s="150"/>
      <c r="L83" s="150"/>
      <c r="M83" s="150"/>
      <c r="N83" s="129"/>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1"/>
      <c r="DA83" s="151"/>
      <c r="DB83" s="151"/>
      <c r="DC83" s="151"/>
      <c r="DD83" s="151"/>
      <c r="DE83" s="151"/>
      <c r="DF83" s="151"/>
      <c r="DG83" s="151"/>
      <c r="DH83" s="151"/>
      <c r="DI83" s="151"/>
      <c r="DJ83" s="151"/>
    </row>
    <row r="84" spans="1:114" ht="16.5" x14ac:dyDescent="0.25">
      <c r="A84" s="69" t="str">
        <f>IF('P(M)'!C22=TRUE,"2.歐洲案的領證費總額，需視辦理專利生效程序的國別數量而定，上表僅包含「德國」、「法國」、「英國」三國的預估費用。","")</f>
        <v>2.歐洲案的領證費總額，需視辦理專利生效程序的國別數量而定，上表僅包含「德國」、「法國」、「英國」三國的預估費用。</v>
      </c>
      <c r="B84" s="37"/>
      <c r="C84" s="37"/>
      <c r="D84" s="37"/>
      <c r="E84" s="37"/>
      <c r="F84" s="37"/>
      <c r="G84" s="37"/>
      <c r="H84" s="37"/>
      <c r="I84" s="37"/>
      <c r="J84" s="37"/>
      <c r="K84" s="37"/>
      <c r="L84" s="37"/>
      <c r="M84" s="37"/>
      <c r="N84" s="129"/>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row>
    <row r="85" spans="1:114" ht="16.5" x14ac:dyDescent="0.25">
      <c r="A85" s="108"/>
      <c r="B85" s="37"/>
      <c r="C85" s="37"/>
      <c r="D85" s="37"/>
      <c r="E85" s="37"/>
      <c r="F85" s="37"/>
      <c r="G85" s="37"/>
      <c r="H85" s="37"/>
      <c r="I85" s="37"/>
      <c r="J85" s="37"/>
      <c r="K85" s="37"/>
      <c r="L85" s="37"/>
      <c r="M85" s="37"/>
      <c r="N85" s="129"/>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row>
    <row r="86" spans="1:114" ht="16.5" x14ac:dyDescent="0.25">
      <c r="A86" s="37"/>
      <c r="B86" s="37"/>
      <c r="C86" s="37"/>
      <c r="D86" s="37"/>
      <c r="E86" s="37"/>
      <c r="F86" s="37"/>
      <c r="G86" s="37"/>
      <c r="H86" s="37"/>
      <c r="I86" s="37"/>
      <c r="J86" s="37"/>
      <c r="K86" s="37"/>
      <c r="L86" s="37"/>
      <c r="M86" s="88"/>
      <c r="N86" s="129"/>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row>
    <row r="87" spans="1:114" s="66" customFormat="1" ht="16.5" x14ac:dyDescent="0.25">
      <c r="A87" s="110" t="s">
        <v>295</v>
      </c>
      <c r="B87" s="111"/>
      <c r="C87" s="111"/>
      <c r="D87" s="111"/>
      <c r="E87" s="111"/>
      <c r="F87" s="111"/>
      <c r="G87" s="111"/>
      <c r="H87" s="111"/>
      <c r="I87" s="111"/>
      <c r="J87" s="111"/>
      <c r="K87" s="111"/>
      <c r="L87" s="111"/>
      <c r="M87" s="111"/>
      <c r="N87" s="129"/>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row>
    <row r="88" spans="1:114" ht="33" customHeight="1" x14ac:dyDescent="0.25">
      <c r="A88" s="163" t="s">
        <v>166</v>
      </c>
      <c r="B88" s="166" t="s">
        <v>167</v>
      </c>
      <c r="C88" s="167" t="s">
        <v>304</v>
      </c>
      <c r="D88" s="166" t="s">
        <v>232</v>
      </c>
      <c r="E88" s="163"/>
      <c r="F88" s="163"/>
      <c r="G88" s="166" t="s">
        <v>233</v>
      </c>
      <c r="H88" s="163"/>
      <c r="I88" s="163"/>
      <c r="J88" s="112" t="s">
        <v>234</v>
      </c>
      <c r="K88" s="166" t="s">
        <v>235</v>
      </c>
      <c r="L88" s="166" t="s">
        <v>236</v>
      </c>
      <c r="M88" s="190" t="s">
        <v>166</v>
      </c>
      <c r="N88" s="129"/>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row>
    <row r="89" spans="1:114" ht="16.5" customHeight="1" x14ac:dyDescent="0.25">
      <c r="A89" s="163"/>
      <c r="B89" s="163"/>
      <c r="C89" s="168"/>
      <c r="D89" s="113" t="s">
        <v>170</v>
      </c>
      <c r="E89" s="113" t="s">
        <v>171</v>
      </c>
      <c r="F89" s="113" t="s">
        <v>172</v>
      </c>
      <c r="G89" s="113" t="s">
        <v>170</v>
      </c>
      <c r="H89" s="113" t="s">
        <v>171</v>
      </c>
      <c r="I89" s="113" t="s">
        <v>172</v>
      </c>
      <c r="J89" s="113" t="s">
        <v>172</v>
      </c>
      <c r="K89" s="163"/>
      <c r="L89" s="163"/>
      <c r="M89" s="163"/>
      <c r="N89" s="129"/>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row>
    <row r="90" spans="1:114" ht="16.5" customHeight="1" x14ac:dyDescent="0.25">
      <c r="A90" s="161" t="s">
        <v>173</v>
      </c>
      <c r="B90" s="154"/>
      <c r="C90" s="164" t="str">
        <f>IF('P(M)'!$D$17=1,"●","○")</f>
        <v>●</v>
      </c>
      <c r="D90" s="62" t="s">
        <v>14</v>
      </c>
      <c r="E90" s="64">
        <f>'P(M)'!K46</f>
        <v>0</v>
      </c>
      <c r="F90" s="104">
        <f>E90</f>
        <v>0</v>
      </c>
      <c r="G90" s="62" t="s">
        <v>14</v>
      </c>
      <c r="H90" s="64">
        <f>'P(M)'!T46</f>
        <v>0</v>
      </c>
      <c r="I90" s="104">
        <f>H90</f>
        <v>0</v>
      </c>
      <c r="J90" s="104">
        <f>F90+I90</f>
        <v>0</v>
      </c>
      <c r="K90" s="39">
        <f>'P(M)'!AA46</f>
        <v>25000</v>
      </c>
      <c r="L90" s="104">
        <f>J90+K90</f>
        <v>25000</v>
      </c>
      <c r="M90" s="179" t="str">
        <f>A90</f>
        <v>台灣</v>
      </c>
      <c r="N90" s="129" t="str">
        <f t="shared" ref="N90:N110" si="5">N16</f>
        <v/>
      </c>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row>
    <row r="91" spans="1:114" ht="16.5" customHeight="1" x14ac:dyDescent="0.25">
      <c r="A91" s="162"/>
      <c r="B91" s="154"/>
      <c r="C91" s="165"/>
      <c r="D91" s="62" t="s">
        <v>14</v>
      </c>
      <c r="E91" s="64">
        <f>'P(M)'!K47</f>
        <v>0</v>
      </c>
      <c r="F91" s="104">
        <f>E91</f>
        <v>0</v>
      </c>
      <c r="G91" s="62" t="s">
        <v>14</v>
      </c>
      <c r="H91" s="64">
        <f>'P(M)'!T47</f>
        <v>0</v>
      </c>
      <c r="I91" s="104">
        <f>H91</f>
        <v>0</v>
      </c>
      <c r="J91" s="104">
        <f t="shared" ref="J91:J110" si="6">F91+I91</f>
        <v>0</v>
      </c>
      <c r="K91" s="39">
        <f>'P(M)'!AA47</f>
        <v>0</v>
      </c>
      <c r="L91" s="104">
        <f t="shared" ref="L91:L110" si="7">J91+K91</f>
        <v>0</v>
      </c>
      <c r="M91" s="180"/>
      <c r="N91" s="129" t="str">
        <f t="shared" si="5"/>
        <v/>
      </c>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row>
    <row r="92" spans="1:114" ht="16.5" customHeight="1" x14ac:dyDescent="0.25">
      <c r="A92" s="161" t="s">
        <v>174</v>
      </c>
      <c r="B92" s="154"/>
      <c r="C92" s="164" t="str">
        <f>IF('P(M)'!$D$17=2,"●","○")</f>
        <v>○</v>
      </c>
      <c r="D92" s="62" t="s">
        <v>15</v>
      </c>
      <c r="E92" s="64">
        <f>'P(M)'!K48</f>
        <v>0</v>
      </c>
      <c r="F92" s="104">
        <f>E92*$M$5</f>
        <v>0</v>
      </c>
      <c r="G92" s="62" t="s">
        <v>15</v>
      </c>
      <c r="H92" s="64">
        <f>'P(M)'!T48</f>
        <v>1200</v>
      </c>
      <c r="I92" s="104">
        <f>H92*$M$5</f>
        <v>5040</v>
      </c>
      <c r="J92" s="104">
        <f t="shared" si="6"/>
        <v>5040</v>
      </c>
      <c r="K92" s="39">
        <f>'P(M)'!AA48</f>
        <v>25000</v>
      </c>
      <c r="L92" s="104">
        <f t="shared" si="7"/>
        <v>30040</v>
      </c>
      <c r="M92" s="179" t="s">
        <v>3</v>
      </c>
      <c r="N92" s="129" t="str">
        <f t="shared" si="5"/>
        <v/>
      </c>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row>
    <row r="93" spans="1:114" ht="16.5" customHeight="1" x14ac:dyDescent="0.25">
      <c r="A93" s="162"/>
      <c r="B93" s="154"/>
      <c r="C93" s="165"/>
      <c r="D93" s="62" t="s">
        <v>15</v>
      </c>
      <c r="E93" s="64">
        <f>'P(M)'!K49</f>
        <v>0</v>
      </c>
      <c r="F93" s="104">
        <f>E93*$M$5</f>
        <v>0</v>
      </c>
      <c r="G93" s="62" t="s">
        <v>15</v>
      </c>
      <c r="H93" s="64">
        <f>'P(M)'!T49</f>
        <v>0</v>
      </c>
      <c r="I93" s="104">
        <f>H93*$M$5</f>
        <v>0</v>
      </c>
      <c r="J93" s="104">
        <f t="shared" si="6"/>
        <v>0</v>
      </c>
      <c r="K93" s="39">
        <f>'P(M)'!AA49</f>
        <v>0</v>
      </c>
      <c r="L93" s="104">
        <f t="shared" si="7"/>
        <v>0</v>
      </c>
      <c r="M93" s="180"/>
      <c r="N93" s="129" t="str">
        <f t="shared" si="5"/>
        <v/>
      </c>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row>
    <row r="94" spans="1:114" ht="16.5" customHeight="1" x14ac:dyDescent="0.25">
      <c r="A94" s="62" t="s">
        <v>175</v>
      </c>
      <c r="B94" s="154"/>
      <c r="C94" s="159" t="str">
        <f>IF('P(M)'!$D$17=3,"●","○")</f>
        <v>○</v>
      </c>
      <c r="D94" s="62" t="s">
        <v>16</v>
      </c>
      <c r="E94" s="64">
        <f>'P(M)'!K50</f>
        <v>0</v>
      </c>
      <c r="F94" s="104">
        <f>E94*$K$5</f>
        <v>0</v>
      </c>
      <c r="G94" s="62" t="s">
        <v>16</v>
      </c>
      <c r="H94" s="64">
        <f>'P(M)'!T50</f>
        <v>1320</v>
      </c>
      <c r="I94" s="104">
        <f>H94*$K$5</f>
        <v>39600</v>
      </c>
      <c r="J94" s="104">
        <f t="shared" si="6"/>
        <v>39600</v>
      </c>
      <c r="K94" s="39">
        <f>'P(M)'!AA50</f>
        <v>40000</v>
      </c>
      <c r="L94" s="104">
        <f t="shared" si="7"/>
        <v>79600</v>
      </c>
      <c r="M94" s="68" t="s">
        <v>4</v>
      </c>
      <c r="N94" s="129" t="str">
        <f t="shared" si="5"/>
        <v/>
      </c>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row>
    <row r="95" spans="1:114" ht="16.5" customHeight="1" x14ac:dyDescent="0.25">
      <c r="A95" s="62" t="s">
        <v>190</v>
      </c>
      <c r="B95" s="154"/>
      <c r="C95" s="159"/>
      <c r="D95" s="62" t="s">
        <v>17</v>
      </c>
      <c r="E95" s="64">
        <f>'P(M)'!K51</f>
        <v>2500</v>
      </c>
      <c r="F95" s="104">
        <f>E95*$K$6</f>
        <v>86750</v>
      </c>
      <c r="G95" s="62" t="s">
        <v>17</v>
      </c>
      <c r="H95" s="64">
        <f>'P(M)'!T51</f>
        <v>1980</v>
      </c>
      <c r="I95" s="104">
        <f>H95*$K$6</f>
        <v>68706</v>
      </c>
      <c r="J95" s="104">
        <f t="shared" si="6"/>
        <v>155456</v>
      </c>
      <c r="K95" s="39">
        <f>'P(M)'!AA51</f>
        <v>40000</v>
      </c>
      <c r="L95" s="104">
        <f t="shared" si="7"/>
        <v>195456</v>
      </c>
      <c r="M95" s="68" t="s">
        <v>5</v>
      </c>
      <c r="N95" s="129" t="str">
        <f t="shared" si="5"/>
        <v/>
      </c>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row>
    <row r="96" spans="1:114" ht="16.5" customHeight="1" x14ac:dyDescent="0.25">
      <c r="A96" s="161" t="s">
        <v>176</v>
      </c>
      <c r="B96" s="154"/>
      <c r="C96" s="164"/>
      <c r="D96" s="62" t="s">
        <v>18</v>
      </c>
      <c r="E96" s="64">
        <f>'P(M)'!K52</f>
        <v>0</v>
      </c>
      <c r="F96" s="104">
        <f>E96*$K$7</f>
        <v>0</v>
      </c>
      <c r="G96" s="62" t="s">
        <v>18</v>
      </c>
      <c r="H96" s="64">
        <f>'P(M)'!T52</f>
        <v>215000</v>
      </c>
      <c r="I96" s="104">
        <f>H96*$K$7</f>
        <v>45150</v>
      </c>
      <c r="J96" s="104">
        <f t="shared" si="6"/>
        <v>45150</v>
      </c>
      <c r="K96" s="39">
        <f>'P(M)'!AA52</f>
        <v>40000</v>
      </c>
      <c r="L96" s="104">
        <f t="shared" si="7"/>
        <v>85150</v>
      </c>
      <c r="M96" s="179" t="s">
        <v>6</v>
      </c>
      <c r="N96" s="129" t="str">
        <f t="shared" si="5"/>
        <v/>
      </c>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row>
    <row r="97" spans="1:114" ht="16.5" customHeight="1" x14ac:dyDescent="0.25">
      <c r="A97" s="162"/>
      <c r="B97" s="154"/>
      <c r="C97" s="165"/>
      <c r="D97" s="62" t="s">
        <v>18</v>
      </c>
      <c r="E97" s="64">
        <f>'P(M)'!K53</f>
        <v>0</v>
      </c>
      <c r="F97" s="104">
        <f>E97*$K$7</f>
        <v>0</v>
      </c>
      <c r="G97" s="62" t="s">
        <v>18</v>
      </c>
      <c r="H97" s="64">
        <f>'P(M)'!T53</f>
        <v>0</v>
      </c>
      <c r="I97" s="104">
        <f>H97*$K$7</f>
        <v>0</v>
      </c>
      <c r="J97" s="104">
        <f t="shared" si="6"/>
        <v>0</v>
      </c>
      <c r="K97" s="39">
        <f>'P(M)'!AA53</f>
        <v>0</v>
      </c>
      <c r="L97" s="104">
        <f t="shared" si="7"/>
        <v>0</v>
      </c>
      <c r="M97" s="180"/>
      <c r="N97" s="129" t="str">
        <f t="shared" si="5"/>
        <v/>
      </c>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row>
    <row r="98" spans="1:114" ht="16.5" customHeight="1" x14ac:dyDescent="0.25">
      <c r="A98" s="161" t="s">
        <v>177</v>
      </c>
      <c r="B98" s="154"/>
      <c r="C98" s="164"/>
      <c r="D98" s="62" t="s">
        <v>19</v>
      </c>
      <c r="E98" s="64">
        <f>'P(M)'!K54</f>
        <v>4000</v>
      </c>
      <c r="F98" s="104">
        <f>E98*$K$8</f>
        <v>100</v>
      </c>
      <c r="G98" s="62" t="s">
        <v>16</v>
      </c>
      <c r="H98" s="64">
        <f>'P(M)'!T54</f>
        <v>2000</v>
      </c>
      <c r="I98" s="104">
        <f>H98*$K$5</f>
        <v>60000</v>
      </c>
      <c r="J98" s="104">
        <f t="shared" si="6"/>
        <v>60100</v>
      </c>
      <c r="K98" s="39">
        <f>'P(M)'!AA54</f>
        <v>40000</v>
      </c>
      <c r="L98" s="104">
        <f t="shared" si="7"/>
        <v>100100</v>
      </c>
      <c r="M98" s="179" t="s">
        <v>7</v>
      </c>
      <c r="N98" s="129" t="str">
        <f t="shared" si="5"/>
        <v/>
      </c>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row>
    <row r="99" spans="1:114" ht="16.5" customHeight="1" x14ac:dyDescent="0.25">
      <c r="A99" s="162"/>
      <c r="B99" s="154"/>
      <c r="C99" s="165"/>
      <c r="D99" s="62" t="s">
        <v>19</v>
      </c>
      <c r="E99" s="64">
        <f>'P(M)'!K55</f>
        <v>0</v>
      </c>
      <c r="F99" s="104">
        <f>E99*$K$8</f>
        <v>0</v>
      </c>
      <c r="G99" s="62" t="s">
        <v>16</v>
      </c>
      <c r="H99" s="64">
        <f>'P(M)'!T55</f>
        <v>0</v>
      </c>
      <c r="I99" s="104">
        <f>H99*$K$5</f>
        <v>0</v>
      </c>
      <c r="J99" s="104">
        <f t="shared" si="6"/>
        <v>0</v>
      </c>
      <c r="K99" s="39">
        <f>'P(M)'!AA55</f>
        <v>0</v>
      </c>
      <c r="L99" s="104">
        <f t="shared" si="7"/>
        <v>0</v>
      </c>
      <c r="M99" s="180"/>
      <c r="N99" s="129" t="str">
        <f t="shared" si="5"/>
        <v/>
      </c>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row>
    <row r="100" spans="1:114" ht="16.5" customHeight="1" x14ac:dyDescent="0.25">
      <c r="A100" s="62" t="s">
        <v>191</v>
      </c>
      <c r="B100" s="154"/>
      <c r="C100" s="159" t="str">
        <f>IF('P(M)'!$D$17=4,"●","○")</f>
        <v>○</v>
      </c>
      <c r="D100" s="62" t="s">
        <v>43</v>
      </c>
      <c r="E100" s="64">
        <f>'P(M)'!K56</f>
        <v>0</v>
      </c>
      <c r="F100" s="104">
        <f>E100*$M$9</f>
        <v>0</v>
      </c>
      <c r="G100" s="62" t="s">
        <v>43</v>
      </c>
      <c r="H100" s="64">
        <f>'P(M)'!T56</f>
        <v>2000</v>
      </c>
      <c r="I100" s="104">
        <f>H100*$M$9</f>
        <v>44000</v>
      </c>
      <c r="J100" s="104">
        <f>F100+I100</f>
        <v>44000</v>
      </c>
      <c r="K100" s="39">
        <f>'P(M)'!AA56</f>
        <v>40000</v>
      </c>
      <c r="L100" s="104">
        <f>J100+K100</f>
        <v>84000</v>
      </c>
      <c r="M100" s="68" t="s">
        <v>42</v>
      </c>
      <c r="N100" s="129" t="str">
        <f t="shared" si="5"/>
        <v/>
      </c>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row>
    <row r="101" spans="1:114" ht="16.5" customHeight="1" x14ac:dyDescent="0.25">
      <c r="A101" s="62" t="s">
        <v>178</v>
      </c>
      <c r="B101" s="154"/>
      <c r="C101" s="159" t="str">
        <f>IF('P(M)'!$D$17=5,"●","○")</f>
        <v>○</v>
      </c>
      <c r="D101" s="62" t="s">
        <v>20</v>
      </c>
      <c r="E101" s="64">
        <f>'P(M)'!K57</f>
        <v>0</v>
      </c>
      <c r="F101" s="104">
        <f>E101*$M$6</f>
        <v>0</v>
      </c>
      <c r="G101" s="62" t="s">
        <v>20</v>
      </c>
      <c r="H101" s="64">
        <f>'P(M)'!T57</f>
        <v>1900</v>
      </c>
      <c r="I101" s="104">
        <f>H101*$M$6</f>
        <v>44650</v>
      </c>
      <c r="J101" s="104">
        <f t="shared" si="6"/>
        <v>44650</v>
      </c>
      <c r="K101" s="39">
        <f>'P(M)'!AA57</f>
        <v>40000</v>
      </c>
      <c r="L101" s="104">
        <f t="shared" si="7"/>
        <v>84650</v>
      </c>
      <c r="M101" s="68" t="s">
        <v>8</v>
      </c>
      <c r="N101" s="129" t="str">
        <f t="shared" si="5"/>
        <v/>
      </c>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row>
    <row r="102" spans="1:114" ht="16.5" customHeight="1" x14ac:dyDescent="0.25">
      <c r="A102" s="161" t="s">
        <v>181</v>
      </c>
      <c r="B102" s="154"/>
      <c r="C102" s="164" t="str">
        <f>IF('P(M)'!$D$17=6,"●","○")</f>
        <v>○</v>
      </c>
      <c r="D102" s="62" t="s">
        <v>23</v>
      </c>
      <c r="E102" s="64">
        <f>'P(M)'!K58</f>
        <v>0</v>
      </c>
      <c r="F102" s="104">
        <f>E102*$M$8</f>
        <v>0</v>
      </c>
      <c r="G102" s="62" t="s">
        <v>23</v>
      </c>
      <c r="H102" s="64">
        <f>'P(M)'!T58</f>
        <v>3712</v>
      </c>
      <c r="I102" s="104">
        <f>H102*$M$8</f>
        <v>27468.800000000003</v>
      </c>
      <c r="J102" s="104">
        <f>F102+I102</f>
        <v>27468.800000000003</v>
      </c>
      <c r="K102" s="39">
        <f>'P(M)'!AA58</f>
        <v>40000</v>
      </c>
      <c r="L102" s="104">
        <f>J102+K102</f>
        <v>67468.800000000003</v>
      </c>
      <c r="M102" s="179" t="s">
        <v>11</v>
      </c>
      <c r="N102" s="129" t="str">
        <f t="shared" si="5"/>
        <v/>
      </c>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row>
    <row r="103" spans="1:114" ht="16.5" customHeight="1" x14ac:dyDescent="0.25">
      <c r="A103" s="162"/>
      <c r="B103" s="154"/>
      <c r="C103" s="165"/>
      <c r="D103" s="62" t="s">
        <v>23</v>
      </c>
      <c r="E103" s="64">
        <f>'P(M)'!K59</f>
        <v>0</v>
      </c>
      <c r="F103" s="104">
        <f>E103*$M$8</f>
        <v>0</v>
      </c>
      <c r="G103" s="62" t="s">
        <v>23</v>
      </c>
      <c r="H103" s="64">
        <f>'P(M)'!T59</f>
        <v>0</v>
      </c>
      <c r="I103" s="104">
        <f>H103*$M$8</f>
        <v>0</v>
      </c>
      <c r="J103" s="104">
        <f>F103+I103</f>
        <v>0</v>
      </c>
      <c r="K103" s="39">
        <f>'P(M)'!AA59</f>
        <v>0</v>
      </c>
      <c r="L103" s="104">
        <f>J103+K103</f>
        <v>0</v>
      </c>
      <c r="M103" s="180"/>
      <c r="N103" s="129" t="str">
        <f t="shared" si="5"/>
        <v/>
      </c>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row>
    <row r="104" spans="1:114" ht="16.5" customHeight="1" x14ac:dyDescent="0.25">
      <c r="A104" s="68" t="s">
        <v>146</v>
      </c>
      <c r="B104" s="154"/>
      <c r="C104" s="159" t="str">
        <f>IF('P(M)'!$D$17=7,"●","○")</f>
        <v>○</v>
      </c>
      <c r="D104" s="62" t="s">
        <v>16</v>
      </c>
      <c r="E104" s="64">
        <f>'P(M)'!K60</f>
        <v>0</v>
      </c>
      <c r="F104" s="104">
        <f>E104*$K$5</f>
        <v>0</v>
      </c>
      <c r="G104" s="62" t="s">
        <v>16</v>
      </c>
      <c r="H104" s="64">
        <f>'P(M)'!T60</f>
        <v>0</v>
      </c>
      <c r="I104" s="104">
        <f>H104*$K$5</f>
        <v>0</v>
      </c>
      <c r="J104" s="104">
        <f t="shared" si="6"/>
        <v>0</v>
      </c>
      <c r="K104" s="39">
        <f>'P(M)'!AA60</f>
        <v>0</v>
      </c>
      <c r="L104" s="104">
        <f t="shared" si="7"/>
        <v>0</v>
      </c>
      <c r="M104" s="68" t="s">
        <v>146</v>
      </c>
      <c r="N104" s="129" t="str">
        <f t="shared" si="5"/>
        <v/>
      </c>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row>
    <row r="105" spans="1:114" ht="16.5" customHeight="1" x14ac:dyDescent="0.25">
      <c r="A105" s="161" t="s">
        <v>182</v>
      </c>
      <c r="B105" s="154"/>
      <c r="C105" s="164"/>
      <c r="D105" s="62" t="s">
        <v>16</v>
      </c>
      <c r="E105" s="64">
        <f>'P(M)'!K61</f>
        <v>0</v>
      </c>
      <c r="F105" s="104">
        <f>E105*$K$5</f>
        <v>0</v>
      </c>
      <c r="G105" s="62" t="s">
        <v>16</v>
      </c>
      <c r="H105" s="64">
        <f>'P(M)'!T61</f>
        <v>0</v>
      </c>
      <c r="I105" s="104">
        <f>H105*$K$5</f>
        <v>0</v>
      </c>
      <c r="J105" s="104">
        <f>F105+I105</f>
        <v>0</v>
      </c>
      <c r="K105" s="39">
        <f>'P(M)'!AA61</f>
        <v>0</v>
      </c>
      <c r="L105" s="104">
        <f>J105+K105</f>
        <v>0</v>
      </c>
      <c r="M105" s="179" t="s">
        <v>131</v>
      </c>
      <c r="N105" s="129" t="str">
        <f t="shared" si="5"/>
        <v/>
      </c>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row>
    <row r="106" spans="1:114" ht="16.5" customHeight="1" x14ac:dyDescent="0.25">
      <c r="A106" s="162"/>
      <c r="B106" s="154"/>
      <c r="C106" s="165"/>
      <c r="D106" s="62" t="s">
        <v>16</v>
      </c>
      <c r="E106" s="64">
        <f>'P(M)'!K62</f>
        <v>0</v>
      </c>
      <c r="F106" s="104">
        <f>E106*$K$5</f>
        <v>0</v>
      </c>
      <c r="G106" s="62" t="s">
        <v>16</v>
      </c>
      <c r="H106" s="64">
        <f>'P(M)'!T62</f>
        <v>0</v>
      </c>
      <c r="I106" s="104">
        <f>H106*$K$5</f>
        <v>0</v>
      </c>
      <c r="J106" s="104">
        <f>F106+I106</f>
        <v>0</v>
      </c>
      <c r="K106" s="39">
        <f>'P(M)'!AA62</f>
        <v>0</v>
      </c>
      <c r="L106" s="104">
        <f>J106+K106</f>
        <v>0</v>
      </c>
      <c r="M106" s="180"/>
      <c r="N106" s="129" t="str">
        <f t="shared" si="5"/>
        <v/>
      </c>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row>
    <row r="107" spans="1:114" ht="16.5" customHeight="1" x14ac:dyDescent="0.25">
      <c r="A107" s="161" t="s">
        <v>179</v>
      </c>
      <c r="B107" s="154"/>
      <c r="C107" s="164"/>
      <c r="D107" s="62" t="s">
        <v>21</v>
      </c>
      <c r="E107" s="64">
        <f>'P(M)'!K63</f>
        <v>0</v>
      </c>
      <c r="F107" s="104">
        <f>E107*$M$7</f>
        <v>0</v>
      </c>
      <c r="G107" s="62" t="s">
        <v>16</v>
      </c>
      <c r="H107" s="64">
        <f>'P(M)'!T63</f>
        <v>0</v>
      </c>
      <c r="I107" s="104">
        <f>H107*$K$5</f>
        <v>0</v>
      </c>
      <c r="J107" s="104">
        <f t="shared" si="6"/>
        <v>0</v>
      </c>
      <c r="K107" s="39">
        <f>'P(M)'!AA63</f>
        <v>0</v>
      </c>
      <c r="L107" s="104">
        <f t="shared" si="7"/>
        <v>0</v>
      </c>
      <c r="M107" s="179" t="s">
        <v>9</v>
      </c>
      <c r="N107" s="129" t="str">
        <f t="shared" si="5"/>
        <v/>
      </c>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row>
    <row r="108" spans="1:114" ht="16.5" customHeight="1" x14ac:dyDescent="0.25">
      <c r="A108" s="162"/>
      <c r="B108" s="154"/>
      <c r="C108" s="165"/>
      <c r="D108" s="62" t="s">
        <v>21</v>
      </c>
      <c r="E108" s="64">
        <f>'P(M)'!K64</f>
        <v>0</v>
      </c>
      <c r="F108" s="104">
        <f>E108*$M$7</f>
        <v>0</v>
      </c>
      <c r="G108" s="62" t="s">
        <v>16</v>
      </c>
      <c r="H108" s="64">
        <f>'P(M)'!T64</f>
        <v>0</v>
      </c>
      <c r="I108" s="104">
        <f>H108*$K$5</f>
        <v>0</v>
      </c>
      <c r="J108" s="104">
        <f t="shared" si="6"/>
        <v>0</v>
      </c>
      <c r="K108" s="39">
        <f>'P(M)'!AA64</f>
        <v>0</v>
      </c>
      <c r="L108" s="104">
        <f t="shared" si="7"/>
        <v>0</v>
      </c>
      <c r="M108" s="180"/>
      <c r="N108" s="129" t="str">
        <f t="shared" si="5"/>
        <v/>
      </c>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row>
    <row r="109" spans="1:114" ht="16.5" customHeight="1" x14ac:dyDescent="0.25">
      <c r="A109" s="161" t="s">
        <v>180</v>
      </c>
      <c r="B109" s="154"/>
      <c r="C109" s="164"/>
      <c r="D109" s="62" t="s">
        <v>22</v>
      </c>
      <c r="E109" s="64">
        <f>'P(M)'!K65</f>
        <v>0</v>
      </c>
      <c r="F109" s="104">
        <f>E109*$K$9</f>
        <v>0</v>
      </c>
      <c r="G109" s="62" t="s">
        <v>22</v>
      </c>
      <c r="H109" s="64">
        <f>'P(M)'!T65</f>
        <v>0</v>
      </c>
      <c r="I109" s="104">
        <f>H109*$K$9</f>
        <v>0</v>
      </c>
      <c r="J109" s="104">
        <f t="shared" si="6"/>
        <v>0</v>
      </c>
      <c r="K109" s="39">
        <f>'P(M)'!AA65</f>
        <v>0</v>
      </c>
      <c r="L109" s="104">
        <f t="shared" si="7"/>
        <v>0</v>
      </c>
      <c r="M109" s="179" t="s">
        <v>10</v>
      </c>
      <c r="N109" s="129" t="str">
        <f t="shared" si="5"/>
        <v/>
      </c>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row>
    <row r="110" spans="1:114" ht="16.5" customHeight="1" x14ac:dyDescent="0.25">
      <c r="A110" s="162"/>
      <c r="B110" s="154"/>
      <c r="C110" s="165"/>
      <c r="D110" s="62" t="s">
        <v>22</v>
      </c>
      <c r="E110" s="64">
        <f>'P(M)'!K66</f>
        <v>0</v>
      </c>
      <c r="F110" s="104">
        <f>E110*$K$9</f>
        <v>0</v>
      </c>
      <c r="G110" s="62" t="s">
        <v>22</v>
      </c>
      <c r="H110" s="64">
        <f>'P(M)'!T66</f>
        <v>0</v>
      </c>
      <c r="I110" s="104">
        <f>H110*$K$9</f>
        <v>0</v>
      </c>
      <c r="J110" s="104">
        <f t="shared" si="6"/>
        <v>0</v>
      </c>
      <c r="K110" s="39">
        <f>'P(M)'!AA66</f>
        <v>0</v>
      </c>
      <c r="L110" s="104">
        <f t="shared" si="7"/>
        <v>0</v>
      </c>
      <c r="M110" s="180"/>
      <c r="N110" s="129" t="str">
        <f t="shared" si="5"/>
        <v/>
      </c>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row>
    <row r="111" spans="1:114" ht="18.75" x14ac:dyDescent="0.25">
      <c r="A111" s="55"/>
      <c r="B111" s="55"/>
      <c r="C111" s="56"/>
      <c r="D111" s="55"/>
      <c r="E111" s="56" t="s">
        <v>183</v>
      </c>
      <c r="F111" s="57">
        <f>SUM(F90:F110)</f>
        <v>86850</v>
      </c>
      <c r="G111" s="55"/>
      <c r="H111" s="56" t="s">
        <v>183</v>
      </c>
      <c r="I111" s="58">
        <f>SUM(I90:I110)</f>
        <v>334614.8</v>
      </c>
      <c r="J111" s="59">
        <f>SUM(J90:J110)</f>
        <v>421464.8</v>
      </c>
      <c r="K111" s="60">
        <f>SUM(K90:K110)</f>
        <v>330000</v>
      </c>
      <c r="L111" s="63">
        <f>SUM(L90:L110)</f>
        <v>751464.8</v>
      </c>
      <c r="M111" s="62"/>
      <c r="N111" s="129"/>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row>
    <row r="112" spans="1:114" s="147" customFormat="1" ht="16.5" x14ac:dyDescent="0.25">
      <c r="A112" s="109" t="s">
        <v>291</v>
      </c>
      <c r="B112" s="107"/>
      <c r="C112" s="107"/>
      <c r="D112" s="107"/>
      <c r="E112" s="107"/>
      <c r="F112" s="107"/>
      <c r="G112" s="107"/>
      <c r="H112" s="107"/>
      <c r="I112" s="107"/>
      <c r="J112" s="107"/>
      <c r="K112" s="107"/>
      <c r="L112" s="107"/>
      <c r="M112" s="107"/>
      <c r="N112" s="129"/>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6"/>
      <c r="BX112" s="146"/>
      <c r="BY112" s="146"/>
      <c r="BZ112" s="146"/>
      <c r="CA112" s="146"/>
      <c r="CB112" s="146"/>
      <c r="CC112" s="146"/>
      <c r="CD112" s="146"/>
      <c r="CE112" s="146"/>
      <c r="CF112" s="146"/>
      <c r="CG112" s="146"/>
      <c r="CH112" s="146"/>
      <c r="CI112" s="146"/>
      <c r="CJ112" s="146"/>
      <c r="CK112" s="146"/>
      <c r="CL112" s="146"/>
      <c r="CM112" s="146"/>
      <c r="CN112" s="146"/>
      <c r="CO112" s="146"/>
      <c r="CP112" s="146"/>
      <c r="CQ112" s="146"/>
      <c r="CR112" s="146"/>
      <c r="CS112" s="146"/>
      <c r="CT112" s="146"/>
      <c r="CU112" s="146"/>
      <c r="CV112" s="146"/>
      <c r="CW112" s="146"/>
      <c r="CX112" s="146"/>
      <c r="CY112" s="146"/>
      <c r="CZ112" s="146"/>
      <c r="DA112" s="146"/>
      <c r="DB112" s="146"/>
      <c r="DC112" s="146"/>
      <c r="DD112" s="146"/>
      <c r="DE112" s="146"/>
      <c r="DF112" s="146"/>
      <c r="DG112" s="146"/>
      <c r="DH112" s="146"/>
      <c r="DI112" s="146"/>
      <c r="DJ112" s="146"/>
    </row>
    <row r="113" spans="1:114" s="147" customFormat="1" ht="16.5" x14ac:dyDescent="0.25">
      <c r="A113" s="109" t="s">
        <v>329</v>
      </c>
      <c r="B113" s="107"/>
      <c r="C113" s="107"/>
      <c r="D113" s="107"/>
      <c r="E113" s="107"/>
      <c r="F113" s="107"/>
      <c r="G113" s="107"/>
      <c r="H113" s="107"/>
      <c r="I113" s="107"/>
      <c r="J113" s="107"/>
      <c r="K113" s="107"/>
      <c r="L113" s="107"/>
      <c r="M113" s="107"/>
      <c r="N113" s="129"/>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CZ113" s="146"/>
      <c r="DA113" s="146"/>
      <c r="DB113" s="146"/>
      <c r="DC113" s="146"/>
      <c r="DD113" s="146"/>
      <c r="DE113" s="146"/>
      <c r="DF113" s="146"/>
      <c r="DG113" s="146"/>
      <c r="DH113" s="146"/>
      <c r="DI113" s="146"/>
      <c r="DJ113" s="146"/>
    </row>
    <row r="114" spans="1:114" s="147" customFormat="1" ht="16.5" x14ac:dyDescent="0.25">
      <c r="A114" s="109" t="s">
        <v>336</v>
      </c>
      <c r="B114" s="107"/>
      <c r="C114" s="107"/>
      <c r="D114" s="107"/>
      <c r="E114" s="107"/>
      <c r="F114" s="107"/>
      <c r="G114" s="107"/>
      <c r="H114" s="107"/>
      <c r="I114" s="107"/>
      <c r="J114" s="107"/>
      <c r="K114" s="107"/>
      <c r="L114" s="107"/>
      <c r="M114" s="107"/>
      <c r="N114" s="129"/>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c r="BW114" s="146"/>
      <c r="BX114" s="146"/>
      <c r="BY114" s="146"/>
      <c r="BZ114" s="146"/>
      <c r="CA114" s="146"/>
      <c r="CB114" s="146"/>
      <c r="CC114" s="146"/>
      <c r="CD114" s="146"/>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6"/>
      <c r="CZ114" s="146"/>
      <c r="DA114" s="146"/>
      <c r="DB114" s="146"/>
      <c r="DC114" s="146"/>
      <c r="DD114" s="146"/>
      <c r="DE114" s="146"/>
      <c r="DF114" s="146"/>
      <c r="DG114" s="146"/>
      <c r="DH114" s="146"/>
      <c r="DI114" s="146"/>
      <c r="DJ114" s="146"/>
    </row>
    <row r="115" spans="1:114" s="147" customFormat="1" ht="16.5" x14ac:dyDescent="0.25">
      <c r="A115" s="109" t="s">
        <v>330</v>
      </c>
      <c r="B115" s="107"/>
      <c r="C115" s="107"/>
      <c r="D115" s="107"/>
      <c r="E115" s="107"/>
      <c r="F115" s="107"/>
      <c r="G115" s="107"/>
      <c r="H115" s="107"/>
      <c r="I115" s="107"/>
      <c r="J115" s="107"/>
      <c r="K115" s="107"/>
      <c r="L115" s="107"/>
      <c r="M115" s="107"/>
      <c r="N115" s="129"/>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6"/>
      <c r="BX115" s="146"/>
      <c r="BY115" s="146"/>
      <c r="BZ115" s="14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row>
    <row r="116" spans="1:114" s="147" customFormat="1" ht="16.5" x14ac:dyDescent="0.25">
      <c r="A116" s="109" t="s">
        <v>331</v>
      </c>
      <c r="B116" s="107"/>
      <c r="C116" s="107"/>
      <c r="D116" s="107"/>
      <c r="E116" s="107"/>
      <c r="F116" s="107"/>
      <c r="G116" s="107"/>
      <c r="H116" s="107"/>
      <c r="I116" s="107"/>
      <c r="J116" s="107"/>
      <c r="K116" s="107"/>
      <c r="L116" s="107"/>
      <c r="M116" s="107"/>
      <c r="N116" s="129"/>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row>
    <row r="117" spans="1:114" s="118" customFormat="1" ht="16.5" x14ac:dyDescent="0.25">
      <c r="A117" s="108"/>
      <c r="B117" s="45"/>
      <c r="C117" s="45"/>
      <c r="D117" s="45"/>
      <c r="E117" s="45"/>
      <c r="F117" s="45"/>
      <c r="G117" s="45"/>
      <c r="H117" s="45"/>
      <c r="I117" s="45"/>
      <c r="J117" s="45"/>
      <c r="K117" s="45"/>
      <c r="L117" s="45"/>
      <c r="M117" s="45"/>
      <c r="N117" s="129"/>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row>
    <row r="118" spans="1:114" s="116" customFormat="1" ht="16.5" x14ac:dyDescent="0.25">
      <c r="A118" s="110" t="s">
        <v>296</v>
      </c>
      <c r="B118" s="111"/>
      <c r="C118" s="111"/>
      <c r="D118" s="111"/>
      <c r="E118" s="111"/>
      <c r="F118" s="111"/>
      <c r="G118" s="111"/>
      <c r="H118" s="111"/>
      <c r="I118" s="111"/>
      <c r="J118" s="111"/>
      <c r="K118" s="111"/>
      <c r="L118" s="111"/>
      <c r="M118" s="111"/>
      <c r="N118" s="129"/>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row>
    <row r="119" spans="1:114" s="114" customFormat="1" ht="33" customHeight="1" x14ac:dyDescent="0.25">
      <c r="A119" s="163" t="s">
        <v>166</v>
      </c>
      <c r="B119" s="166" t="s">
        <v>167</v>
      </c>
      <c r="C119" s="167" t="s">
        <v>304</v>
      </c>
      <c r="D119" s="166" t="s">
        <v>227</v>
      </c>
      <c r="E119" s="163"/>
      <c r="F119" s="163"/>
      <c r="G119" s="166" t="s">
        <v>228</v>
      </c>
      <c r="H119" s="163"/>
      <c r="I119" s="163"/>
      <c r="J119" s="112" t="s">
        <v>229</v>
      </c>
      <c r="K119" s="166" t="s">
        <v>230</v>
      </c>
      <c r="L119" s="181" t="s">
        <v>231</v>
      </c>
      <c r="M119" s="190" t="s">
        <v>166</v>
      </c>
      <c r="N119" s="129"/>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row>
    <row r="120" spans="1:114" s="114" customFormat="1" ht="16.5" customHeight="1" x14ac:dyDescent="0.25">
      <c r="A120" s="163"/>
      <c r="B120" s="163"/>
      <c r="C120" s="168"/>
      <c r="D120" s="113" t="s">
        <v>170</v>
      </c>
      <c r="E120" s="113" t="s">
        <v>171</v>
      </c>
      <c r="F120" s="113" t="s">
        <v>172</v>
      </c>
      <c r="G120" s="113" t="s">
        <v>170</v>
      </c>
      <c r="H120" s="113" t="s">
        <v>171</v>
      </c>
      <c r="I120" s="113" t="s">
        <v>172</v>
      </c>
      <c r="J120" s="113" t="s">
        <v>172</v>
      </c>
      <c r="K120" s="163"/>
      <c r="L120" s="182"/>
      <c r="M120" s="163"/>
      <c r="N120" s="129"/>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row>
    <row r="121" spans="1:114" ht="16.5" customHeight="1" x14ac:dyDescent="0.25">
      <c r="A121" s="161" t="s">
        <v>173</v>
      </c>
      <c r="B121" s="154"/>
      <c r="C121" s="164" t="str">
        <f>IF('P(M)'!$D$17=1,"●","○")</f>
        <v>●</v>
      </c>
      <c r="D121" s="62" t="s">
        <v>14</v>
      </c>
      <c r="E121" s="64">
        <f>'P(M)'!AO46</f>
        <v>214800</v>
      </c>
      <c r="F121" s="104">
        <f>E121</f>
        <v>214800</v>
      </c>
      <c r="G121" s="62" t="s">
        <v>14</v>
      </c>
      <c r="H121" s="64">
        <f>'P(M)'!AU46</f>
        <v>0</v>
      </c>
      <c r="I121" s="104">
        <f>H121</f>
        <v>0</v>
      </c>
      <c r="J121" s="104">
        <f>F121+I121</f>
        <v>214800</v>
      </c>
      <c r="K121" s="39">
        <f>'P(M)'!AY46</f>
        <v>57000</v>
      </c>
      <c r="L121" s="104">
        <f>J121+K121</f>
        <v>271800</v>
      </c>
      <c r="M121" s="179" t="str">
        <f>A121</f>
        <v>台灣</v>
      </c>
      <c r="N121" s="129" t="str">
        <f t="shared" ref="N121:N141" si="8">N16</f>
        <v/>
      </c>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row>
    <row r="122" spans="1:114" ht="16.5" customHeight="1" x14ac:dyDescent="0.25">
      <c r="A122" s="162"/>
      <c r="B122" s="154"/>
      <c r="C122" s="165"/>
      <c r="D122" s="62" t="s">
        <v>14</v>
      </c>
      <c r="E122" s="64">
        <f>'P(M)'!AO47</f>
        <v>0</v>
      </c>
      <c r="F122" s="104">
        <f>E122</f>
        <v>0</v>
      </c>
      <c r="G122" s="62" t="s">
        <v>14</v>
      </c>
      <c r="H122" s="64">
        <f>'P(M)'!AU47</f>
        <v>0</v>
      </c>
      <c r="I122" s="104">
        <f>H122</f>
        <v>0</v>
      </c>
      <c r="J122" s="104">
        <f t="shared" ref="J122:J141" si="9">F122+I122</f>
        <v>0</v>
      </c>
      <c r="K122" s="39">
        <f>'P(M)'!AY47</f>
        <v>0</v>
      </c>
      <c r="L122" s="104">
        <f t="shared" ref="L122:L141" si="10">J122+K122</f>
        <v>0</v>
      </c>
      <c r="M122" s="180"/>
      <c r="N122" s="129" t="str">
        <f t="shared" si="8"/>
        <v/>
      </c>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row>
    <row r="123" spans="1:114" ht="16.5" customHeight="1" x14ac:dyDescent="0.25">
      <c r="A123" s="161" t="s">
        <v>174</v>
      </c>
      <c r="B123" s="154"/>
      <c r="C123" s="164" t="str">
        <f>IF('P(M)'!$D$17=2,"●","○")</f>
        <v>○</v>
      </c>
      <c r="D123" s="62" t="s">
        <v>15</v>
      </c>
      <c r="E123" s="64">
        <f>'P(M)'!AO48</f>
        <v>81400</v>
      </c>
      <c r="F123" s="104">
        <f>E123*$M$5</f>
        <v>341880</v>
      </c>
      <c r="G123" s="62" t="s">
        <v>15</v>
      </c>
      <c r="H123" s="64">
        <f>'P(M)'!AU48</f>
        <v>3800</v>
      </c>
      <c r="I123" s="104">
        <f>H123*$M$5</f>
        <v>15960</v>
      </c>
      <c r="J123" s="104">
        <f t="shared" si="9"/>
        <v>357840</v>
      </c>
      <c r="K123" s="39">
        <f>'P(M)'!AY48</f>
        <v>57000</v>
      </c>
      <c r="L123" s="104">
        <f t="shared" si="10"/>
        <v>414840</v>
      </c>
      <c r="M123" s="179" t="s">
        <v>3</v>
      </c>
      <c r="N123" s="129" t="str">
        <f t="shared" si="8"/>
        <v/>
      </c>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row>
    <row r="124" spans="1:114" ht="16.5" customHeight="1" x14ac:dyDescent="0.25">
      <c r="A124" s="162"/>
      <c r="B124" s="154"/>
      <c r="C124" s="165"/>
      <c r="D124" s="62" t="s">
        <v>15</v>
      </c>
      <c r="E124" s="64">
        <f>'P(M)'!AO49</f>
        <v>0</v>
      </c>
      <c r="F124" s="104">
        <f>E124*$M$5</f>
        <v>0</v>
      </c>
      <c r="G124" s="62" t="s">
        <v>15</v>
      </c>
      <c r="H124" s="64">
        <f>'P(M)'!AU49</f>
        <v>0</v>
      </c>
      <c r="I124" s="104">
        <f>H124*$M$5</f>
        <v>0</v>
      </c>
      <c r="J124" s="104">
        <f t="shared" si="9"/>
        <v>0</v>
      </c>
      <c r="K124" s="39">
        <f>'P(M)'!AY49</f>
        <v>0</v>
      </c>
      <c r="L124" s="104">
        <f t="shared" si="10"/>
        <v>0</v>
      </c>
      <c r="M124" s="180"/>
      <c r="N124" s="129" t="str">
        <f t="shared" si="8"/>
        <v/>
      </c>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row>
    <row r="125" spans="1:114" ht="16.5" customHeight="1" x14ac:dyDescent="0.25">
      <c r="A125" s="62" t="s">
        <v>175</v>
      </c>
      <c r="B125" s="154"/>
      <c r="C125" s="159" t="str">
        <f>IF('P(M)'!$D$17=3,"●","○")</f>
        <v>○</v>
      </c>
      <c r="D125" s="62" t="s">
        <v>16</v>
      </c>
      <c r="E125" s="64">
        <f>'P(M)'!AO50</f>
        <v>5788</v>
      </c>
      <c r="F125" s="104">
        <f>E125*$K$5</f>
        <v>173640</v>
      </c>
      <c r="G125" s="62" t="s">
        <v>16</v>
      </c>
      <c r="H125" s="64">
        <f>'P(M)'!AU50</f>
        <v>378</v>
      </c>
      <c r="I125" s="104">
        <f>H125*$K$5</f>
        <v>11340</v>
      </c>
      <c r="J125" s="104">
        <f t="shared" si="9"/>
        <v>184980</v>
      </c>
      <c r="K125" s="39">
        <f>'P(M)'!AY50</f>
        <v>15000</v>
      </c>
      <c r="L125" s="104">
        <f t="shared" si="10"/>
        <v>199980</v>
      </c>
      <c r="M125" s="68" t="s">
        <v>4</v>
      </c>
      <c r="N125" s="129" t="str">
        <f t="shared" si="8"/>
        <v/>
      </c>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row>
    <row r="126" spans="1:114" ht="16.5" customHeight="1" x14ac:dyDescent="0.25">
      <c r="A126" s="62" t="s">
        <v>190</v>
      </c>
      <c r="B126" s="154"/>
      <c r="C126" s="159"/>
      <c r="D126" s="62" t="s">
        <v>16</v>
      </c>
      <c r="E126" s="64">
        <f>'P(M)'!AO51</f>
        <v>31965.340000000004</v>
      </c>
      <c r="F126" s="104">
        <f>E126*$K$5</f>
        <v>958960.20000000007</v>
      </c>
      <c r="G126" s="62" t="s">
        <v>16</v>
      </c>
      <c r="H126" s="64">
        <f>'P(M)'!AU51</f>
        <v>7523.760000000002</v>
      </c>
      <c r="I126" s="104">
        <f>H126*$K$5</f>
        <v>225712.80000000005</v>
      </c>
      <c r="J126" s="104">
        <f t="shared" si="9"/>
        <v>1184673</v>
      </c>
      <c r="K126" s="39">
        <f>'P(M)'!AY51</f>
        <v>255000</v>
      </c>
      <c r="L126" s="104">
        <f t="shared" si="10"/>
        <v>1439673</v>
      </c>
      <c r="M126" s="68" t="s">
        <v>5</v>
      </c>
      <c r="N126" s="129" t="str">
        <f t="shared" si="8"/>
        <v/>
      </c>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row>
    <row r="127" spans="1:114" ht="16.5" customHeight="1" x14ac:dyDescent="0.25">
      <c r="A127" s="161" t="s">
        <v>176</v>
      </c>
      <c r="B127" s="154"/>
      <c r="C127" s="164"/>
      <c r="D127" s="62" t="s">
        <v>18</v>
      </c>
      <c r="E127" s="64">
        <f>'P(M)'!AO52</f>
        <v>1345700</v>
      </c>
      <c r="F127" s="104">
        <f>E127*$K$7</f>
        <v>282597</v>
      </c>
      <c r="G127" s="62" t="s">
        <v>18</v>
      </c>
      <c r="H127" s="64">
        <f>'P(M)'!AU52</f>
        <v>195000</v>
      </c>
      <c r="I127" s="104">
        <f>H127*$K$7</f>
        <v>40950</v>
      </c>
      <c r="J127" s="104">
        <f t="shared" si="9"/>
        <v>323547</v>
      </c>
      <c r="K127" s="39">
        <f>'P(M)'!AY52</f>
        <v>85000</v>
      </c>
      <c r="L127" s="104">
        <f t="shared" si="10"/>
        <v>408547</v>
      </c>
      <c r="M127" s="179" t="s">
        <v>6</v>
      </c>
      <c r="N127" s="129" t="str">
        <f t="shared" si="8"/>
        <v/>
      </c>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row>
    <row r="128" spans="1:114" ht="16.5" customHeight="1" x14ac:dyDescent="0.25">
      <c r="A128" s="162"/>
      <c r="B128" s="154"/>
      <c r="C128" s="165"/>
      <c r="D128" s="62" t="s">
        <v>18</v>
      </c>
      <c r="E128" s="64">
        <f>'P(M)'!AO53</f>
        <v>0</v>
      </c>
      <c r="F128" s="104">
        <f>E128*$K$7</f>
        <v>0</v>
      </c>
      <c r="G128" s="62" t="s">
        <v>18</v>
      </c>
      <c r="H128" s="64">
        <f>'P(M)'!AU53</f>
        <v>0</v>
      </c>
      <c r="I128" s="104">
        <f>H128*$K$7</f>
        <v>0</v>
      </c>
      <c r="J128" s="104">
        <f t="shared" si="9"/>
        <v>0</v>
      </c>
      <c r="K128" s="39">
        <f>'P(M)'!AY53</f>
        <v>0</v>
      </c>
      <c r="L128" s="104">
        <f t="shared" si="10"/>
        <v>0</v>
      </c>
      <c r="M128" s="180"/>
      <c r="N128" s="129" t="str">
        <f t="shared" si="8"/>
        <v/>
      </c>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row>
    <row r="129" spans="1:114" ht="16.5" customHeight="1" x14ac:dyDescent="0.25">
      <c r="A129" s="161" t="s">
        <v>177</v>
      </c>
      <c r="B129" s="154"/>
      <c r="C129" s="164"/>
      <c r="D129" s="62" t="s">
        <v>19</v>
      </c>
      <c r="E129" s="64">
        <f>'P(M)'!AO54</f>
        <v>10628000</v>
      </c>
      <c r="F129" s="104">
        <f>E129*$K$8</f>
        <v>265700</v>
      </c>
      <c r="G129" s="62" t="s">
        <v>16</v>
      </c>
      <c r="H129" s="64">
        <f>'P(M)'!AU54</f>
        <v>3210</v>
      </c>
      <c r="I129" s="104">
        <f>H129*$K$5</f>
        <v>96300</v>
      </c>
      <c r="J129" s="104">
        <f t="shared" si="9"/>
        <v>362000</v>
      </c>
      <c r="K129" s="39">
        <f>'P(M)'!AY54</f>
        <v>85000</v>
      </c>
      <c r="L129" s="104">
        <f t="shared" si="10"/>
        <v>447000</v>
      </c>
      <c r="M129" s="179" t="s">
        <v>7</v>
      </c>
      <c r="N129" s="129" t="str">
        <f t="shared" si="8"/>
        <v/>
      </c>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row>
    <row r="130" spans="1:114" ht="16.5" customHeight="1" x14ac:dyDescent="0.25">
      <c r="A130" s="162"/>
      <c r="B130" s="154"/>
      <c r="C130" s="165"/>
      <c r="D130" s="62" t="s">
        <v>19</v>
      </c>
      <c r="E130" s="64">
        <f>'P(M)'!AO55</f>
        <v>0</v>
      </c>
      <c r="F130" s="104">
        <f>E130*$K$8</f>
        <v>0</v>
      </c>
      <c r="G130" s="62" t="s">
        <v>16</v>
      </c>
      <c r="H130" s="64">
        <f>'P(M)'!AU55</f>
        <v>0</v>
      </c>
      <c r="I130" s="104">
        <f>H130*$K$5</f>
        <v>0</v>
      </c>
      <c r="J130" s="104">
        <f t="shared" si="9"/>
        <v>0</v>
      </c>
      <c r="K130" s="39">
        <f>'P(M)'!AY55</f>
        <v>0</v>
      </c>
      <c r="L130" s="104">
        <f t="shared" si="10"/>
        <v>0</v>
      </c>
      <c r="M130" s="180"/>
      <c r="N130" s="129" t="str">
        <f t="shared" si="8"/>
        <v/>
      </c>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row>
    <row r="131" spans="1:114" ht="16.5" customHeight="1" x14ac:dyDescent="0.25">
      <c r="A131" s="62" t="s">
        <v>191</v>
      </c>
      <c r="B131" s="154"/>
      <c r="C131" s="159" t="str">
        <f>IF('P(M)'!$D$17=4,"●","○")</f>
        <v>○</v>
      </c>
      <c r="D131" s="62" t="s">
        <v>43</v>
      </c>
      <c r="E131" s="64">
        <f>'P(M)'!AO56</f>
        <v>2671.1900000000005</v>
      </c>
      <c r="F131" s="104">
        <f>E131*$M$9</f>
        <v>58766.180000000008</v>
      </c>
      <c r="G131" s="62" t="s">
        <v>43</v>
      </c>
      <c r="H131" s="64">
        <f>'P(M)'!AU56</f>
        <v>4050</v>
      </c>
      <c r="I131" s="104">
        <f>H131*$M$9</f>
        <v>89100</v>
      </c>
      <c r="J131" s="104">
        <f>F131+I131</f>
        <v>147866.18</v>
      </c>
      <c r="K131" s="39">
        <f>'P(M)'!AY56</f>
        <v>90000</v>
      </c>
      <c r="L131" s="104">
        <f>J131+K131</f>
        <v>237866.18</v>
      </c>
      <c r="M131" s="68" t="s">
        <v>42</v>
      </c>
      <c r="N131" s="129" t="str">
        <f t="shared" si="8"/>
        <v/>
      </c>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row>
    <row r="132" spans="1:114" ht="16.5" customHeight="1" x14ac:dyDescent="0.25">
      <c r="A132" s="62" t="s">
        <v>178</v>
      </c>
      <c r="B132" s="154"/>
      <c r="C132" s="159" t="str">
        <f>IF('P(M)'!$D$17=5,"●","○")</f>
        <v>○</v>
      </c>
      <c r="D132" s="62" t="s">
        <v>20</v>
      </c>
      <c r="E132" s="64">
        <f>'P(M)'!AO57</f>
        <v>9865</v>
      </c>
      <c r="F132" s="104">
        <f>E132*$M$6</f>
        <v>231827.5</v>
      </c>
      <c r="G132" s="62" t="s">
        <v>20</v>
      </c>
      <c r="H132" s="64">
        <f>'P(M)'!AU57</f>
        <v>5400</v>
      </c>
      <c r="I132" s="104">
        <f>H132*$M$6</f>
        <v>126900</v>
      </c>
      <c r="J132" s="104">
        <f t="shared" si="9"/>
        <v>358727.5</v>
      </c>
      <c r="K132" s="39">
        <f>'P(M)'!AY57</f>
        <v>80000</v>
      </c>
      <c r="L132" s="104">
        <f t="shared" si="10"/>
        <v>438727.5</v>
      </c>
      <c r="M132" s="68" t="s">
        <v>8</v>
      </c>
      <c r="N132" s="129" t="str">
        <f t="shared" si="8"/>
        <v/>
      </c>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row>
    <row r="133" spans="1:114" ht="16.5" customHeight="1" x14ac:dyDescent="0.25">
      <c r="A133" s="161" t="s">
        <v>181</v>
      </c>
      <c r="B133" s="154"/>
      <c r="C133" s="164" t="str">
        <f>IF('P(M)'!$D$17=6,"●","○")</f>
        <v>○</v>
      </c>
      <c r="D133" s="62" t="s">
        <v>23</v>
      </c>
      <c r="E133" s="64">
        <f>'P(M)'!AO58</f>
        <v>24150</v>
      </c>
      <c r="F133" s="104">
        <f>E133*$M$8</f>
        <v>178710</v>
      </c>
      <c r="G133" s="62" t="s">
        <v>23</v>
      </c>
      <c r="H133" s="64">
        <f>'P(M)'!AU58</f>
        <v>5435</v>
      </c>
      <c r="I133" s="104">
        <f>H133*$M$8</f>
        <v>40219</v>
      </c>
      <c r="J133" s="104">
        <f>F133+I133</f>
        <v>218929</v>
      </c>
      <c r="K133" s="39">
        <f>'P(M)'!AY58</f>
        <v>95000</v>
      </c>
      <c r="L133" s="104">
        <f>J133+K133</f>
        <v>313929</v>
      </c>
      <c r="M133" s="179" t="s">
        <v>11</v>
      </c>
      <c r="N133" s="129" t="str">
        <f t="shared" si="8"/>
        <v/>
      </c>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row>
    <row r="134" spans="1:114" ht="16.5" customHeight="1" x14ac:dyDescent="0.25">
      <c r="A134" s="162"/>
      <c r="B134" s="154"/>
      <c r="C134" s="165"/>
      <c r="D134" s="62" t="s">
        <v>23</v>
      </c>
      <c r="E134" s="64">
        <f>'P(M)'!AO59</f>
        <v>0</v>
      </c>
      <c r="F134" s="104">
        <f>E134*$M$8</f>
        <v>0</v>
      </c>
      <c r="G134" s="62" t="s">
        <v>23</v>
      </c>
      <c r="H134" s="64">
        <f>'P(M)'!AU59</f>
        <v>0</v>
      </c>
      <c r="I134" s="104">
        <f>H134*$M$8</f>
        <v>0</v>
      </c>
      <c r="J134" s="104">
        <f>F134+I134</f>
        <v>0</v>
      </c>
      <c r="K134" s="39">
        <f>'P(M)'!AY59</f>
        <v>0</v>
      </c>
      <c r="L134" s="104">
        <f>J134+K134</f>
        <v>0</v>
      </c>
      <c r="M134" s="180"/>
      <c r="N134" s="129" t="str">
        <f t="shared" si="8"/>
        <v/>
      </c>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row>
    <row r="135" spans="1:114" ht="16.5" customHeight="1" x14ac:dyDescent="0.25">
      <c r="A135" s="68" t="s">
        <v>146</v>
      </c>
      <c r="B135" s="154"/>
      <c r="C135" s="159" t="str">
        <f>IF('P(M)'!$D$17=7,"●","○")</f>
        <v>○</v>
      </c>
      <c r="D135" s="62" t="s">
        <v>16</v>
      </c>
      <c r="E135" s="64">
        <f>'P(M)'!AO60</f>
        <v>0</v>
      </c>
      <c r="F135" s="104">
        <f>E135*$K$5</f>
        <v>0</v>
      </c>
      <c r="G135" s="62" t="s">
        <v>16</v>
      </c>
      <c r="H135" s="64">
        <f>'P(M)'!AU60</f>
        <v>0</v>
      </c>
      <c r="I135" s="104">
        <f>H135*$K$5</f>
        <v>0</v>
      </c>
      <c r="J135" s="104">
        <f t="shared" si="9"/>
        <v>0</v>
      </c>
      <c r="K135" s="39">
        <f>'P(M)'!AY60</f>
        <v>0</v>
      </c>
      <c r="L135" s="104">
        <f t="shared" si="10"/>
        <v>0</v>
      </c>
      <c r="M135" s="68" t="s">
        <v>146</v>
      </c>
      <c r="N135" s="129" t="str">
        <f t="shared" si="8"/>
        <v/>
      </c>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row>
    <row r="136" spans="1:114" ht="16.5" customHeight="1" x14ac:dyDescent="0.25">
      <c r="A136" s="161" t="s">
        <v>182</v>
      </c>
      <c r="B136" s="154"/>
      <c r="C136" s="164"/>
      <c r="D136" s="62" t="s">
        <v>16</v>
      </c>
      <c r="E136" s="64">
        <f>'P(M)'!AO61</f>
        <v>0</v>
      </c>
      <c r="F136" s="104">
        <f>E136*$K$5</f>
        <v>0</v>
      </c>
      <c r="G136" s="62" t="s">
        <v>16</v>
      </c>
      <c r="H136" s="64">
        <f>'P(M)'!AU61</f>
        <v>0</v>
      </c>
      <c r="I136" s="104">
        <f>H136*$K$5</f>
        <v>0</v>
      </c>
      <c r="J136" s="104">
        <f>F136+I136</f>
        <v>0</v>
      </c>
      <c r="K136" s="39">
        <f>'P(M)'!AY61</f>
        <v>0</v>
      </c>
      <c r="L136" s="104">
        <f>J136+K136</f>
        <v>0</v>
      </c>
      <c r="M136" s="179" t="s">
        <v>131</v>
      </c>
      <c r="N136" s="129" t="str">
        <f t="shared" si="8"/>
        <v/>
      </c>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row>
    <row r="137" spans="1:114" ht="16.5" customHeight="1" x14ac:dyDescent="0.25">
      <c r="A137" s="162"/>
      <c r="B137" s="154"/>
      <c r="C137" s="165"/>
      <c r="D137" s="62" t="s">
        <v>16</v>
      </c>
      <c r="E137" s="64">
        <f>'P(M)'!AO62</f>
        <v>0</v>
      </c>
      <c r="F137" s="104">
        <f>E137*$K$5</f>
        <v>0</v>
      </c>
      <c r="G137" s="62" t="s">
        <v>16</v>
      </c>
      <c r="H137" s="64">
        <f>'P(M)'!AU62</f>
        <v>0</v>
      </c>
      <c r="I137" s="104">
        <f>H137*$K$5</f>
        <v>0</v>
      </c>
      <c r="J137" s="104">
        <f>F137+I137</f>
        <v>0</v>
      </c>
      <c r="K137" s="39">
        <f>'P(M)'!AY62</f>
        <v>0</v>
      </c>
      <c r="L137" s="104">
        <f>J137+K137</f>
        <v>0</v>
      </c>
      <c r="M137" s="180"/>
      <c r="N137" s="129" t="str">
        <f t="shared" si="8"/>
        <v/>
      </c>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row>
    <row r="138" spans="1:114" ht="16.5" customHeight="1" x14ac:dyDescent="0.25">
      <c r="A138" s="161" t="s">
        <v>179</v>
      </c>
      <c r="B138" s="154"/>
      <c r="C138" s="164"/>
      <c r="D138" s="62" t="s">
        <v>21</v>
      </c>
      <c r="E138" s="64">
        <f>'P(M)'!AO63</f>
        <v>0</v>
      </c>
      <c r="F138" s="104">
        <f>E138*$M$7</f>
        <v>0</v>
      </c>
      <c r="G138" s="62" t="s">
        <v>16</v>
      </c>
      <c r="H138" s="64">
        <f>'P(M)'!AU63</f>
        <v>0</v>
      </c>
      <c r="I138" s="104">
        <f>H138*$K$5</f>
        <v>0</v>
      </c>
      <c r="J138" s="104">
        <f t="shared" si="9"/>
        <v>0</v>
      </c>
      <c r="K138" s="39">
        <f>'P(M)'!AY63</f>
        <v>0</v>
      </c>
      <c r="L138" s="104">
        <f t="shared" si="10"/>
        <v>0</v>
      </c>
      <c r="M138" s="179" t="s">
        <v>9</v>
      </c>
      <c r="N138" s="129" t="str">
        <f t="shared" si="8"/>
        <v/>
      </c>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row>
    <row r="139" spans="1:114" ht="16.5" customHeight="1" x14ac:dyDescent="0.25">
      <c r="A139" s="162"/>
      <c r="B139" s="154"/>
      <c r="C139" s="165"/>
      <c r="D139" s="62" t="s">
        <v>21</v>
      </c>
      <c r="E139" s="64">
        <f>'P(M)'!AO64</f>
        <v>0</v>
      </c>
      <c r="F139" s="104">
        <f>E139*$M$7</f>
        <v>0</v>
      </c>
      <c r="G139" s="62" t="s">
        <v>16</v>
      </c>
      <c r="H139" s="64">
        <f>'P(M)'!AU64</f>
        <v>0</v>
      </c>
      <c r="I139" s="104">
        <f>H139*$K$5</f>
        <v>0</v>
      </c>
      <c r="J139" s="104">
        <f t="shared" si="9"/>
        <v>0</v>
      </c>
      <c r="K139" s="39">
        <f>'P(M)'!AY64</f>
        <v>0</v>
      </c>
      <c r="L139" s="104">
        <f t="shared" si="10"/>
        <v>0</v>
      </c>
      <c r="M139" s="180"/>
      <c r="N139" s="129" t="str">
        <f t="shared" si="8"/>
        <v/>
      </c>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row>
    <row r="140" spans="1:114" ht="16.5" customHeight="1" x14ac:dyDescent="0.25">
      <c r="A140" s="161" t="s">
        <v>180</v>
      </c>
      <c r="B140" s="154"/>
      <c r="C140" s="164"/>
      <c r="D140" s="62" t="s">
        <v>22</v>
      </c>
      <c r="E140" s="64">
        <f>'P(M)'!AO65</f>
        <v>0</v>
      </c>
      <c r="F140" s="104">
        <f>E140*$K$9</f>
        <v>0</v>
      </c>
      <c r="G140" s="62" t="s">
        <v>22</v>
      </c>
      <c r="H140" s="64">
        <f>'P(M)'!AU65</f>
        <v>0</v>
      </c>
      <c r="I140" s="104">
        <f>H140*$K$9</f>
        <v>0</v>
      </c>
      <c r="J140" s="104">
        <f t="shared" si="9"/>
        <v>0</v>
      </c>
      <c r="K140" s="39">
        <f>'P(M)'!AY65</f>
        <v>0</v>
      </c>
      <c r="L140" s="104">
        <f t="shared" si="10"/>
        <v>0</v>
      </c>
      <c r="M140" s="179" t="s">
        <v>10</v>
      </c>
      <c r="N140" s="129" t="str">
        <f t="shared" si="8"/>
        <v/>
      </c>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row>
    <row r="141" spans="1:114" ht="16.5" customHeight="1" x14ac:dyDescent="0.25">
      <c r="A141" s="162"/>
      <c r="B141" s="154"/>
      <c r="C141" s="165"/>
      <c r="D141" s="62" t="s">
        <v>22</v>
      </c>
      <c r="E141" s="64">
        <f>'P(M)'!AO66</f>
        <v>0</v>
      </c>
      <c r="F141" s="104">
        <f>E141*$K$9</f>
        <v>0</v>
      </c>
      <c r="G141" s="62" t="s">
        <v>22</v>
      </c>
      <c r="H141" s="64">
        <f>'P(M)'!AU66</f>
        <v>0</v>
      </c>
      <c r="I141" s="104">
        <f>H141*$K$9</f>
        <v>0</v>
      </c>
      <c r="J141" s="104">
        <f t="shared" si="9"/>
        <v>0</v>
      </c>
      <c r="K141" s="39">
        <f>'P(M)'!AY66</f>
        <v>0</v>
      </c>
      <c r="L141" s="104">
        <f t="shared" si="10"/>
        <v>0</v>
      </c>
      <c r="M141" s="180"/>
      <c r="N141" s="129" t="str">
        <f t="shared" si="8"/>
        <v/>
      </c>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row>
    <row r="142" spans="1:114" ht="18.75" x14ac:dyDescent="0.25">
      <c r="A142" s="55"/>
      <c r="B142" s="55"/>
      <c r="C142" s="56"/>
      <c r="D142" s="55"/>
      <c r="E142" s="56" t="s">
        <v>183</v>
      </c>
      <c r="F142" s="57">
        <f>SUM(F121:F141)</f>
        <v>2706880.8800000004</v>
      </c>
      <c r="G142" s="55"/>
      <c r="H142" s="56" t="s">
        <v>183</v>
      </c>
      <c r="I142" s="58">
        <f>SUM(I121:I141)</f>
        <v>646481.80000000005</v>
      </c>
      <c r="J142" s="59">
        <f>SUM(J121:J141)</f>
        <v>3353362.68</v>
      </c>
      <c r="K142" s="60">
        <f>SUM(K121:K141)</f>
        <v>819000</v>
      </c>
      <c r="L142" s="63">
        <f>SUM(L121:L141)</f>
        <v>4172362.68</v>
      </c>
      <c r="M142" s="62"/>
      <c r="N142" s="129"/>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row>
    <row r="143" spans="1:114" ht="20.100000000000001" customHeight="1" x14ac:dyDescent="0.25">
      <c r="A143" s="169" t="s">
        <v>298</v>
      </c>
      <c r="B143" s="170"/>
      <c r="C143" s="173"/>
      <c r="D143" s="174"/>
      <c r="E143" s="174"/>
      <c r="F143" s="174"/>
      <c r="G143" s="174"/>
      <c r="H143" s="174"/>
      <c r="I143" s="174"/>
      <c r="J143" s="174"/>
      <c r="K143" s="174"/>
      <c r="L143" s="174"/>
      <c r="M143" s="17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row>
    <row r="144" spans="1:114" ht="20.100000000000001" customHeight="1" x14ac:dyDescent="0.25">
      <c r="A144" s="171"/>
      <c r="B144" s="172"/>
      <c r="C144" s="176"/>
      <c r="D144" s="177"/>
      <c r="E144" s="177"/>
      <c r="F144" s="177"/>
      <c r="G144" s="177"/>
      <c r="H144" s="177"/>
      <c r="I144" s="177"/>
      <c r="J144" s="177"/>
      <c r="K144" s="177"/>
      <c r="L144" s="177"/>
      <c r="M144" s="178"/>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row>
    <row r="145" spans="1:114" s="147" customFormat="1" ht="16.5" x14ac:dyDescent="0.25">
      <c r="A145" s="107" t="s">
        <v>291</v>
      </c>
      <c r="B145" s="107"/>
      <c r="C145" s="107"/>
      <c r="D145" s="107"/>
      <c r="E145" s="107"/>
      <c r="F145" s="107"/>
      <c r="G145" s="107"/>
      <c r="H145" s="107"/>
      <c r="I145" s="107"/>
      <c r="J145" s="107"/>
      <c r="K145" s="107"/>
      <c r="L145" s="107"/>
      <c r="M145" s="107"/>
      <c r="N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c r="BV145" s="146"/>
      <c r="BW145" s="146"/>
      <c r="BX145" s="146"/>
      <c r="BY145" s="146"/>
      <c r="BZ145" s="146"/>
      <c r="CA145" s="146"/>
      <c r="CB145" s="146"/>
      <c r="CC145" s="146"/>
      <c r="CD145" s="146"/>
      <c r="CE145" s="146"/>
      <c r="CF145" s="146"/>
      <c r="CG145" s="146"/>
      <c r="CH145" s="146"/>
      <c r="CI145" s="146"/>
      <c r="CJ145" s="146"/>
      <c r="CK145" s="146"/>
      <c r="CL145" s="146"/>
      <c r="CM145" s="146"/>
      <c r="CN145" s="146"/>
      <c r="CO145" s="146"/>
      <c r="CP145" s="146"/>
      <c r="CQ145" s="146"/>
      <c r="CR145" s="146"/>
      <c r="CS145" s="146"/>
      <c r="CT145" s="146"/>
      <c r="CU145" s="146"/>
      <c r="CV145" s="146"/>
      <c r="CW145" s="146"/>
      <c r="CX145" s="146"/>
      <c r="CY145" s="146"/>
      <c r="CZ145" s="146"/>
      <c r="DA145" s="146"/>
      <c r="DB145" s="146"/>
      <c r="DC145" s="146"/>
      <c r="DD145" s="146"/>
      <c r="DE145" s="146"/>
      <c r="DF145" s="146"/>
      <c r="DG145" s="146"/>
      <c r="DH145" s="146"/>
      <c r="DI145" s="146"/>
      <c r="DJ145" s="146"/>
    </row>
    <row r="146" spans="1:114" s="147" customFormat="1" ht="16.5" x14ac:dyDescent="0.25">
      <c r="A146" s="107" t="s">
        <v>333</v>
      </c>
      <c r="B146" s="107"/>
      <c r="C146" s="107"/>
      <c r="D146" s="107"/>
      <c r="E146" s="107"/>
      <c r="F146" s="107"/>
      <c r="G146" s="107"/>
      <c r="H146" s="107"/>
      <c r="I146" s="107"/>
      <c r="J146" s="107"/>
      <c r="K146" s="107"/>
      <c r="L146" s="107"/>
      <c r="M146" s="107"/>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46"/>
      <c r="CA146" s="146"/>
      <c r="CB146" s="146"/>
      <c r="CC146" s="146"/>
      <c r="CD146" s="146"/>
      <c r="CE146" s="146"/>
      <c r="CF146" s="146"/>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A146" s="146"/>
      <c r="DB146" s="146"/>
      <c r="DC146" s="146"/>
      <c r="DD146" s="146"/>
      <c r="DE146" s="146"/>
      <c r="DF146" s="146"/>
      <c r="DG146" s="146"/>
      <c r="DH146" s="146"/>
      <c r="DI146" s="146"/>
      <c r="DJ146" s="146"/>
    </row>
    <row r="147" spans="1:114" s="147" customFormat="1" ht="16.5" x14ac:dyDescent="0.25">
      <c r="A147" s="109" t="s">
        <v>334</v>
      </c>
      <c r="B147" s="107"/>
      <c r="C147" s="107"/>
      <c r="D147" s="107"/>
      <c r="E147" s="107"/>
      <c r="F147" s="107"/>
      <c r="G147" s="107"/>
      <c r="H147" s="107"/>
      <c r="I147" s="107"/>
      <c r="J147" s="107"/>
      <c r="K147" s="107"/>
      <c r="L147" s="107"/>
      <c r="M147" s="107"/>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c r="BW147" s="146"/>
      <c r="BX147" s="146"/>
      <c r="BY147" s="146"/>
      <c r="BZ147" s="146"/>
      <c r="CA147" s="146"/>
      <c r="CB147" s="146"/>
      <c r="CC147" s="146"/>
      <c r="CD147" s="146"/>
      <c r="CE147" s="146"/>
      <c r="CF147" s="146"/>
      <c r="CG147" s="146"/>
      <c r="CH147" s="146"/>
      <c r="CI147" s="146"/>
      <c r="CJ147" s="146"/>
      <c r="CK147" s="146"/>
      <c r="CL147" s="146"/>
      <c r="CM147" s="146"/>
      <c r="CN147" s="146"/>
      <c r="CO147" s="146"/>
      <c r="CP147" s="146"/>
      <c r="CQ147" s="146"/>
      <c r="CR147" s="146"/>
      <c r="CS147" s="146"/>
      <c r="CT147" s="146"/>
      <c r="CU147" s="146"/>
      <c r="CV147" s="146"/>
      <c r="CW147" s="146"/>
      <c r="CX147" s="146"/>
      <c r="CY147" s="146"/>
      <c r="CZ147" s="146"/>
      <c r="DA147" s="146"/>
      <c r="DB147" s="146"/>
      <c r="DC147" s="146"/>
      <c r="DD147" s="146"/>
      <c r="DE147" s="146"/>
      <c r="DF147" s="146"/>
      <c r="DG147" s="146"/>
      <c r="DH147" s="146"/>
      <c r="DI147" s="146"/>
      <c r="DJ147" s="146"/>
    </row>
    <row r="148" spans="1:114" s="118" customFormat="1" ht="16.5" x14ac:dyDescent="0.25">
      <c r="A148" s="69" t="str">
        <f>IF('P(M)'!C22=TRUE,"3.歐洲專利的後續年費總額，需視辦理專利生效程序的國別數量而定，上表僅包含「德國、法國、英國」三國的預估費用。","")</f>
        <v>3.歐洲專利的後續年費總額，需視辦理專利生效程序的國別數量而定，上表僅包含「德國、法國、英國」三國的預估費用。</v>
      </c>
      <c r="B148" s="45"/>
      <c r="C148" s="45"/>
      <c r="D148" s="45"/>
      <c r="E148" s="45"/>
      <c r="F148" s="45"/>
      <c r="G148" s="45"/>
      <c r="H148" s="45"/>
      <c r="I148" s="45"/>
      <c r="J148" s="45"/>
      <c r="K148" s="45"/>
      <c r="L148" s="45"/>
      <c r="M148" s="45"/>
      <c r="N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117"/>
      <c r="CD148" s="117"/>
      <c r="CE148" s="117"/>
      <c r="CF148" s="117"/>
      <c r="CG148" s="117"/>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row>
    <row r="149" spans="1:114" s="44" customFormat="1" ht="16.5" x14ac:dyDescent="0.25">
      <c r="A149" s="108"/>
      <c r="B149" s="45"/>
      <c r="C149" s="45"/>
      <c r="D149" s="45"/>
      <c r="E149" s="45"/>
      <c r="F149" s="45"/>
      <c r="G149" s="45"/>
      <c r="H149" s="45"/>
      <c r="I149" s="45"/>
      <c r="J149" s="45"/>
      <c r="K149" s="45"/>
      <c r="L149" s="45"/>
      <c r="M149" s="45"/>
      <c r="N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116" customFormat="1" ht="16.5" x14ac:dyDescent="0.25">
      <c r="A150" s="110" t="s">
        <v>322</v>
      </c>
      <c r="B150" s="111"/>
      <c r="C150" s="111"/>
      <c r="D150" s="111"/>
      <c r="E150" s="111"/>
      <c r="F150" s="111"/>
      <c r="G150" s="111"/>
      <c r="H150" s="111"/>
      <c r="I150" s="111"/>
      <c r="J150" s="111"/>
      <c r="K150" s="111"/>
      <c r="L150" s="111"/>
      <c r="M150" s="111"/>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row>
    <row r="151" spans="1:114" ht="15.4" customHeight="1" x14ac:dyDescent="0.25">
      <c r="A151" s="34"/>
      <c r="B151" s="34"/>
      <c r="C151" s="34"/>
      <c r="D151" s="34"/>
      <c r="E151" s="34"/>
      <c r="F151" s="34"/>
      <c r="G151" s="34"/>
      <c r="H151" s="34"/>
      <c r="I151" s="34"/>
      <c r="J151" s="34"/>
      <c r="K151" s="34"/>
      <c r="L151" s="34"/>
      <c r="M151" s="34"/>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row>
    <row r="152" spans="1:114" x14ac:dyDescent="0.25">
      <c r="A152" s="34"/>
      <c r="B152" s="34"/>
      <c r="C152" s="34"/>
      <c r="D152" s="34"/>
      <c r="E152" s="34"/>
      <c r="F152" s="34"/>
      <c r="G152" s="34"/>
      <c r="H152" s="34"/>
      <c r="I152" s="34"/>
      <c r="J152" s="34"/>
      <c r="K152" s="37"/>
      <c r="L152" s="37"/>
      <c r="M152" s="37"/>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row>
    <row r="153" spans="1:114" x14ac:dyDescent="0.25">
      <c r="A153" s="34"/>
      <c r="B153" s="34"/>
      <c r="C153" s="34"/>
      <c r="D153" s="34"/>
      <c r="E153" s="34"/>
      <c r="F153" s="34"/>
      <c r="G153" s="34"/>
      <c r="H153" s="34"/>
      <c r="I153" s="34"/>
      <c r="J153" s="34"/>
      <c r="K153" s="37"/>
      <c r="L153" s="37"/>
      <c r="M153" s="37"/>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row>
    <row r="154" spans="1:114" x14ac:dyDescent="0.25">
      <c r="A154" s="34"/>
      <c r="B154" s="34"/>
      <c r="C154" s="34"/>
      <c r="D154" s="34"/>
      <c r="E154" s="34"/>
      <c r="F154" s="34"/>
      <c r="G154" s="34"/>
      <c r="H154" s="34"/>
      <c r="I154" s="34"/>
      <c r="J154" s="34"/>
      <c r="K154" s="37"/>
      <c r="L154" s="37"/>
      <c r="M154" s="37"/>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row>
    <row r="155" spans="1:114" x14ac:dyDescent="0.25">
      <c r="A155" s="34"/>
      <c r="B155" s="34"/>
      <c r="C155" s="34"/>
      <c r="D155" s="34"/>
      <c r="E155" s="34"/>
      <c r="F155" s="34"/>
      <c r="G155" s="34"/>
      <c r="H155" s="34"/>
      <c r="I155" s="34"/>
      <c r="J155" s="34"/>
      <c r="K155" s="37"/>
      <c r="L155" s="37"/>
      <c r="M155" s="37"/>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row>
    <row r="156" spans="1:114" x14ac:dyDescent="0.25">
      <c r="A156" s="34"/>
      <c r="B156" s="34"/>
      <c r="C156" s="34"/>
      <c r="D156" s="34"/>
      <c r="E156" s="34"/>
      <c r="F156" s="34"/>
      <c r="G156" s="34"/>
      <c r="H156" s="34"/>
      <c r="I156" s="34"/>
      <c r="J156" s="34"/>
      <c r="K156" s="37"/>
      <c r="L156" s="37"/>
      <c r="M156" s="37"/>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row>
    <row r="157" spans="1:114" x14ac:dyDescent="0.25">
      <c r="A157" s="34"/>
      <c r="B157" s="34"/>
      <c r="C157" s="34"/>
      <c r="D157" s="34"/>
      <c r="E157" s="34"/>
      <c r="F157" s="34"/>
      <c r="G157" s="34"/>
      <c r="H157" s="34"/>
      <c r="I157" s="34"/>
      <c r="J157" s="34"/>
      <c r="K157" s="37"/>
      <c r="L157" s="37"/>
      <c r="M157" s="37"/>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row>
    <row r="158" spans="1:114" x14ac:dyDescent="0.25">
      <c r="A158" s="34"/>
      <c r="B158" s="34"/>
      <c r="C158" s="34"/>
      <c r="D158" s="34"/>
      <c r="E158" s="34"/>
      <c r="F158" s="34"/>
      <c r="G158" s="34"/>
      <c r="H158" s="34"/>
      <c r="I158" s="34"/>
      <c r="J158" s="34"/>
      <c r="K158" s="37"/>
      <c r="L158" s="37"/>
      <c r="M158" s="37"/>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row>
    <row r="159" spans="1:114" x14ac:dyDescent="0.25">
      <c r="A159" s="34"/>
      <c r="B159" s="34"/>
      <c r="C159" s="34"/>
      <c r="D159" s="34"/>
      <c r="E159" s="34"/>
      <c r="F159" s="34"/>
      <c r="G159" s="34"/>
      <c r="H159" s="34"/>
      <c r="I159" s="34"/>
      <c r="J159" s="34"/>
      <c r="K159" s="37"/>
      <c r="L159" s="37"/>
      <c r="M159" s="37"/>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row>
    <row r="160" spans="1:114" x14ac:dyDescent="0.25">
      <c r="A160" s="34"/>
      <c r="B160" s="34"/>
      <c r="C160" s="34"/>
      <c r="D160" s="34"/>
      <c r="E160" s="34"/>
      <c r="F160" s="34"/>
      <c r="G160" s="34"/>
      <c r="H160" s="34"/>
      <c r="I160" s="34"/>
      <c r="J160" s="34"/>
      <c r="K160" s="37"/>
      <c r="L160" s="37"/>
      <c r="M160" s="37"/>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row>
    <row r="161" spans="1:114" x14ac:dyDescent="0.25">
      <c r="A161" s="34"/>
      <c r="B161" s="34"/>
      <c r="C161" s="34"/>
      <c r="D161" s="34"/>
      <c r="E161" s="34"/>
      <c r="F161" s="34"/>
      <c r="G161" s="34"/>
      <c r="H161" s="34"/>
      <c r="I161" s="34"/>
      <c r="J161" s="34"/>
      <c r="K161" s="37"/>
      <c r="L161" s="37"/>
      <c r="M161" s="37"/>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row>
    <row r="162" spans="1:114" x14ac:dyDescent="0.25">
      <c r="A162" s="34"/>
      <c r="B162" s="34"/>
      <c r="C162" s="34"/>
      <c r="D162" s="34"/>
      <c r="E162" s="34"/>
      <c r="F162" s="34"/>
      <c r="G162" s="34"/>
      <c r="H162" s="34"/>
      <c r="I162" s="34"/>
      <c r="J162" s="34"/>
      <c r="K162" s="37"/>
      <c r="L162" s="37"/>
      <c r="M162" s="37"/>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row>
    <row r="163" spans="1:114" x14ac:dyDescent="0.25">
      <c r="A163" s="34"/>
      <c r="B163" s="34"/>
      <c r="C163" s="34"/>
      <c r="D163" s="34"/>
      <c r="E163" s="34"/>
      <c r="F163" s="34"/>
      <c r="G163" s="34"/>
      <c r="H163" s="34"/>
      <c r="I163" s="34"/>
      <c r="J163" s="34"/>
      <c r="K163" s="37"/>
      <c r="L163" s="37"/>
      <c r="M163" s="37"/>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row>
    <row r="164" spans="1:114" x14ac:dyDescent="0.25">
      <c r="A164" s="34"/>
      <c r="B164" s="34"/>
      <c r="C164" s="34"/>
      <c r="D164" s="34"/>
      <c r="E164" s="34"/>
      <c r="F164" s="34"/>
      <c r="G164" s="34"/>
      <c r="H164" s="34"/>
      <c r="I164" s="34"/>
      <c r="J164" s="34"/>
      <c r="K164" s="37"/>
      <c r="L164" s="37"/>
      <c r="M164" s="37"/>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row>
    <row r="165" spans="1:114" x14ac:dyDescent="0.25">
      <c r="A165" s="34"/>
      <c r="B165" s="34"/>
      <c r="C165" s="34"/>
      <c r="D165" s="34"/>
      <c r="E165" s="34"/>
      <c r="F165" s="34"/>
      <c r="G165" s="34"/>
      <c r="H165" s="34"/>
      <c r="I165" s="34"/>
      <c r="J165" s="34"/>
      <c r="K165" s="37"/>
      <c r="L165" s="37"/>
      <c r="M165" s="37"/>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row>
    <row r="166" spans="1:114" x14ac:dyDescent="0.25">
      <c r="A166" s="34"/>
      <c r="B166" s="34"/>
      <c r="C166" s="34"/>
      <c r="D166" s="34"/>
      <c r="E166" s="34"/>
      <c r="F166" s="34"/>
      <c r="G166" s="34"/>
      <c r="H166" s="34"/>
      <c r="I166" s="34"/>
      <c r="J166" s="34"/>
      <c r="K166" s="37"/>
      <c r="L166" s="37"/>
      <c r="M166" s="37"/>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row>
    <row r="167" spans="1:114" x14ac:dyDescent="0.25">
      <c r="A167" s="34"/>
      <c r="B167" s="34"/>
      <c r="C167" s="34"/>
      <c r="D167" s="34"/>
      <c r="E167" s="34"/>
      <c r="F167" s="34"/>
      <c r="G167" s="34"/>
      <c r="H167" s="34"/>
      <c r="I167" s="34"/>
      <c r="J167" s="34"/>
      <c r="K167" s="37"/>
      <c r="L167" s="37"/>
      <c r="M167" s="37"/>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row>
    <row r="168" spans="1:114" x14ac:dyDescent="0.25">
      <c r="A168" s="34"/>
      <c r="B168" s="34"/>
      <c r="C168" s="34"/>
      <c r="D168" s="34"/>
      <c r="E168" s="34"/>
      <c r="F168" s="34"/>
      <c r="G168" s="34"/>
      <c r="H168" s="34"/>
      <c r="I168" s="34"/>
      <c r="J168" s="34"/>
      <c r="K168" s="37"/>
      <c r="L168" s="37"/>
      <c r="M168" s="37"/>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row>
    <row r="169" spans="1:114" x14ac:dyDescent="0.25">
      <c r="A169" s="34"/>
      <c r="B169" s="34"/>
      <c r="C169" s="34"/>
      <c r="D169" s="34"/>
      <c r="E169" s="34"/>
      <c r="F169" s="34"/>
      <c r="G169" s="34"/>
      <c r="H169" s="34"/>
      <c r="I169" s="34"/>
      <c r="J169" s="34"/>
      <c r="K169" s="37"/>
      <c r="L169" s="37"/>
      <c r="M169" s="37"/>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row>
    <row r="170" spans="1:114" x14ac:dyDescent="0.25">
      <c r="A170" s="34"/>
      <c r="B170" s="34"/>
      <c r="C170" s="34"/>
      <c r="D170" s="34"/>
      <c r="E170" s="34"/>
      <c r="F170" s="34"/>
      <c r="G170" s="34"/>
      <c r="H170" s="34"/>
      <c r="I170" s="34"/>
      <c r="J170" s="34"/>
      <c r="K170" s="37"/>
      <c r="L170" s="37"/>
      <c r="M170" s="37"/>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row>
    <row r="171" spans="1:114" x14ac:dyDescent="0.25">
      <c r="A171" s="34"/>
      <c r="B171" s="34"/>
      <c r="C171" s="34"/>
      <c r="D171" s="34"/>
      <c r="E171" s="34"/>
      <c r="F171" s="34"/>
      <c r="G171" s="34"/>
      <c r="H171" s="34"/>
      <c r="I171" s="34"/>
      <c r="J171" s="34"/>
      <c r="K171" s="37"/>
      <c r="L171" s="37"/>
      <c r="M171" s="37"/>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row>
    <row r="172" spans="1:114" x14ac:dyDescent="0.25">
      <c r="A172" s="34"/>
      <c r="B172" s="34"/>
      <c r="C172" s="34"/>
      <c r="D172" s="34"/>
      <c r="E172" s="34"/>
      <c r="F172" s="34"/>
      <c r="G172" s="34"/>
      <c r="H172" s="34"/>
      <c r="I172" s="34"/>
      <c r="J172" s="34"/>
      <c r="K172" s="37"/>
      <c r="L172" s="37"/>
      <c r="M172" s="37"/>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row>
    <row r="173" spans="1:114" x14ac:dyDescent="0.25">
      <c r="A173" s="34"/>
      <c r="B173" s="34"/>
      <c r="C173" s="34"/>
      <c r="D173" s="34"/>
      <c r="E173" s="34"/>
      <c r="F173" s="34"/>
      <c r="G173" s="34"/>
      <c r="H173" s="34"/>
      <c r="I173" s="34"/>
      <c r="J173" s="34"/>
      <c r="K173" s="34"/>
      <c r="L173" s="34"/>
      <c r="M173" s="34"/>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row>
    <row r="174" spans="1:114" x14ac:dyDescent="0.25">
      <c r="A174" s="34"/>
      <c r="B174" s="34"/>
      <c r="C174" s="34"/>
      <c r="D174" s="34"/>
      <c r="E174" s="34"/>
      <c r="F174" s="34"/>
      <c r="G174" s="34"/>
      <c r="H174" s="34"/>
      <c r="I174" s="34"/>
      <c r="J174" s="34"/>
      <c r="K174" s="34"/>
      <c r="L174" s="34"/>
      <c r="M174" s="34"/>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row>
    <row r="175" spans="1:114" x14ac:dyDescent="0.25">
      <c r="A175" s="34"/>
      <c r="B175" s="34"/>
      <c r="C175" s="34"/>
      <c r="D175" s="34"/>
      <c r="E175" s="34"/>
      <c r="F175" s="34"/>
      <c r="G175" s="34"/>
      <c r="H175" s="34"/>
      <c r="I175" s="34"/>
      <c r="J175" s="34"/>
      <c r="K175" s="34"/>
      <c r="L175" s="34"/>
      <c r="M175" s="34"/>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row>
    <row r="176" spans="1:114" x14ac:dyDescent="0.25">
      <c r="A176" s="34"/>
      <c r="B176" s="34"/>
      <c r="C176" s="34"/>
      <c r="D176" s="34"/>
      <c r="E176" s="34"/>
      <c r="F176" s="34"/>
      <c r="G176" s="34"/>
      <c r="H176" s="34"/>
      <c r="I176" s="34"/>
      <c r="J176" s="34"/>
      <c r="K176" s="34"/>
      <c r="L176" s="34"/>
      <c r="M176" s="34"/>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row>
    <row r="177" spans="1:114" x14ac:dyDescent="0.25">
      <c r="A177" s="34"/>
      <c r="B177" s="34"/>
      <c r="C177" s="34"/>
      <c r="D177" s="34"/>
      <c r="E177" s="34"/>
      <c r="F177" s="34"/>
      <c r="G177" s="34"/>
      <c r="H177" s="34"/>
      <c r="I177" s="34"/>
      <c r="J177" s="34"/>
      <c r="K177" s="34"/>
      <c r="L177" s="34"/>
      <c r="M177" s="34"/>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row>
    <row r="178" spans="1:114" x14ac:dyDescent="0.25">
      <c r="A178" s="34"/>
      <c r="B178" s="34"/>
      <c r="C178" s="34"/>
      <c r="D178" s="34"/>
      <c r="E178" s="34"/>
      <c r="F178" s="34"/>
      <c r="G178" s="34"/>
      <c r="H178" s="34"/>
      <c r="I178" s="34"/>
      <c r="J178" s="34"/>
      <c r="K178" s="34"/>
      <c r="L178" s="34"/>
      <c r="M178" s="34"/>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row>
    <row r="179" spans="1:114" x14ac:dyDescent="0.25">
      <c r="A179" s="34"/>
      <c r="B179" s="34"/>
      <c r="C179" s="34"/>
      <c r="D179" s="34"/>
      <c r="E179" s="34"/>
      <c r="F179" s="34"/>
      <c r="G179" s="34"/>
      <c r="H179" s="34"/>
      <c r="I179" s="34"/>
      <c r="J179" s="34"/>
      <c r="K179" s="34"/>
      <c r="L179" s="34"/>
      <c r="M179" s="34"/>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row>
    <row r="180" spans="1:114" x14ac:dyDescent="0.25">
      <c r="A180" s="34"/>
      <c r="B180" s="34"/>
      <c r="C180" s="34"/>
      <c r="D180" s="34"/>
      <c r="E180" s="34"/>
      <c r="F180" s="34"/>
      <c r="G180" s="34"/>
      <c r="H180" s="34"/>
      <c r="I180" s="34"/>
      <c r="J180" s="34"/>
      <c r="K180" s="34"/>
      <c r="L180" s="34"/>
      <c r="M180" s="34"/>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row>
    <row r="181" spans="1:114" x14ac:dyDescent="0.25">
      <c r="A181" s="34"/>
      <c r="B181" s="34"/>
      <c r="C181" s="34"/>
      <c r="D181" s="34"/>
      <c r="E181" s="34"/>
      <c r="F181" s="34"/>
      <c r="G181" s="34"/>
      <c r="H181" s="34"/>
      <c r="I181" s="34"/>
      <c r="J181" s="34"/>
      <c r="K181" s="34"/>
      <c r="L181" s="34"/>
      <c r="M181" s="34"/>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row>
    <row r="182" spans="1:114" x14ac:dyDescent="0.25">
      <c r="A182" s="34"/>
      <c r="B182" s="34"/>
      <c r="C182" s="34"/>
      <c r="D182" s="34"/>
      <c r="E182" s="34"/>
      <c r="F182" s="34"/>
      <c r="G182" s="34"/>
      <c r="H182" s="34"/>
      <c r="I182" s="34"/>
      <c r="J182" s="34"/>
      <c r="K182" s="34"/>
      <c r="L182" s="34"/>
      <c r="M182" s="34"/>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row>
    <row r="183" spans="1:114" x14ac:dyDescent="0.25">
      <c r="A183" s="34"/>
      <c r="B183" s="34"/>
      <c r="C183" s="34"/>
      <c r="D183" s="34"/>
      <c r="E183" s="34"/>
      <c r="F183" s="34"/>
      <c r="G183" s="34"/>
      <c r="H183" s="34"/>
      <c r="I183" s="34"/>
      <c r="J183" s="34"/>
      <c r="K183" s="34"/>
      <c r="L183" s="34"/>
      <c r="M183" s="34"/>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row>
    <row r="184" spans="1:114" x14ac:dyDescent="0.25">
      <c r="A184" s="34"/>
      <c r="B184" s="34"/>
      <c r="C184" s="34"/>
      <c r="D184" s="34"/>
      <c r="E184" s="34"/>
      <c r="F184" s="34"/>
      <c r="G184" s="34"/>
      <c r="H184" s="34"/>
      <c r="I184" s="34"/>
      <c r="J184" s="34"/>
      <c r="K184" s="34"/>
      <c r="L184" s="34"/>
      <c r="M184" s="34"/>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row>
    <row r="185" spans="1:114" x14ac:dyDescent="0.25">
      <c r="A185" s="34"/>
      <c r="B185" s="34"/>
      <c r="C185" s="34"/>
      <c r="D185" s="34"/>
      <c r="E185" s="34"/>
      <c r="F185" s="34"/>
      <c r="G185" s="34"/>
      <c r="H185" s="34"/>
      <c r="I185" s="34"/>
      <c r="J185" s="34"/>
      <c r="K185" s="34"/>
      <c r="L185" s="34"/>
      <c r="M185" s="34"/>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row>
    <row r="186" spans="1:114" x14ac:dyDescent="0.25">
      <c r="A186" s="34"/>
      <c r="B186" s="34"/>
      <c r="C186" s="34"/>
      <c r="D186" s="34"/>
      <c r="E186" s="34"/>
      <c r="F186" s="34"/>
      <c r="G186" s="34"/>
      <c r="H186" s="34"/>
      <c r="I186" s="34"/>
      <c r="J186" s="34"/>
      <c r="K186" s="34"/>
      <c r="L186" s="34"/>
      <c r="M186" s="34"/>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row>
    <row r="187" spans="1:114" x14ac:dyDescent="0.25">
      <c r="A187" s="34"/>
      <c r="B187" s="34"/>
      <c r="C187" s="34"/>
      <c r="D187" s="34"/>
      <c r="E187" s="34"/>
      <c r="F187" s="34"/>
      <c r="G187" s="34"/>
      <c r="H187" s="34"/>
      <c r="I187" s="34"/>
      <c r="J187" s="34"/>
      <c r="K187" s="34"/>
      <c r="L187" s="34"/>
      <c r="M187" s="34"/>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row>
    <row r="188" spans="1:114" x14ac:dyDescent="0.25">
      <c r="A188" s="34"/>
      <c r="B188" s="34"/>
      <c r="C188" s="34"/>
      <c r="D188" s="34"/>
      <c r="E188" s="34"/>
      <c r="F188" s="34"/>
      <c r="G188" s="34"/>
      <c r="H188" s="34"/>
      <c r="I188" s="34"/>
      <c r="J188" s="34"/>
      <c r="K188" s="34"/>
      <c r="L188" s="34"/>
      <c r="M188" s="34"/>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row>
    <row r="189" spans="1:114" x14ac:dyDescent="0.25">
      <c r="A189" s="34"/>
      <c r="B189" s="34"/>
      <c r="C189" s="34"/>
      <c r="D189" s="34"/>
      <c r="E189" s="34"/>
      <c r="F189" s="34"/>
      <c r="G189" s="34"/>
      <c r="H189" s="34"/>
      <c r="I189" s="34"/>
      <c r="J189" s="34"/>
      <c r="K189" s="34"/>
      <c r="L189" s="34"/>
      <c r="M189" s="34"/>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row>
    <row r="190" spans="1:114" x14ac:dyDescent="0.25">
      <c r="A190" s="34"/>
      <c r="B190" s="34"/>
      <c r="C190" s="34"/>
      <c r="D190" s="34"/>
      <c r="E190" s="34"/>
      <c r="F190" s="34"/>
      <c r="G190" s="34"/>
      <c r="H190" s="34"/>
      <c r="I190" s="34"/>
      <c r="J190" s="34"/>
      <c r="K190" s="34"/>
      <c r="L190" s="34"/>
      <c r="M190" s="34"/>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row>
    <row r="191" spans="1:114" x14ac:dyDescent="0.25">
      <c r="A191" s="34"/>
      <c r="B191" s="34"/>
      <c r="C191" s="34"/>
      <c r="D191" s="34"/>
      <c r="E191" s="34"/>
      <c r="F191" s="34"/>
      <c r="G191" s="34"/>
      <c r="H191" s="34"/>
      <c r="I191" s="34"/>
      <c r="J191" s="34"/>
      <c r="K191" s="34"/>
      <c r="L191" s="34"/>
      <c r="M191" s="34"/>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row>
    <row r="192" spans="1:114" x14ac:dyDescent="0.25">
      <c r="A192" s="34"/>
      <c r="B192" s="34"/>
      <c r="C192" s="34"/>
      <c r="D192" s="34"/>
      <c r="E192" s="34"/>
      <c r="F192" s="34"/>
      <c r="G192" s="34"/>
      <c r="H192" s="34"/>
      <c r="I192" s="34"/>
      <c r="J192" s="34"/>
      <c r="K192" s="34"/>
      <c r="L192" s="34"/>
      <c r="M192" s="34"/>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row>
    <row r="193" spans="1:114" x14ac:dyDescent="0.25">
      <c r="A193" s="34"/>
      <c r="B193" s="34"/>
      <c r="C193" s="34"/>
      <c r="D193" s="34"/>
      <c r="E193" s="34"/>
      <c r="F193" s="34"/>
      <c r="G193" s="34"/>
      <c r="H193" s="34"/>
      <c r="I193" s="34"/>
      <c r="J193" s="34"/>
      <c r="K193" s="34"/>
      <c r="L193" s="34"/>
      <c r="M193" s="34"/>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row>
    <row r="194" spans="1:114" x14ac:dyDescent="0.25">
      <c r="A194" s="34"/>
      <c r="B194" s="34"/>
      <c r="C194" s="34"/>
      <c r="D194" s="34"/>
      <c r="E194" s="34"/>
      <c r="F194" s="34"/>
      <c r="G194" s="34"/>
      <c r="H194" s="34"/>
      <c r="I194" s="34"/>
      <c r="J194" s="34"/>
      <c r="K194" s="34"/>
      <c r="L194" s="34"/>
      <c r="M194" s="34"/>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row>
    <row r="195" spans="1:114" x14ac:dyDescent="0.25">
      <c r="A195" s="34"/>
      <c r="B195" s="34"/>
      <c r="C195" s="34"/>
      <c r="D195" s="34"/>
      <c r="E195" s="34"/>
      <c r="F195" s="34"/>
      <c r="G195" s="34"/>
      <c r="H195" s="34"/>
      <c r="I195" s="34"/>
      <c r="J195" s="34"/>
      <c r="K195" s="34"/>
      <c r="L195" s="34"/>
      <c r="M195" s="34"/>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row>
    <row r="196" spans="1:114" x14ac:dyDescent="0.25">
      <c r="A196" s="34"/>
      <c r="B196" s="34"/>
      <c r="C196" s="34"/>
      <c r="D196" s="34"/>
      <c r="E196" s="34"/>
      <c r="F196" s="34"/>
      <c r="G196" s="34"/>
      <c r="H196" s="34"/>
      <c r="I196" s="34"/>
      <c r="J196" s="34"/>
      <c r="K196" s="34"/>
      <c r="L196" s="34"/>
      <c r="M196" s="34"/>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row>
    <row r="197" spans="1:114" x14ac:dyDescent="0.25">
      <c r="A197" s="34"/>
      <c r="B197" s="34"/>
      <c r="C197" s="34"/>
      <c r="D197" s="34"/>
      <c r="E197" s="34"/>
      <c r="F197" s="34"/>
      <c r="G197" s="34"/>
      <c r="H197" s="34"/>
      <c r="I197" s="34"/>
      <c r="J197" s="34"/>
      <c r="K197" s="34"/>
      <c r="L197" s="34"/>
      <c r="M197" s="34"/>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row>
    <row r="198" spans="1:114" x14ac:dyDescent="0.25">
      <c r="A198" s="34"/>
      <c r="B198" s="34"/>
      <c r="C198" s="34"/>
      <c r="D198" s="34"/>
      <c r="E198" s="34"/>
      <c r="F198" s="34"/>
      <c r="G198" s="34"/>
      <c r="H198" s="34"/>
      <c r="I198" s="34"/>
      <c r="J198" s="34"/>
      <c r="K198" s="34"/>
      <c r="L198" s="34"/>
      <c r="M198" s="34"/>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row>
    <row r="199" spans="1:114" x14ac:dyDescent="0.25">
      <c r="A199" s="34"/>
      <c r="B199" s="34"/>
      <c r="C199" s="34"/>
      <c r="D199" s="34"/>
      <c r="E199" s="34"/>
      <c r="F199" s="34"/>
      <c r="G199" s="34"/>
      <c r="H199" s="34"/>
      <c r="I199" s="34"/>
      <c r="J199" s="34"/>
      <c r="K199" s="34"/>
      <c r="L199" s="34"/>
      <c r="M199" s="34"/>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row>
    <row r="200" spans="1:114" x14ac:dyDescent="0.25">
      <c r="A200" s="34"/>
      <c r="B200" s="34"/>
      <c r="C200" s="34"/>
      <c r="D200" s="34"/>
      <c r="E200" s="34"/>
      <c r="F200" s="34"/>
      <c r="G200" s="34"/>
      <c r="H200" s="34"/>
      <c r="I200" s="34"/>
      <c r="J200" s="34"/>
      <c r="K200" s="34"/>
      <c r="L200" s="34"/>
      <c r="M200" s="34"/>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row>
    <row r="201" spans="1:114" x14ac:dyDescent="0.25">
      <c r="A201" s="34"/>
      <c r="B201" s="34"/>
      <c r="C201" s="34"/>
      <c r="D201" s="34"/>
      <c r="E201" s="34"/>
      <c r="F201" s="34"/>
      <c r="G201" s="34"/>
      <c r="H201" s="34"/>
      <c r="I201" s="34"/>
      <c r="J201" s="34"/>
      <c r="K201" s="34"/>
      <c r="L201" s="34"/>
      <c r="M201" s="34"/>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row>
    <row r="202" spans="1:114" x14ac:dyDescent="0.25">
      <c r="A202" s="34"/>
      <c r="B202" s="34"/>
      <c r="C202" s="34"/>
      <c r="D202" s="34"/>
      <c r="E202" s="34"/>
      <c r="F202" s="34"/>
      <c r="G202" s="34"/>
      <c r="H202" s="34"/>
      <c r="I202" s="34"/>
      <c r="J202" s="34"/>
      <c r="K202" s="34"/>
      <c r="L202" s="34"/>
      <c r="M202" s="34"/>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row>
    <row r="203" spans="1:114" x14ac:dyDescent="0.25">
      <c r="A203" s="34"/>
      <c r="B203" s="34"/>
      <c r="C203" s="34"/>
      <c r="D203" s="34"/>
      <c r="E203" s="34"/>
      <c r="F203" s="34"/>
      <c r="G203" s="34"/>
      <c r="H203" s="34"/>
      <c r="I203" s="34"/>
      <c r="J203" s="34"/>
      <c r="K203" s="34"/>
      <c r="L203" s="34"/>
      <c r="M203" s="34"/>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row>
    <row r="204" spans="1:114" x14ac:dyDescent="0.25">
      <c r="A204" s="34"/>
      <c r="B204" s="34"/>
      <c r="C204" s="34"/>
      <c r="D204" s="34"/>
      <c r="E204" s="34"/>
      <c r="F204" s="34"/>
      <c r="G204" s="34"/>
      <c r="H204" s="34"/>
      <c r="I204" s="34"/>
      <c r="J204" s="34"/>
      <c r="K204" s="34"/>
      <c r="L204" s="34"/>
      <c r="M204" s="34"/>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row>
    <row r="205" spans="1:114" x14ac:dyDescent="0.25">
      <c r="A205" s="34"/>
      <c r="B205" s="34"/>
      <c r="C205" s="34"/>
      <c r="D205" s="34"/>
      <c r="E205" s="34"/>
      <c r="F205" s="34"/>
      <c r="G205" s="34"/>
      <c r="H205" s="34"/>
      <c r="I205" s="34"/>
      <c r="J205" s="34"/>
      <c r="K205" s="34"/>
      <c r="L205" s="34"/>
      <c r="M205" s="34"/>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row>
    <row r="206" spans="1:114" x14ac:dyDescent="0.25">
      <c r="A206" s="34"/>
      <c r="B206" s="34"/>
      <c r="C206" s="34"/>
      <c r="D206" s="34"/>
      <c r="E206" s="34"/>
      <c r="F206" s="34"/>
      <c r="G206" s="34"/>
      <c r="H206" s="34"/>
      <c r="I206" s="34"/>
      <c r="J206" s="34"/>
      <c r="K206" s="34"/>
      <c r="L206" s="34"/>
      <c r="M206" s="34"/>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row>
    <row r="207" spans="1:114" x14ac:dyDescent="0.25">
      <c r="A207" s="34"/>
      <c r="B207" s="34"/>
      <c r="C207" s="34"/>
      <c r="D207" s="34"/>
      <c r="E207" s="34"/>
      <c r="F207" s="34"/>
      <c r="G207" s="34"/>
      <c r="H207" s="34"/>
      <c r="I207" s="34"/>
      <c r="J207" s="34"/>
      <c r="K207" s="34"/>
      <c r="L207" s="34"/>
      <c r="M207" s="34"/>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row>
    <row r="208" spans="1:114" x14ac:dyDescent="0.25">
      <c r="A208" s="34"/>
      <c r="B208" s="34"/>
      <c r="C208" s="34"/>
      <c r="D208" s="34"/>
      <c r="E208" s="34"/>
      <c r="F208" s="34"/>
      <c r="G208" s="34"/>
      <c r="H208" s="34"/>
      <c r="I208" s="34"/>
      <c r="J208" s="34"/>
      <c r="K208" s="34"/>
      <c r="L208" s="34"/>
      <c r="M208" s="34"/>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row>
    <row r="209" spans="1:114" x14ac:dyDescent="0.25">
      <c r="A209" s="34"/>
      <c r="B209" s="34"/>
      <c r="C209" s="34"/>
      <c r="D209" s="34"/>
      <c r="E209" s="34"/>
      <c r="F209" s="34"/>
      <c r="G209" s="34"/>
      <c r="H209" s="34"/>
      <c r="I209" s="34"/>
      <c r="J209" s="34"/>
      <c r="K209" s="34"/>
      <c r="L209" s="34"/>
      <c r="M209" s="34"/>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row>
    <row r="210" spans="1:114" x14ac:dyDescent="0.25">
      <c r="A210" s="34"/>
      <c r="B210" s="34"/>
      <c r="C210" s="34"/>
      <c r="D210" s="34"/>
      <c r="E210" s="34"/>
      <c r="F210" s="34"/>
      <c r="G210" s="34"/>
      <c r="H210" s="34"/>
      <c r="I210" s="34"/>
      <c r="J210" s="34"/>
      <c r="K210" s="34"/>
      <c r="L210" s="34"/>
      <c r="M210" s="34"/>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row>
    <row r="211" spans="1:114" x14ac:dyDescent="0.25">
      <c r="A211" s="34"/>
      <c r="B211" s="34"/>
      <c r="C211" s="34"/>
      <c r="D211" s="34"/>
      <c r="E211" s="34"/>
      <c r="F211" s="34"/>
      <c r="G211" s="34"/>
      <c r="H211" s="34"/>
      <c r="I211" s="34"/>
      <c r="J211" s="34"/>
      <c r="K211" s="34"/>
      <c r="L211" s="34"/>
      <c r="M211" s="34"/>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row>
    <row r="212" spans="1:114" x14ac:dyDescent="0.25">
      <c r="A212" s="34"/>
      <c r="B212" s="34"/>
      <c r="C212" s="34"/>
      <c r="D212" s="34"/>
      <c r="E212" s="34"/>
      <c r="F212" s="34"/>
      <c r="G212" s="34"/>
      <c r="H212" s="34"/>
      <c r="I212" s="34"/>
      <c r="J212" s="34"/>
      <c r="K212" s="34"/>
      <c r="L212" s="34"/>
      <c r="M212" s="34"/>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row>
    <row r="213" spans="1:114" x14ac:dyDescent="0.25">
      <c r="A213" s="34"/>
      <c r="B213" s="34"/>
      <c r="C213" s="34"/>
      <c r="D213" s="34"/>
      <c r="E213" s="34"/>
      <c r="F213" s="34"/>
      <c r="G213" s="34"/>
      <c r="H213" s="34"/>
      <c r="I213" s="34"/>
      <c r="J213" s="34"/>
      <c r="K213" s="34"/>
      <c r="L213" s="34"/>
      <c r="M213" s="34"/>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row>
    <row r="214" spans="1:114" x14ac:dyDescent="0.25">
      <c r="A214" s="34"/>
      <c r="B214" s="34"/>
      <c r="C214" s="34"/>
      <c r="D214" s="34"/>
      <c r="E214" s="34"/>
      <c r="F214" s="34"/>
      <c r="G214" s="34"/>
      <c r="H214" s="34"/>
      <c r="I214" s="34"/>
      <c r="J214" s="34"/>
      <c r="K214" s="34"/>
      <c r="L214" s="34"/>
      <c r="M214" s="34"/>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row>
    <row r="215" spans="1:114" x14ac:dyDescent="0.25">
      <c r="A215" s="34"/>
      <c r="B215" s="34"/>
      <c r="C215" s="34"/>
      <c r="D215" s="34"/>
      <c r="E215" s="34"/>
      <c r="F215" s="34"/>
      <c r="G215" s="34"/>
      <c r="H215" s="34"/>
      <c r="I215" s="34"/>
      <c r="J215" s="34"/>
      <c r="K215" s="34"/>
      <c r="L215" s="34"/>
      <c r="M215" s="34"/>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row>
    <row r="216" spans="1:114" x14ac:dyDescent="0.25">
      <c r="A216" s="34"/>
      <c r="B216" s="34"/>
      <c r="C216" s="34"/>
      <c r="D216" s="34"/>
      <c r="E216" s="34"/>
      <c r="F216" s="34"/>
      <c r="G216" s="34"/>
      <c r="H216" s="34"/>
      <c r="I216" s="34"/>
      <c r="J216" s="34"/>
      <c r="K216" s="34"/>
      <c r="L216" s="34"/>
      <c r="M216" s="34"/>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row>
    <row r="217" spans="1:114" x14ac:dyDescent="0.25">
      <c r="A217" s="34"/>
      <c r="B217" s="34"/>
      <c r="C217" s="34"/>
      <c r="D217" s="34"/>
      <c r="E217" s="34"/>
      <c r="F217" s="34"/>
      <c r="G217" s="34"/>
      <c r="H217" s="34"/>
      <c r="I217" s="34"/>
      <c r="J217" s="34"/>
      <c r="K217" s="34"/>
      <c r="L217" s="34"/>
      <c r="M217" s="34"/>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row>
    <row r="218" spans="1:114" x14ac:dyDescent="0.25">
      <c r="A218" s="34"/>
      <c r="B218" s="34"/>
      <c r="C218" s="34"/>
      <c r="D218" s="34"/>
      <c r="E218" s="34"/>
      <c r="F218" s="34"/>
      <c r="G218" s="34"/>
      <c r="H218" s="34"/>
      <c r="I218" s="34"/>
      <c r="J218" s="34"/>
      <c r="K218" s="34"/>
      <c r="L218" s="34"/>
      <c r="M218" s="34"/>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row>
    <row r="219" spans="1:114" x14ac:dyDescent="0.25">
      <c r="A219" s="34"/>
      <c r="B219" s="34"/>
      <c r="C219" s="34"/>
      <c r="D219" s="34"/>
      <c r="E219" s="34"/>
      <c r="F219" s="34"/>
      <c r="G219" s="34"/>
      <c r="H219" s="34"/>
      <c r="I219" s="34"/>
      <c r="J219" s="34"/>
      <c r="K219" s="34"/>
      <c r="L219" s="34"/>
      <c r="M219" s="34"/>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row>
    <row r="220" spans="1:114" x14ac:dyDescent="0.25">
      <c r="A220" s="34"/>
      <c r="B220" s="34"/>
      <c r="C220" s="34"/>
      <c r="D220" s="34"/>
      <c r="E220" s="34"/>
      <c r="F220" s="34"/>
      <c r="G220" s="34"/>
      <c r="H220" s="34"/>
      <c r="I220" s="34"/>
      <c r="J220" s="34"/>
      <c r="K220" s="34"/>
      <c r="L220" s="34"/>
      <c r="M220" s="34"/>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row>
    <row r="221" spans="1:114" x14ac:dyDescent="0.25">
      <c r="A221" s="34"/>
      <c r="B221" s="34"/>
      <c r="C221" s="34"/>
      <c r="D221" s="34"/>
      <c r="E221" s="34"/>
      <c r="F221" s="34"/>
      <c r="G221" s="34"/>
      <c r="H221" s="34"/>
      <c r="I221" s="34"/>
      <c r="J221" s="34"/>
      <c r="K221" s="34"/>
      <c r="L221" s="34"/>
      <c r="M221" s="34"/>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row>
    <row r="222" spans="1:114" x14ac:dyDescent="0.25">
      <c r="A222" s="34"/>
      <c r="B222" s="34"/>
      <c r="C222" s="34"/>
      <c r="D222" s="34"/>
      <c r="E222" s="34"/>
      <c r="F222" s="34"/>
      <c r="G222" s="34"/>
      <c r="H222" s="34"/>
      <c r="I222" s="34"/>
      <c r="J222" s="34"/>
      <c r="K222" s="34"/>
      <c r="L222" s="34"/>
      <c r="M222" s="34"/>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row>
    <row r="223" spans="1:114" x14ac:dyDescent="0.25">
      <c r="A223" s="34"/>
      <c r="B223" s="34"/>
      <c r="C223" s="34"/>
      <c r="D223" s="34"/>
      <c r="E223" s="34"/>
      <c r="F223" s="34"/>
      <c r="G223" s="34"/>
      <c r="H223" s="34"/>
      <c r="I223" s="34"/>
      <c r="J223" s="34"/>
      <c r="K223" s="34"/>
      <c r="L223" s="34"/>
      <c r="M223" s="34"/>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row>
    <row r="224" spans="1:114" x14ac:dyDescent="0.25">
      <c r="A224" s="34"/>
      <c r="B224" s="34"/>
      <c r="C224" s="34"/>
      <c r="D224" s="34"/>
      <c r="E224" s="34"/>
      <c r="F224" s="34"/>
      <c r="G224" s="34"/>
      <c r="H224" s="34"/>
      <c r="I224" s="34"/>
      <c r="J224" s="34"/>
      <c r="K224" s="34"/>
      <c r="L224" s="34"/>
      <c r="M224" s="34"/>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row>
    <row r="225" spans="1:114" x14ac:dyDescent="0.25">
      <c r="A225" s="34"/>
      <c r="B225" s="34"/>
      <c r="C225" s="34"/>
      <c r="D225" s="34"/>
      <c r="E225" s="34"/>
      <c r="F225" s="34"/>
      <c r="G225" s="34"/>
      <c r="H225" s="34"/>
      <c r="I225" s="34"/>
      <c r="J225" s="34"/>
      <c r="K225" s="34"/>
      <c r="L225" s="34"/>
      <c r="M225" s="34"/>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row>
    <row r="226" spans="1:114" x14ac:dyDescent="0.25">
      <c r="A226" s="34"/>
      <c r="B226" s="34"/>
      <c r="C226" s="34"/>
      <c r="D226" s="34"/>
      <c r="E226" s="34"/>
      <c r="F226" s="34"/>
      <c r="G226" s="34"/>
      <c r="H226" s="34"/>
      <c r="I226" s="34"/>
      <c r="J226" s="34"/>
      <c r="K226" s="34"/>
      <c r="L226" s="34"/>
      <c r="M226" s="34"/>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row>
    <row r="227" spans="1:114" x14ac:dyDescent="0.25">
      <c r="A227" s="34"/>
      <c r="B227" s="34"/>
      <c r="C227" s="34"/>
      <c r="D227" s="34"/>
      <c r="E227" s="34"/>
      <c r="F227" s="34"/>
      <c r="G227" s="34"/>
      <c r="H227" s="34"/>
      <c r="I227" s="34"/>
      <c r="J227" s="34"/>
      <c r="K227" s="34"/>
      <c r="L227" s="34"/>
      <c r="M227" s="34"/>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row>
    <row r="228" spans="1:114" x14ac:dyDescent="0.25">
      <c r="A228" s="34"/>
      <c r="B228" s="34"/>
      <c r="C228" s="34"/>
      <c r="D228" s="34"/>
      <c r="E228" s="34"/>
      <c r="F228" s="34"/>
      <c r="G228" s="34"/>
      <c r="H228" s="34"/>
      <c r="I228" s="34"/>
      <c r="J228" s="34"/>
      <c r="K228" s="34"/>
      <c r="L228" s="34"/>
      <c r="M228" s="34"/>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row>
    <row r="229" spans="1:114" x14ac:dyDescent="0.25">
      <c r="A229" s="34"/>
      <c r="B229" s="34"/>
      <c r="C229" s="34"/>
      <c r="D229" s="34"/>
      <c r="E229" s="34"/>
      <c r="F229" s="34"/>
      <c r="G229" s="34"/>
      <c r="H229" s="34"/>
      <c r="I229" s="34"/>
      <c r="J229" s="34"/>
      <c r="K229" s="34"/>
      <c r="L229" s="34"/>
      <c r="M229" s="34"/>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row>
    <row r="230" spans="1:114" x14ac:dyDescent="0.25">
      <c r="A230" s="34"/>
      <c r="B230" s="34"/>
      <c r="C230" s="34"/>
      <c r="D230" s="34"/>
      <c r="E230" s="34"/>
      <c r="F230" s="34"/>
      <c r="G230" s="34"/>
      <c r="H230" s="34"/>
      <c r="I230" s="34"/>
      <c r="J230" s="34"/>
      <c r="K230" s="34"/>
      <c r="L230" s="34"/>
      <c r="M230" s="34"/>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row>
    <row r="231" spans="1:114" x14ac:dyDescent="0.25">
      <c r="A231" s="34"/>
      <c r="B231" s="34"/>
      <c r="C231" s="34"/>
      <c r="D231" s="34"/>
      <c r="E231" s="34"/>
      <c r="F231" s="34"/>
      <c r="G231" s="34"/>
      <c r="H231" s="34"/>
      <c r="I231" s="34"/>
      <c r="J231" s="34"/>
      <c r="K231" s="34"/>
      <c r="L231" s="34"/>
      <c r="M231" s="34"/>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row>
    <row r="232" spans="1:114" x14ac:dyDescent="0.25">
      <c r="A232" s="34"/>
      <c r="B232" s="34"/>
      <c r="C232" s="34"/>
      <c r="D232" s="34"/>
      <c r="E232" s="34"/>
      <c r="F232" s="34"/>
      <c r="G232" s="34"/>
      <c r="H232" s="34"/>
      <c r="I232" s="34"/>
      <c r="J232" s="34"/>
      <c r="K232" s="34"/>
      <c r="L232" s="34"/>
      <c r="M232" s="34"/>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row>
    <row r="233" spans="1:114" x14ac:dyDescent="0.25">
      <c r="A233" s="34"/>
      <c r="B233" s="34"/>
      <c r="C233" s="34"/>
      <c r="D233" s="34"/>
      <c r="E233" s="34"/>
      <c r="F233" s="34"/>
      <c r="G233" s="34"/>
      <c r="H233" s="34"/>
      <c r="I233" s="34"/>
      <c r="J233" s="34"/>
      <c r="K233" s="34"/>
      <c r="L233" s="34"/>
      <c r="M233" s="34"/>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row>
    <row r="234" spans="1:114" x14ac:dyDescent="0.25">
      <c r="A234" s="34"/>
      <c r="B234" s="34"/>
      <c r="C234" s="34"/>
      <c r="D234" s="34"/>
      <c r="E234" s="34"/>
      <c r="F234" s="34"/>
      <c r="G234" s="34"/>
      <c r="H234" s="34"/>
      <c r="I234" s="34"/>
      <c r="J234" s="34"/>
      <c r="K234" s="34"/>
      <c r="L234" s="34"/>
      <c r="M234" s="34"/>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row>
    <row r="235" spans="1:114" x14ac:dyDescent="0.25">
      <c r="A235" s="34"/>
      <c r="B235" s="34"/>
      <c r="C235" s="34"/>
      <c r="D235" s="34"/>
      <c r="E235" s="34"/>
      <c r="F235" s="34"/>
      <c r="G235" s="34"/>
      <c r="H235" s="34"/>
      <c r="I235" s="34"/>
      <c r="J235" s="34"/>
      <c r="K235" s="34"/>
      <c r="L235" s="34"/>
      <c r="M235" s="34"/>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row>
    <row r="236" spans="1:114" x14ac:dyDescent="0.25">
      <c r="A236" s="34"/>
      <c r="B236" s="34"/>
      <c r="C236" s="34"/>
      <c r="D236" s="34"/>
      <c r="E236" s="34"/>
      <c r="F236" s="34"/>
      <c r="G236" s="34"/>
      <c r="H236" s="34"/>
      <c r="I236" s="34"/>
      <c r="J236" s="34"/>
      <c r="K236" s="34"/>
      <c r="L236" s="34"/>
      <c r="M236" s="34"/>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row>
    <row r="237" spans="1:114" x14ac:dyDescent="0.25">
      <c r="A237" s="34"/>
      <c r="B237" s="34"/>
      <c r="C237" s="34"/>
      <c r="D237" s="34"/>
      <c r="E237" s="34"/>
      <c r="F237" s="34"/>
      <c r="G237" s="34"/>
      <c r="H237" s="34"/>
      <c r="I237" s="34"/>
      <c r="J237" s="34"/>
      <c r="K237" s="34"/>
      <c r="L237" s="34"/>
      <c r="M237" s="34"/>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row>
    <row r="238" spans="1:114" x14ac:dyDescent="0.25">
      <c r="A238" s="34"/>
      <c r="B238" s="34"/>
      <c r="C238" s="34"/>
      <c r="D238" s="34"/>
      <c r="E238" s="34"/>
      <c r="F238" s="34"/>
      <c r="G238" s="34"/>
      <c r="H238" s="34"/>
      <c r="I238" s="34"/>
      <c r="J238" s="34"/>
      <c r="K238" s="34"/>
      <c r="L238" s="34"/>
      <c r="M238" s="34"/>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row>
    <row r="239" spans="1:114" x14ac:dyDescent="0.25">
      <c r="A239" s="34"/>
      <c r="B239" s="34"/>
      <c r="C239" s="34"/>
      <c r="D239" s="34"/>
      <c r="E239" s="34"/>
      <c r="F239" s="34"/>
      <c r="G239" s="34"/>
      <c r="H239" s="34"/>
      <c r="I239" s="34"/>
      <c r="J239" s="34"/>
      <c r="K239" s="34"/>
      <c r="L239" s="34"/>
      <c r="M239" s="34"/>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row>
    <row r="240" spans="1:114" x14ac:dyDescent="0.25">
      <c r="A240" s="34"/>
      <c r="B240" s="34"/>
      <c r="C240" s="34"/>
      <c r="D240" s="34"/>
      <c r="E240" s="34"/>
      <c r="F240" s="34"/>
      <c r="G240" s="34"/>
      <c r="H240" s="34"/>
      <c r="I240" s="34"/>
      <c r="J240" s="34"/>
      <c r="K240" s="34"/>
      <c r="L240" s="34"/>
      <c r="M240" s="34"/>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row>
    <row r="241" spans="1:114" x14ac:dyDescent="0.25">
      <c r="A241" s="34"/>
      <c r="B241" s="34"/>
      <c r="C241" s="34"/>
      <c r="D241" s="34"/>
      <c r="E241" s="34"/>
      <c r="F241" s="34"/>
      <c r="G241" s="34"/>
      <c r="H241" s="34"/>
      <c r="I241" s="34"/>
      <c r="J241" s="34"/>
      <c r="K241" s="34"/>
      <c r="L241" s="34"/>
      <c r="M241" s="34"/>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row>
    <row r="242" spans="1:114" x14ac:dyDescent="0.25">
      <c r="A242" s="34"/>
      <c r="B242" s="34"/>
      <c r="C242" s="34"/>
      <c r="D242" s="34"/>
      <c r="E242" s="34"/>
      <c r="F242" s="34"/>
      <c r="G242" s="34"/>
      <c r="H242" s="34"/>
      <c r="I242" s="34"/>
      <c r="J242" s="34"/>
      <c r="K242" s="34"/>
      <c r="L242" s="34"/>
      <c r="M242" s="34"/>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row>
    <row r="243" spans="1:114" x14ac:dyDescent="0.25">
      <c r="A243" s="34"/>
      <c r="B243" s="34"/>
      <c r="C243" s="34"/>
      <c r="D243" s="34"/>
      <c r="E243" s="34"/>
      <c r="F243" s="34"/>
      <c r="G243" s="34"/>
      <c r="H243" s="34"/>
      <c r="I243" s="34"/>
      <c r="J243" s="34"/>
      <c r="K243" s="34"/>
      <c r="L243" s="34"/>
      <c r="M243" s="34"/>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row>
    <row r="244" spans="1:114" x14ac:dyDescent="0.25">
      <c r="A244" s="34"/>
      <c r="B244" s="34"/>
      <c r="C244" s="34"/>
      <c r="D244" s="34"/>
      <c r="E244" s="34"/>
      <c r="F244" s="34"/>
      <c r="G244" s="34"/>
      <c r="H244" s="34"/>
      <c r="I244" s="34"/>
      <c r="J244" s="34"/>
      <c r="K244" s="34"/>
      <c r="L244" s="34"/>
      <c r="M244" s="34"/>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row>
    <row r="245" spans="1:114" x14ac:dyDescent="0.25">
      <c r="A245" s="34"/>
      <c r="B245" s="34"/>
      <c r="C245" s="34"/>
      <c r="D245" s="34"/>
      <c r="E245" s="34"/>
      <c r="F245" s="34"/>
      <c r="G245" s="34"/>
      <c r="H245" s="34"/>
      <c r="I245" s="34"/>
      <c r="J245" s="34"/>
      <c r="K245" s="34"/>
      <c r="L245" s="34"/>
      <c r="M245" s="34"/>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row>
    <row r="246" spans="1:114" s="141" customFormat="1" ht="18.75" x14ac:dyDescent="0.3">
      <c r="A246" s="155">
        <f>'P(M)'!CC38</f>
        <v>1</v>
      </c>
      <c r="B246" s="156"/>
      <c r="C246" s="156"/>
      <c r="D246" s="156"/>
      <c r="E246" s="156"/>
      <c r="F246" s="156"/>
      <c r="G246" s="156"/>
      <c r="H246" s="156"/>
      <c r="I246" s="156"/>
      <c r="J246" s="156"/>
      <c r="K246" s="156"/>
      <c r="L246" s="156"/>
      <c r="M246" s="156"/>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c r="CN246" s="140"/>
      <c r="CO246" s="140"/>
      <c r="CP246" s="140"/>
      <c r="CQ246" s="140"/>
      <c r="CR246" s="140"/>
      <c r="CS246" s="140"/>
      <c r="CT246" s="140"/>
      <c r="CU246" s="140"/>
      <c r="CV246" s="140"/>
      <c r="CW246" s="140"/>
      <c r="CX246" s="140"/>
      <c r="CY246" s="140"/>
      <c r="CZ246" s="140"/>
      <c r="DA246" s="140"/>
      <c r="DB246" s="140"/>
      <c r="DC246" s="140"/>
      <c r="DD246" s="140"/>
      <c r="DE246" s="140"/>
      <c r="DF246" s="140"/>
      <c r="DG246" s="140"/>
      <c r="DH246" s="140"/>
      <c r="DI246" s="140"/>
      <c r="DJ246" s="140"/>
    </row>
    <row r="247" spans="1:114" ht="18.75" x14ac:dyDescent="0.3">
      <c r="A247" s="157"/>
      <c r="B247" s="34"/>
      <c r="C247" s="34"/>
      <c r="D247" s="34"/>
      <c r="E247" s="34"/>
      <c r="F247" s="34"/>
      <c r="G247" s="34"/>
      <c r="H247" s="34"/>
      <c r="I247" s="34"/>
      <c r="J247" s="34"/>
      <c r="K247" s="34"/>
      <c r="L247" s="34"/>
      <c r="M247" s="34"/>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row>
    <row r="248" spans="1:114" ht="18.75" x14ac:dyDescent="0.3">
      <c r="A248" s="157"/>
      <c r="B248" s="34"/>
      <c r="C248" s="34"/>
      <c r="D248" s="34"/>
      <c r="E248" s="34"/>
      <c r="F248" s="34"/>
      <c r="G248" s="34"/>
      <c r="H248" s="34"/>
      <c r="I248" s="34"/>
      <c r="J248" s="34"/>
      <c r="K248" s="34"/>
      <c r="L248" s="34"/>
      <c r="M248" s="34"/>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row>
    <row r="249" spans="1:114" ht="18.75" x14ac:dyDescent="0.3">
      <c r="A249" s="157"/>
      <c r="B249" s="34"/>
      <c r="C249" s="34"/>
      <c r="D249" s="34"/>
      <c r="E249" s="34"/>
      <c r="F249" s="34"/>
      <c r="G249" s="34"/>
      <c r="H249" s="34"/>
      <c r="I249" s="34"/>
      <c r="J249" s="34"/>
      <c r="K249" s="34"/>
      <c r="L249" s="34"/>
      <c r="M249" s="34"/>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row>
    <row r="250" spans="1:114" ht="18.75" x14ac:dyDescent="0.3">
      <c r="A250" s="157"/>
      <c r="B250" s="34"/>
      <c r="C250" s="34"/>
      <c r="D250" s="34"/>
      <c r="E250" s="34"/>
      <c r="F250" s="34"/>
      <c r="G250" s="34"/>
      <c r="H250" s="34"/>
      <c r="I250" s="34"/>
      <c r="J250" s="34"/>
      <c r="K250" s="34"/>
      <c r="L250" s="34"/>
      <c r="M250" s="34"/>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row>
    <row r="251" spans="1:114" ht="17.45" customHeight="1" x14ac:dyDescent="0.3">
      <c r="A251" s="157"/>
      <c r="B251" s="34"/>
      <c r="C251" s="34"/>
      <c r="D251" s="34"/>
      <c r="E251" s="34"/>
      <c r="F251" s="34"/>
      <c r="G251" s="34"/>
      <c r="H251" s="34"/>
      <c r="I251" s="34"/>
      <c r="J251" s="34"/>
      <c r="K251" s="34"/>
      <c r="L251" s="34"/>
      <c r="M251" s="34"/>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row>
    <row r="252" spans="1:114" s="143" customFormat="1" ht="18.75" x14ac:dyDescent="0.3">
      <c r="A252" s="155">
        <f>'P(M)'!CB38</f>
        <v>1.4045147442372207E-2</v>
      </c>
      <c r="B252" s="158"/>
      <c r="C252" s="157"/>
      <c r="D252" s="157"/>
      <c r="E252" s="157"/>
      <c r="F252" s="157"/>
      <c r="G252" s="157"/>
      <c r="H252" s="157"/>
      <c r="I252" s="157"/>
      <c r="J252" s="157"/>
      <c r="K252" s="157"/>
      <c r="L252" s="157"/>
      <c r="M252" s="157"/>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2"/>
      <c r="CN252" s="142"/>
      <c r="CO252" s="142"/>
      <c r="CP252" s="142"/>
      <c r="CQ252" s="142"/>
      <c r="CR252" s="142"/>
      <c r="CS252" s="142"/>
      <c r="CT252" s="142"/>
      <c r="CU252" s="142"/>
      <c r="CV252" s="142"/>
      <c r="CW252" s="142"/>
      <c r="CX252" s="142"/>
      <c r="CY252" s="142"/>
      <c r="CZ252" s="142"/>
      <c r="DA252" s="142"/>
      <c r="DB252" s="142"/>
      <c r="DC252" s="142"/>
      <c r="DD252" s="142"/>
      <c r="DE252" s="142"/>
      <c r="DF252" s="142"/>
      <c r="DG252" s="142"/>
      <c r="DH252" s="142"/>
      <c r="DI252" s="142"/>
      <c r="DJ252" s="142"/>
    </row>
    <row r="253" spans="1:114" x14ac:dyDescent="0.25">
      <c r="A253" s="34"/>
      <c r="B253" s="34"/>
      <c r="C253" s="34"/>
      <c r="D253" s="34"/>
      <c r="E253" s="34"/>
      <c r="F253" s="34"/>
      <c r="G253" s="34"/>
      <c r="H253" s="34"/>
      <c r="I253" s="34"/>
      <c r="J253" s="34"/>
      <c r="K253" s="34"/>
      <c r="L253" s="34"/>
      <c r="M253" s="34"/>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row>
    <row r="254" spans="1:114" x14ac:dyDescent="0.25">
      <c r="A254" s="34"/>
      <c r="B254" s="34"/>
      <c r="C254" s="34"/>
      <c r="D254" s="34"/>
      <c r="E254" s="34"/>
      <c r="F254" s="34"/>
      <c r="G254" s="34"/>
      <c r="H254" s="34"/>
      <c r="I254" s="34"/>
      <c r="J254" s="34"/>
      <c r="K254" s="34"/>
      <c r="L254" s="34"/>
      <c r="M254" s="34"/>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row>
    <row r="255" spans="1:114" x14ac:dyDescent="0.25">
      <c r="A255" s="34"/>
      <c r="B255" s="34"/>
      <c r="C255" s="34"/>
      <c r="D255" s="34"/>
      <c r="E255" s="34"/>
      <c r="F255" s="34"/>
      <c r="G255" s="34"/>
      <c r="H255" s="34"/>
      <c r="I255" s="34"/>
      <c r="J255" s="34"/>
      <c r="K255" s="34"/>
      <c r="L255" s="34"/>
      <c r="M255" s="34"/>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row>
    <row r="256" spans="1:114" x14ac:dyDescent="0.25">
      <c r="A256" s="34"/>
      <c r="B256" s="34"/>
      <c r="C256" s="34"/>
      <c r="D256" s="34"/>
      <c r="E256" s="34"/>
      <c r="F256" s="34"/>
      <c r="G256" s="34"/>
      <c r="H256" s="34"/>
      <c r="I256" s="34"/>
      <c r="J256" s="34"/>
      <c r="K256" s="34"/>
      <c r="L256" s="34"/>
      <c r="M256" s="34"/>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row>
    <row r="257" spans="1:114" x14ac:dyDescent="0.25">
      <c r="A257" s="34"/>
      <c r="B257" s="34"/>
      <c r="C257" s="34"/>
      <c r="D257" s="34"/>
      <c r="E257" s="34"/>
      <c r="F257" s="34"/>
      <c r="G257" s="34"/>
      <c r="H257" s="34"/>
      <c r="I257" s="34"/>
      <c r="J257" s="34"/>
      <c r="K257" s="34"/>
      <c r="L257" s="34"/>
      <c r="M257" s="34"/>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row>
    <row r="258" spans="1:114" x14ac:dyDescent="0.25">
      <c r="A258" s="34"/>
      <c r="B258" s="34"/>
      <c r="C258" s="34"/>
      <c r="D258" s="34"/>
      <c r="E258" s="34"/>
      <c r="F258" s="34"/>
      <c r="G258" s="34"/>
      <c r="H258" s="34"/>
      <c r="I258" s="34"/>
      <c r="J258" s="34"/>
      <c r="K258" s="34"/>
      <c r="L258" s="34"/>
      <c r="M258" s="34"/>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row>
    <row r="259" spans="1:114" s="152" customFormat="1" ht="19.5" x14ac:dyDescent="0.25">
      <c r="A259" s="70" t="str">
        <f>IF(OR('P(M)'!C17=TRUE,'P(M)'!C18=TRUE,'P(M)'!C19=TRUE,'P(M)'!C20=TRUE,'P(M)'!C21=TRUE,'P(M)'!C22=TRUE,'P(M)'!C23=TRUE,'P(M)'!C24=TRUE,'P(M)'!C25=TRUE,'P(M)'!C26=TRUE,'P(M)'!C28=TRUE,'P(M)'!C31=TRUE,'P(M)'!C34=TRUE,'P(M)'!C35=TRUE,'P(M)'!C36=TRUE,'P(M)'!C37=TRUE,'P(M)'!C29=TRUE,'P(M)'!C30=TRUE,'P(M)'!C32=TRUE,'P(M)'!C33=TRUE,'P(M)'!C27=TRUE),"總結：","")</f>
        <v>總結：</v>
      </c>
      <c r="B259" s="150"/>
      <c r="C259" s="150"/>
      <c r="D259" s="150"/>
      <c r="E259" s="150"/>
      <c r="F259" s="150"/>
      <c r="G259" s="150"/>
      <c r="H259" s="150"/>
      <c r="I259" s="150"/>
      <c r="J259" s="150"/>
      <c r="K259" s="150"/>
      <c r="L259" s="150"/>
      <c r="M259" s="150"/>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151"/>
      <c r="BN259" s="151"/>
      <c r="BO259" s="151"/>
      <c r="BP259" s="151"/>
      <c r="BQ259" s="151"/>
      <c r="BR259" s="151"/>
      <c r="BS259" s="151"/>
      <c r="BT259" s="151"/>
      <c r="BU259" s="151"/>
      <c r="BV259" s="151"/>
      <c r="BW259" s="151"/>
      <c r="BX259" s="151"/>
      <c r="BY259" s="151"/>
      <c r="BZ259" s="151"/>
      <c r="CA259" s="151"/>
      <c r="CB259" s="151"/>
      <c r="CC259" s="151"/>
      <c r="CD259" s="151"/>
      <c r="CE259" s="151"/>
      <c r="CF259" s="151"/>
      <c r="CG259" s="151"/>
      <c r="CH259" s="151"/>
      <c r="CI259" s="151"/>
      <c r="CJ259" s="151"/>
      <c r="CK259" s="151"/>
      <c r="CL259" s="151"/>
      <c r="CM259" s="151"/>
      <c r="CN259" s="151"/>
      <c r="CO259" s="151"/>
      <c r="CP259" s="151"/>
      <c r="CQ259" s="151"/>
      <c r="CR259" s="151"/>
      <c r="CS259" s="151"/>
      <c r="CT259" s="151"/>
      <c r="CU259" s="151"/>
      <c r="CV259" s="151"/>
      <c r="CW259" s="151"/>
      <c r="CX259" s="151"/>
      <c r="CY259" s="151"/>
      <c r="CZ259" s="151"/>
      <c r="DA259" s="151"/>
      <c r="DB259" s="151"/>
      <c r="DC259" s="151"/>
      <c r="DD259" s="151"/>
      <c r="DE259" s="151"/>
      <c r="DF259" s="151"/>
      <c r="DG259" s="151"/>
      <c r="DH259" s="151"/>
      <c r="DI259" s="151"/>
      <c r="DJ259" s="151"/>
    </row>
    <row r="260" spans="1:114" s="152" customFormat="1" ht="19.5" x14ac:dyDescent="0.25">
      <c r="A260" s="70" t="str">
        <f>IF(OR('P(M)'!C17=TRUE,'P(M)'!C18=TRUE,'P(M)'!C19=TRUE,'P(M)'!C20=TRUE,'P(M)'!C21=TRUE,'P(M)'!C22=TRUE,'P(M)'!C23=TRUE,'P(M)'!C24=TRUE,'P(M)'!C25=TRUE,'P(M)'!C26=TRUE,'P(M)'!C28=TRUE,'P(M)'!C31=TRUE,'P(M)'!C34=TRUE,'P(M)'!C35=TRUE,'P(M)'!C36=TRUE,'P(M)'!C37=TRUE,'P(M)'!C29=TRUE,'P(M)'!C30=TRUE,'P(M)'!C32=TRUE,'P(M)'!C33=TRUE,'P(M)'!C27=TRUE),"1.專利佈局的時間越長，後續的專利維護費用(M)會明顯比前期的專利申請費用(A)更高。","")</f>
        <v>1.專利佈局的時間越長，後續的專利維護費用(M)會明顯比前期的專利申請費用(A)更高。</v>
      </c>
      <c r="B260" s="150"/>
      <c r="C260" s="150"/>
      <c r="D260" s="150"/>
      <c r="E260" s="150"/>
      <c r="F260" s="150"/>
      <c r="G260" s="150"/>
      <c r="H260" s="150"/>
      <c r="I260" s="150"/>
      <c r="J260" s="150"/>
      <c r="K260" s="150"/>
      <c r="L260" s="150"/>
      <c r="M260" s="150"/>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151"/>
      <c r="BN260" s="151"/>
      <c r="BO260" s="151"/>
      <c r="BP260" s="151"/>
      <c r="BQ260" s="151"/>
      <c r="BR260" s="151"/>
      <c r="BS260" s="151"/>
      <c r="BT260" s="151"/>
      <c r="BU260" s="151"/>
      <c r="BV260" s="151"/>
      <c r="BW260" s="151"/>
      <c r="BX260" s="151"/>
      <c r="BY260" s="151"/>
      <c r="BZ260" s="151"/>
      <c r="CA260" s="151"/>
      <c r="CB260" s="151"/>
      <c r="CC260" s="151"/>
      <c r="CD260" s="151"/>
      <c r="CE260" s="151"/>
      <c r="CF260" s="151"/>
      <c r="CG260" s="151"/>
      <c r="CH260" s="151"/>
      <c r="CI260" s="151"/>
      <c r="CJ260" s="151"/>
      <c r="CK260" s="151"/>
      <c r="CL260" s="151"/>
      <c r="CM260" s="151"/>
      <c r="CN260" s="151"/>
      <c r="CO260" s="151"/>
      <c r="CP260" s="151"/>
      <c r="CQ260" s="151"/>
      <c r="CR260" s="151"/>
      <c r="CS260" s="151"/>
      <c r="CT260" s="151"/>
      <c r="CU260" s="151"/>
      <c r="CV260" s="151"/>
      <c r="CW260" s="151"/>
      <c r="CX260" s="151"/>
      <c r="CY260" s="151"/>
      <c r="CZ260" s="151"/>
      <c r="DA260" s="151"/>
      <c r="DB260" s="151"/>
      <c r="DC260" s="151"/>
      <c r="DD260" s="151"/>
      <c r="DE260" s="151"/>
      <c r="DF260" s="151"/>
      <c r="DG260" s="151"/>
      <c r="DH260" s="151"/>
      <c r="DI260" s="151"/>
      <c r="DJ260" s="151"/>
    </row>
    <row r="261" spans="1:114" s="152" customFormat="1" ht="19.5" x14ac:dyDescent="0.25">
      <c r="A261" s="70" t="str">
        <f>IF(OR('P(M)'!C17=TRUE,'P(M)'!C18=TRUE,'P(M)'!C19=TRUE,'P(M)'!C20=TRUE,'P(M)'!C21=TRUE,'P(M)'!C22=TRUE,'P(M)'!C23=TRUE,'P(M)'!C24=TRUE,'P(M)'!C25=TRUE,'P(M)'!C26=TRUE,'P(M)'!C28=TRUE,'P(M)'!C31=TRUE,'P(M)'!C34=TRUE,'P(M)'!C35=TRUE,'P(M)'!C36=TRUE,'P(M)'!C37=TRUE,'P(M)'!C29=TRUE,'P(M)'!C30=TRUE,'P(M)'!C32=TRUE,'P(M)'!C33=TRUE,'P(M)'!C27=TRUE),"2.專利佈局整體的效益高低，不僅與發明技術本身的市場價值有關，更取決於「初稿案」的撰寫品質。","")</f>
        <v>2.專利佈局整體的效益高低，不僅與發明技術本身的市場價值有關，更取決於「初稿案」的撰寫品質。</v>
      </c>
      <c r="B261" s="150"/>
      <c r="C261" s="150"/>
      <c r="D261" s="150"/>
      <c r="E261" s="150"/>
      <c r="F261" s="150"/>
      <c r="G261" s="150"/>
      <c r="H261" s="150"/>
      <c r="I261" s="150"/>
      <c r="J261" s="150"/>
      <c r="K261" s="150"/>
      <c r="L261" s="150"/>
      <c r="M261" s="150"/>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row>
    <row r="262" spans="1:114" s="152" customFormat="1" ht="19.5" x14ac:dyDescent="0.25">
      <c r="A262" s="70" t="str">
        <f>IF(OR('P(M)'!C17=TRUE,'P(M)'!C18=TRUE,'P(M)'!C19=TRUE,'P(M)'!C20=TRUE,'P(M)'!C21=TRUE,'P(M)'!C22=TRUE,'P(M)'!C23=TRUE,'P(M)'!C24=TRUE,'P(M)'!C25=TRUE,'P(M)'!C26=TRUE,'P(M)'!C28=TRUE,'P(M)'!C31=TRUE,'P(M)'!C34=TRUE,'P(M)'!C35=TRUE,'P(M)'!C36=TRUE,'P(M)'!C37=TRUE,'P(M)'!C29=TRUE,'P(M)'!C30=TRUE,'P(M)'!C32=TRUE,'P(M)'!C33=TRUE,'P(M)'!C27=TRUE),"3.選定地區之專利佈局總成本(T=A+C+R+M)，共計NTD"&amp;TEXT(L37+L81+L142+L111,"#,##0")&amp;"，慧盈之「初稿案」申請服務費僅佔其中的「"&amp;TEXT('P(M)'!CB38,"0.00%")&amp;"」。","")</f>
        <v>3.選定地區之專利佈局總成本(T=A+C+R+M)，共計NTD6,051,912，慧盈之「初稿案」申請服務費僅佔其中的「1.40%」。</v>
      </c>
      <c r="B262" s="150"/>
      <c r="C262" s="150"/>
      <c r="D262" s="150"/>
      <c r="E262" s="150"/>
      <c r="F262" s="150"/>
      <c r="G262" s="150"/>
      <c r="H262" s="150"/>
      <c r="I262" s="150"/>
      <c r="J262" s="150"/>
      <c r="K262" s="150"/>
      <c r="L262" s="150"/>
      <c r="M262" s="150"/>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row>
    <row r="263" spans="1:114" ht="16.5" x14ac:dyDescent="0.25">
      <c r="A263" s="153"/>
      <c r="B263" s="37"/>
      <c r="C263" s="37"/>
      <c r="D263" s="37"/>
      <c r="E263" s="37"/>
      <c r="F263" s="37"/>
      <c r="G263" s="37"/>
      <c r="H263" s="37"/>
      <c r="I263" s="37"/>
      <c r="J263" s="37"/>
      <c r="K263" s="37"/>
      <c r="L263" s="37"/>
      <c r="M263" s="37"/>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row>
    <row r="264" spans="1:114" x14ac:dyDescent="0.25">
      <c r="A264" s="34"/>
      <c r="B264" s="34"/>
      <c r="C264" s="34"/>
      <c r="D264" s="34"/>
      <c r="E264" s="34"/>
      <c r="F264" s="34"/>
      <c r="G264" s="34"/>
      <c r="H264" s="34"/>
      <c r="I264" s="34"/>
      <c r="J264" s="34"/>
      <c r="K264" s="34"/>
      <c r="L264" s="34"/>
      <c r="M264" s="34"/>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row>
    <row r="265" spans="1:114" x14ac:dyDescent="0.25">
      <c r="A265" s="34"/>
      <c r="B265" s="34"/>
      <c r="C265" s="34"/>
      <c r="D265" s="34"/>
      <c r="E265" s="34"/>
      <c r="F265" s="34"/>
      <c r="G265" s="34"/>
      <c r="H265" s="34"/>
      <c r="I265" s="34"/>
      <c r="J265" s="34"/>
      <c r="K265" s="34"/>
      <c r="L265" s="34"/>
      <c r="M265" s="34"/>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row>
    <row r="266" spans="1:114" x14ac:dyDescent="0.25">
      <c r="A266" s="34"/>
      <c r="B266" s="34"/>
      <c r="C266" s="34"/>
      <c r="D266" s="34"/>
      <c r="E266" s="34"/>
      <c r="F266" s="34"/>
      <c r="G266" s="34"/>
      <c r="H266" s="34"/>
      <c r="I266" s="34"/>
      <c r="J266" s="34"/>
      <c r="K266" s="34"/>
      <c r="L266" s="34"/>
      <c r="M266" s="34"/>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row>
    <row r="267" spans="1:114" x14ac:dyDescent="0.25">
      <c r="A267" s="34"/>
      <c r="B267" s="34"/>
      <c r="C267" s="34"/>
      <c r="D267" s="34"/>
      <c r="E267" s="34"/>
      <c r="F267" s="34"/>
      <c r="G267" s="34"/>
      <c r="H267" s="34"/>
      <c r="I267" s="34"/>
      <c r="J267" s="34"/>
      <c r="K267" s="34"/>
      <c r="L267" s="34"/>
      <c r="M267" s="34"/>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c r="DH267" s="35"/>
      <c r="DI267" s="35"/>
      <c r="DJ267" s="35"/>
    </row>
    <row r="268" spans="1:114" x14ac:dyDescent="0.25">
      <c r="A268" s="34"/>
      <c r="B268" s="34"/>
      <c r="C268" s="34"/>
      <c r="D268" s="34"/>
      <c r="E268" s="34"/>
      <c r="F268" s="34"/>
      <c r="G268" s="34"/>
      <c r="H268" s="34"/>
      <c r="I268" s="34"/>
      <c r="J268" s="34"/>
      <c r="K268" s="34"/>
      <c r="L268" s="34"/>
      <c r="M268" s="34"/>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row>
    <row r="269" spans="1:114" x14ac:dyDescent="0.25">
      <c r="A269" s="34"/>
      <c r="B269" s="34"/>
      <c r="C269" s="34"/>
      <c r="D269" s="34"/>
      <c r="E269" s="34"/>
      <c r="F269" s="34"/>
      <c r="G269" s="34"/>
      <c r="H269" s="34"/>
      <c r="I269" s="34"/>
      <c r="J269" s="34"/>
      <c r="K269" s="34"/>
      <c r="L269" s="34"/>
      <c r="M269" s="34"/>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row>
    <row r="270" spans="1:114" x14ac:dyDescent="0.25">
      <c r="A270" s="34"/>
      <c r="B270" s="34"/>
      <c r="C270" s="34"/>
      <c r="D270" s="34"/>
      <c r="E270" s="34"/>
      <c r="F270" s="34"/>
      <c r="G270" s="34"/>
      <c r="H270" s="34"/>
      <c r="I270" s="34"/>
      <c r="J270" s="34"/>
      <c r="K270" s="34"/>
      <c r="L270" s="34"/>
      <c r="M270" s="34"/>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row>
    <row r="271" spans="1:114" x14ac:dyDescent="0.25">
      <c r="A271" s="34"/>
      <c r="B271" s="34"/>
      <c r="C271" s="34"/>
      <c r="D271" s="34"/>
      <c r="E271" s="34"/>
      <c r="F271" s="34"/>
      <c r="G271" s="34"/>
      <c r="H271" s="34"/>
      <c r="I271" s="34"/>
      <c r="J271" s="34"/>
      <c r="K271" s="34"/>
      <c r="L271" s="34"/>
      <c r="M271" s="34"/>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c r="DH271" s="35"/>
      <c r="DI271" s="35"/>
      <c r="DJ271" s="35"/>
    </row>
    <row r="272" spans="1:114" x14ac:dyDescent="0.25">
      <c r="A272" s="34"/>
      <c r="B272" s="34"/>
      <c r="C272" s="34"/>
      <c r="D272" s="34"/>
      <c r="E272" s="34"/>
      <c r="F272" s="34"/>
      <c r="G272" s="34"/>
      <c r="H272" s="34"/>
      <c r="I272" s="34"/>
      <c r="J272" s="34"/>
      <c r="K272" s="34"/>
      <c r="L272" s="34"/>
      <c r="M272" s="34"/>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c r="DH272" s="35"/>
      <c r="DI272" s="35"/>
      <c r="DJ272" s="35"/>
    </row>
    <row r="273" spans="1:114" x14ac:dyDescent="0.25">
      <c r="A273" s="34"/>
      <c r="B273" s="34"/>
      <c r="C273" s="34"/>
      <c r="D273" s="34"/>
      <c r="E273" s="34"/>
      <c r="F273" s="34"/>
      <c r="G273" s="34"/>
      <c r="H273" s="34"/>
      <c r="I273" s="34"/>
      <c r="J273" s="34"/>
      <c r="K273" s="34"/>
      <c r="L273" s="34"/>
      <c r="M273" s="34"/>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row>
    <row r="274" spans="1:114" x14ac:dyDescent="0.25">
      <c r="A274" s="34"/>
      <c r="B274" s="34"/>
      <c r="C274" s="34"/>
      <c r="D274" s="34"/>
      <c r="E274" s="34"/>
      <c r="F274" s="34"/>
      <c r="G274" s="34"/>
      <c r="H274" s="34"/>
      <c r="I274" s="34"/>
      <c r="J274" s="34"/>
      <c r="K274" s="34"/>
      <c r="L274" s="34"/>
      <c r="M274" s="34"/>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row>
    <row r="275" spans="1:114" x14ac:dyDescent="0.25">
      <c r="A275" s="34"/>
      <c r="B275" s="34"/>
      <c r="C275" s="34"/>
      <c r="D275" s="34"/>
      <c r="E275" s="34"/>
      <c r="F275" s="34"/>
      <c r="G275" s="34"/>
      <c r="H275" s="34"/>
      <c r="I275" s="34"/>
      <c r="J275" s="34"/>
      <c r="K275" s="34"/>
      <c r="L275" s="34"/>
      <c r="M275" s="34"/>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row>
    <row r="276" spans="1:114" x14ac:dyDescent="0.25">
      <c r="A276" s="34"/>
      <c r="B276" s="34"/>
      <c r="C276" s="34"/>
      <c r="D276" s="34"/>
      <c r="E276" s="34"/>
      <c r="F276" s="34"/>
      <c r="G276" s="34"/>
      <c r="H276" s="34"/>
      <c r="I276" s="34"/>
      <c r="J276" s="34"/>
      <c r="K276" s="34"/>
      <c r="L276" s="34"/>
      <c r="M276" s="34"/>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row>
    <row r="277" spans="1:114" x14ac:dyDescent="0.25">
      <c r="A277" s="34"/>
      <c r="B277" s="34"/>
      <c r="C277" s="34"/>
      <c r="D277" s="34"/>
      <c r="E277" s="34"/>
      <c r="F277" s="34"/>
      <c r="G277" s="34"/>
      <c r="H277" s="34"/>
      <c r="I277" s="34"/>
      <c r="J277" s="34"/>
      <c r="K277" s="34"/>
      <c r="L277" s="34"/>
      <c r="M277" s="34"/>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row>
    <row r="278" spans="1:114" x14ac:dyDescent="0.25">
      <c r="A278" s="34"/>
      <c r="B278" s="34"/>
      <c r="C278" s="34"/>
      <c r="D278" s="34"/>
      <c r="E278" s="34"/>
      <c r="F278" s="34"/>
      <c r="G278" s="34"/>
      <c r="H278" s="34"/>
      <c r="I278" s="34"/>
      <c r="J278" s="34"/>
      <c r="K278" s="34"/>
      <c r="L278" s="34"/>
      <c r="M278" s="34"/>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row>
    <row r="279" spans="1:114" x14ac:dyDescent="0.25">
      <c r="A279" s="34"/>
      <c r="B279" s="34"/>
      <c r="C279" s="34"/>
      <c r="D279" s="34"/>
      <c r="E279" s="34"/>
      <c r="F279" s="34"/>
      <c r="G279" s="34"/>
      <c r="H279" s="34"/>
      <c r="I279" s="34"/>
      <c r="J279" s="34"/>
      <c r="K279" s="34"/>
      <c r="L279" s="34"/>
      <c r="M279" s="34"/>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row>
    <row r="280" spans="1:114" x14ac:dyDescent="0.25">
      <c r="A280" s="34"/>
      <c r="B280" s="34"/>
      <c r="C280" s="34"/>
      <c r="D280" s="34"/>
      <c r="E280" s="34"/>
      <c r="F280" s="34"/>
      <c r="G280" s="34"/>
      <c r="H280" s="34"/>
      <c r="I280" s="34"/>
      <c r="J280" s="34"/>
      <c r="K280" s="34"/>
      <c r="L280" s="34"/>
      <c r="M280" s="34"/>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row>
    <row r="281" spans="1:114" x14ac:dyDescent="0.25">
      <c r="A281" s="34"/>
      <c r="B281" s="34"/>
      <c r="C281" s="34"/>
      <c r="D281" s="34"/>
      <c r="E281" s="34"/>
      <c r="F281" s="34"/>
      <c r="G281" s="34"/>
      <c r="H281" s="34"/>
      <c r="I281" s="34"/>
      <c r="J281" s="34"/>
      <c r="K281" s="34"/>
      <c r="L281" s="34"/>
      <c r="M281" s="34"/>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row>
    <row r="282" spans="1:114" x14ac:dyDescent="0.25">
      <c r="A282" s="34"/>
      <c r="B282" s="34"/>
      <c r="C282" s="34"/>
      <c r="D282" s="34"/>
      <c r="E282" s="34"/>
      <c r="F282" s="34"/>
      <c r="G282" s="34"/>
      <c r="H282" s="34"/>
      <c r="I282" s="34"/>
      <c r="J282" s="34"/>
      <c r="K282" s="34"/>
      <c r="L282" s="34"/>
      <c r="M282" s="34"/>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c r="DH282" s="35"/>
      <c r="DI282" s="35"/>
      <c r="DJ282" s="35"/>
    </row>
    <row r="283" spans="1:114" x14ac:dyDescent="0.25">
      <c r="A283" s="34"/>
      <c r="B283" s="34"/>
      <c r="C283" s="34"/>
      <c r="D283" s="34"/>
      <c r="E283" s="34"/>
      <c r="F283" s="34"/>
      <c r="G283" s="34"/>
      <c r="H283" s="34"/>
      <c r="I283" s="34"/>
      <c r="J283" s="34"/>
      <c r="K283" s="34"/>
      <c r="L283" s="34"/>
      <c r="M283" s="34"/>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row>
    <row r="284" spans="1:114" x14ac:dyDescent="0.25">
      <c r="A284" s="34"/>
      <c r="B284" s="34"/>
      <c r="C284" s="34"/>
      <c r="D284" s="34"/>
      <c r="E284" s="34"/>
      <c r="F284" s="34"/>
      <c r="G284" s="34"/>
      <c r="H284" s="34"/>
      <c r="I284" s="34"/>
      <c r="J284" s="34"/>
      <c r="K284" s="34"/>
      <c r="L284" s="34"/>
      <c r="M284" s="34"/>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row>
    <row r="285" spans="1:114" x14ac:dyDescent="0.25">
      <c r="A285" s="34"/>
      <c r="B285" s="34"/>
      <c r="C285" s="34"/>
      <c r="D285" s="34"/>
      <c r="E285" s="34"/>
      <c r="F285" s="34"/>
      <c r="G285" s="34"/>
      <c r="H285" s="34"/>
      <c r="I285" s="34"/>
      <c r="J285" s="34"/>
      <c r="K285" s="34"/>
      <c r="L285" s="34"/>
      <c r="M285" s="34"/>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row>
    <row r="286" spans="1:114" x14ac:dyDescent="0.25">
      <c r="A286" s="34"/>
      <c r="B286" s="34"/>
      <c r="C286" s="34"/>
      <c r="D286" s="34"/>
      <c r="E286" s="34"/>
      <c r="F286" s="34"/>
      <c r="G286" s="34"/>
      <c r="H286" s="34"/>
      <c r="I286" s="34"/>
      <c r="J286" s="34"/>
      <c r="K286" s="34"/>
      <c r="L286" s="34"/>
      <c r="M286" s="34"/>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row>
    <row r="287" spans="1:114" x14ac:dyDescent="0.25">
      <c r="A287" s="34"/>
      <c r="B287" s="34"/>
      <c r="C287" s="34"/>
      <c r="D287" s="34"/>
      <c r="E287" s="34"/>
      <c r="F287" s="34"/>
      <c r="G287" s="34"/>
      <c r="H287" s="34"/>
      <c r="I287" s="34"/>
      <c r="J287" s="34"/>
      <c r="K287" s="34"/>
      <c r="L287" s="34"/>
      <c r="M287" s="34"/>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row>
    <row r="288" spans="1:114" x14ac:dyDescent="0.25">
      <c r="A288" s="34"/>
      <c r="B288" s="34"/>
      <c r="C288" s="34"/>
      <c r="D288" s="34"/>
      <c r="E288" s="34"/>
      <c r="F288" s="34"/>
      <c r="G288" s="34"/>
      <c r="H288" s="34"/>
      <c r="I288" s="34"/>
      <c r="J288" s="34"/>
      <c r="K288" s="34"/>
      <c r="L288" s="34"/>
      <c r="M288" s="34"/>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row>
    <row r="289" spans="1:114" x14ac:dyDescent="0.25">
      <c r="A289" s="34"/>
      <c r="B289" s="34"/>
      <c r="C289" s="34"/>
      <c r="D289" s="34"/>
      <c r="E289" s="34"/>
      <c r="F289" s="34"/>
      <c r="G289" s="34"/>
      <c r="H289" s="34"/>
      <c r="I289" s="34"/>
      <c r="J289" s="34"/>
      <c r="K289" s="34"/>
      <c r="L289" s="34"/>
      <c r="M289" s="34"/>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row>
    <row r="290" spans="1:114" x14ac:dyDescent="0.25">
      <c r="A290" s="34"/>
      <c r="B290" s="34"/>
      <c r="C290" s="34"/>
      <c r="D290" s="34"/>
      <c r="E290" s="34"/>
      <c r="F290" s="34"/>
      <c r="G290" s="34"/>
      <c r="H290" s="34"/>
      <c r="I290" s="34"/>
      <c r="J290" s="34"/>
      <c r="K290" s="34"/>
      <c r="L290" s="34"/>
      <c r="M290" s="34"/>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row>
    <row r="291" spans="1:114" x14ac:dyDescent="0.25">
      <c r="A291" s="34"/>
      <c r="B291" s="34"/>
      <c r="C291" s="34"/>
      <c r="D291" s="34"/>
      <c r="E291" s="34"/>
      <c r="F291" s="34"/>
      <c r="G291" s="34"/>
      <c r="H291" s="34"/>
      <c r="I291" s="34"/>
      <c r="J291" s="34"/>
      <c r="K291" s="34"/>
      <c r="L291" s="34"/>
      <c r="M291" s="34"/>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row>
    <row r="292" spans="1:114" x14ac:dyDescent="0.25">
      <c r="A292" s="34"/>
      <c r="B292" s="34"/>
      <c r="C292" s="34"/>
      <c r="D292" s="34"/>
      <c r="E292" s="34"/>
      <c r="F292" s="34"/>
      <c r="G292" s="34"/>
      <c r="H292" s="34"/>
      <c r="I292" s="34"/>
      <c r="J292" s="34"/>
      <c r="K292" s="34"/>
      <c r="L292" s="34"/>
      <c r="M292" s="34"/>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row>
    <row r="293" spans="1:114" x14ac:dyDescent="0.25">
      <c r="A293" s="34"/>
      <c r="B293" s="34"/>
      <c r="C293" s="34"/>
      <c r="D293" s="34"/>
      <c r="E293" s="34"/>
      <c r="F293" s="34"/>
      <c r="G293" s="34"/>
      <c r="H293" s="34"/>
      <c r="I293" s="34"/>
      <c r="J293" s="34"/>
      <c r="K293" s="34"/>
      <c r="L293" s="34"/>
      <c r="M293" s="34"/>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row>
    <row r="294" spans="1:114" x14ac:dyDescent="0.25">
      <c r="A294" s="34"/>
      <c r="B294" s="34"/>
      <c r="C294" s="34"/>
      <c r="D294" s="34"/>
      <c r="E294" s="34"/>
      <c r="F294" s="34"/>
      <c r="G294" s="34"/>
      <c r="H294" s="34"/>
      <c r="I294" s="34"/>
      <c r="J294" s="34"/>
      <c r="K294" s="34"/>
      <c r="L294" s="34"/>
      <c r="M294" s="34"/>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row>
    <row r="295" spans="1:114" x14ac:dyDescent="0.25">
      <c r="A295" s="34"/>
      <c r="B295" s="34"/>
      <c r="C295" s="34"/>
      <c r="D295" s="34"/>
      <c r="E295" s="34"/>
      <c r="F295" s="34"/>
      <c r="G295" s="34"/>
      <c r="H295" s="34"/>
      <c r="I295" s="34"/>
      <c r="J295" s="34"/>
      <c r="K295" s="34"/>
      <c r="L295" s="34"/>
      <c r="M295" s="34"/>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row>
    <row r="296" spans="1:114" x14ac:dyDescent="0.25">
      <c r="A296" s="34"/>
      <c r="B296" s="34"/>
      <c r="C296" s="34"/>
      <c r="D296" s="34"/>
      <c r="E296" s="34"/>
      <c r="F296" s="34"/>
      <c r="G296" s="34"/>
      <c r="H296" s="34"/>
      <c r="I296" s="34"/>
      <c r="J296" s="34"/>
      <c r="K296" s="34"/>
      <c r="L296" s="34"/>
      <c r="M296" s="34"/>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row>
    <row r="297" spans="1:114" x14ac:dyDescent="0.25">
      <c r="A297" s="34"/>
      <c r="B297" s="34"/>
      <c r="C297" s="34"/>
      <c r="D297" s="34"/>
      <c r="E297" s="34"/>
      <c r="F297" s="34"/>
      <c r="G297" s="34"/>
      <c r="H297" s="34"/>
      <c r="I297" s="34"/>
      <c r="J297" s="34"/>
      <c r="K297" s="34"/>
      <c r="L297" s="34"/>
      <c r="M297" s="34"/>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row>
    <row r="298" spans="1:114" x14ac:dyDescent="0.25">
      <c r="A298" s="34"/>
      <c r="B298" s="34"/>
      <c r="C298" s="34"/>
      <c r="D298" s="34"/>
      <c r="E298" s="34"/>
      <c r="F298" s="34"/>
      <c r="G298" s="34"/>
      <c r="H298" s="34"/>
      <c r="I298" s="34"/>
      <c r="J298" s="34"/>
      <c r="K298" s="34"/>
      <c r="L298" s="34"/>
      <c r="M298" s="34"/>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row>
    <row r="299" spans="1:114" x14ac:dyDescent="0.25">
      <c r="A299" s="34"/>
      <c r="B299" s="34"/>
      <c r="C299" s="34"/>
      <c r="D299" s="34"/>
      <c r="E299" s="34"/>
      <c r="F299" s="34"/>
      <c r="G299" s="34"/>
      <c r="H299" s="34"/>
      <c r="I299" s="34"/>
      <c r="J299" s="34"/>
      <c r="K299" s="34"/>
      <c r="L299" s="34"/>
      <c r="M299" s="34"/>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row>
    <row r="300" spans="1:114" x14ac:dyDescent="0.25">
      <c r="A300" s="34"/>
      <c r="B300" s="34"/>
      <c r="C300" s="34"/>
      <c r="D300" s="34"/>
      <c r="E300" s="34"/>
      <c r="F300" s="34"/>
      <c r="G300" s="34"/>
      <c r="H300" s="34"/>
      <c r="I300" s="34"/>
      <c r="J300" s="34"/>
      <c r="K300" s="34"/>
      <c r="L300" s="34"/>
      <c r="M300" s="34"/>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row>
    <row r="301" spans="1:114" x14ac:dyDescent="0.25">
      <c r="A301" s="34"/>
      <c r="B301" s="34"/>
      <c r="C301" s="34"/>
      <c r="D301" s="34"/>
      <c r="E301" s="34"/>
      <c r="F301" s="34"/>
      <c r="G301" s="34"/>
      <c r="H301" s="34"/>
      <c r="I301" s="34"/>
      <c r="J301" s="34"/>
      <c r="K301" s="34"/>
      <c r="L301" s="34"/>
      <c r="M301" s="34"/>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row>
    <row r="302" spans="1:114" x14ac:dyDescent="0.25">
      <c r="A302" s="34"/>
      <c r="B302" s="34"/>
      <c r="C302" s="34"/>
      <c r="D302" s="34"/>
      <c r="E302" s="34"/>
      <c r="F302" s="34"/>
      <c r="G302" s="34"/>
      <c r="H302" s="34"/>
      <c r="I302" s="34"/>
      <c r="J302" s="34"/>
      <c r="K302" s="34"/>
      <c r="L302" s="34"/>
      <c r="M302" s="34"/>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row>
    <row r="303" spans="1:114" x14ac:dyDescent="0.25">
      <c r="A303" s="34"/>
      <c r="B303" s="34"/>
      <c r="C303" s="34"/>
      <c r="D303" s="34"/>
      <c r="E303" s="34"/>
      <c r="F303" s="34"/>
      <c r="G303" s="34"/>
      <c r="H303" s="34"/>
      <c r="I303" s="34"/>
      <c r="J303" s="34"/>
      <c r="K303" s="34"/>
      <c r="L303" s="34"/>
      <c r="M303" s="34"/>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c r="DH303" s="35"/>
      <c r="DI303" s="35"/>
      <c r="DJ303" s="35"/>
    </row>
    <row r="304" spans="1:114" x14ac:dyDescent="0.25">
      <c r="A304" s="34"/>
      <c r="B304" s="34"/>
      <c r="C304" s="34"/>
      <c r="D304" s="34"/>
      <c r="E304" s="34"/>
      <c r="F304" s="34"/>
      <c r="G304" s="34"/>
      <c r="H304" s="34"/>
      <c r="I304" s="34"/>
      <c r="J304" s="34"/>
      <c r="K304" s="34"/>
      <c r="L304" s="34"/>
      <c r="M304" s="34"/>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row>
    <row r="305" spans="1:114" x14ac:dyDescent="0.25">
      <c r="A305" s="34"/>
      <c r="B305" s="34"/>
      <c r="C305" s="34"/>
      <c r="D305" s="34"/>
      <c r="E305" s="34"/>
      <c r="F305" s="34"/>
      <c r="G305" s="34"/>
      <c r="H305" s="34"/>
      <c r="I305" s="34"/>
      <c r="J305" s="34"/>
      <c r="K305" s="34"/>
      <c r="L305" s="34"/>
      <c r="M305" s="34"/>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row>
    <row r="306" spans="1:114" x14ac:dyDescent="0.25">
      <c r="A306" s="34"/>
      <c r="B306" s="34"/>
      <c r="C306" s="34"/>
      <c r="D306" s="34"/>
      <c r="E306" s="34"/>
      <c r="F306" s="34"/>
      <c r="G306" s="34"/>
      <c r="H306" s="34"/>
      <c r="I306" s="34"/>
      <c r="J306" s="34"/>
      <c r="K306" s="34"/>
      <c r="L306" s="34"/>
      <c r="M306" s="34"/>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c r="DH306" s="35"/>
      <c r="DI306" s="35"/>
      <c r="DJ306" s="35"/>
    </row>
    <row r="307" spans="1:114" x14ac:dyDescent="0.25">
      <c r="A307" s="34"/>
      <c r="B307" s="34"/>
      <c r="C307" s="34"/>
      <c r="D307" s="34"/>
      <c r="E307" s="34"/>
      <c r="F307" s="34"/>
      <c r="G307" s="34"/>
      <c r="H307" s="34"/>
      <c r="I307" s="34"/>
      <c r="J307" s="34"/>
      <c r="K307" s="34"/>
      <c r="L307" s="34"/>
      <c r="M307" s="34"/>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row>
    <row r="308" spans="1:114" x14ac:dyDescent="0.25">
      <c r="A308" s="34"/>
      <c r="B308" s="34"/>
      <c r="C308" s="34"/>
      <c r="D308" s="34"/>
      <c r="E308" s="34"/>
      <c r="F308" s="34"/>
      <c r="G308" s="34"/>
      <c r="H308" s="34"/>
      <c r="I308" s="34"/>
      <c r="J308" s="34"/>
      <c r="K308" s="34"/>
      <c r="L308" s="34"/>
      <c r="M308" s="34"/>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row>
    <row r="309" spans="1:114" x14ac:dyDescent="0.25">
      <c r="A309" s="34"/>
      <c r="B309" s="34"/>
      <c r="C309" s="34"/>
      <c r="D309" s="34"/>
      <c r="E309" s="34"/>
      <c r="F309" s="34"/>
      <c r="G309" s="34"/>
      <c r="H309" s="34"/>
      <c r="I309" s="34"/>
      <c r="J309" s="34"/>
      <c r="K309" s="34"/>
      <c r="L309" s="34"/>
      <c r="M309" s="34"/>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row>
    <row r="310" spans="1:114" x14ac:dyDescent="0.25">
      <c r="A310" s="34"/>
      <c r="B310" s="34"/>
      <c r="C310" s="34"/>
      <c r="D310" s="34"/>
      <c r="E310" s="34"/>
      <c r="F310" s="34"/>
      <c r="G310" s="34"/>
      <c r="H310" s="34"/>
      <c r="I310" s="34"/>
      <c r="J310" s="34"/>
      <c r="K310" s="34"/>
      <c r="L310" s="34"/>
      <c r="M310" s="34"/>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row>
    <row r="311" spans="1:114" x14ac:dyDescent="0.25">
      <c r="A311" s="34"/>
      <c r="B311" s="34"/>
      <c r="C311" s="34"/>
      <c r="D311" s="34"/>
      <c r="E311" s="34"/>
      <c r="F311" s="34"/>
      <c r="G311" s="34"/>
      <c r="H311" s="34"/>
      <c r="I311" s="34"/>
      <c r="J311" s="34"/>
      <c r="K311" s="34"/>
      <c r="L311" s="34"/>
      <c r="M311" s="34"/>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row>
    <row r="312" spans="1:114" x14ac:dyDescent="0.25">
      <c r="A312" s="34"/>
      <c r="B312" s="34"/>
      <c r="C312" s="34"/>
      <c r="D312" s="34"/>
      <c r="E312" s="34"/>
      <c r="F312" s="34"/>
      <c r="G312" s="34"/>
      <c r="H312" s="34"/>
      <c r="I312" s="34"/>
      <c r="J312" s="34"/>
      <c r="K312" s="34"/>
      <c r="L312" s="34"/>
      <c r="M312" s="34"/>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c r="DH312" s="35"/>
      <c r="DI312" s="35"/>
      <c r="DJ312" s="35"/>
    </row>
    <row r="313" spans="1:114" x14ac:dyDescent="0.25">
      <c r="A313" s="34"/>
      <c r="B313" s="34"/>
      <c r="C313" s="34"/>
      <c r="D313" s="34"/>
      <c r="E313" s="34"/>
      <c r="F313" s="34"/>
      <c r="G313" s="34"/>
      <c r="H313" s="34"/>
      <c r="I313" s="34"/>
      <c r="J313" s="34"/>
      <c r="K313" s="34"/>
      <c r="L313" s="34"/>
      <c r="M313" s="34"/>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row>
    <row r="314" spans="1:114" x14ac:dyDescent="0.25">
      <c r="A314" s="34"/>
      <c r="B314" s="34"/>
      <c r="C314" s="34"/>
      <c r="D314" s="34"/>
      <c r="E314" s="34"/>
      <c r="F314" s="34"/>
      <c r="G314" s="34"/>
      <c r="H314" s="34"/>
      <c r="I314" s="34"/>
      <c r="J314" s="34"/>
      <c r="K314" s="34"/>
      <c r="L314" s="34"/>
      <c r="M314" s="34"/>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row>
    <row r="315" spans="1:114" x14ac:dyDescent="0.25">
      <c r="A315" s="34"/>
      <c r="B315" s="34"/>
      <c r="C315" s="34"/>
      <c r="D315" s="34"/>
      <c r="E315" s="34"/>
      <c r="F315" s="34"/>
      <c r="G315" s="34"/>
      <c r="H315" s="34"/>
      <c r="I315" s="34"/>
      <c r="J315" s="34"/>
      <c r="K315" s="34"/>
      <c r="L315" s="34"/>
      <c r="M315" s="34"/>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row>
    <row r="316" spans="1:114" x14ac:dyDescent="0.25">
      <c r="A316" s="34"/>
      <c r="B316" s="34"/>
      <c r="C316" s="34"/>
      <c r="D316" s="34"/>
      <c r="E316" s="34"/>
      <c r="F316" s="34"/>
      <c r="G316" s="34"/>
      <c r="H316" s="34"/>
      <c r="I316" s="34"/>
      <c r="J316" s="34"/>
      <c r="K316" s="34"/>
      <c r="L316" s="34"/>
      <c r="M316" s="34"/>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c r="DH316" s="35"/>
      <c r="DI316" s="35"/>
      <c r="DJ316" s="35"/>
    </row>
    <row r="317" spans="1:114" x14ac:dyDescent="0.25">
      <c r="A317" s="34"/>
      <c r="B317" s="34"/>
      <c r="C317" s="34"/>
      <c r="D317" s="34"/>
      <c r="E317" s="34"/>
      <c r="F317" s="34"/>
      <c r="G317" s="34"/>
      <c r="H317" s="34"/>
      <c r="I317" s="34"/>
      <c r="J317" s="34"/>
      <c r="K317" s="34"/>
      <c r="L317" s="34"/>
      <c r="M317" s="34"/>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row>
    <row r="318" spans="1:114" x14ac:dyDescent="0.25">
      <c r="A318" s="34"/>
      <c r="B318" s="34"/>
      <c r="C318" s="34"/>
      <c r="D318" s="34"/>
      <c r="E318" s="34"/>
      <c r="F318" s="34"/>
      <c r="G318" s="34"/>
      <c r="H318" s="34"/>
      <c r="I318" s="34"/>
      <c r="J318" s="34"/>
      <c r="K318" s="34"/>
      <c r="L318" s="34"/>
      <c r="M318" s="34"/>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CL318" s="35"/>
      <c r="CM318" s="35"/>
      <c r="CN318" s="35"/>
      <c r="CO318" s="35"/>
      <c r="CP318" s="35"/>
      <c r="CQ318" s="35"/>
      <c r="CR318" s="35"/>
      <c r="CS318" s="35"/>
      <c r="CT318" s="35"/>
      <c r="CU318" s="35"/>
      <c r="CV318" s="35"/>
      <c r="CW318" s="35"/>
      <c r="CX318" s="35"/>
      <c r="CY318" s="35"/>
      <c r="CZ318" s="35"/>
      <c r="DA318" s="35"/>
      <c r="DB318" s="35"/>
      <c r="DC318" s="35"/>
      <c r="DD318" s="35"/>
      <c r="DE318" s="35"/>
      <c r="DF318" s="35"/>
      <c r="DG318" s="35"/>
      <c r="DH318" s="35"/>
      <c r="DI318" s="35"/>
      <c r="DJ318" s="35"/>
    </row>
    <row r="319" spans="1:114" x14ac:dyDescent="0.25">
      <c r="A319" s="34"/>
      <c r="B319" s="34"/>
      <c r="C319" s="34"/>
      <c r="D319" s="34"/>
      <c r="E319" s="34"/>
      <c r="F319" s="34"/>
      <c r="G319" s="34"/>
      <c r="H319" s="34"/>
      <c r="I319" s="34"/>
      <c r="J319" s="34"/>
      <c r="K319" s="34"/>
      <c r="L319" s="34"/>
      <c r="M319" s="34"/>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CL319" s="35"/>
      <c r="CM319" s="35"/>
      <c r="CN319" s="35"/>
      <c r="CO319" s="35"/>
      <c r="CP319" s="35"/>
      <c r="CQ319" s="35"/>
      <c r="CR319" s="35"/>
      <c r="CS319" s="35"/>
      <c r="CT319" s="35"/>
      <c r="CU319" s="35"/>
      <c r="CV319" s="35"/>
      <c r="CW319" s="35"/>
      <c r="CX319" s="35"/>
      <c r="CY319" s="35"/>
      <c r="CZ319" s="35"/>
      <c r="DA319" s="35"/>
      <c r="DB319" s="35"/>
      <c r="DC319" s="35"/>
      <c r="DD319" s="35"/>
      <c r="DE319" s="35"/>
      <c r="DF319" s="35"/>
      <c r="DG319" s="35"/>
      <c r="DH319" s="35"/>
      <c r="DI319" s="35"/>
      <c r="DJ319" s="35"/>
    </row>
    <row r="320" spans="1:114" x14ac:dyDescent="0.25">
      <c r="A320" s="34"/>
      <c r="B320" s="34"/>
      <c r="C320" s="34"/>
      <c r="D320" s="34"/>
      <c r="E320" s="34"/>
      <c r="F320" s="34"/>
      <c r="G320" s="34"/>
      <c r="H320" s="34"/>
      <c r="I320" s="34"/>
      <c r="J320" s="34"/>
      <c r="K320" s="34"/>
      <c r="L320" s="34"/>
      <c r="M320" s="34"/>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CL320" s="35"/>
      <c r="CM320" s="35"/>
      <c r="CN320" s="35"/>
      <c r="CO320" s="35"/>
      <c r="CP320" s="35"/>
      <c r="CQ320" s="35"/>
      <c r="CR320" s="35"/>
      <c r="CS320" s="35"/>
      <c r="CT320" s="35"/>
      <c r="CU320" s="35"/>
      <c r="CV320" s="35"/>
      <c r="CW320" s="35"/>
      <c r="CX320" s="35"/>
      <c r="CY320" s="35"/>
      <c r="CZ320" s="35"/>
      <c r="DA320" s="35"/>
      <c r="DB320" s="35"/>
      <c r="DC320" s="35"/>
      <c r="DD320" s="35"/>
      <c r="DE320" s="35"/>
      <c r="DF320" s="35"/>
      <c r="DG320" s="35"/>
      <c r="DH320" s="35"/>
      <c r="DI320" s="35"/>
      <c r="DJ320" s="35"/>
    </row>
    <row r="321" spans="1:114" x14ac:dyDescent="0.25">
      <c r="A321" s="34"/>
      <c r="B321" s="34"/>
      <c r="C321" s="34"/>
      <c r="D321" s="34"/>
      <c r="E321" s="34"/>
      <c r="F321" s="34"/>
      <c r="G321" s="34"/>
      <c r="H321" s="34"/>
      <c r="I321" s="34"/>
      <c r="J321" s="34"/>
      <c r="K321" s="34"/>
      <c r="L321" s="34"/>
      <c r="M321" s="34"/>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CL321" s="35"/>
      <c r="CM321" s="35"/>
      <c r="CN321" s="35"/>
      <c r="CO321" s="35"/>
      <c r="CP321" s="35"/>
      <c r="CQ321" s="35"/>
      <c r="CR321" s="35"/>
      <c r="CS321" s="35"/>
      <c r="CT321" s="35"/>
      <c r="CU321" s="35"/>
      <c r="CV321" s="35"/>
      <c r="CW321" s="35"/>
      <c r="CX321" s="35"/>
      <c r="CY321" s="35"/>
      <c r="CZ321" s="35"/>
      <c r="DA321" s="35"/>
      <c r="DB321" s="35"/>
      <c r="DC321" s="35"/>
      <c r="DD321" s="35"/>
      <c r="DE321" s="35"/>
      <c r="DF321" s="35"/>
      <c r="DG321" s="35"/>
      <c r="DH321" s="35"/>
      <c r="DI321" s="35"/>
      <c r="DJ321" s="35"/>
    </row>
    <row r="322" spans="1:114" x14ac:dyDescent="0.25">
      <c r="A322" s="34"/>
      <c r="B322" s="34"/>
      <c r="C322" s="34"/>
      <c r="D322" s="34"/>
      <c r="E322" s="34"/>
      <c r="F322" s="34"/>
      <c r="G322" s="34"/>
      <c r="H322" s="34"/>
      <c r="I322" s="34"/>
      <c r="J322" s="34"/>
      <c r="K322" s="34"/>
      <c r="L322" s="34"/>
      <c r="M322" s="34"/>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35"/>
      <c r="CP322" s="35"/>
      <c r="CQ322" s="35"/>
      <c r="CR322" s="35"/>
      <c r="CS322" s="35"/>
      <c r="CT322" s="35"/>
      <c r="CU322" s="35"/>
      <c r="CV322" s="35"/>
      <c r="CW322" s="35"/>
      <c r="CX322" s="35"/>
      <c r="CY322" s="35"/>
      <c r="CZ322" s="35"/>
      <c r="DA322" s="35"/>
      <c r="DB322" s="35"/>
      <c r="DC322" s="35"/>
      <c r="DD322" s="35"/>
      <c r="DE322" s="35"/>
      <c r="DF322" s="35"/>
      <c r="DG322" s="35"/>
      <c r="DH322" s="35"/>
      <c r="DI322" s="35"/>
      <c r="DJ322" s="35"/>
    </row>
    <row r="323" spans="1:114" x14ac:dyDescent="0.25">
      <c r="A323" s="34"/>
      <c r="B323" s="34"/>
      <c r="C323" s="34"/>
      <c r="D323" s="34"/>
      <c r="E323" s="34"/>
      <c r="F323" s="34"/>
      <c r="G323" s="34"/>
      <c r="H323" s="34"/>
      <c r="I323" s="34"/>
      <c r="J323" s="34"/>
      <c r="K323" s="34"/>
      <c r="L323" s="34"/>
      <c r="M323" s="34"/>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35"/>
      <c r="CP323" s="35"/>
      <c r="CQ323" s="35"/>
      <c r="CR323" s="35"/>
      <c r="CS323" s="35"/>
      <c r="CT323" s="35"/>
      <c r="CU323" s="35"/>
      <c r="CV323" s="35"/>
      <c r="CW323" s="35"/>
      <c r="CX323" s="35"/>
      <c r="CY323" s="35"/>
      <c r="CZ323" s="35"/>
      <c r="DA323" s="35"/>
      <c r="DB323" s="35"/>
      <c r="DC323" s="35"/>
      <c r="DD323" s="35"/>
      <c r="DE323" s="35"/>
      <c r="DF323" s="35"/>
      <c r="DG323" s="35"/>
      <c r="DH323" s="35"/>
      <c r="DI323" s="35"/>
      <c r="DJ323" s="35"/>
    </row>
    <row r="324" spans="1:114" x14ac:dyDescent="0.25">
      <c r="A324" s="34"/>
      <c r="B324" s="34"/>
      <c r="C324" s="34"/>
      <c r="D324" s="34"/>
      <c r="E324" s="34"/>
      <c r="F324" s="34"/>
      <c r="G324" s="34"/>
      <c r="H324" s="34"/>
      <c r="I324" s="34"/>
      <c r="J324" s="34"/>
      <c r="K324" s="34"/>
      <c r="L324" s="34"/>
      <c r="M324" s="34"/>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35"/>
      <c r="CS324" s="35"/>
      <c r="CT324" s="35"/>
      <c r="CU324" s="35"/>
      <c r="CV324" s="35"/>
      <c r="CW324" s="35"/>
      <c r="CX324" s="35"/>
      <c r="CY324" s="35"/>
      <c r="CZ324" s="35"/>
      <c r="DA324" s="35"/>
      <c r="DB324" s="35"/>
      <c r="DC324" s="35"/>
      <c r="DD324" s="35"/>
      <c r="DE324" s="35"/>
      <c r="DF324" s="35"/>
      <c r="DG324" s="35"/>
      <c r="DH324" s="35"/>
      <c r="DI324" s="35"/>
      <c r="DJ324" s="35"/>
    </row>
    <row r="325" spans="1:114" x14ac:dyDescent="0.25">
      <c r="A325" s="34"/>
      <c r="B325" s="34"/>
      <c r="C325" s="34"/>
      <c r="D325" s="34"/>
      <c r="E325" s="34"/>
      <c r="F325" s="34"/>
      <c r="G325" s="34"/>
      <c r="H325" s="34"/>
      <c r="I325" s="34"/>
      <c r="J325" s="34"/>
      <c r="K325" s="34"/>
      <c r="L325" s="34"/>
      <c r="M325" s="34"/>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35"/>
      <c r="CS325" s="35"/>
      <c r="CT325" s="35"/>
      <c r="CU325" s="35"/>
      <c r="CV325" s="35"/>
      <c r="CW325" s="35"/>
      <c r="CX325" s="35"/>
      <c r="CY325" s="35"/>
      <c r="CZ325" s="35"/>
      <c r="DA325" s="35"/>
      <c r="DB325" s="35"/>
      <c r="DC325" s="35"/>
      <c r="DD325" s="35"/>
      <c r="DE325" s="35"/>
      <c r="DF325" s="35"/>
      <c r="DG325" s="35"/>
      <c r="DH325" s="35"/>
      <c r="DI325" s="35"/>
      <c r="DJ325" s="35"/>
    </row>
    <row r="326" spans="1:114" x14ac:dyDescent="0.25">
      <c r="A326" s="34"/>
      <c r="B326" s="34"/>
      <c r="C326" s="34"/>
      <c r="D326" s="34"/>
      <c r="E326" s="34"/>
      <c r="F326" s="34"/>
      <c r="G326" s="34"/>
      <c r="H326" s="34"/>
      <c r="I326" s="34"/>
      <c r="J326" s="34"/>
      <c r="K326" s="34"/>
      <c r="L326" s="34"/>
      <c r="M326" s="34"/>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c r="CM326" s="35"/>
      <c r="CN326" s="35"/>
      <c r="CO326" s="35"/>
      <c r="CP326" s="35"/>
      <c r="CQ326" s="35"/>
      <c r="CR326" s="35"/>
      <c r="CS326" s="35"/>
      <c r="CT326" s="35"/>
      <c r="CU326" s="35"/>
      <c r="CV326" s="35"/>
      <c r="CW326" s="35"/>
      <c r="CX326" s="35"/>
      <c r="CY326" s="35"/>
      <c r="CZ326" s="35"/>
      <c r="DA326" s="35"/>
      <c r="DB326" s="35"/>
      <c r="DC326" s="35"/>
      <c r="DD326" s="35"/>
      <c r="DE326" s="35"/>
      <c r="DF326" s="35"/>
      <c r="DG326" s="35"/>
      <c r="DH326" s="35"/>
      <c r="DI326" s="35"/>
      <c r="DJ326" s="35"/>
    </row>
    <row r="327" spans="1:114" x14ac:dyDescent="0.25">
      <c r="A327" s="34"/>
      <c r="B327" s="34"/>
      <c r="C327" s="34"/>
      <c r="D327" s="34"/>
      <c r="E327" s="34"/>
      <c r="F327" s="34"/>
      <c r="G327" s="34"/>
      <c r="H327" s="34"/>
      <c r="I327" s="34"/>
      <c r="J327" s="34"/>
      <c r="K327" s="34"/>
      <c r="L327" s="34"/>
      <c r="M327" s="34"/>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35"/>
      <c r="CQ327" s="35"/>
      <c r="CR327" s="35"/>
      <c r="CS327" s="35"/>
      <c r="CT327" s="35"/>
      <c r="CU327" s="35"/>
      <c r="CV327" s="35"/>
      <c r="CW327" s="35"/>
      <c r="CX327" s="35"/>
      <c r="CY327" s="35"/>
      <c r="CZ327" s="35"/>
      <c r="DA327" s="35"/>
      <c r="DB327" s="35"/>
      <c r="DC327" s="35"/>
      <c r="DD327" s="35"/>
      <c r="DE327" s="35"/>
      <c r="DF327" s="35"/>
      <c r="DG327" s="35"/>
      <c r="DH327" s="35"/>
      <c r="DI327" s="35"/>
      <c r="DJ327" s="35"/>
    </row>
    <row r="328" spans="1:114" x14ac:dyDescent="0.25">
      <c r="A328" s="34"/>
      <c r="B328" s="34"/>
      <c r="C328" s="34"/>
      <c r="D328" s="34"/>
      <c r="E328" s="34"/>
      <c r="F328" s="34"/>
      <c r="G328" s="34"/>
      <c r="H328" s="34"/>
      <c r="I328" s="34"/>
      <c r="J328" s="34"/>
      <c r="K328" s="34"/>
      <c r="L328" s="34"/>
      <c r="M328" s="34"/>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c r="CL328" s="35"/>
      <c r="CM328" s="35"/>
      <c r="CN328" s="35"/>
      <c r="CO328" s="35"/>
      <c r="CP328" s="35"/>
      <c r="CQ328" s="35"/>
      <c r="CR328" s="35"/>
      <c r="CS328" s="35"/>
      <c r="CT328" s="35"/>
      <c r="CU328" s="35"/>
      <c r="CV328" s="35"/>
      <c r="CW328" s="35"/>
      <c r="CX328" s="35"/>
      <c r="CY328" s="35"/>
      <c r="CZ328" s="35"/>
      <c r="DA328" s="35"/>
      <c r="DB328" s="35"/>
      <c r="DC328" s="35"/>
      <c r="DD328" s="35"/>
      <c r="DE328" s="35"/>
      <c r="DF328" s="35"/>
      <c r="DG328" s="35"/>
      <c r="DH328" s="35"/>
      <c r="DI328" s="35"/>
      <c r="DJ328" s="35"/>
    </row>
    <row r="329" spans="1:114" x14ac:dyDescent="0.25">
      <c r="A329" s="34"/>
      <c r="B329" s="34"/>
      <c r="C329" s="34"/>
      <c r="D329" s="34"/>
      <c r="E329" s="34"/>
      <c r="F329" s="34"/>
      <c r="G329" s="34"/>
      <c r="H329" s="34"/>
      <c r="I329" s="34"/>
      <c r="J329" s="34"/>
      <c r="K329" s="34"/>
      <c r="L329" s="34"/>
      <c r="M329" s="34"/>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c r="CH329" s="35"/>
      <c r="CI329" s="35"/>
      <c r="CJ329" s="35"/>
      <c r="CK329" s="35"/>
      <c r="CL329" s="35"/>
      <c r="CM329" s="35"/>
      <c r="CN329" s="35"/>
      <c r="CO329" s="35"/>
      <c r="CP329" s="35"/>
      <c r="CQ329" s="35"/>
      <c r="CR329" s="35"/>
      <c r="CS329" s="35"/>
      <c r="CT329" s="35"/>
      <c r="CU329" s="35"/>
      <c r="CV329" s="35"/>
      <c r="CW329" s="35"/>
      <c r="CX329" s="35"/>
      <c r="CY329" s="35"/>
      <c r="CZ329" s="35"/>
      <c r="DA329" s="35"/>
      <c r="DB329" s="35"/>
      <c r="DC329" s="35"/>
      <c r="DD329" s="35"/>
      <c r="DE329" s="35"/>
      <c r="DF329" s="35"/>
      <c r="DG329" s="35"/>
      <c r="DH329" s="35"/>
      <c r="DI329" s="35"/>
      <c r="DJ329" s="35"/>
    </row>
    <row r="330" spans="1:114" x14ac:dyDescent="0.25">
      <c r="A330" s="34"/>
      <c r="B330" s="34"/>
      <c r="C330" s="34"/>
      <c r="D330" s="34"/>
      <c r="E330" s="34"/>
      <c r="F330" s="34"/>
      <c r="G330" s="34"/>
      <c r="H330" s="34"/>
      <c r="I330" s="34"/>
      <c r="J330" s="34"/>
      <c r="K330" s="34"/>
      <c r="L330" s="34"/>
      <c r="M330" s="34"/>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c r="DH330" s="35"/>
      <c r="DI330" s="35"/>
      <c r="DJ330" s="35"/>
    </row>
    <row r="331" spans="1:114" x14ac:dyDescent="0.25">
      <c r="A331" s="34"/>
      <c r="B331" s="34"/>
      <c r="C331" s="34"/>
      <c r="D331" s="34"/>
      <c r="E331" s="34"/>
      <c r="F331" s="34"/>
      <c r="G331" s="34"/>
      <c r="H331" s="34"/>
      <c r="I331" s="34"/>
      <c r="J331" s="34"/>
      <c r="K331" s="34"/>
      <c r="L331" s="34"/>
      <c r="M331" s="34"/>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c r="CL331" s="35"/>
      <c r="CM331" s="35"/>
      <c r="CN331" s="35"/>
      <c r="CO331" s="35"/>
      <c r="CP331" s="35"/>
      <c r="CQ331" s="35"/>
      <c r="CR331" s="35"/>
      <c r="CS331" s="35"/>
      <c r="CT331" s="35"/>
      <c r="CU331" s="35"/>
      <c r="CV331" s="35"/>
      <c r="CW331" s="35"/>
      <c r="CX331" s="35"/>
      <c r="CY331" s="35"/>
      <c r="CZ331" s="35"/>
      <c r="DA331" s="35"/>
      <c r="DB331" s="35"/>
      <c r="DC331" s="35"/>
      <c r="DD331" s="35"/>
      <c r="DE331" s="35"/>
      <c r="DF331" s="35"/>
      <c r="DG331" s="35"/>
      <c r="DH331" s="35"/>
      <c r="DI331" s="35"/>
      <c r="DJ331" s="35"/>
    </row>
    <row r="332" spans="1:114" x14ac:dyDescent="0.25">
      <c r="A332" s="34"/>
      <c r="B332" s="34"/>
      <c r="C332" s="34"/>
      <c r="D332" s="34"/>
      <c r="E332" s="34"/>
      <c r="F332" s="34"/>
      <c r="G332" s="34"/>
      <c r="H332" s="34"/>
      <c r="I332" s="34"/>
      <c r="J332" s="34"/>
      <c r="K332" s="34"/>
      <c r="L332" s="34"/>
      <c r="M332" s="34"/>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c r="CW332" s="35"/>
      <c r="CX332" s="35"/>
      <c r="CY332" s="35"/>
      <c r="CZ332" s="35"/>
      <c r="DA332" s="35"/>
      <c r="DB332" s="35"/>
      <c r="DC332" s="35"/>
      <c r="DD332" s="35"/>
      <c r="DE332" s="35"/>
      <c r="DF332" s="35"/>
      <c r="DG332" s="35"/>
      <c r="DH332" s="35"/>
      <c r="DI332" s="35"/>
      <c r="DJ332" s="35"/>
    </row>
    <row r="333" spans="1:114" x14ac:dyDescent="0.25">
      <c r="A333" s="34"/>
      <c r="B333" s="34"/>
      <c r="C333" s="34"/>
      <c r="D333" s="34"/>
      <c r="E333" s="34"/>
      <c r="F333" s="34"/>
      <c r="G333" s="34"/>
      <c r="H333" s="34"/>
      <c r="I333" s="34"/>
      <c r="J333" s="34"/>
      <c r="K333" s="34"/>
      <c r="L333" s="34"/>
      <c r="M333" s="34"/>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c r="CL333" s="35"/>
      <c r="CM333" s="35"/>
      <c r="CN333" s="35"/>
      <c r="CO333" s="35"/>
      <c r="CP333" s="35"/>
      <c r="CQ333" s="35"/>
      <c r="CR333" s="35"/>
      <c r="CS333" s="35"/>
      <c r="CT333" s="35"/>
      <c r="CU333" s="35"/>
      <c r="CV333" s="35"/>
      <c r="CW333" s="35"/>
      <c r="CX333" s="35"/>
      <c r="CY333" s="35"/>
      <c r="CZ333" s="35"/>
      <c r="DA333" s="35"/>
      <c r="DB333" s="35"/>
      <c r="DC333" s="35"/>
      <c r="DD333" s="35"/>
      <c r="DE333" s="35"/>
      <c r="DF333" s="35"/>
      <c r="DG333" s="35"/>
      <c r="DH333" s="35"/>
      <c r="DI333" s="35"/>
      <c r="DJ333" s="35"/>
    </row>
    <row r="334" spans="1:114" x14ac:dyDescent="0.25">
      <c r="A334" s="34"/>
      <c r="B334" s="34"/>
      <c r="C334" s="34"/>
      <c r="D334" s="34"/>
      <c r="E334" s="34"/>
      <c r="F334" s="34"/>
      <c r="G334" s="34"/>
      <c r="H334" s="34"/>
      <c r="I334" s="34"/>
      <c r="J334" s="34"/>
      <c r="K334" s="34"/>
      <c r="L334" s="34"/>
      <c r="M334" s="34"/>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row>
    <row r="335" spans="1:114" x14ac:dyDescent="0.25">
      <c r="A335" s="34"/>
      <c r="B335" s="34"/>
      <c r="C335" s="34"/>
      <c r="D335" s="34"/>
      <c r="E335" s="34"/>
      <c r="F335" s="34"/>
      <c r="G335" s="34"/>
      <c r="H335" s="34"/>
      <c r="I335" s="34"/>
      <c r="J335" s="34"/>
      <c r="K335" s="34"/>
      <c r="L335" s="34"/>
      <c r="M335" s="34"/>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row>
    <row r="336" spans="1:114" x14ac:dyDescent="0.25">
      <c r="A336" s="34"/>
      <c r="B336" s="34"/>
      <c r="C336" s="34"/>
      <c r="D336" s="34"/>
      <c r="E336" s="34"/>
      <c r="F336" s="34"/>
      <c r="G336" s="34"/>
      <c r="H336" s="34"/>
      <c r="I336" s="34"/>
      <c r="J336" s="34"/>
      <c r="K336" s="34"/>
      <c r="L336" s="34"/>
      <c r="M336" s="34"/>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row>
    <row r="337" spans="1:114" x14ac:dyDescent="0.25">
      <c r="A337" s="34"/>
      <c r="B337" s="34"/>
      <c r="C337" s="34"/>
      <c r="D337" s="34"/>
      <c r="E337" s="34"/>
      <c r="F337" s="34"/>
      <c r="G337" s="34"/>
      <c r="H337" s="34"/>
      <c r="I337" s="34"/>
      <c r="J337" s="34"/>
      <c r="K337" s="34"/>
      <c r="L337" s="34"/>
      <c r="M337" s="34"/>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35"/>
      <c r="DD337" s="35"/>
      <c r="DE337" s="35"/>
      <c r="DF337" s="35"/>
      <c r="DG337" s="35"/>
      <c r="DH337" s="35"/>
      <c r="DI337" s="35"/>
      <c r="DJ337" s="35"/>
    </row>
    <row r="338" spans="1:114" x14ac:dyDescent="0.25">
      <c r="A338" s="34"/>
      <c r="B338" s="34"/>
      <c r="C338" s="34"/>
      <c r="D338" s="34"/>
      <c r="E338" s="34"/>
      <c r="F338" s="34"/>
      <c r="G338" s="34"/>
      <c r="H338" s="34"/>
      <c r="I338" s="34"/>
      <c r="J338" s="34"/>
      <c r="K338" s="34"/>
      <c r="L338" s="34"/>
      <c r="M338" s="34"/>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c r="DH338" s="35"/>
      <c r="DI338" s="35"/>
      <c r="DJ338" s="35"/>
    </row>
    <row r="339" spans="1:114" x14ac:dyDescent="0.25">
      <c r="A339" s="34"/>
      <c r="B339" s="34"/>
      <c r="C339" s="34"/>
      <c r="D339" s="34"/>
      <c r="E339" s="34"/>
      <c r="F339" s="34"/>
      <c r="G339" s="34"/>
      <c r="H339" s="34"/>
      <c r="I339" s="34"/>
      <c r="J339" s="34"/>
      <c r="K339" s="34"/>
      <c r="L339" s="34"/>
      <c r="M339" s="34"/>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c r="DH339" s="35"/>
      <c r="DI339" s="35"/>
      <c r="DJ339" s="35"/>
    </row>
    <row r="340" spans="1:114" x14ac:dyDescent="0.25">
      <c r="A340" s="34"/>
      <c r="B340" s="34"/>
      <c r="C340" s="34"/>
      <c r="D340" s="34"/>
      <c r="E340" s="34"/>
      <c r="F340" s="34"/>
      <c r="G340" s="34"/>
      <c r="H340" s="34"/>
      <c r="I340" s="34"/>
      <c r="J340" s="34"/>
      <c r="K340" s="34"/>
      <c r="L340" s="34"/>
      <c r="M340" s="34"/>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c r="DH340" s="35"/>
      <c r="DI340" s="35"/>
      <c r="DJ340" s="35"/>
    </row>
    <row r="341" spans="1:114" x14ac:dyDescent="0.25">
      <c r="A341" s="34"/>
      <c r="B341" s="34"/>
      <c r="C341" s="34"/>
      <c r="D341" s="34"/>
      <c r="E341" s="34"/>
      <c r="F341" s="34"/>
      <c r="G341" s="34"/>
      <c r="H341" s="34"/>
      <c r="I341" s="34"/>
      <c r="J341" s="34"/>
      <c r="K341" s="34"/>
      <c r="L341" s="34"/>
      <c r="M341" s="34"/>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row>
    <row r="342" spans="1:114" x14ac:dyDescent="0.25">
      <c r="A342" s="34"/>
      <c r="B342" s="34"/>
      <c r="C342" s="34"/>
      <c r="D342" s="34"/>
      <c r="E342" s="34"/>
      <c r="F342" s="34"/>
      <c r="G342" s="34"/>
      <c r="H342" s="34"/>
      <c r="I342" s="34"/>
      <c r="J342" s="34"/>
      <c r="K342" s="34"/>
      <c r="L342" s="34"/>
      <c r="M342" s="34"/>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c r="CH342" s="35"/>
      <c r="CI342" s="35"/>
      <c r="CJ342" s="35"/>
      <c r="CK342" s="35"/>
      <c r="CL342" s="35"/>
      <c r="CM342" s="35"/>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row>
    <row r="343" spans="1:114" x14ac:dyDescent="0.25">
      <c r="A343" s="34"/>
      <c r="B343" s="34"/>
      <c r="C343" s="34"/>
      <c r="D343" s="34"/>
      <c r="E343" s="34"/>
      <c r="F343" s="34"/>
      <c r="G343" s="34"/>
      <c r="H343" s="34"/>
      <c r="I343" s="34"/>
      <c r="J343" s="34"/>
      <c r="K343" s="34"/>
      <c r="L343" s="34"/>
      <c r="M343" s="34"/>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c r="CL343" s="35"/>
      <c r="CM343" s="35"/>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row>
    <row r="344" spans="1:114" x14ac:dyDescent="0.25">
      <c r="A344" s="34"/>
      <c r="B344" s="34"/>
      <c r="C344" s="34"/>
      <c r="D344" s="34"/>
      <c r="E344" s="34"/>
      <c r="F344" s="34"/>
      <c r="G344" s="34"/>
      <c r="H344" s="34"/>
      <c r="I344" s="34"/>
      <c r="J344" s="34"/>
      <c r="K344" s="34"/>
      <c r="L344" s="34"/>
      <c r="M344" s="34"/>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row>
    <row r="345" spans="1:114" x14ac:dyDescent="0.25">
      <c r="A345" s="34"/>
      <c r="B345" s="34"/>
      <c r="C345" s="34"/>
      <c r="D345" s="34"/>
      <c r="E345" s="34"/>
      <c r="F345" s="34"/>
      <c r="G345" s="34"/>
      <c r="H345" s="34"/>
      <c r="I345" s="34"/>
      <c r="J345" s="34"/>
      <c r="K345" s="34"/>
      <c r="L345" s="34"/>
      <c r="M345" s="34"/>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row>
    <row r="346" spans="1:114" x14ac:dyDescent="0.25">
      <c r="A346" s="34"/>
      <c r="B346" s="34"/>
      <c r="C346" s="34"/>
      <c r="D346" s="34"/>
      <c r="E346" s="34"/>
      <c r="F346" s="34"/>
      <c r="G346" s="34"/>
      <c r="H346" s="34"/>
      <c r="I346" s="34"/>
      <c r="J346" s="34"/>
      <c r="K346" s="34"/>
      <c r="L346" s="34"/>
      <c r="M346" s="34"/>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row>
    <row r="347" spans="1:114" x14ac:dyDescent="0.25">
      <c r="A347" s="34"/>
      <c r="B347" s="34"/>
      <c r="C347" s="34"/>
      <c r="D347" s="34"/>
      <c r="E347" s="34"/>
      <c r="F347" s="34"/>
      <c r="G347" s="34"/>
      <c r="H347" s="34"/>
      <c r="I347" s="34"/>
      <c r="J347" s="34"/>
      <c r="K347" s="34"/>
      <c r="L347" s="34"/>
      <c r="M347" s="34"/>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row>
    <row r="348" spans="1:114" x14ac:dyDescent="0.25">
      <c r="A348" s="34"/>
      <c r="B348" s="34"/>
      <c r="C348" s="34"/>
      <c r="D348" s="34"/>
      <c r="E348" s="34"/>
      <c r="F348" s="34"/>
      <c r="G348" s="34"/>
      <c r="H348" s="34"/>
      <c r="I348" s="34"/>
      <c r="J348" s="34"/>
      <c r="K348" s="34"/>
      <c r="L348" s="34"/>
      <c r="M348" s="34"/>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c r="CL348" s="35"/>
      <c r="CM348" s="35"/>
      <c r="CN348" s="35"/>
      <c r="CO348" s="35"/>
      <c r="CP348" s="35"/>
      <c r="CQ348" s="35"/>
      <c r="CR348" s="35"/>
      <c r="CS348" s="35"/>
      <c r="CT348" s="35"/>
      <c r="CU348" s="35"/>
      <c r="CV348" s="35"/>
      <c r="CW348" s="35"/>
      <c r="CX348" s="35"/>
      <c r="CY348" s="35"/>
      <c r="CZ348" s="35"/>
      <c r="DA348" s="35"/>
      <c r="DB348" s="35"/>
      <c r="DC348" s="35"/>
      <c r="DD348" s="35"/>
      <c r="DE348" s="35"/>
      <c r="DF348" s="35"/>
      <c r="DG348" s="35"/>
      <c r="DH348" s="35"/>
      <c r="DI348" s="35"/>
      <c r="DJ348" s="35"/>
    </row>
    <row r="349" spans="1:114" x14ac:dyDescent="0.25">
      <c r="A349" s="34"/>
      <c r="B349" s="34"/>
      <c r="C349" s="34"/>
      <c r="D349" s="34"/>
      <c r="E349" s="34"/>
      <c r="F349" s="34"/>
      <c r="G349" s="34"/>
      <c r="H349" s="34"/>
      <c r="I349" s="34"/>
      <c r="J349" s="34"/>
      <c r="K349" s="34"/>
      <c r="L349" s="34"/>
      <c r="M349" s="34"/>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5"/>
      <c r="CT349" s="35"/>
      <c r="CU349" s="35"/>
      <c r="CV349" s="35"/>
      <c r="CW349" s="35"/>
      <c r="CX349" s="35"/>
      <c r="CY349" s="35"/>
      <c r="CZ349" s="35"/>
      <c r="DA349" s="35"/>
      <c r="DB349" s="35"/>
      <c r="DC349" s="35"/>
      <c r="DD349" s="35"/>
      <c r="DE349" s="35"/>
      <c r="DF349" s="35"/>
      <c r="DG349" s="35"/>
      <c r="DH349" s="35"/>
      <c r="DI349" s="35"/>
      <c r="DJ349" s="35"/>
    </row>
    <row r="350" spans="1:114" x14ac:dyDescent="0.25">
      <c r="A350" s="34"/>
      <c r="B350" s="34"/>
      <c r="C350" s="34"/>
      <c r="D350" s="34"/>
      <c r="E350" s="34"/>
      <c r="F350" s="34"/>
      <c r="G350" s="34"/>
      <c r="H350" s="34"/>
      <c r="I350" s="34"/>
      <c r="J350" s="34"/>
      <c r="K350" s="34"/>
      <c r="L350" s="34"/>
      <c r="M350" s="34"/>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c r="DH350" s="35"/>
      <c r="DI350" s="35"/>
      <c r="DJ350" s="35"/>
    </row>
    <row r="351" spans="1:114" x14ac:dyDescent="0.25">
      <c r="A351" s="34"/>
      <c r="B351" s="34"/>
      <c r="C351" s="34"/>
      <c r="D351" s="34"/>
      <c r="E351" s="34"/>
      <c r="F351" s="34"/>
      <c r="G351" s="34"/>
      <c r="H351" s="34"/>
      <c r="I351" s="34"/>
      <c r="J351" s="34"/>
      <c r="K351" s="34"/>
      <c r="L351" s="34"/>
      <c r="M351" s="34"/>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row>
    <row r="352" spans="1:114" x14ac:dyDescent="0.25">
      <c r="A352" s="34"/>
      <c r="B352" s="34"/>
      <c r="C352" s="34"/>
      <c r="D352" s="34"/>
      <c r="E352" s="34"/>
      <c r="F352" s="34"/>
      <c r="G352" s="34"/>
      <c r="H352" s="34"/>
      <c r="I352" s="34"/>
      <c r="J352" s="34"/>
      <c r="K352" s="34"/>
      <c r="L352" s="34"/>
      <c r="M352" s="34"/>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c r="DH352" s="35"/>
      <c r="DI352" s="35"/>
      <c r="DJ352" s="35"/>
    </row>
    <row r="353" spans="1:114" x14ac:dyDescent="0.25">
      <c r="A353" s="34"/>
      <c r="B353" s="34"/>
      <c r="C353" s="34"/>
      <c r="D353" s="34"/>
      <c r="E353" s="34"/>
      <c r="F353" s="34"/>
      <c r="G353" s="34"/>
      <c r="H353" s="34"/>
      <c r="I353" s="34"/>
      <c r="J353" s="34"/>
      <c r="K353" s="34"/>
      <c r="L353" s="34"/>
      <c r="M353" s="34"/>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c r="DH353" s="35"/>
      <c r="DI353" s="35"/>
      <c r="DJ353" s="35"/>
    </row>
    <row r="354" spans="1:114" x14ac:dyDescent="0.25">
      <c r="A354" s="34"/>
      <c r="B354" s="34"/>
      <c r="C354" s="34"/>
      <c r="D354" s="34"/>
      <c r="E354" s="34"/>
      <c r="F354" s="34"/>
      <c r="G354" s="34"/>
      <c r="H354" s="34"/>
      <c r="I354" s="34"/>
      <c r="J354" s="34"/>
      <c r="K354" s="34"/>
      <c r="L354" s="34"/>
      <c r="M354" s="34"/>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row>
    <row r="355" spans="1:114" x14ac:dyDescent="0.25">
      <c r="A355" s="34"/>
      <c r="B355" s="34"/>
      <c r="C355" s="34"/>
      <c r="D355" s="34"/>
      <c r="E355" s="34"/>
      <c r="F355" s="34"/>
      <c r="G355" s="34"/>
      <c r="H355" s="34"/>
      <c r="I355" s="34"/>
      <c r="J355" s="34"/>
      <c r="K355" s="34"/>
      <c r="L355" s="34"/>
      <c r="M355" s="34"/>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row>
    <row r="356" spans="1:114" x14ac:dyDescent="0.25">
      <c r="A356" s="34"/>
      <c r="B356" s="34"/>
      <c r="C356" s="34"/>
      <c r="D356" s="34"/>
      <c r="E356" s="34"/>
      <c r="F356" s="34"/>
      <c r="G356" s="34"/>
      <c r="H356" s="34"/>
      <c r="I356" s="34"/>
      <c r="J356" s="34"/>
      <c r="K356" s="34"/>
      <c r="L356" s="34"/>
      <c r="M356" s="34"/>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c r="CH356" s="35"/>
      <c r="CI356" s="35"/>
      <c r="CJ356" s="35"/>
      <c r="CK356" s="35"/>
      <c r="CL356" s="35"/>
      <c r="CM356" s="35"/>
      <c r="CN356" s="35"/>
      <c r="CO356" s="35"/>
      <c r="CP356" s="35"/>
      <c r="CQ356" s="35"/>
      <c r="CR356" s="35"/>
      <c r="CS356" s="35"/>
      <c r="CT356" s="35"/>
      <c r="CU356" s="35"/>
      <c r="CV356" s="35"/>
      <c r="CW356" s="35"/>
      <c r="CX356" s="35"/>
      <c r="CY356" s="35"/>
      <c r="CZ356" s="35"/>
      <c r="DA356" s="35"/>
      <c r="DB356" s="35"/>
      <c r="DC356" s="35"/>
      <c r="DD356" s="35"/>
      <c r="DE356" s="35"/>
      <c r="DF356" s="35"/>
      <c r="DG356" s="35"/>
      <c r="DH356" s="35"/>
      <c r="DI356" s="35"/>
      <c r="DJ356" s="35"/>
    </row>
    <row r="357" spans="1:114" x14ac:dyDescent="0.25">
      <c r="A357" s="34"/>
      <c r="B357" s="34"/>
      <c r="C357" s="34"/>
      <c r="D357" s="34"/>
      <c r="E357" s="34"/>
      <c r="F357" s="34"/>
      <c r="G357" s="34"/>
      <c r="H357" s="34"/>
      <c r="I357" s="34"/>
      <c r="J357" s="34"/>
      <c r="K357" s="34"/>
      <c r="L357" s="34"/>
      <c r="M357" s="34"/>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c r="CH357" s="35"/>
      <c r="CI357" s="35"/>
      <c r="CJ357" s="35"/>
      <c r="CK357" s="35"/>
      <c r="CL357" s="35"/>
      <c r="CM357" s="35"/>
      <c r="CN357" s="35"/>
      <c r="CO357" s="35"/>
      <c r="CP357" s="35"/>
      <c r="CQ357" s="35"/>
      <c r="CR357" s="35"/>
      <c r="CS357" s="35"/>
      <c r="CT357" s="35"/>
      <c r="CU357" s="35"/>
      <c r="CV357" s="35"/>
      <c r="CW357" s="35"/>
      <c r="CX357" s="35"/>
      <c r="CY357" s="35"/>
      <c r="CZ357" s="35"/>
      <c r="DA357" s="35"/>
      <c r="DB357" s="35"/>
      <c r="DC357" s="35"/>
      <c r="DD357" s="35"/>
      <c r="DE357" s="35"/>
      <c r="DF357" s="35"/>
      <c r="DG357" s="35"/>
      <c r="DH357" s="35"/>
      <c r="DI357" s="35"/>
      <c r="DJ357" s="35"/>
    </row>
    <row r="358" spans="1:114" x14ac:dyDescent="0.25">
      <c r="A358" s="34"/>
      <c r="B358" s="34"/>
      <c r="C358" s="34"/>
      <c r="D358" s="34"/>
      <c r="E358" s="34"/>
      <c r="F358" s="34"/>
      <c r="G358" s="34"/>
      <c r="H358" s="34"/>
      <c r="I358" s="34"/>
      <c r="J358" s="34"/>
      <c r="K358" s="34"/>
      <c r="L358" s="34"/>
      <c r="M358" s="34"/>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c r="CL358" s="35"/>
      <c r="CM358" s="35"/>
      <c r="CN358" s="35"/>
      <c r="CO358" s="35"/>
      <c r="CP358" s="35"/>
      <c r="CQ358" s="35"/>
      <c r="CR358" s="35"/>
      <c r="CS358" s="35"/>
      <c r="CT358" s="35"/>
      <c r="CU358" s="35"/>
      <c r="CV358" s="35"/>
      <c r="CW358" s="35"/>
      <c r="CX358" s="35"/>
      <c r="CY358" s="35"/>
      <c r="CZ358" s="35"/>
      <c r="DA358" s="35"/>
      <c r="DB358" s="35"/>
      <c r="DC358" s="35"/>
      <c r="DD358" s="35"/>
      <c r="DE358" s="35"/>
      <c r="DF358" s="35"/>
      <c r="DG358" s="35"/>
      <c r="DH358" s="35"/>
      <c r="DI358" s="35"/>
      <c r="DJ358" s="35"/>
    </row>
    <row r="359" spans="1:114" x14ac:dyDescent="0.25">
      <c r="A359" s="34"/>
      <c r="B359" s="34"/>
      <c r="C359" s="34"/>
      <c r="D359" s="34"/>
      <c r="E359" s="34"/>
      <c r="F359" s="34"/>
      <c r="G359" s="34"/>
      <c r="H359" s="34"/>
      <c r="I359" s="34"/>
      <c r="J359" s="34"/>
      <c r="K359" s="34"/>
      <c r="L359" s="34"/>
      <c r="M359" s="34"/>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c r="CH359" s="35"/>
      <c r="CI359" s="35"/>
      <c r="CJ359" s="35"/>
      <c r="CK359" s="35"/>
      <c r="CL359" s="35"/>
      <c r="CM359" s="35"/>
      <c r="CN359" s="35"/>
      <c r="CO359" s="35"/>
      <c r="CP359" s="35"/>
      <c r="CQ359" s="35"/>
      <c r="CR359" s="35"/>
      <c r="CS359" s="35"/>
      <c r="CT359" s="35"/>
      <c r="CU359" s="35"/>
      <c r="CV359" s="35"/>
      <c r="CW359" s="35"/>
      <c r="CX359" s="35"/>
      <c r="CY359" s="35"/>
      <c r="CZ359" s="35"/>
      <c r="DA359" s="35"/>
      <c r="DB359" s="35"/>
      <c r="DC359" s="35"/>
      <c r="DD359" s="35"/>
      <c r="DE359" s="35"/>
      <c r="DF359" s="35"/>
      <c r="DG359" s="35"/>
      <c r="DH359" s="35"/>
      <c r="DI359" s="35"/>
      <c r="DJ359" s="35"/>
    </row>
    <row r="360" spans="1:114" x14ac:dyDescent="0.25">
      <c r="A360" s="34"/>
      <c r="B360" s="34"/>
      <c r="C360" s="34"/>
      <c r="D360" s="34"/>
      <c r="E360" s="34"/>
      <c r="F360" s="34"/>
      <c r="G360" s="34"/>
      <c r="H360" s="34"/>
      <c r="I360" s="34"/>
      <c r="J360" s="34"/>
      <c r="K360" s="34"/>
      <c r="L360" s="34"/>
      <c r="M360" s="34"/>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c r="CH360" s="35"/>
      <c r="CI360" s="35"/>
      <c r="CJ360" s="35"/>
      <c r="CK360" s="35"/>
      <c r="CL360" s="35"/>
      <c r="CM360" s="35"/>
      <c r="CN360" s="35"/>
      <c r="CO360" s="35"/>
      <c r="CP360" s="35"/>
      <c r="CQ360" s="35"/>
      <c r="CR360" s="35"/>
      <c r="CS360" s="35"/>
      <c r="CT360" s="35"/>
      <c r="CU360" s="35"/>
      <c r="CV360" s="35"/>
      <c r="CW360" s="35"/>
      <c r="CX360" s="35"/>
      <c r="CY360" s="35"/>
      <c r="CZ360" s="35"/>
      <c r="DA360" s="35"/>
      <c r="DB360" s="35"/>
      <c r="DC360" s="35"/>
      <c r="DD360" s="35"/>
      <c r="DE360" s="35"/>
      <c r="DF360" s="35"/>
      <c r="DG360" s="35"/>
      <c r="DH360" s="35"/>
      <c r="DI360" s="35"/>
      <c r="DJ360" s="35"/>
    </row>
    <row r="361" spans="1:114" x14ac:dyDescent="0.25">
      <c r="A361" s="34"/>
      <c r="B361" s="34"/>
      <c r="C361" s="34"/>
      <c r="D361" s="34"/>
      <c r="E361" s="34"/>
      <c r="F361" s="34"/>
      <c r="G361" s="34"/>
      <c r="H361" s="34"/>
      <c r="I361" s="34"/>
      <c r="J361" s="34"/>
      <c r="K361" s="34"/>
      <c r="L361" s="34"/>
      <c r="M361" s="34"/>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c r="CH361" s="35"/>
      <c r="CI361" s="35"/>
      <c r="CJ361" s="35"/>
      <c r="CK361" s="35"/>
      <c r="CL361" s="35"/>
      <c r="CM361" s="35"/>
      <c r="CN361" s="35"/>
      <c r="CO361" s="35"/>
      <c r="CP361" s="35"/>
      <c r="CQ361" s="35"/>
      <c r="CR361" s="35"/>
      <c r="CS361" s="35"/>
      <c r="CT361" s="35"/>
      <c r="CU361" s="35"/>
      <c r="CV361" s="35"/>
      <c r="CW361" s="35"/>
      <c r="CX361" s="35"/>
      <c r="CY361" s="35"/>
      <c r="CZ361" s="35"/>
      <c r="DA361" s="35"/>
      <c r="DB361" s="35"/>
      <c r="DC361" s="35"/>
      <c r="DD361" s="35"/>
      <c r="DE361" s="35"/>
      <c r="DF361" s="35"/>
      <c r="DG361" s="35"/>
      <c r="DH361" s="35"/>
      <c r="DI361" s="35"/>
      <c r="DJ361" s="35"/>
    </row>
    <row r="362" spans="1:114" x14ac:dyDescent="0.25">
      <c r="A362" s="34"/>
      <c r="B362" s="34"/>
      <c r="C362" s="34"/>
      <c r="D362" s="34"/>
      <c r="E362" s="34"/>
      <c r="F362" s="34"/>
      <c r="G362" s="34"/>
      <c r="H362" s="34"/>
      <c r="I362" s="34"/>
      <c r="J362" s="34"/>
      <c r="K362" s="34"/>
      <c r="L362" s="34"/>
      <c r="M362" s="34"/>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c r="CH362" s="35"/>
      <c r="CI362" s="35"/>
      <c r="CJ362" s="35"/>
      <c r="CK362" s="35"/>
      <c r="CL362" s="35"/>
      <c r="CM362" s="35"/>
      <c r="CN362" s="35"/>
      <c r="CO362" s="35"/>
      <c r="CP362" s="35"/>
      <c r="CQ362" s="35"/>
      <c r="CR362" s="35"/>
      <c r="CS362" s="35"/>
      <c r="CT362" s="35"/>
      <c r="CU362" s="35"/>
      <c r="CV362" s="35"/>
      <c r="CW362" s="35"/>
      <c r="CX362" s="35"/>
      <c r="CY362" s="35"/>
      <c r="CZ362" s="35"/>
      <c r="DA362" s="35"/>
      <c r="DB362" s="35"/>
      <c r="DC362" s="35"/>
      <c r="DD362" s="35"/>
      <c r="DE362" s="35"/>
      <c r="DF362" s="35"/>
      <c r="DG362" s="35"/>
      <c r="DH362" s="35"/>
      <c r="DI362" s="35"/>
      <c r="DJ362" s="35"/>
    </row>
    <row r="363" spans="1:114" x14ac:dyDescent="0.25">
      <c r="A363" s="34"/>
      <c r="B363" s="34"/>
      <c r="C363" s="34"/>
      <c r="D363" s="34"/>
      <c r="E363" s="34"/>
      <c r="F363" s="34"/>
      <c r="G363" s="34"/>
      <c r="H363" s="34"/>
      <c r="I363" s="34"/>
      <c r="J363" s="34"/>
      <c r="K363" s="34"/>
      <c r="L363" s="34"/>
      <c r="M363" s="34"/>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c r="CH363" s="35"/>
      <c r="CI363" s="35"/>
      <c r="CJ363" s="35"/>
      <c r="CK363" s="35"/>
      <c r="CL363" s="35"/>
      <c r="CM363" s="35"/>
      <c r="CN363" s="35"/>
      <c r="CO363" s="35"/>
      <c r="CP363" s="35"/>
      <c r="CQ363" s="35"/>
      <c r="CR363" s="35"/>
      <c r="CS363" s="35"/>
      <c r="CT363" s="35"/>
      <c r="CU363" s="35"/>
      <c r="CV363" s="35"/>
      <c r="CW363" s="35"/>
      <c r="CX363" s="35"/>
      <c r="CY363" s="35"/>
      <c r="CZ363" s="35"/>
      <c r="DA363" s="35"/>
      <c r="DB363" s="35"/>
      <c r="DC363" s="35"/>
      <c r="DD363" s="35"/>
      <c r="DE363" s="35"/>
      <c r="DF363" s="35"/>
      <c r="DG363" s="35"/>
      <c r="DH363" s="35"/>
      <c r="DI363" s="35"/>
      <c r="DJ363" s="35"/>
    </row>
    <row r="364" spans="1:114" x14ac:dyDescent="0.25">
      <c r="A364" s="34"/>
      <c r="B364" s="34"/>
      <c r="C364" s="34"/>
      <c r="D364" s="34"/>
      <c r="E364" s="34"/>
      <c r="F364" s="34"/>
      <c r="G364" s="34"/>
      <c r="H364" s="34"/>
      <c r="I364" s="34"/>
      <c r="J364" s="34"/>
      <c r="K364" s="34"/>
      <c r="L364" s="34"/>
      <c r="M364" s="34"/>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35"/>
      <c r="CS364" s="35"/>
      <c r="CT364" s="35"/>
      <c r="CU364" s="35"/>
      <c r="CV364" s="35"/>
      <c r="CW364" s="35"/>
      <c r="CX364" s="35"/>
      <c r="CY364" s="35"/>
      <c r="CZ364" s="35"/>
      <c r="DA364" s="35"/>
      <c r="DB364" s="35"/>
      <c r="DC364" s="35"/>
      <c r="DD364" s="35"/>
      <c r="DE364" s="35"/>
      <c r="DF364" s="35"/>
      <c r="DG364" s="35"/>
      <c r="DH364" s="35"/>
      <c r="DI364" s="35"/>
      <c r="DJ364" s="35"/>
    </row>
    <row r="365" spans="1:114" x14ac:dyDescent="0.25">
      <c r="A365" s="34"/>
      <c r="B365" s="34"/>
      <c r="C365" s="34"/>
      <c r="D365" s="34"/>
      <c r="E365" s="34"/>
      <c r="F365" s="34"/>
      <c r="G365" s="34"/>
      <c r="H365" s="34"/>
      <c r="I365" s="34"/>
      <c r="J365" s="34"/>
      <c r="K365" s="34"/>
      <c r="L365" s="34"/>
      <c r="M365" s="34"/>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c r="CL365" s="35"/>
      <c r="CM365" s="35"/>
      <c r="CN365" s="35"/>
      <c r="CO365" s="35"/>
      <c r="CP365" s="35"/>
      <c r="CQ365" s="35"/>
      <c r="CR365" s="35"/>
      <c r="CS365" s="35"/>
      <c r="CT365" s="35"/>
      <c r="CU365" s="35"/>
      <c r="CV365" s="35"/>
      <c r="CW365" s="35"/>
      <c r="CX365" s="35"/>
      <c r="CY365" s="35"/>
      <c r="CZ365" s="35"/>
      <c r="DA365" s="35"/>
      <c r="DB365" s="35"/>
      <c r="DC365" s="35"/>
      <c r="DD365" s="35"/>
      <c r="DE365" s="35"/>
      <c r="DF365" s="35"/>
      <c r="DG365" s="35"/>
      <c r="DH365" s="35"/>
      <c r="DI365" s="35"/>
      <c r="DJ365" s="35"/>
    </row>
    <row r="366" spans="1:114" x14ac:dyDescent="0.25">
      <c r="A366" s="34"/>
      <c r="B366" s="34"/>
      <c r="C366" s="34"/>
      <c r="D366" s="34"/>
      <c r="E366" s="34"/>
      <c r="F366" s="34"/>
      <c r="G366" s="34"/>
      <c r="H366" s="34"/>
      <c r="I366" s="34"/>
      <c r="J366" s="34"/>
      <c r="K366" s="34"/>
      <c r="L366" s="34"/>
      <c r="M366" s="34"/>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c r="CW366" s="35"/>
      <c r="CX366" s="35"/>
      <c r="CY366" s="35"/>
      <c r="CZ366" s="35"/>
      <c r="DA366" s="35"/>
      <c r="DB366" s="35"/>
      <c r="DC366" s="35"/>
      <c r="DD366" s="35"/>
      <c r="DE366" s="35"/>
      <c r="DF366" s="35"/>
      <c r="DG366" s="35"/>
      <c r="DH366" s="35"/>
      <c r="DI366" s="35"/>
      <c r="DJ366" s="35"/>
    </row>
    <row r="367" spans="1:114" x14ac:dyDescent="0.25">
      <c r="A367" s="34"/>
      <c r="B367" s="34"/>
      <c r="C367" s="34"/>
      <c r="D367" s="34"/>
      <c r="E367" s="34"/>
      <c r="F367" s="34"/>
      <c r="G367" s="34"/>
      <c r="H367" s="34"/>
      <c r="I367" s="34"/>
      <c r="J367" s="34"/>
      <c r="K367" s="34"/>
      <c r="L367" s="34"/>
      <c r="M367" s="34"/>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c r="CL367" s="35"/>
      <c r="CM367" s="35"/>
      <c r="CN367" s="35"/>
      <c r="CO367" s="35"/>
      <c r="CP367" s="35"/>
      <c r="CQ367" s="35"/>
      <c r="CR367" s="35"/>
      <c r="CS367" s="35"/>
      <c r="CT367" s="35"/>
      <c r="CU367" s="35"/>
      <c r="CV367" s="35"/>
      <c r="CW367" s="35"/>
      <c r="CX367" s="35"/>
      <c r="CY367" s="35"/>
      <c r="CZ367" s="35"/>
      <c r="DA367" s="35"/>
      <c r="DB367" s="35"/>
      <c r="DC367" s="35"/>
      <c r="DD367" s="35"/>
      <c r="DE367" s="35"/>
      <c r="DF367" s="35"/>
      <c r="DG367" s="35"/>
      <c r="DH367" s="35"/>
      <c r="DI367" s="35"/>
      <c r="DJ367" s="35"/>
    </row>
    <row r="368" spans="1:114" x14ac:dyDescent="0.25">
      <c r="A368" s="34"/>
      <c r="B368" s="34"/>
      <c r="C368" s="34"/>
      <c r="D368" s="34"/>
      <c r="E368" s="34"/>
      <c r="F368" s="34"/>
      <c r="G368" s="34"/>
      <c r="H368" s="34"/>
      <c r="I368" s="34"/>
      <c r="J368" s="34"/>
      <c r="K368" s="34"/>
      <c r="L368" s="34"/>
      <c r="M368" s="34"/>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row>
    <row r="369" spans="1:114" x14ac:dyDescent="0.25">
      <c r="A369" s="34"/>
      <c r="B369" s="34"/>
      <c r="C369" s="34"/>
      <c r="D369" s="34"/>
      <c r="E369" s="34"/>
      <c r="F369" s="34"/>
      <c r="G369" s="34"/>
      <c r="H369" s="34"/>
      <c r="I369" s="34"/>
      <c r="J369" s="34"/>
      <c r="K369" s="34"/>
      <c r="L369" s="34"/>
      <c r="M369" s="34"/>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c r="CL369" s="35"/>
      <c r="CM369" s="35"/>
      <c r="CN369" s="35"/>
      <c r="CO369" s="35"/>
      <c r="CP369" s="35"/>
      <c r="CQ369" s="35"/>
      <c r="CR369" s="35"/>
      <c r="CS369" s="35"/>
      <c r="CT369" s="35"/>
      <c r="CU369" s="35"/>
      <c r="CV369" s="35"/>
      <c r="CW369" s="35"/>
      <c r="CX369" s="35"/>
      <c r="CY369" s="35"/>
      <c r="CZ369" s="35"/>
      <c r="DA369" s="35"/>
      <c r="DB369" s="35"/>
      <c r="DC369" s="35"/>
      <c r="DD369" s="35"/>
      <c r="DE369" s="35"/>
      <c r="DF369" s="35"/>
      <c r="DG369" s="35"/>
      <c r="DH369" s="35"/>
      <c r="DI369" s="35"/>
      <c r="DJ369" s="35"/>
    </row>
    <row r="370" spans="1:114" x14ac:dyDescent="0.25">
      <c r="A370" s="34"/>
      <c r="B370" s="34"/>
      <c r="C370" s="34"/>
      <c r="D370" s="34"/>
      <c r="E370" s="34"/>
      <c r="F370" s="34"/>
      <c r="G370" s="34"/>
      <c r="H370" s="34"/>
      <c r="I370" s="34"/>
      <c r="J370" s="34"/>
      <c r="K370" s="34"/>
      <c r="L370" s="34"/>
      <c r="M370" s="34"/>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c r="CL370" s="35"/>
      <c r="CM370" s="35"/>
      <c r="CN370" s="35"/>
      <c r="CO370" s="35"/>
      <c r="CP370" s="35"/>
      <c r="CQ370" s="35"/>
      <c r="CR370" s="35"/>
      <c r="CS370" s="35"/>
      <c r="CT370" s="35"/>
      <c r="CU370" s="35"/>
      <c r="CV370" s="35"/>
      <c r="CW370" s="35"/>
      <c r="CX370" s="35"/>
      <c r="CY370" s="35"/>
      <c r="CZ370" s="35"/>
      <c r="DA370" s="35"/>
      <c r="DB370" s="35"/>
      <c r="DC370" s="35"/>
      <c r="DD370" s="35"/>
      <c r="DE370" s="35"/>
      <c r="DF370" s="35"/>
      <c r="DG370" s="35"/>
      <c r="DH370" s="35"/>
      <c r="DI370" s="35"/>
      <c r="DJ370" s="35"/>
    </row>
    <row r="371" spans="1:114" x14ac:dyDescent="0.25">
      <c r="A371" s="34"/>
      <c r="B371" s="34"/>
      <c r="C371" s="34"/>
      <c r="D371" s="34"/>
      <c r="E371" s="34"/>
      <c r="F371" s="34"/>
      <c r="G371" s="34"/>
      <c r="H371" s="34"/>
      <c r="I371" s="34"/>
      <c r="J371" s="34"/>
      <c r="K371" s="34"/>
      <c r="L371" s="34"/>
      <c r="M371" s="34"/>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c r="CH371" s="35"/>
      <c r="CI371" s="35"/>
      <c r="CJ371" s="35"/>
      <c r="CK371" s="35"/>
      <c r="CL371" s="35"/>
      <c r="CM371" s="35"/>
      <c r="CN371" s="35"/>
      <c r="CO371" s="35"/>
      <c r="CP371" s="35"/>
      <c r="CQ371" s="35"/>
      <c r="CR371" s="35"/>
      <c r="CS371" s="35"/>
      <c r="CT371" s="35"/>
      <c r="CU371" s="35"/>
      <c r="CV371" s="35"/>
      <c r="CW371" s="35"/>
      <c r="CX371" s="35"/>
      <c r="CY371" s="35"/>
      <c r="CZ371" s="35"/>
      <c r="DA371" s="35"/>
      <c r="DB371" s="35"/>
      <c r="DC371" s="35"/>
      <c r="DD371" s="35"/>
      <c r="DE371" s="35"/>
      <c r="DF371" s="35"/>
      <c r="DG371" s="35"/>
      <c r="DH371" s="35"/>
      <c r="DI371" s="35"/>
      <c r="DJ371" s="35"/>
    </row>
    <row r="372" spans="1:114" x14ac:dyDescent="0.25">
      <c r="A372" s="34"/>
      <c r="B372" s="34"/>
      <c r="C372" s="34"/>
      <c r="D372" s="34"/>
      <c r="E372" s="34"/>
      <c r="F372" s="34"/>
      <c r="G372" s="34"/>
      <c r="H372" s="34"/>
      <c r="I372" s="34"/>
      <c r="J372" s="34"/>
      <c r="K372" s="34"/>
      <c r="L372" s="34"/>
      <c r="M372" s="34"/>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c r="CL372" s="35"/>
      <c r="CM372" s="35"/>
      <c r="CN372" s="35"/>
      <c r="CO372" s="35"/>
      <c r="CP372" s="35"/>
      <c r="CQ372" s="35"/>
      <c r="CR372" s="35"/>
      <c r="CS372" s="35"/>
      <c r="CT372" s="35"/>
      <c r="CU372" s="35"/>
      <c r="CV372" s="35"/>
      <c r="CW372" s="35"/>
      <c r="CX372" s="35"/>
      <c r="CY372" s="35"/>
      <c r="CZ372" s="35"/>
      <c r="DA372" s="35"/>
      <c r="DB372" s="35"/>
      <c r="DC372" s="35"/>
      <c r="DD372" s="35"/>
      <c r="DE372" s="35"/>
      <c r="DF372" s="35"/>
      <c r="DG372" s="35"/>
      <c r="DH372" s="35"/>
      <c r="DI372" s="35"/>
      <c r="DJ372" s="35"/>
    </row>
    <row r="373" spans="1:114" x14ac:dyDescent="0.25">
      <c r="A373" s="34"/>
      <c r="B373" s="34"/>
      <c r="C373" s="34"/>
      <c r="D373" s="34"/>
      <c r="E373" s="34"/>
      <c r="F373" s="34"/>
      <c r="G373" s="34"/>
      <c r="H373" s="34"/>
      <c r="I373" s="34"/>
      <c r="J373" s="34"/>
      <c r="K373" s="34"/>
      <c r="L373" s="34"/>
      <c r="M373" s="34"/>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c r="DH373" s="35"/>
      <c r="DI373" s="35"/>
      <c r="DJ373" s="35"/>
    </row>
    <row r="374" spans="1:114" x14ac:dyDescent="0.25">
      <c r="A374" s="34"/>
      <c r="B374" s="34"/>
      <c r="C374" s="34"/>
      <c r="D374" s="34"/>
      <c r="E374" s="34"/>
      <c r="F374" s="34"/>
      <c r="G374" s="34"/>
      <c r="H374" s="34"/>
      <c r="I374" s="34"/>
      <c r="J374" s="34"/>
      <c r="K374" s="34"/>
      <c r="L374" s="34"/>
      <c r="M374" s="34"/>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c r="DH374" s="35"/>
      <c r="DI374" s="35"/>
      <c r="DJ374" s="35"/>
    </row>
    <row r="375" spans="1:114" x14ac:dyDescent="0.25">
      <c r="A375" s="34"/>
      <c r="B375" s="34"/>
      <c r="C375" s="34"/>
      <c r="D375" s="34"/>
      <c r="E375" s="34"/>
      <c r="F375" s="34"/>
      <c r="G375" s="34"/>
      <c r="H375" s="34"/>
      <c r="I375" s="34"/>
      <c r="J375" s="34"/>
      <c r="K375" s="34"/>
      <c r="L375" s="34"/>
      <c r="M375" s="34"/>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c r="DH375" s="35"/>
      <c r="DI375" s="35"/>
      <c r="DJ375" s="35"/>
    </row>
    <row r="376" spans="1:114" x14ac:dyDescent="0.25">
      <c r="A376" s="34"/>
      <c r="B376" s="34"/>
      <c r="C376" s="34"/>
      <c r="D376" s="34"/>
      <c r="E376" s="34"/>
      <c r="F376" s="34"/>
      <c r="G376" s="34"/>
      <c r="H376" s="34"/>
      <c r="I376" s="34"/>
      <c r="J376" s="34"/>
      <c r="K376" s="34"/>
      <c r="L376" s="34"/>
      <c r="M376" s="34"/>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c r="DH376" s="35"/>
      <c r="DI376" s="35"/>
      <c r="DJ376" s="35"/>
    </row>
    <row r="377" spans="1:114" x14ac:dyDescent="0.25">
      <c r="A377" s="34"/>
      <c r="B377" s="34"/>
      <c r="C377" s="34"/>
      <c r="D377" s="34"/>
      <c r="E377" s="34"/>
      <c r="F377" s="34"/>
      <c r="G377" s="34"/>
      <c r="H377" s="34"/>
      <c r="I377" s="34"/>
      <c r="J377" s="34"/>
      <c r="K377" s="34"/>
      <c r="L377" s="34"/>
      <c r="M377" s="34"/>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row>
    <row r="378" spans="1:114" x14ac:dyDescent="0.25">
      <c r="A378" s="34"/>
      <c r="B378" s="34"/>
      <c r="C378" s="34"/>
      <c r="D378" s="34"/>
      <c r="E378" s="34"/>
      <c r="F378" s="34"/>
      <c r="G378" s="34"/>
      <c r="H378" s="34"/>
      <c r="I378" s="34"/>
      <c r="J378" s="34"/>
      <c r="K378" s="34"/>
      <c r="L378" s="34"/>
      <c r="M378" s="34"/>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c r="DH378" s="35"/>
      <c r="DI378" s="35"/>
      <c r="DJ378" s="35"/>
    </row>
    <row r="379" spans="1:114" x14ac:dyDescent="0.25">
      <c r="A379" s="34"/>
      <c r="B379" s="34"/>
      <c r="C379" s="34"/>
      <c r="D379" s="34"/>
      <c r="E379" s="34"/>
      <c r="F379" s="34"/>
      <c r="G379" s="34"/>
      <c r="H379" s="34"/>
      <c r="I379" s="34"/>
      <c r="J379" s="34"/>
      <c r="K379" s="34"/>
      <c r="L379" s="34"/>
      <c r="M379" s="34"/>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row>
    <row r="380" spans="1:114" x14ac:dyDescent="0.25">
      <c r="A380" s="34"/>
      <c r="B380" s="34"/>
      <c r="C380" s="34"/>
      <c r="D380" s="34"/>
      <c r="E380" s="34"/>
      <c r="F380" s="34"/>
      <c r="G380" s="34"/>
      <c r="H380" s="34"/>
      <c r="I380" s="34"/>
      <c r="J380" s="34"/>
      <c r="K380" s="34"/>
      <c r="L380" s="34"/>
      <c r="M380" s="34"/>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row>
    <row r="381" spans="1:114" x14ac:dyDescent="0.25">
      <c r="A381" s="34"/>
      <c r="B381" s="34"/>
      <c r="C381" s="34"/>
      <c r="D381" s="34"/>
      <c r="E381" s="34"/>
      <c r="F381" s="34"/>
      <c r="G381" s="34"/>
      <c r="H381" s="34"/>
      <c r="I381" s="34"/>
      <c r="J381" s="34"/>
      <c r="K381" s="34"/>
      <c r="L381" s="34"/>
      <c r="M381" s="34"/>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row>
    <row r="382" spans="1:114" x14ac:dyDescent="0.25">
      <c r="A382" s="34"/>
      <c r="B382" s="34"/>
      <c r="C382" s="34"/>
      <c r="D382" s="34"/>
      <c r="E382" s="34"/>
      <c r="F382" s="34"/>
      <c r="G382" s="34"/>
      <c r="H382" s="34"/>
      <c r="I382" s="34"/>
      <c r="J382" s="34"/>
      <c r="K382" s="34"/>
      <c r="L382" s="34"/>
      <c r="M382" s="34"/>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row>
    <row r="383" spans="1:114" x14ac:dyDescent="0.25">
      <c r="A383" s="34"/>
      <c r="B383" s="34"/>
      <c r="C383" s="34"/>
      <c r="D383" s="34"/>
      <c r="E383" s="34"/>
      <c r="F383" s="34"/>
      <c r="G383" s="34"/>
      <c r="H383" s="34"/>
      <c r="I383" s="34"/>
      <c r="J383" s="34"/>
      <c r="K383" s="34"/>
      <c r="L383" s="34"/>
      <c r="M383" s="34"/>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row>
    <row r="384" spans="1:114" x14ac:dyDescent="0.25">
      <c r="A384" s="34"/>
      <c r="B384" s="34"/>
      <c r="C384" s="34"/>
      <c r="D384" s="34"/>
      <c r="E384" s="34"/>
      <c r="F384" s="34"/>
      <c r="G384" s="34"/>
      <c r="H384" s="34"/>
      <c r="I384" s="34"/>
      <c r="J384" s="34"/>
      <c r="K384" s="34"/>
      <c r="L384" s="34"/>
      <c r="M384" s="34"/>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c r="DH384" s="35"/>
      <c r="DI384" s="35"/>
      <c r="DJ384" s="35"/>
    </row>
    <row r="385" spans="1:114" x14ac:dyDescent="0.25">
      <c r="A385" s="34"/>
      <c r="B385" s="34"/>
      <c r="C385" s="34"/>
      <c r="D385" s="34"/>
      <c r="E385" s="34"/>
      <c r="F385" s="34"/>
      <c r="G385" s="34"/>
      <c r="H385" s="34"/>
      <c r="I385" s="34"/>
      <c r="J385" s="34"/>
      <c r="K385" s="34"/>
      <c r="L385" s="34"/>
      <c r="M385" s="34"/>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c r="DH385" s="35"/>
      <c r="DI385" s="35"/>
      <c r="DJ385" s="35"/>
    </row>
    <row r="386" spans="1:114" x14ac:dyDescent="0.25">
      <c r="A386" s="34"/>
      <c r="B386" s="34"/>
      <c r="C386" s="34"/>
      <c r="D386" s="34"/>
      <c r="E386" s="34"/>
      <c r="F386" s="34"/>
      <c r="G386" s="34"/>
      <c r="H386" s="34"/>
      <c r="I386" s="34"/>
      <c r="J386" s="34"/>
      <c r="K386" s="34"/>
      <c r="L386" s="34"/>
      <c r="M386" s="34"/>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row>
    <row r="387" spans="1:114" x14ac:dyDescent="0.25">
      <c r="A387" s="34"/>
      <c r="B387" s="34"/>
      <c r="C387" s="34"/>
      <c r="D387" s="34"/>
      <c r="E387" s="34"/>
      <c r="F387" s="34"/>
      <c r="G387" s="34"/>
      <c r="H387" s="34"/>
      <c r="I387" s="34"/>
      <c r="J387" s="34"/>
      <c r="K387" s="34"/>
      <c r="L387" s="34"/>
      <c r="M387" s="34"/>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c r="DH387" s="35"/>
      <c r="DI387" s="35"/>
      <c r="DJ387" s="35"/>
    </row>
    <row r="388" spans="1:114" x14ac:dyDescent="0.25">
      <c r="A388" s="34"/>
      <c r="B388" s="34"/>
      <c r="C388" s="34"/>
      <c r="D388" s="34"/>
      <c r="E388" s="34"/>
      <c r="F388" s="34"/>
      <c r="G388" s="34"/>
      <c r="H388" s="34"/>
      <c r="I388" s="34"/>
      <c r="J388" s="34"/>
      <c r="K388" s="34"/>
      <c r="L388" s="34"/>
      <c r="M388" s="34"/>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row>
    <row r="389" spans="1:114" x14ac:dyDescent="0.25">
      <c r="A389" s="34"/>
      <c r="B389" s="34"/>
      <c r="C389" s="34"/>
      <c r="D389" s="34"/>
      <c r="E389" s="34"/>
      <c r="F389" s="34"/>
      <c r="G389" s="34"/>
      <c r="H389" s="34"/>
      <c r="I389" s="34"/>
      <c r="J389" s="34"/>
      <c r="K389" s="34"/>
      <c r="L389" s="34"/>
      <c r="M389" s="34"/>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row>
    <row r="390" spans="1:114" x14ac:dyDescent="0.25">
      <c r="A390" s="34"/>
      <c r="B390" s="34"/>
      <c r="C390" s="34"/>
      <c r="D390" s="34"/>
      <c r="E390" s="34"/>
      <c r="F390" s="34"/>
      <c r="G390" s="34"/>
      <c r="H390" s="34"/>
      <c r="I390" s="34"/>
      <c r="J390" s="34"/>
      <c r="K390" s="34"/>
      <c r="L390" s="34"/>
      <c r="M390" s="34"/>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row>
    <row r="391" spans="1:114" x14ac:dyDescent="0.25">
      <c r="A391" s="34"/>
      <c r="B391" s="34"/>
      <c r="C391" s="34"/>
      <c r="D391" s="34"/>
      <c r="E391" s="34"/>
      <c r="F391" s="34"/>
      <c r="G391" s="34"/>
      <c r="H391" s="34"/>
      <c r="I391" s="34"/>
      <c r="J391" s="34"/>
      <c r="K391" s="34"/>
      <c r="L391" s="34"/>
      <c r="M391" s="34"/>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c r="CZ391" s="35"/>
      <c r="DA391" s="35"/>
      <c r="DB391" s="35"/>
      <c r="DC391" s="35"/>
      <c r="DD391" s="35"/>
      <c r="DE391" s="35"/>
      <c r="DF391" s="35"/>
      <c r="DG391" s="35"/>
      <c r="DH391" s="35"/>
      <c r="DI391" s="35"/>
      <c r="DJ391" s="35"/>
    </row>
    <row r="392" spans="1:114" x14ac:dyDescent="0.25">
      <c r="A392" s="34"/>
      <c r="B392" s="34"/>
      <c r="C392" s="34"/>
      <c r="D392" s="34"/>
      <c r="E392" s="34"/>
      <c r="F392" s="34"/>
      <c r="G392" s="34"/>
      <c r="H392" s="34"/>
      <c r="I392" s="34"/>
      <c r="J392" s="34"/>
      <c r="K392" s="34"/>
      <c r="L392" s="34"/>
      <c r="M392" s="34"/>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c r="CZ392" s="35"/>
      <c r="DA392" s="35"/>
      <c r="DB392" s="35"/>
      <c r="DC392" s="35"/>
      <c r="DD392" s="35"/>
      <c r="DE392" s="35"/>
      <c r="DF392" s="35"/>
      <c r="DG392" s="35"/>
      <c r="DH392" s="35"/>
      <c r="DI392" s="35"/>
      <c r="DJ392" s="35"/>
    </row>
    <row r="393" spans="1:114" x14ac:dyDescent="0.25">
      <c r="A393" s="34"/>
      <c r="B393" s="34"/>
      <c r="C393" s="34"/>
      <c r="D393" s="34"/>
      <c r="E393" s="34"/>
      <c r="F393" s="34"/>
      <c r="G393" s="34"/>
      <c r="H393" s="34"/>
      <c r="I393" s="34"/>
      <c r="J393" s="34"/>
      <c r="K393" s="34"/>
      <c r="L393" s="34"/>
      <c r="M393" s="34"/>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c r="CZ393" s="35"/>
      <c r="DA393" s="35"/>
      <c r="DB393" s="35"/>
      <c r="DC393" s="35"/>
      <c r="DD393" s="35"/>
      <c r="DE393" s="35"/>
      <c r="DF393" s="35"/>
      <c r="DG393" s="35"/>
      <c r="DH393" s="35"/>
      <c r="DI393" s="35"/>
      <c r="DJ393" s="35"/>
    </row>
    <row r="394" spans="1:114" x14ac:dyDescent="0.25">
      <c r="A394" s="34"/>
      <c r="B394" s="34"/>
      <c r="C394" s="34"/>
      <c r="D394" s="34"/>
      <c r="E394" s="34"/>
      <c r="F394" s="34"/>
      <c r="G394" s="34"/>
      <c r="H394" s="34"/>
      <c r="I394" s="34"/>
      <c r="J394" s="34"/>
      <c r="K394" s="34"/>
      <c r="L394" s="34"/>
      <c r="M394" s="34"/>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c r="CZ394" s="35"/>
      <c r="DA394" s="35"/>
      <c r="DB394" s="35"/>
      <c r="DC394" s="35"/>
      <c r="DD394" s="35"/>
      <c r="DE394" s="35"/>
      <c r="DF394" s="35"/>
      <c r="DG394" s="35"/>
      <c r="DH394" s="35"/>
      <c r="DI394" s="35"/>
      <c r="DJ394" s="35"/>
    </row>
    <row r="395" spans="1:114" x14ac:dyDescent="0.25">
      <c r="A395" s="34"/>
      <c r="B395" s="34"/>
      <c r="C395" s="34"/>
      <c r="D395" s="34"/>
      <c r="E395" s="34"/>
      <c r="F395" s="34"/>
      <c r="G395" s="34"/>
      <c r="H395" s="34"/>
      <c r="I395" s="34"/>
      <c r="J395" s="34"/>
      <c r="K395" s="34"/>
      <c r="L395" s="34"/>
      <c r="M395" s="34"/>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c r="DH395" s="35"/>
      <c r="DI395" s="35"/>
      <c r="DJ395" s="35"/>
    </row>
    <row r="396" spans="1:114" x14ac:dyDescent="0.25">
      <c r="A396" s="34"/>
      <c r="B396" s="34"/>
      <c r="C396" s="34"/>
      <c r="D396" s="34"/>
      <c r="E396" s="34"/>
      <c r="F396" s="34"/>
      <c r="G396" s="34"/>
      <c r="H396" s="34"/>
      <c r="I396" s="34"/>
      <c r="J396" s="34"/>
      <c r="K396" s="34"/>
      <c r="L396" s="34"/>
      <c r="M396" s="34"/>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row>
    <row r="397" spans="1:114" x14ac:dyDescent="0.25">
      <c r="A397" s="34"/>
      <c r="B397" s="34"/>
      <c r="C397" s="34"/>
      <c r="D397" s="34"/>
      <c r="E397" s="34"/>
      <c r="F397" s="34"/>
      <c r="G397" s="34"/>
      <c r="H397" s="34"/>
      <c r="I397" s="34"/>
      <c r="J397" s="34"/>
      <c r="K397" s="34"/>
      <c r="L397" s="34"/>
      <c r="M397" s="34"/>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c r="DH397" s="35"/>
      <c r="DI397" s="35"/>
      <c r="DJ397" s="35"/>
    </row>
    <row r="398" spans="1:114" x14ac:dyDescent="0.25">
      <c r="A398" s="34"/>
      <c r="B398" s="34"/>
      <c r="C398" s="34"/>
      <c r="D398" s="34"/>
      <c r="E398" s="34"/>
      <c r="F398" s="34"/>
      <c r="G398" s="34"/>
      <c r="H398" s="34"/>
      <c r="I398" s="34"/>
      <c r="J398" s="34"/>
      <c r="K398" s="34"/>
      <c r="L398" s="34"/>
      <c r="M398" s="34"/>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c r="CZ398" s="35"/>
      <c r="DA398" s="35"/>
      <c r="DB398" s="35"/>
      <c r="DC398" s="35"/>
      <c r="DD398" s="35"/>
      <c r="DE398" s="35"/>
      <c r="DF398" s="35"/>
      <c r="DG398" s="35"/>
      <c r="DH398" s="35"/>
      <c r="DI398" s="35"/>
      <c r="DJ398" s="35"/>
    </row>
    <row r="399" spans="1:114" x14ac:dyDescent="0.25">
      <c r="A399" s="34"/>
      <c r="B399" s="34"/>
      <c r="C399" s="34"/>
      <c r="D399" s="34"/>
      <c r="E399" s="34"/>
      <c r="F399" s="34"/>
      <c r="G399" s="34"/>
      <c r="H399" s="34"/>
      <c r="I399" s="34"/>
      <c r="J399" s="34"/>
      <c r="K399" s="34"/>
      <c r="L399" s="34"/>
      <c r="M399" s="34"/>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c r="CZ399" s="35"/>
      <c r="DA399" s="35"/>
      <c r="DB399" s="35"/>
      <c r="DC399" s="35"/>
      <c r="DD399" s="35"/>
      <c r="DE399" s="35"/>
      <c r="DF399" s="35"/>
      <c r="DG399" s="35"/>
      <c r="DH399" s="35"/>
      <c r="DI399" s="35"/>
      <c r="DJ399" s="35"/>
    </row>
    <row r="400" spans="1:114" x14ac:dyDescent="0.25">
      <c r="A400" s="34"/>
      <c r="B400" s="34"/>
      <c r="C400" s="34"/>
      <c r="D400" s="34"/>
      <c r="E400" s="34"/>
      <c r="F400" s="34"/>
      <c r="G400" s="34"/>
      <c r="H400" s="34"/>
      <c r="I400" s="34"/>
      <c r="J400" s="34"/>
      <c r="K400" s="34"/>
      <c r="L400" s="34"/>
      <c r="M400" s="34"/>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c r="CZ400" s="35"/>
      <c r="DA400" s="35"/>
      <c r="DB400" s="35"/>
      <c r="DC400" s="35"/>
      <c r="DD400" s="35"/>
      <c r="DE400" s="35"/>
      <c r="DF400" s="35"/>
      <c r="DG400" s="35"/>
      <c r="DH400" s="35"/>
      <c r="DI400" s="35"/>
      <c r="DJ400" s="35"/>
    </row>
    <row r="401" spans="1:114" x14ac:dyDescent="0.25">
      <c r="A401" s="34"/>
      <c r="B401" s="34"/>
      <c r="C401" s="34"/>
      <c r="D401" s="34"/>
      <c r="E401" s="34"/>
      <c r="F401" s="34"/>
      <c r="G401" s="34"/>
      <c r="H401" s="34"/>
      <c r="I401" s="34"/>
      <c r="J401" s="34"/>
      <c r="K401" s="34"/>
      <c r="L401" s="34"/>
      <c r="M401" s="34"/>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row>
    <row r="402" spans="1:114" x14ac:dyDescent="0.25">
      <c r="A402" s="34"/>
      <c r="B402" s="34"/>
      <c r="C402" s="34"/>
      <c r="D402" s="34"/>
      <c r="E402" s="34"/>
      <c r="F402" s="34"/>
      <c r="G402" s="34"/>
      <c r="H402" s="34"/>
      <c r="I402" s="34"/>
      <c r="J402" s="34"/>
      <c r="K402" s="34"/>
      <c r="L402" s="34"/>
      <c r="M402" s="34"/>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row>
    <row r="403" spans="1:114" x14ac:dyDescent="0.25">
      <c r="A403" s="34"/>
      <c r="B403" s="34"/>
      <c r="C403" s="34"/>
      <c r="D403" s="34"/>
      <c r="E403" s="34"/>
      <c r="F403" s="34"/>
      <c r="G403" s="34"/>
      <c r="H403" s="34"/>
      <c r="I403" s="34"/>
      <c r="J403" s="34"/>
      <c r="K403" s="34"/>
      <c r="L403" s="34"/>
      <c r="M403" s="34"/>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row>
    <row r="404" spans="1:114" x14ac:dyDescent="0.25">
      <c r="A404" s="34"/>
      <c r="B404" s="34"/>
      <c r="C404" s="34"/>
      <c r="D404" s="34"/>
      <c r="E404" s="34"/>
      <c r="F404" s="34"/>
      <c r="G404" s="34"/>
      <c r="H404" s="34"/>
      <c r="I404" s="34"/>
      <c r="J404" s="34"/>
      <c r="K404" s="34"/>
      <c r="L404" s="34"/>
      <c r="M404" s="34"/>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35"/>
      <c r="DD404" s="35"/>
      <c r="DE404" s="35"/>
      <c r="DF404" s="35"/>
      <c r="DG404" s="35"/>
      <c r="DH404" s="35"/>
      <c r="DI404" s="35"/>
      <c r="DJ404" s="35"/>
    </row>
    <row r="405" spans="1:114" x14ac:dyDescent="0.25">
      <c r="A405" s="34"/>
      <c r="B405" s="34"/>
      <c r="C405" s="34"/>
      <c r="D405" s="34"/>
      <c r="E405" s="34"/>
      <c r="F405" s="34"/>
      <c r="G405" s="34"/>
      <c r="H405" s="34"/>
      <c r="I405" s="34"/>
      <c r="J405" s="34"/>
      <c r="K405" s="34"/>
      <c r="L405" s="34"/>
      <c r="M405" s="34"/>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row>
    <row r="406" spans="1:114" x14ac:dyDescent="0.25">
      <c r="A406" s="34"/>
      <c r="B406" s="34"/>
      <c r="C406" s="34"/>
      <c r="D406" s="34"/>
      <c r="E406" s="34"/>
      <c r="F406" s="34"/>
      <c r="G406" s="34"/>
      <c r="H406" s="34"/>
      <c r="I406" s="34"/>
      <c r="J406" s="34"/>
      <c r="K406" s="34"/>
      <c r="L406" s="34"/>
      <c r="M406" s="34"/>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row>
    <row r="407" spans="1:114" x14ac:dyDescent="0.25">
      <c r="A407" s="34"/>
      <c r="B407" s="34"/>
      <c r="C407" s="34"/>
      <c r="D407" s="34"/>
      <c r="E407" s="34"/>
      <c r="F407" s="34"/>
      <c r="G407" s="34"/>
      <c r="H407" s="34"/>
      <c r="I407" s="34"/>
      <c r="J407" s="34"/>
      <c r="K407" s="34"/>
      <c r="L407" s="34"/>
      <c r="M407" s="34"/>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row>
    <row r="408" spans="1:114" x14ac:dyDescent="0.25">
      <c r="A408" s="34"/>
      <c r="B408" s="34"/>
      <c r="C408" s="34"/>
      <c r="D408" s="34"/>
      <c r="E408" s="34"/>
      <c r="F408" s="34"/>
      <c r="G408" s="34"/>
      <c r="H408" s="34"/>
      <c r="I408" s="34"/>
      <c r="J408" s="34"/>
      <c r="K408" s="34"/>
      <c r="L408" s="34"/>
      <c r="M408" s="34"/>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row>
    <row r="409" spans="1:114" x14ac:dyDescent="0.25">
      <c r="A409" s="34"/>
      <c r="B409" s="34"/>
      <c r="C409" s="34"/>
      <c r="D409" s="34"/>
      <c r="E409" s="34"/>
      <c r="F409" s="34"/>
      <c r="G409" s="34"/>
      <c r="H409" s="34"/>
      <c r="I409" s="34"/>
      <c r="J409" s="34"/>
      <c r="K409" s="34"/>
      <c r="L409" s="34"/>
      <c r="M409" s="34"/>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c r="CG409" s="35"/>
      <c r="CH409" s="35"/>
      <c r="CI409" s="35"/>
      <c r="CJ409" s="35"/>
      <c r="CK409" s="35"/>
      <c r="CL409" s="35"/>
      <c r="CM409" s="35"/>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row>
    <row r="410" spans="1:114" x14ac:dyDescent="0.25">
      <c r="A410" s="34"/>
      <c r="B410" s="34"/>
      <c r="C410" s="34"/>
      <c r="D410" s="34"/>
      <c r="E410" s="34"/>
      <c r="F410" s="34"/>
      <c r="G410" s="34"/>
      <c r="H410" s="34"/>
      <c r="I410" s="34"/>
      <c r="J410" s="34"/>
      <c r="K410" s="34"/>
      <c r="L410" s="34"/>
      <c r="M410" s="34"/>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row>
    <row r="411" spans="1:114" x14ac:dyDescent="0.25">
      <c r="A411" s="34"/>
      <c r="B411" s="34"/>
      <c r="C411" s="34"/>
      <c r="D411" s="34"/>
      <c r="E411" s="34"/>
      <c r="F411" s="34"/>
      <c r="G411" s="34"/>
      <c r="H411" s="34"/>
      <c r="I411" s="34"/>
      <c r="J411" s="34"/>
      <c r="K411" s="34"/>
      <c r="L411" s="34"/>
      <c r="M411" s="34"/>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row>
    <row r="412" spans="1:114" x14ac:dyDescent="0.25">
      <c r="A412" s="34"/>
      <c r="B412" s="34"/>
      <c r="C412" s="34"/>
      <c r="D412" s="34"/>
      <c r="E412" s="34"/>
      <c r="F412" s="34"/>
      <c r="G412" s="34"/>
      <c r="H412" s="34"/>
      <c r="I412" s="34"/>
      <c r="J412" s="34"/>
      <c r="K412" s="34"/>
      <c r="L412" s="34"/>
      <c r="M412" s="34"/>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row>
    <row r="413" spans="1:114" x14ac:dyDescent="0.25">
      <c r="A413" s="34"/>
      <c r="B413" s="34"/>
      <c r="C413" s="34"/>
      <c r="D413" s="34"/>
      <c r="E413" s="34"/>
      <c r="F413" s="34"/>
      <c r="G413" s="34"/>
      <c r="H413" s="34"/>
      <c r="I413" s="34"/>
      <c r="J413" s="34"/>
      <c r="K413" s="34"/>
      <c r="L413" s="34"/>
      <c r="M413" s="34"/>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row>
    <row r="414" spans="1:114" x14ac:dyDescent="0.25">
      <c r="A414" s="34"/>
      <c r="B414" s="34"/>
      <c r="C414" s="34"/>
      <c r="D414" s="34"/>
      <c r="E414" s="34"/>
      <c r="F414" s="34"/>
      <c r="G414" s="34"/>
      <c r="H414" s="34"/>
      <c r="I414" s="34"/>
      <c r="J414" s="34"/>
      <c r="K414" s="34"/>
      <c r="L414" s="34"/>
      <c r="M414" s="34"/>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c r="CG414" s="35"/>
      <c r="CH414" s="35"/>
      <c r="CI414" s="35"/>
      <c r="CJ414" s="35"/>
      <c r="CK414" s="35"/>
      <c r="CL414" s="35"/>
      <c r="CM414" s="35"/>
      <c r="CN414" s="35"/>
      <c r="CO414" s="35"/>
      <c r="CP414" s="35"/>
      <c r="CQ414" s="35"/>
      <c r="CR414" s="35"/>
      <c r="CS414" s="35"/>
      <c r="CT414" s="35"/>
      <c r="CU414" s="35"/>
      <c r="CV414" s="35"/>
      <c r="CW414" s="35"/>
      <c r="CX414" s="35"/>
      <c r="CY414" s="35"/>
      <c r="CZ414" s="35"/>
      <c r="DA414" s="35"/>
      <c r="DB414" s="35"/>
      <c r="DC414" s="35"/>
      <c r="DD414" s="35"/>
      <c r="DE414" s="35"/>
      <c r="DF414" s="35"/>
      <c r="DG414" s="35"/>
      <c r="DH414" s="35"/>
      <c r="DI414" s="35"/>
      <c r="DJ414" s="35"/>
    </row>
    <row r="415" spans="1:114" x14ac:dyDescent="0.25">
      <c r="A415" s="34"/>
      <c r="B415" s="34"/>
      <c r="C415" s="34"/>
      <c r="D415" s="34"/>
      <c r="E415" s="34"/>
      <c r="F415" s="34"/>
      <c r="G415" s="34"/>
      <c r="H415" s="34"/>
      <c r="I415" s="34"/>
      <c r="J415" s="34"/>
      <c r="K415" s="34"/>
      <c r="L415" s="34"/>
      <c r="M415" s="34"/>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c r="CG415" s="35"/>
      <c r="CH415" s="35"/>
      <c r="CI415" s="35"/>
      <c r="CJ415" s="35"/>
      <c r="CK415" s="35"/>
      <c r="CL415" s="35"/>
      <c r="CM415" s="35"/>
      <c r="CN415" s="35"/>
      <c r="CO415" s="35"/>
      <c r="CP415" s="35"/>
      <c r="CQ415" s="35"/>
      <c r="CR415" s="35"/>
      <c r="CS415" s="35"/>
      <c r="CT415" s="35"/>
      <c r="CU415" s="35"/>
      <c r="CV415" s="35"/>
      <c r="CW415" s="35"/>
      <c r="CX415" s="35"/>
      <c r="CY415" s="35"/>
      <c r="CZ415" s="35"/>
      <c r="DA415" s="35"/>
      <c r="DB415" s="35"/>
      <c r="DC415" s="35"/>
      <c r="DD415" s="35"/>
      <c r="DE415" s="35"/>
      <c r="DF415" s="35"/>
      <c r="DG415" s="35"/>
      <c r="DH415" s="35"/>
      <c r="DI415" s="35"/>
      <c r="DJ415" s="35"/>
    </row>
    <row r="416" spans="1:114" x14ac:dyDescent="0.25">
      <c r="A416" s="34"/>
      <c r="B416" s="34"/>
      <c r="C416" s="34"/>
      <c r="D416" s="34"/>
      <c r="E416" s="34"/>
      <c r="F416" s="34"/>
      <c r="G416" s="34"/>
      <c r="H416" s="34"/>
      <c r="I416" s="34"/>
      <c r="J416" s="34"/>
      <c r="K416" s="34"/>
      <c r="L416" s="34"/>
      <c r="M416" s="34"/>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c r="CZ416" s="35"/>
      <c r="DA416" s="35"/>
      <c r="DB416" s="35"/>
      <c r="DC416" s="35"/>
      <c r="DD416" s="35"/>
      <c r="DE416" s="35"/>
      <c r="DF416" s="35"/>
      <c r="DG416" s="35"/>
      <c r="DH416" s="35"/>
      <c r="DI416" s="35"/>
      <c r="DJ416" s="35"/>
    </row>
    <row r="417" spans="1:114" x14ac:dyDescent="0.25">
      <c r="A417" s="34"/>
      <c r="B417" s="34"/>
      <c r="C417" s="34"/>
      <c r="D417" s="34"/>
      <c r="E417" s="34"/>
      <c r="F417" s="34"/>
      <c r="G417" s="34"/>
      <c r="H417" s="34"/>
      <c r="I417" s="34"/>
      <c r="J417" s="34"/>
      <c r="K417" s="34"/>
      <c r="L417" s="34"/>
      <c r="M417" s="34"/>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c r="CZ417" s="35"/>
      <c r="DA417" s="35"/>
      <c r="DB417" s="35"/>
      <c r="DC417" s="35"/>
      <c r="DD417" s="35"/>
      <c r="DE417" s="35"/>
      <c r="DF417" s="35"/>
      <c r="DG417" s="35"/>
      <c r="DH417" s="35"/>
      <c r="DI417" s="35"/>
      <c r="DJ417" s="35"/>
    </row>
    <row r="418" spans="1:114" x14ac:dyDescent="0.25">
      <c r="A418" s="34"/>
      <c r="B418" s="34"/>
      <c r="C418" s="34"/>
      <c r="D418" s="34"/>
      <c r="E418" s="34"/>
      <c r="F418" s="34"/>
      <c r="G418" s="34"/>
      <c r="H418" s="34"/>
      <c r="I418" s="34"/>
      <c r="J418" s="34"/>
      <c r="K418" s="34"/>
      <c r="L418" s="34"/>
      <c r="M418" s="34"/>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c r="CZ418" s="35"/>
      <c r="DA418" s="35"/>
      <c r="DB418" s="35"/>
      <c r="DC418" s="35"/>
      <c r="DD418" s="35"/>
      <c r="DE418" s="35"/>
      <c r="DF418" s="35"/>
      <c r="DG418" s="35"/>
      <c r="DH418" s="35"/>
      <c r="DI418" s="35"/>
      <c r="DJ418" s="35"/>
    </row>
    <row r="419" spans="1:114" x14ac:dyDescent="0.25">
      <c r="A419" s="34"/>
      <c r="B419" s="34"/>
      <c r="C419" s="34"/>
      <c r="D419" s="34"/>
      <c r="E419" s="34"/>
      <c r="F419" s="34"/>
      <c r="G419" s="34"/>
      <c r="H419" s="34"/>
      <c r="I419" s="34"/>
      <c r="J419" s="34"/>
      <c r="K419" s="34"/>
      <c r="L419" s="34"/>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c r="DH419" s="35"/>
      <c r="DI419" s="35"/>
      <c r="DJ419" s="35"/>
    </row>
    <row r="420" spans="1:114" x14ac:dyDescent="0.25">
      <c r="A420" s="34"/>
      <c r="B420" s="34"/>
      <c r="C420" s="34"/>
      <c r="D420" s="34"/>
      <c r="E420" s="34"/>
      <c r="F420" s="34"/>
      <c r="G420" s="34"/>
      <c r="H420" s="34"/>
      <c r="I420" s="34"/>
      <c r="J420" s="34"/>
      <c r="K420" s="34"/>
      <c r="L420" s="34"/>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c r="CZ420" s="35"/>
      <c r="DA420" s="35"/>
      <c r="DB420" s="35"/>
      <c r="DC420" s="35"/>
      <c r="DD420" s="35"/>
      <c r="DE420" s="35"/>
      <c r="DF420" s="35"/>
      <c r="DG420" s="35"/>
      <c r="DH420" s="35"/>
      <c r="DI420" s="35"/>
      <c r="DJ420" s="35"/>
    </row>
    <row r="421" spans="1:114" x14ac:dyDescent="0.25">
      <c r="A421" s="34"/>
      <c r="B421" s="34"/>
      <c r="C421" s="34"/>
      <c r="D421" s="34"/>
      <c r="E421" s="34"/>
      <c r="F421" s="34"/>
      <c r="G421" s="34"/>
      <c r="H421" s="34"/>
      <c r="I421" s="34"/>
      <c r="J421" s="34"/>
      <c r="K421" s="34"/>
      <c r="L421" s="34"/>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row>
    <row r="422" spans="1:114" x14ac:dyDescent="0.25">
      <c r="A422" s="34"/>
      <c r="B422" s="34"/>
      <c r="C422" s="34"/>
      <c r="D422" s="34"/>
      <c r="E422" s="34"/>
      <c r="F422" s="34"/>
      <c r="G422" s="34"/>
      <c r="H422" s="34"/>
      <c r="I422" s="34"/>
      <c r="J422" s="34"/>
      <c r="K422" s="34"/>
      <c r="L422" s="34"/>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row>
    <row r="423" spans="1:114" x14ac:dyDescent="0.25">
      <c r="A423" s="34"/>
      <c r="B423" s="34"/>
      <c r="C423" s="34"/>
      <c r="D423" s="34"/>
      <c r="E423" s="34"/>
      <c r="F423" s="34"/>
      <c r="G423" s="34"/>
      <c r="H423" s="34"/>
      <c r="I423" s="34"/>
      <c r="J423" s="34"/>
      <c r="K423" s="34"/>
      <c r="L423" s="34"/>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c r="DH423" s="35"/>
      <c r="DI423" s="35"/>
      <c r="DJ423" s="35"/>
    </row>
    <row r="424" spans="1:114" x14ac:dyDescent="0.25">
      <c r="A424" s="34"/>
      <c r="B424" s="34"/>
      <c r="C424" s="34"/>
      <c r="D424" s="34"/>
      <c r="E424" s="34"/>
      <c r="F424" s="34"/>
      <c r="G424" s="34"/>
      <c r="H424" s="34"/>
      <c r="I424" s="34"/>
      <c r="J424" s="34"/>
      <c r="K424" s="34"/>
      <c r="L424" s="34"/>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c r="DH424" s="35"/>
      <c r="DI424" s="35"/>
      <c r="DJ424" s="35"/>
    </row>
    <row r="425" spans="1:114" x14ac:dyDescent="0.25">
      <c r="A425" s="34"/>
      <c r="B425" s="34"/>
      <c r="C425" s="34"/>
      <c r="D425" s="34"/>
      <c r="E425" s="34"/>
      <c r="F425" s="34"/>
      <c r="G425" s="34"/>
      <c r="H425" s="34"/>
      <c r="I425" s="34"/>
      <c r="J425" s="34"/>
      <c r="K425" s="34"/>
      <c r="L425" s="34"/>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row>
    <row r="426" spans="1:114" x14ac:dyDescent="0.25">
      <c r="A426" s="34"/>
      <c r="B426" s="34"/>
      <c r="C426" s="34"/>
      <c r="D426" s="34"/>
      <c r="E426" s="34"/>
      <c r="F426" s="34"/>
      <c r="G426" s="34"/>
      <c r="H426" s="34"/>
      <c r="I426" s="34"/>
      <c r="J426" s="34"/>
      <c r="K426" s="34"/>
      <c r="L426" s="34"/>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c r="DH426" s="35"/>
      <c r="DI426" s="35"/>
      <c r="DJ426" s="35"/>
    </row>
    <row r="427" spans="1:114" x14ac:dyDescent="0.25">
      <c r="A427" s="34"/>
      <c r="B427" s="34"/>
      <c r="C427" s="34"/>
      <c r="D427" s="34"/>
      <c r="E427" s="34"/>
      <c r="F427" s="34"/>
      <c r="G427" s="34"/>
      <c r="H427" s="34"/>
      <c r="I427" s="34"/>
      <c r="J427" s="34"/>
      <c r="K427" s="34"/>
      <c r="L427" s="34"/>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c r="DH427" s="35"/>
      <c r="DI427" s="35"/>
      <c r="DJ427" s="35"/>
    </row>
    <row r="428" spans="1:114" x14ac:dyDescent="0.25">
      <c r="A428" s="34"/>
      <c r="B428" s="34"/>
      <c r="C428" s="34"/>
      <c r="D428" s="34"/>
      <c r="E428" s="34"/>
      <c r="F428" s="34"/>
      <c r="G428" s="34"/>
      <c r="H428" s="34"/>
      <c r="I428" s="34"/>
      <c r="J428" s="34"/>
      <c r="K428" s="34"/>
      <c r="L428" s="34"/>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c r="DH428" s="35"/>
      <c r="DI428" s="35"/>
      <c r="DJ428" s="35"/>
    </row>
    <row r="429" spans="1:114" x14ac:dyDescent="0.25">
      <c r="A429" s="34"/>
      <c r="B429" s="34"/>
      <c r="C429" s="34"/>
      <c r="D429" s="34"/>
      <c r="E429" s="34"/>
      <c r="F429" s="34"/>
      <c r="G429" s="34"/>
      <c r="H429" s="34"/>
      <c r="I429" s="34"/>
      <c r="J429" s="34"/>
      <c r="K429" s="34"/>
      <c r="L429" s="34"/>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c r="DH429" s="35"/>
      <c r="DI429" s="35"/>
      <c r="DJ429" s="35"/>
    </row>
    <row r="430" spans="1:114" x14ac:dyDescent="0.25">
      <c r="A430" s="34"/>
      <c r="B430" s="34"/>
      <c r="C430" s="34"/>
      <c r="D430" s="34"/>
      <c r="E430" s="34"/>
      <c r="F430" s="34"/>
      <c r="G430" s="34"/>
      <c r="H430" s="34"/>
      <c r="I430" s="34"/>
      <c r="J430" s="34"/>
      <c r="K430" s="34"/>
      <c r="L430" s="34"/>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c r="DH430" s="35"/>
      <c r="DI430" s="35"/>
      <c r="DJ430" s="35"/>
    </row>
    <row r="431" spans="1:114" x14ac:dyDescent="0.25">
      <c r="A431" s="34"/>
      <c r="B431" s="34"/>
      <c r="C431" s="34"/>
      <c r="D431" s="34"/>
      <c r="E431" s="34"/>
      <c r="F431" s="34"/>
      <c r="G431" s="34"/>
      <c r="H431" s="34"/>
      <c r="I431" s="34"/>
      <c r="J431" s="34"/>
      <c r="K431" s="34"/>
      <c r="L431" s="34"/>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c r="DH431" s="35"/>
      <c r="DI431" s="35"/>
      <c r="DJ431" s="35"/>
    </row>
    <row r="432" spans="1:114" x14ac:dyDescent="0.25">
      <c r="A432" s="34"/>
      <c r="B432" s="34"/>
      <c r="C432" s="34"/>
      <c r="D432" s="34"/>
      <c r="E432" s="34"/>
      <c r="F432" s="34"/>
      <c r="G432" s="34"/>
      <c r="H432" s="34"/>
      <c r="I432" s="34"/>
      <c r="J432" s="34"/>
      <c r="K432" s="34"/>
      <c r="L432" s="34"/>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row>
    <row r="433" spans="1:114" x14ac:dyDescent="0.25">
      <c r="A433" s="34"/>
      <c r="B433" s="34"/>
      <c r="C433" s="34"/>
      <c r="D433" s="34"/>
      <c r="E433" s="34"/>
      <c r="F433" s="34"/>
      <c r="G433" s="34"/>
      <c r="H433" s="34"/>
      <c r="I433" s="34"/>
      <c r="J433" s="34"/>
      <c r="K433" s="34"/>
      <c r="L433" s="34"/>
      <c r="M433" s="34"/>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row>
    <row r="434" spans="1:114" x14ac:dyDescent="0.25">
      <c r="A434" s="34"/>
      <c r="B434" s="34"/>
      <c r="C434" s="34"/>
      <c r="D434" s="34"/>
      <c r="E434" s="34"/>
      <c r="F434" s="34"/>
      <c r="G434" s="34"/>
      <c r="H434" s="34"/>
      <c r="I434" s="34"/>
      <c r="J434" s="34"/>
      <c r="K434" s="34"/>
      <c r="L434" s="34"/>
      <c r="M434" s="34"/>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row>
    <row r="435" spans="1:114" x14ac:dyDescent="0.25">
      <c r="A435" s="34"/>
      <c r="B435" s="34"/>
      <c r="C435" s="34"/>
      <c r="D435" s="34"/>
      <c r="E435" s="34"/>
      <c r="F435" s="34"/>
      <c r="G435" s="34"/>
      <c r="H435" s="34"/>
      <c r="I435" s="34"/>
      <c r="J435" s="34"/>
      <c r="K435" s="34"/>
      <c r="L435" s="34"/>
      <c r="M435" s="34"/>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row>
    <row r="436" spans="1:114" x14ac:dyDescent="0.25">
      <c r="A436" s="34"/>
      <c r="B436" s="34"/>
      <c r="C436" s="34"/>
      <c r="D436" s="34"/>
      <c r="E436" s="34"/>
      <c r="F436" s="34"/>
      <c r="G436" s="34"/>
      <c r="H436" s="34"/>
      <c r="I436" s="34"/>
      <c r="J436" s="34"/>
      <c r="K436" s="34"/>
      <c r="L436" s="34"/>
      <c r="M436" s="34"/>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row>
    <row r="437" spans="1:114" x14ac:dyDescent="0.25">
      <c r="A437" s="34"/>
      <c r="B437" s="34"/>
      <c r="C437" s="34"/>
      <c r="D437" s="34"/>
      <c r="E437" s="34"/>
      <c r="F437" s="34"/>
      <c r="G437" s="34"/>
      <c r="H437" s="34"/>
      <c r="I437" s="34"/>
      <c r="J437" s="34"/>
      <c r="K437" s="34"/>
      <c r="L437" s="34"/>
      <c r="M437" s="34"/>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row>
    <row r="438" spans="1:114" x14ac:dyDescent="0.25">
      <c r="A438" s="34"/>
      <c r="B438" s="34"/>
      <c r="C438" s="34"/>
      <c r="D438" s="34"/>
      <c r="E438" s="34"/>
      <c r="F438" s="34"/>
      <c r="G438" s="34"/>
      <c r="H438" s="34"/>
      <c r="I438" s="34"/>
      <c r="J438" s="34"/>
      <c r="K438" s="34"/>
      <c r="L438" s="34"/>
      <c r="M438" s="34"/>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row>
    <row r="439" spans="1:114" x14ac:dyDescent="0.25">
      <c r="A439" s="34"/>
      <c r="B439" s="34"/>
      <c r="C439" s="34"/>
      <c r="D439" s="34"/>
      <c r="E439" s="34"/>
      <c r="F439" s="34"/>
      <c r="G439" s="34"/>
      <c r="H439" s="34"/>
      <c r="I439" s="34"/>
      <c r="J439" s="34"/>
      <c r="K439" s="34"/>
      <c r="L439" s="34"/>
      <c r="M439" s="34"/>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row>
    <row r="440" spans="1:114" x14ac:dyDescent="0.25">
      <c r="A440" s="34"/>
      <c r="B440" s="34"/>
      <c r="C440" s="34"/>
      <c r="D440" s="34"/>
      <c r="E440" s="34"/>
      <c r="F440" s="34"/>
      <c r="G440" s="34"/>
      <c r="H440" s="34"/>
      <c r="I440" s="34"/>
      <c r="J440" s="34"/>
      <c r="K440" s="34"/>
      <c r="L440" s="34"/>
      <c r="M440" s="34"/>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row>
    <row r="441" spans="1:114" x14ac:dyDescent="0.25">
      <c r="A441" s="34"/>
      <c r="B441" s="34"/>
      <c r="C441" s="34"/>
      <c r="D441" s="34"/>
      <c r="E441" s="34"/>
      <c r="F441" s="34"/>
      <c r="G441" s="34"/>
      <c r="H441" s="34"/>
      <c r="I441" s="34"/>
      <c r="J441" s="34"/>
      <c r="K441" s="34"/>
      <c r="L441" s="34"/>
      <c r="M441" s="34"/>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row>
    <row r="442" spans="1:114" x14ac:dyDescent="0.25">
      <c r="A442" s="34"/>
      <c r="B442" s="34"/>
      <c r="C442" s="34"/>
      <c r="D442" s="34"/>
      <c r="E442" s="34"/>
      <c r="F442" s="34"/>
      <c r="G442" s="34"/>
      <c r="H442" s="34"/>
      <c r="I442" s="34"/>
      <c r="J442" s="34"/>
      <c r="K442" s="34"/>
      <c r="L442" s="34"/>
      <c r="M442" s="34"/>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row>
    <row r="443" spans="1:114" x14ac:dyDescent="0.25">
      <c r="A443" s="34"/>
      <c r="B443" s="34"/>
      <c r="C443" s="34"/>
      <c r="D443" s="34"/>
      <c r="E443" s="34"/>
      <c r="F443" s="34"/>
      <c r="G443" s="34"/>
      <c r="H443" s="34"/>
      <c r="I443" s="34"/>
      <c r="J443" s="34"/>
      <c r="K443" s="34"/>
      <c r="L443" s="34"/>
      <c r="M443" s="34"/>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row>
    <row r="444" spans="1:114" x14ac:dyDescent="0.25">
      <c r="A444" s="34"/>
      <c r="B444" s="34"/>
      <c r="C444" s="34"/>
      <c r="D444" s="34"/>
      <c r="E444" s="34"/>
      <c r="F444" s="34"/>
      <c r="G444" s="34"/>
      <c r="H444" s="34"/>
      <c r="I444" s="34"/>
      <c r="J444" s="34"/>
      <c r="K444" s="34"/>
      <c r="L444" s="34"/>
      <c r="M444" s="34"/>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row>
    <row r="445" spans="1:114" x14ac:dyDescent="0.25">
      <c r="A445" s="34"/>
      <c r="B445" s="34"/>
      <c r="C445" s="34"/>
      <c r="D445" s="34"/>
      <c r="E445" s="34"/>
      <c r="F445" s="34"/>
      <c r="G445" s="34"/>
      <c r="H445" s="34"/>
      <c r="I445" s="34"/>
      <c r="J445" s="34"/>
      <c r="K445" s="34"/>
      <c r="L445" s="34"/>
      <c r="M445" s="34"/>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row>
    <row r="446" spans="1:114" x14ac:dyDescent="0.25">
      <c r="A446" s="34"/>
      <c r="B446" s="34"/>
      <c r="C446" s="34"/>
      <c r="D446" s="34"/>
      <c r="E446" s="34"/>
      <c r="F446" s="34"/>
      <c r="G446" s="34"/>
      <c r="H446" s="34"/>
      <c r="I446" s="34"/>
      <c r="J446" s="34"/>
      <c r="K446" s="34"/>
      <c r="L446" s="34"/>
      <c r="M446" s="34"/>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row>
    <row r="447" spans="1:114" x14ac:dyDescent="0.25">
      <c r="A447" s="34"/>
      <c r="B447" s="34"/>
      <c r="C447" s="34"/>
      <c r="D447" s="34"/>
      <c r="E447" s="34"/>
      <c r="F447" s="34"/>
      <c r="G447" s="34"/>
      <c r="H447" s="34"/>
      <c r="I447" s="34"/>
      <c r="J447" s="34"/>
      <c r="K447" s="34"/>
      <c r="L447" s="34"/>
      <c r="M447" s="34"/>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row>
    <row r="448" spans="1:114" x14ac:dyDescent="0.25">
      <c r="A448" s="34"/>
      <c r="B448" s="34"/>
      <c r="C448" s="34"/>
      <c r="D448" s="34"/>
      <c r="E448" s="34"/>
      <c r="F448" s="34"/>
      <c r="G448" s="34"/>
      <c r="H448" s="34"/>
      <c r="I448" s="34"/>
      <c r="J448" s="34"/>
      <c r="K448" s="34"/>
      <c r="L448" s="34"/>
      <c r="M448" s="34"/>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row>
    <row r="449" spans="1:114" x14ac:dyDescent="0.25">
      <c r="A449" s="34"/>
      <c r="B449" s="34"/>
      <c r="C449" s="34"/>
      <c r="D449" s="34"/>
      <c r="E449" s="34"/>
      <c r="F449" s="34"/>
      <c r="G449" s="34"/>
      <c r="H449" s="34"/>
      <c r="I449" s="34"/>
      <c r="J449" s="34"/>
      <c r="K449" s="34"/>
      <c r="L449" s="34"/>
      <c r="M449" s="34"/>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row>
    <row r="450" spans="1:114" x14ac:dyDescent="0.25">
      <c r="A450" s="34"/>
      <c r="B450" s="34"/>
      <c r="C450" s="34"/>
      <c r="D450" s="34"/>
      <c r="E450" s="34"/>
      <c r="F450" s="34"/>
      <c r="G450" s="34"/>
      <c r="H450" s="34"/>
      <c r="I450" s="34"/>
      <c r="J450" s="34"/>
      <c r="K450" s="34"/>
      <c r="L450" s="34"/>
      <c r="M450" s="34"/>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row>
    <row r="451" spans="1:114" x14ac:dyDescent="0.25">
      <c r="A451" s="34"/>
      <c r="B451" s="34"/>
      <c r="C451" s="34"/>
      <c r="D451" s="34"/>
      <c r="E451" s="34"/>
      <c r="F451" s="34"/>
      <c r="G451" s="34"/>
      <c r="H451" s="34"/>
      <c r="I451" s="34"/>
      <c r="J451" s="34"/>
      <c r="K451" s="34"/>
      <c r="L451" s="34"/>
      <c r="M451" s="34"/>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row>
    <row r="452" spans="1:114" x14ac:dyDescent="0.25">
      <c r="A452" s="34"/>
      <c r="B452" s="34"/>
      <c r="C452" s="34"/>
      <c r="D452" s="34"/>
      <c r="E452" s="34"/>
      <c r="F452" s="34"/>
      <c r="G452" s="34"/>
      <c r="H452" s="34"/>
      <c r="I452" s="34"/>
      <c r="J452" s="34"/>
      <c r="K452" s="34"/>
      <c r="L452" s="34"/>
      <c r="M452" s="34"/>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row>
    <row r="453" spans="1:114" x14ac:dyDescent="0.25">
      <c r="A453" s="34"/>
      <c r="B453" s="34"/>
      <c r="C453" s="34"/>
      <c r="D453" s="34"/>
      <c r="E453" s="34"/>
      <c r="F453" s="34"/>
      <c r="G453" s="34"/>
      <c r="H453" s="34"/>
      <c r="I453" s="34"/>
      <c r="J453" s="34"/>
      <c r="K453" s="34"/>
      <c r="L453" s="34"/>
      <c r="M453" s="34"/>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row>
    <row r="454" spans="1:114" x14ac:dyDescent="0.25">
      <c r="A454" s="34"/>
      <c r="B454" s="34"/>
      <c r="C454" s="34"/>
      <c r="D454" s="34"/>
      <c r="E454" s="34"/>
      <c r="F454" s="34"/>
      <c r="G454" s="34"/>
      <c r="H454" s="34"/>
      <c r="I454" s="34"/>
      <c r="J454" s="34"/>
      <c r="K454" s="34"/>
      <c r="L454" s="34"/>
      <c r="M454" s="34"/>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row>
    <row r="455" spans="1:114" x14ac:dyDescent="0.25">
      <c r="A455" s="34"/>
      <c r="B455" s="34"/>
      <c r="C455" s="34"/>
      <c r="D455" s="34"/>
      <c r="E455" s="34"/>
      <c r="F455" s="34"/>
      <c r="G455" s="34"/>
      <c r="H455" s="34"/>
      <c r="I455" s="34"/>
      <c r="J455" s="34"/>
      <c r="K455" s="34"/>
      <c r="L455" s="34"/>
      <c r="M455" s="34"/>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row>
    <row r="456" spans="1:114" x14ac:dyDescent="0.25">
      <c r="A456" s="34"/>
      <c r="B456" s="34"/>
      <c r="C456" s="34"/>
      <c r="D456" s="34"/>
      <c r="E456" s="34"/>
      <c r="F456" s="34"/>
      <c r="G456" s="34"/>
      <c r="H456" s="34"/>
      <c r="I456" s="34"/>
      <c r="J456" s="34"/>
      <c r="K456" s="34"/>
      <c r="L456" s="34"/>
      <c r="M456" s="34"/>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row>
    <row r="457" spans="1:114" x14ac:dyDescent="0.25">
      <c r="A457" s="34"/>
      <c r="B457" s="34"/>
      <c r="C457" s="34"/>
      <c r="D457" s="34"/>
      <c r="E457" s="34"/>
      <c r="F457" s="34"/>
      <c r="G457" s="34"/>
      <c r="H457" s="34"/>
      <c r="I457" s="34"/>
      <c r="J457" s="34"/>
      <c r="K457" s="34"/>
      <c r="L457" s="34"/>
      <c r="M457" s="34"/>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row>
    <row r="458" spans="1:114" x14ac:dyDescent="0.25">
      <c r="A458" s="34"/>
      <c r="B458" s="34"/>
      <c r="C458" s="34"/>
      <c r="D458" s="34"/>
      <c r="E458" s="34"/>
      <c r="F458" s="34"/>
      <c r="G458" s="34"/>
      <c r="H458" s="34"/>
      <c r="I458" s="34"/>
      <c r="J458" s="34"/>
      <c r="K458" s="34"/>
      <c r="L458" s="34"/>
      <c r="M458" s="34"/>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row>
    <row r="459" spans="1:114" x14ac:dyDescent="0.25">
      <c r="A459" s="34"/>
      <c r="B459" s="34"/>
      <c r="C459" s="34"/>
      <c r="D459" s="34"/>
      <c r="E459" s="34"/>
      <c r="F459" s="34"/>
      <c r="G459" s="34"/>
      <c r="H459" s="34"/>
      <c r="I459" s="34"/>
      <c r="J459" s="34"/>
      <c r="K459" s="34"/>
      <c r="L459" s="34"/>
      <c r="M459" s="34"/>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row>
    <row r="460" spans="1:114" x14ac:dyDescent="0.25">
      <c r="A460" s="34"/>
      <c r="B460" s="34"/>
      <c r="C460" s="34"/>
      <c r="D460" s="34"/>
      <c r="E460" s="34"/>
      <c r="F460" s="34"/>
      <c r="G460" s="34"/>
      <c r="H460" s="34"/>
      <c r="I460" s="34"/>
      <c r="J460" s="34"/>
      <c r="K460" s="34"/>
      <c r="L460" s="34"/>
      <c r="M460" s="34"/>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row>
    <row r="461" spans="1:114" x14ac:dyDescent="0.25">
      <c r="A461" s="34"/>
      <c r="B461" s="34"/>
      <c r="C461" s="34"/>
      <c r="D461" s="34"/>
      <c r="E461" s="34"/>
      <c r="F461" s="34"/>
      <c r="G461" s="34"/>
      <c r="H461" s="34"/>
      <c r="I461" s="34"/>
      <c r="J461" s="34"/>
      <c r="K461" s="34"/>
      <c r="L461" s="34"/>
      <c r="M461" s="34"/>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row>
    <row r="462" spans="1:114" x14ac:dyDescent="0.25">
      <c r="A462" s="34"/>
      <c r="B462" s="34"/>
      <c r="C462" s="34"/>
      <c r="D462" s="34"/>
      <c r="E462" s="34"/>
      <c r="F462" s="34"/>
      <c r="G462" s="34"/>
      <c r="H462" s="34"/>
      <c r="I462" s="34"/>
      <c r="J462" s="34"/>
      <c r="K462" s="34"/>
      <c r="L462" s="34"/>
      <c r="M462" s="34"/>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row>
    <row r="463" spans="1:114" x14ac:dyDescent="0.25">
      <c r="A463" s="34"/>
      <c r="B463" s="34"/>
      <c r="C463" s="34"/>
      <c r="D463" s="34"/>
      <c r="E463" s="34"/>
      <c r="F463" s="34"/>
      <c r="G463" s="34"/>
      <c r="H463" s="34"/>
      <c r="I463" s="34"/>
      <c r="J463" s="34"/>
      <c r="K463" s="34"/>
      <c r="L463" s="34"/>
      <c r="M463" s="34"/>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row>
    <row r="464" spans="1:114" x14ac:dyDescent="0.25">
      <c r="A464" s="34"/>
      <c r="B464" s="34"/>
      <c r="C464" s="34"/>
      <c r="D464" s="34"/>
      <c r="E464" s="34"/>
      <c r="F464" s="34"/>
      <c r="G464" s="34"/>
      <c r="H464" s="34"/>
      <c r="I464" s="34"/>
      <c r="J464" s="34"/>
      <c r="K464" s="34"/>
      <c r="L464" s="34"/>
      <c r="M464" s="34"/>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row>
    <row r="465" spans="1:114" x14ac:dyDescent="0.25">
      <c r="A465" s="34"/>
      <c r="B465" s="34"/>
      <c r="C465" s="34"/>
      <c r="D465" s="34"/>
      <c r="E465" s="34"/>
      <c r="F465" s="34"/>
      <c r="G465" s="34"/>
      <c r="H465" s="34"/>
      <c r="I465" s="34"/>
      <c r="J465" s="34"/>
      <c r="K465" s="34"/>
      <c r="L465" s="34"/>
      <c r="M465" s="34"/>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row>
    <row r="466" spans="1:114" x14ac:dyDescent="0.25">
      <c r="A466" s="34"/>
      <c r="B466" s="34"/>
      <c r="C466" s="34"/>
      <c r="D466" s="34"/>
      <c r="E466" s="34"/>
      <c r="F466" s="34"/>
      <c r="G466" s="34"/>
      <c r="H466" s="34"/>
      <c r="I466" s="34"/>
      <c r="J466" s="34"/>
      <c r="K466" s="34"/>
      <c r="L466" s="34"/>
      <c r="M466" s="34"/>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row>
    <row r="467" spans="1:114" x14ac:dyDescent="0.25">
      <c r="A467" s="34"/>
      <c r="B467" s="34"/>
      <c r="C467" s="34"/>
      <c r="D467" s="34"/>
      <c r="E467" s="34"/>
      <c r="F467" s="34"/>
      <c r="G467" s="34"/>
      <c r="H467" s="34"/>
      <c r="I467" s="34"/>
      <c r="J467" s="34"/>
      <c r="K467" s="34"/>
      <c r="L467" s="34"/>
      <c r="M467" s="34"/>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row>
    <row r="468" spans="1:114" x14ac:dyDescent="0.25">
      <c r="A468" s="34"/>
      <c r="B468" s="34"/>
      <c r="C468" s="34"/>
      <c r="D468" s="34"/>
      <c r="E468" s="34"/>
      <c r="F468" s="34"/>
      <c r="G468" s="34"/>
      <c r="H468" s="34"/>
      <c r="I468" s="34"/>
      <c r="J468" s="34"/>
      <c r="K468" s="34"/>
      <c r="L468" s="34"/>
      <c r="M468" s="34"/>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row>
    <row r="469" spans="1:114" x14ac:dyDescent="0.25">
      <c r="A469" s="34"/>
      <c r="B469" s="34"/>
      <c r="C469" s="34"/>
      <c r="D469" s="34"/>
      <c r="E469" s="34"/>
      <c r="F469" s="34"/>
      <c r="G469" s="34"/>
      <c r="H469" s="34"/>
      <c r="I469" s="34"/>
      <c r="J469" s="34"/>
      <c r="K469" s="34"/>
      <c r="L469" s="34"/>
      <c r="M469" s="34"/>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row>
    <row r="470" spans="1:114" x14ac:dyDescent="0.25">
      <c r="A470" s="34"/>
      <c r="B470" s="34"/>
      <c r="C470" s="34"/>
      <c r="D470" s="34"/>
      <c r="E470" s="34"/>
      <c r="F470" s="34"/>
      <c r="G470" s="34"/>
      <c r="H470" s="34"/>
      <c r="I470" s="34"/>
      <c r="J470" s="34"/>
      <c r="K470" s="34"/>
      <c r="L470" s="34"/>
      <c r="M470" s="34"/>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row>
    <row r="471" spans="1:114" x14ac:dyDescent="0.25">
      <c r="A471" s="34"/>
      <c r="B471" s="34"/>
      <c r="C471" s="34"/>
      <c r="D471" s="34"/>
      <c r="E471" s="34"/>
      <c r="F471" s="34"/>
      <c r="G471" s="34"/>
      <c r="H471" s="34"/>
      <c r="I471" s="34"/>
      <c r="J471" s="34"/>
      <c r="K471" s="34"/>
      <c r="L471" s="34"/>
      <c r="M471" s="34"/>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row>
    <row r="472" spans="1:114" x14ac:dyDescent="0.25">
      <c r="A472" s="34"/>
      <c r="B472" s="34"/>
      <c r="C472" s="34"/>
      <c r="D472" s="34"/>
      <c r="E472" s="34"/>
      <c r="F472" s="34"/>
      <c r="G472" s="34"/>
      <c r="H472" s="34"/>
      <c r="I472" s="34"/>
      <c r="J472" s="34"/>
      <c r="K472" s="34"/>
      <c r="L472" s="34"/>
      <c r="M472" s="34"/>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row>
    <row r="473" spans="1:114" x14ac:dyDescent="0.25">
      <c r="A473" s="34"/>
      <c r="B473" s="34"/>
      <c r="C473" s="34"/>
      <c r="D473" s="34"/>
      <c r="E473" s="34"/>
      <c r="F473" s="34"/>
      <c r="G473" s="34"/>
      <c r="H473" s="34"/>
      <c r="I473" s="34"/>
      <c r="J473" s="34"/>
      <c r="K473" s="34"/>
      <c r="L473" s="34"/>
      <c r="M473" s="34"/>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row>
    <row r="474" spans="1:114" x14ac:dyDescent="0.25">
      <c r="A474" s="34"/>
      <c r="B474" s="34"/>
      <c r="C474" s="34"/>
      <c r="D474" s="34"/>
      <c r="E474" s="34"/>
      <c r="F474" s="34"/>
      <c r="G474" s="34"/>
      <c r="H474" s="34"/>
      <c r="I474" s="34"/>
      <c r="J474" s="34"/>
      <c r="K474" s="34"/>
      <c r="L474" s="34"/>
      <c r="M474" s="34"/>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row>
    <row r="475" spans="1:114" x14ac:dyDescent="0.25">
      <c r="A475" s="34"/>
      <c r="B475" s="34"/>
      <c r="C475" s="34"/>
      <c r="D475" s="34"/>
      <c r="E475" s="34"/>
      <c r="F475" s="34"/>
      <c r="G475" s="34"/>
      <c r="H475" s="34"/>
      <c r="I475" s="34"/>
      <c r="J475" s="34"/>
      <c r="K475" s="34"/>
      <c r="L475" s="34"/>
      <c r="M475" s="34"/>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row>
    <row r="476" spans="1:114" x14ac:dyDescent="0.25">
      <c r="A476" s="34"/>
      <c r="B476" s="34"/>
      <c r="C476" s="34"/>
      <c r="D476" s="34"/>
      <c r="E476" s="34"/>
      <c r="F476" s="34"/>
      <c r="G476" s="34"/>
      <c r="H476" s="34"/>
      <c r="I476" s="34"/>
      <c r="J476" s="34"/>
      <c r="K476" s="34"/>
      <c r="L476" s="34"/>
      <c r="M476" s="34"/>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row>
    <row r="477" spans="1:114" x14ac:dyDescent="0.25">
      <c r="A477" s="34"/>
      <c r="B477" s="34"/>
      <c r="C477" s="34"/>
      <c r="D477" s="34"/>
      <c r="E477" s="34"/>
      <c r="F477" s="34"/>
      <c r="G477" s="34"/>
      <c r="H477" s="34"/>
      <c r="I477" s="34"/>
      <c r="J477" s="34"/>
      <c r="K477" s="34"/>
      <c r="L477" s="34"/>
      <c r="M477" s="34"/>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row>
    <row r="478" spans="1:114" x14ac:dyDescent="0.25">
      <c r="A478" s="34"/>
      <c r="B478" s="34"/>
      <c r="C478" s="34"/>
      <c r="D478" s="34"/>
      <c r="E478" s="34"/>
      <c r="F478" s="34"/>
      <c r="G478" s="34"/>
      <c r="H478" s="34"/>
      <c r="I478" s="34"/>
      <c r="J478" s="34"/>
      <c r="K478" s="34"/>
      <c r="L478" s="34"/>
      <c r="M478" s="34"/>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row>
    <row r="479" spans="1:114" x14ac:dyDescent="0.25">
      <c r="A479" s="34"/>
      <c r="B479" s="34"/>
      <c r="C479" s="34"/>
      <c r="D479" s="34"/>
      <c r="E479" s="34"/>
      <c r="F479" s="34"/>
      <c r="G479" s="34"/>
      <c r="H479" s="34"/>
      <c r="I479" s="34"/>
      <c r="J479" s="34"/>
      <c r="K479" s="34"/>
      <c r="L479" s="34"/>
      <c r="M479" s="34"/>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row>
    <row r="480" spans="1:114" x14ac:dyDescent="0.25">
      <c r="A480" s="34"/>
      <c r="B480" s="34"/>
      <c r="C480" s="34"/>
      <c r="D480" s="34"/>
      <c r="E480" s="34"/>
      <c r="F480" s="34"/>
      <c r="G480" s="34"/>
      <c r="H480" s="34"/>
      <c r="I480" s="34"/>
      <c r="J480" s="34"/>
      <c r="K480" s="34"/>
      <c r="L480" s="34"/>
      <c r="M480" s="34"/>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row>
    <row r="481" spans="1:114" x14ac:dyDescent="0.25">
      <c r="A481" s="34"/>
      <c r="B481" s="34"/>
      <c r="C481" s="34"/>
      <c r="D481" s="34"/>
      <c r="E481" s="34"/>
      <c r="F481" s="34"/>
      <c r="G481" s="34"/>
      <c r="H481" s="34"/>
      <c r="I481" s="34"/>
      <c r="J481" s="34"/>
      <c r="K481" s="34"/>
      <c r="L481" s="34"/>
      <c r="M481" s="34"/>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row>
    <row r="482" spans="1:114" x14ac:dyDescent="0.25">
      <c r="A482" s="34"/>
      <c r="B482" s="34"/>
      <c r="C482" s="34"/>
      <c r="D482" s="34"/>
      <c r="E482" s="34"/>
      <c r="F482" s="34"/>
      <c r="G482" s="34"/>
      <c r="H482" s="34"/>
      <c r="I482" s="34"/>
      <c r="J482" s="34"/>
      <c r="K482" s="34"/>
      <c r="L482" s="34"/>
      <c r="M482" s="34"/>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row>
    <row r="483" spans="1:114" x14ac:dyDescent="0.25">
      <c r="A483" s="34"/>
      <c r="B483" s="34"/>
      <c r="C483" s="34"/>
      <c r="D483" s="34"/>
      <c r="E483" s="34"/>
      <c r="F483" s="34"/>
      <c r="G483" s="34"/>
      <c r="H483" s="34"/>
      <c r="I483" s="34"/>
      <c r="J483" s="34"/>
      <c r="K483" s="34"/>
      <c r="L483" s="34"/>
      <c r="M483" s="34"/>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row>
    <row r="484" spans="1:114" x14ac:dyDescent="0.25">
      <c r="A484" s="34"/>
      <c r="B484" s="34"/>
      <c r="C484" s="34"/>
      <c r="D484" s="34"/>
      <c r="E484" s="34"/>
      <c r="F484" s="34"/>
      <c r="G484" s="34"/>
      <c r="H484" s="34"/>
      <c r="I484" s="34"/>
      <c r="J484" s="34"/>
      <c r="K484" s="34"/>
      <c r="L484" s="34"/>
      <c r="M484" s="34"/>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row>
    <row r="485" spans="1:114" x14ac:dyDescent="0.25">
      <c r="A485" s="34"/>
      <c r="B485" s="34"/>
      <c r="C485" s="34"/>
      <c r="D485" s="34"/>
      <c r="E485" s="34"/>
      <c r="F485" s="34"/>
      <c r="G485" s="34"/>
      <c r="H485" s="34"/>
      <c r="I485" s="34"/>
      <c r="J485" s="34"/>
      <c r="K485" s="34"/>
      <c r="L485" s="34"/>
      <c r="M485" s="34"/>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row>
    <row r="486" spans="1:114" x14ac:dyDescent="0.25">
      <c r="A486" s="34"/>
      <c r="B486" s="34"/>
      <c r="C486" s="34"/>
      <c r="D486" s="34"/>
      <c r="E486" s="34"/>
      <c r="F486" s="34"/>
      <c r="G486" s="34"/>
      <c r="H486" s="34"/>
      <c r="I486" s="34"/>
      <c r="J486" s="34"/>
      <c r="K486" s="34"/>
      <c r="L486" s="34"/>
      <c r="M486" s="34"/>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row>
    <row r="487" spans="1:114" x14ac:dyDescent="0.25">
      <c r="A487" s="34"/>
      <c r="B487" s="34"/>
      <c r="C487" s="34"/>
      <c r="D487" s="34"/>
      <c r="E487" s="34"/>
      <c r="F487" s="34"/>
      <c r="G487" s="34"/>
      <c r="H487" s="34"/>
      <c r="I487" s="34"/>
      <c r="J487" s="34"/>
      <c r="K487" s="34"/>
      <c r="L487" s="34"/>
      <c r="M487" s="34"/>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row>
    <row r="488" spans="1:114" x14ac:dyDescent="0.25">
      <c r="A488" s="34"/>
      <c r="B488" s="34"/>
      <c r="C488" s="34"/>
      <c r="D488" s="34"/>
      <c r="E488" s="34"/>
      <c r="F488" s="34"/>
      <c r="G488" s="34"/>
      <c r="H488" s="34"/>
      <c r="I488" s="34"/>
      <c r="J488" s="34"/>
      <c r="K488" s="34"/>
      <c r="L488" s="34"/>
      <c r="M488" s="34"/>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row>
    <row r="489" spans="1:114" x14ac:dyDescent="0.25">
      <c r="A489" s="34"/>
      <c r="B489" s="34"/>
      <c r="C489" s="34"/>
      <c r="D489" s="34"/>
      <c r="E489" s="34"/>
      <c r="F489" s="34"/>
      <c r="G489" s="34"/>
      <c r="H489" s="34"/>
      <c r="I489" s="34"/>
      <c r="J489" s="34"/>
      <c r="K489" s="34"/>
      <c r="L489" s="34"/>
      <c r="M489" s="34"/>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row>
    <row r="490" spans="1:114" x14ac:dyDescent="0.25">
      <c r="A490" s="34"/>
      <c r="B490" s="34"/>
      <c r="C490" s="34"/>
      <c r="D490" s="34"/>
      <c r="E490" s="34"/>
      <c r="F490" s="34"/>
      <c r="G490" s="34"/>
      <c r="H490" s="34"/>
      <c r="I490" s="34"/>
      <c r="J490" s="34"/>
      <c r="K490" s="34"/>
      <c r="L490" s="34"/>
      <c r="M490" s="34"/>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row>
    <row r="491" spans="1:114" x14ac:dyDescent="0.25">
      <c r="A491" s="34"/>
      <c r="B491" s="34"/>
      <c r="C491" s="34"/>
      <c r="D491" s="34"/>
      <c r="E491" s="34"/>
      <c r="F491" s="34"/>
      <c r="G491" s="34"/>
      <c r="H491" s="34"/>
      <c r="I491" s="34"/>
      <c r="J491" s="34"/>
      <c r="K491" s="34"/>
      <c r="L491" s="34"/>
      <c r="M491" s="34"/>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row>
    <row r="492" spans="1:114" x14ac:dyDescent="0.25">
      <c r="A492" s="34"/>
      <c r="B492" s="34"/>
      <c r="C492" s="34"/>
      <c r="D492" s="34"/>
      <c r="E492" s="34"/>
      <c r="F492" s="34"/>
      <c r="G492" s="34"/>
      <c r="H492" s="34"/>
      <c r="I492" s="34"/>
      <c r="J492" s="34"/>
      <c r="K492" s="34"/>
      <c r="L492" s="34"/>
      <c r="M492" s="34"/>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row>
    <row r="493" spans="1:114" x14ac:dyDescent="0.25">
      <c r="A493" s="34"/>
      <c r="B493" s="34"/>
      <c r="C493" s="34"/>
      <c r="D493" s="34"/>
      <c r="E493" s="34"/>
      <c r="F493" s="34"/>
      <c r="G493" s="34"/>
      <c r="H493" s="34"/>
      <c r="I493" s="34"/>
      <c r="J493" s="34"/>
      <c r="K493" s="34"/>
      <c r="L493" s="34"/>
      <c r="M493" s="34"/>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row>
    <row r="494" spans="1:114" x14ac:dyDescent="0.25">
      <c r="A494" s="34"/>
      <c r="B494" s="34"/>
      <c r="C494" s="34"/>
      <c r="D494" s="34"/>
      <c r="E494" s="34"/>
      <c r="F494" s="34"/>
      <c r="G494" s="34"/>
      <c r="H494" s="34"/>
      <c r="I494" s="34"/>
      <c r="J494" s="34"/>
      <c r="K494" s="34"/>
      <c r="L494" s="34"/>
      <c r="M494" s="34"/>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row>
    <row r="495" spans="1:114" x14ac:dyDescent="0.25">
      <c r="A495" s="34"/>
      <c r="B495" s="34"/>
      <c r="C495" s="34"/>
      <c r="D495" s="34"/>
      <c r="E495" s="34"/>
      <c r="F495" s="34"/>
      <c r="G495" s="34"/>
      <c r="H495" s="34"/>
      <c r="I495" s="34"/>
      <c r="J495" s="34"/>
      <c r="K495" s="34"/>
      <c r="L495" s="34"/>
      <c r="M495" s="34"/>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row>
    <row r="496" spans="1:114" x14ac:dyDescent="0.25">
      <c r="A496" s="34"/>
      <c r="B496" s="34"/>
      <c r="C496" s="34"/>
      <c r="D496" s="34"/>
      <c r="E496" s="34"/>
      <c r="F496" s="34"/>
      <c r="G496" s="34"/>
      <c r="H496" s="34"/>
      <c r="I496" s="34"/>
      <c r="J496" s="34"/>
      <c r="K496" s="34"/>
      <c r="L496" s="34"/>
      <c r="M496" s="34"/>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row>
    <row r="497" spans="1:114" x14ac:dyDescent="0.25">
      <c r="A497" s="34"/>
      <c r="B497" s="34"/>
      <c r="C497" s="34"/>
      <c r="D497" s="34"/>
      <c r="E497" s="34"/>
      <c r="F497" s="34"/>
      <c r="G497" s="34"/>
      <c r="H497" s="34"/>
      <c r="I497" s="34"/>
      <c r="J497" s="34"/>
      <c r="K497" s="34"/>
      <c r="L497" s="34"/>
      <c r="M497" s="34"/>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row>
    <row r="498" spans="1:114" x14ac:dyDescent="0.25">
      <c r="A498" s="34"/>
      <c r="B498" s="34"/>
      <c r="C498" s="34"/>
      <c r="D498" s="34"/>
      <c r="E498" s="34"/>
      <c r="F498" s="34"/>
      <c r="G498" s="34"/>
      <c r="H498" s="34"/>
      <c r="I498" s="34"/>
      <c r="J498" s="34"/>
      <c r="K498" s="34"/>
      <c r="L498" s="34"/>
      <c r="M498" s="34"/>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row>
    <row r="499" spans="1:114" x14ac:dyDescent="0.25">
      <c r="A499" s="34"/>
      <c r="B499" s="34"/>
      <c r="C499" s="34"/>
      <c r="D499" s="34"/>
      <c r="E499" s="34"/>
      <c r="F499" s="34"/>
      <c r="G499" s="34"/>
      <c r="H499" s="34"/>
      <c r="I499" s="34"/>
      <c r="J499" s="34"/>
      <c r="K499" s="34"/>
      <c r="L499" s="34"/>
      <c r="M499" s="34"/>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row>
    <row r="500" spans="1:114" x14ac:dyDescent="0.25">
      <c r="A500" s="34"/>
      <c r="B500" s="34"/>
      <c r="C500" s="34"/>
      <c r="D500" s="34"/>
      <c r="E500" s="34"/>
      <c r="F500" s="34"/>
      <c r="G500" s="34"/>
      <c r="H500" s="34"/>
      <c r="I500" s="34"/>
      <c r="J500" s="34"/>
      <c r="K500" s="34"/>
      <c r="L500" s="34"/>
      <c r="M500" s="34"/>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row>
    <row r="501" spans="1:114" x14ac:dyDescent="0.25">
      <c r="A501" s="34"/>
      <c r="B501" s="34"/>
      <c r="C501" s="34"/>
      <c r="D501" s="34"/>
      <c r="E501" s="34"/>
      <c r="F501" s="34"/>
      <c r="G501" s="34"/>
      <c r="H501" s="34"/>
      <c r="I501" s="34"/>
      <c r="J501" s="34"/>
      <c r="K501" s="34"/>
      <c r="L501" s="34"/>
      <c r="M501" s="34"/>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row>
    <row r="502" spans="1:114" x14ac:dyDescent="0.25">
      <c r="A502" s="34"/>
      <c r="B502" s="34"/>
      <c r="C502" s="34"/>
      <c r="D502" s="34"/>
      <c r="E502" s="34"/>
      <c r="F502" s="34"/>
      <c r="G502" s="34"/>
      <c r="H502" s="34"/>
      <c r="I502" s="34"/>
      <c r="J502" s="34"/>
      <c r="K502" s="34"/>
      <c r="L502" s="34"/>
      <c r="M502" s="34"/>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row>
    <row r="503" spans="1:114" x14ac:dyDescent="0.25">
      <c r="A503" s="34"/>
      <c r="B503" s="34"/>
      <c r="C503" s="34"/>
      <c r="D503" s="34"/>
      <c r="E503" s="34"/>
      <c r="F503" s="34"/>
      <c r="G503" s="34"/>
      <c r="H503" s="34"/>
      <c r="I503" s="34"/>
      <c r="J503" s="34"/>
      <c r="K503" s="34"/>
      <c r="L503" s="34"/>
      <c r="M503" s="34"/>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row>
    <row r="504" spans="1:114" x14ac:dyDescent="0.25">
      <c r="A504" s="34"/>
      <c r="B504" s="34"/>
      <c r="C504" s="34"/>
      <c r="D504" s="34"/>
      <c r="E504" s="34"/>
      <c r="F504" s="34"/>
      <c r="G504" s="34"/>
      <c r="H504" s="34"/>
      <c r="I504" s="34"/>
      <c r="J504" s="34"/>
      <c r="K504" s="34"/>
      <c r="L504" s="34"/>
      <c r="M504" s="34"/>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row>
    <row r="505" spans="1:114" x14ac:dyDescent="0.25">
      <c r="A505" s="34"/>
      <c r="B505" s="34"/>
      <c r="C505" s="34"/>
      <c r="D505" s="34"/>
      <c r="E505" s="34"/>
      <c r="F505" s="34"/>
      <c r="G505" s="34"/>
      <c r="H505" s="34"/>
      <c r="I505" s="34"/>
      <c r="J505" s="34"/>
      <c r="K505" s="34"/>
      <c r="L505" s="34"/>
      <c r="M505" s="34"/>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row>
    <row r="506" spans="1:114" x14ac:dyDescent="0.25">
      <c r="A506" s="34"/>
      <c r="B506" s="34"/>
      <c r="C506" s="34"/>
      <c r="D506" s="34"/>
      <c r="E506" s="34"/>
      <c r="F506" s="34"/>
      <c r="G506" s="34"/>
      <c r="H506" s="34"/>
      <c r="I506" s="34"/>
      <c r="J506" s="34"/>
      <c r="K506" s="34"/>
      <c r="L506" s="34"/>
      <c r="M506" s="34"/>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row>
    <row r="507" spans="1:114" x14ac:dyDescent="0.25">
      <c r="A507" s="34"/>
      <c r="B507" s="34"/>
      <c r="C507" s="34"/>
      <c r="D507" s="34"/>
      <c r="E507" s="34"/>
      <c r="F507" s="34"/>
      <c r="G507" s="34"/>
      <c r="H507" s="34"/>
      <c r="I507" s="34"/>
      <c r="J507" s="34"/>
      <c r="K507" s="34"/>
      <c r="L507" s="34"/>
      <c r="M507" s="34"/>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row>
    <row r="508" spans="1:114" x14ac:dyDescent="0.25">
      <c r="A508" s="34"/>
      <c r="B508" s="34"/>
      <c r="C508" s="34"/>
      <c r="D508" s="34"/>
      <c r="E508" s="34"/>
      <c r="F508" s="34"/>
      <c r="G508" s="34"/>
      <c r="H508" s="34"/>
      <c r="I508" s="34"/>
      <c r="J508" s="34"/>
      <c r="K508" s="34"/>
      <c r="L508" s="34"/>
      <c r="M508" s="34"/>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row>
    <row r="509" spans="1:114" x14ac:dyDescent="0.25">
      <c r="A509" s="34"/>
      <c r="B509" s="34"/>
      <c r="C509" s="34"/>
      <c r="D509" s="34"/>
      <c r="E509" s="34"/>
      <c r="F509" s="34"/>
      <c r="G509" s="34"/>
      <c r="H509" s="34"/>
      <c r="I509" s="34"/>
      <c r="J509" s="34"/>
      <c r="K509" s="34"/>
      <c r="L509" s="34"/>
      <c r="M509" s="34"/>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row>
    <row r="510" spans="1:114" x14ac:dyDescent="0.25">
      <c r="A510" s="34"/>
      <c r="B510" s="34"/>
      <c r="C510" s="34"/>
      <c r="D510" s="34"/>
      <c r="E510" s="34"/>
      <c r="F510" s="34"/>
      <c r="G510" s="34"/>
      <c r="H510" s="34"/>
      <c r="I510" s="34"/>
      <c r="J510" s="34"/>
      <c r="K510" s="34"/>
      <c r="L510" s="34"/>
      <c r="M510" s="34"/>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row>
    <row r="511" spans="1:114" x14ac:dyDescent="0.25">
      <c r="A511" s="34"/>
      <c r="B511" s="34"/>
      <c r="C511" s="34"/>
      <c r="D511" s="34"/>
      <c r="E511" s="34"/>
      <c r="F511" s="34"/>
      <c r="G511" s="34"/>
      <c r="H511" s="34"/>
      <c r="I511" s="34"/>
      <c r="J511" s="34"/>
      <c r="K511" s="34"/>
      <c r="L511" s="34"/>
      <c r="M511" s="34"/>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row>
    <row r="512" spans="1:114" x14ac:dyDescent="0.25">
      <c r="A512" s="34"/>
      <c r="B512" s="34"/>
      <c r="C512" s="34"/>
      <c r="D512" s="34"/>
      <c r="E512" s="34"/>
      <c r="F512" s="34"/>
      <c r="G512" s="34"/>
      <c r="H512" s="34"/>
      <c r="I512" s="34"/>
      <c r="J512" s="34"/>
      <c r="K512" s="34"/>
      <c r="L512" s="34"/>
      <c r="M512" s="34"/>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row>
    <row r="513" spans="1:114" x14ac:dyDescent="0.25">
      <c r="A513" s="34"/>
      <c r="B513" s="34"/>
      <c r="C513" s="34"/>
      <c r="D513" s="34"/>
      <c r="E513" s="34"/>
      <c r="F513" s="34"/>
      <c r="G513" s="34"/>
      <c r="H513" s="34"/>
      <c r="I513" s="34"/>
      <c r="J513" s="34"/>
      <c r="K513" s="34"/>
      <c r="L513" s="34"/>
      <c r="M513" s="34"/>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row>
    <row r="514" spans="1:114" x14ac:dyDescent="0.25">
      <c r="A514" s="34"/>
      <c r="B514" s="34"/>
      <c r="C514" s="34"/>
      <c r="D514" s="34"/>
      <c r="E514" s="34"/>
      <c r="F514" s="34"/>
      <c r="G514" s="34"/>
      <c r="H514" s="34"/>
      <c r="I514" s="34"/>
      <c r="J514" s="34"/>
      <c r="K514" s="34"/>
      <c r="L514" s="34"/>
      <c r="M514" s="34"/>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row>
    <row r="515" spans="1:114" x14ac:dyDescent="0.25">
      <c r="A515" s="34"/>
      <c r="B515" s="34"/>
      <c r="C515" s="34"/>
      <c r="D515" s="34"/>
      <c r="E515" s="34"/>
      <c r="F515" s="34"/>
      <c r="G515" s="34"/>
      <c r="H515" s="34"/>
      <c r="I515" s="34"/>
      <c r="J515" s="34"/>
      <c r="K515" s="34"/>
      <c r="L515" s="34"/>
      <c r="M515" s="34"/>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row>
    <row r="516" spans="1:114" x14ac:dyDescent="0.25">
      <c r="A516" s="34"/>
      <c r="B516" s="34"/>
      <c r="C516" s="34"/>
      <c r="D516" s="34"/>
      <c r="E516" s="34"/>
      <c r="F516" s="34"/>
      <c r="G516" s="34"/>
      <c r="H516" s="34"/>
      <c r="I516" s="34"/>
      <c r="J516" s="34"/>
      <c r="K516" s="34"/>
      <c r="L516" s="34"/>
      <c r="M516" s="34"/>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row>
    <row r="517" spans="1:114" x14ac:dyDescent="0.25">
      <c r="A517" s="34"/>
      <c r="B517" s="34"/>
      <c r="C517" s="34"/>
      <c r="D517" s="34"/>
      <c r="E517" s="34"/>
      <c r="F517" s="34"/>
      <c r="G517" s="34"/>
      <c r="H517" s="34"/>
      <c r="I517" s="34"/>
      <c r="J517" s="34"/>
      <c r="K517" s="34"/>
      <c r="L517" s="34"/>
      <c r="M517" s="34"/>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row>
    <row r="518" spans="1:114" x14ac:dyDescent="0.25">
      <c r="A518" s="34"/>
      <c r="B518" s="34"/>
      <c r="C518" s="34"/>
      <c r="D518" s="34"/>
      <c r="E518" s="34"/>
      <c r="F518" s="34"/>
      <c r="G518" s="34"/>
      <c r="H518" s="34"/>
      <c r="I518" s="34"/>
      <c r="J518" s="34"/>
      <c r="K518" s="34"/>
      <c r="L518" s="34"/>
      <c r="M518" s="34"/>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row>
    <row r="519" spans="1:114" x14ac:dyDescent="0.25">
      <c r="A519" s="34"/>
      <c r="B519" s="34"/>
      <c r="C519" s="34"/>
      <c r="D519" s="34"/>
      <c r="E519" s="34"/>
      <c r="F519" s="34"/>
      <c r="G519" s="34"/>
      <c r="H519" s="34"/>
      <c r="I519" s="34"/>
      <c r="J519" s="34"/>
      <c r="K519" s="34"/>
      <c r="L519" s="34"/>
      <c r="M519" s="34"/>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row>
    <row r="520" spans="1:114" x14ac:dyDescent="0.25">
      <c r="A520" s="34"/>
      <c r="B520" s="34"/>
      <c r="C520" s="34"/>
      <c r="D520" s="34"/>
      <c r="E520" s="34"/>
      <c r="F520" s="34"/>
      <c r="G520" s="34"/>
      <c r="H520" s="34"/>
      <c r="I520" s="34"/>
      <c r="J520" s="34"/>
      <c r="K520" s="34"/>
      <c r="L520" s="34"/>
      <c r="M520" s="34"/>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row>
    <row r="521" spans="1:114" x14ac:dyDescent="0.25">
      <c r="A521" s="34"/>
      <c r="B521" s="34"/>
      <c r="C521" s="34"/>
      <c r="D521" s="34"/>
      <c r="E521" s="34"/>
      <c r="F521" s="34"/>
      <c r="G521" s="34"/>
      <c r="H521" s="34"/>
      <c r="I521" s="34"/>
      <c r="J521" s="34"/>
      <c r="K521" s="34"/>
      <c r="L521" s="34"/>
      <c r="M521" s="34"/>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row>
    <row r="522" spans="1:114" x14ac:dyDescent="0.25">
      <c r="A522" s="34"/>
      <c r="B522" s="34"/>
      <c r="C522" s="34"/>
      <c r="D522" s="34"/>
      <c r="E522" s="34"/>
      <c r="F522" s="34"/>
      <c r="G522" s="34"/>
      <c r="H522" s="34"/>
      <c r="I522" s="34"/>
      <c r="J522" s="34"/>
      <c r="K522" s="34"/>
      <c r="L522" s="34"/>
      <c r="M522" s="34"/>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row>
    <row r="523" spans="1:114" x14ac:dyDescent="0.25">
      <c r="A523" s="34"/>
      <c r="B523" s="34"/>
      <c r="C523" s="34"/>
      <c r="D523" s="34"/>
      <c r="E523" s="34"/>
      <c r="F523" s="34"/>
      <c r="G523" s="34"/>
      <c r="H523" s="34"/>
      <c r="I523" s="34"/>
      <c r="J523" s="34"/>
      <c r="K523" s="34"/>
      <c r="L523" s="34"/>
      <c r="M523" s="34"/>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row>
    <row r="524" spans="1:114" x14ac:dyDescent="0.25">
      <c r="A524" s="34"/>
      <c r="B524" s="34"/>
      <c r="C524" s="34"/>
      <c r="D524" s="34"/>
      <c r="E524" s="34"/>
      <c r="F524" s="34"/>
      <c r="G524" s="34"/>
      <c r="H524" s="34"/>
      <c r="I524" s="34"/>
      <c r="J524" s="34"/>
      <c r="K524" s="34"/>
      <c r="L524" s="34"/>
      <c r="M524" s="34"/>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row>
    <row r="525" spans="1:114" x14ac:dyDescent="0.25">
      <c r="A525" s="34"/>
      <c r="B525" s="34"/>
      <c r="C525" s="34"/>
      <c r="D525" s="34"/>
      <c r="E525" s="34"/>
      <c r="F525" s="34"/>
      <c r="G525" s="34"/>
      <c r="H525" s="34"/>
      <c r="I525" s="34"/>
      <c r="J525" s="34"/>
      <c r="K525" s="34"/>
      <c r="L525" s="34"/>
      <c r="M525" s="34"/>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row>
    <row r="526" spans="1:114" x14ac:dyDescent="0.25">
      <c r="A526" s="34"/>
      <c r="B526" s="34"/>
      <c r="C526" s="34"/>
      <c r="D526" s="34"/>
      <c r="E526" s="34"/>
      <c r="F526" s="34"/>
      <c r="G526" s="34"/>
      <c r="H526" s="34"/>
      <c r="I526" s="34"/>
      <c r="J526" s="34"/>
      <c r="K526" s="34"/>
      <c r="L526" s="34"/>
      <c r="M526" s="34"/>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row>
    <row r="527" spans="1:114" x14ac:dyDescent="0.25">
      <c r="A527" s="34"/>
      <c r="B527" s="34"/>
      <c r="C527" s="34"/>
      <c r="D527" s="34"/>
      <c r="E527" s="34"/>
      <c r="F527" s="34"/>
      <c r="G527" s="34"/>
      <c r="H527" s="34"/>
      <c r="I527" s="34"/>
      <c r="J527" s="34"/>
      <c r="K527" s="34"/>
      <c r="L527" s="34"/>
      <c r="M527" s="34"/>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row>
    <row r="528" spans="1:114" x14ac:dyDescent="0.25">
      <c r="A528" s="34"/>
      <c r="B528" s="34"/>
      <c r="C528" s="34"/>
      <c r="D528" s="34"/>
      <c r="E528" s="34"/>
      <c r="F528" s="34"/>
      <c r="G528" s="34"/>
      <c r="H528" s="34"/>
      <c r="I528" s="34"/>
      <c r="J528" s="34"/>
      <c r="K528" s="34"/>
      <c r="L528" s="34"/>
      <c r="M528" s="34"/>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row>
  </sheetData>
  <sheetProtection algorithmName="SHA-512" hashValue="LPhk6beSfJhCsfp97SWiMjpl56aph356+PaSD5G5Q6PfIjKocxwd/xgFMeToEmuSRnrP4+imLWsEyiE5GM458A==" saltValue="d1z0uQ2dNexWRzQdFtXGwg==" spinCount="100000" sheet="1" objects="1" scenarios="1" selectLockedCells="1"/>
  <mergeCells count="132">
    <mergeCell ref="M90:M91"/>
    <mergeCell ref="M92:M93"/>
    <mergeCell ref="M96:M97"/>
    <mergeCell ref="M102:M103"/>
    <mergeCell ref="C123:C124"/>
    <mergeCell ref="M138:M139"/>
    <mergeCell ref="C102:C103"/>
    <mergeCell ref="C105:C106"/>
    <mergeCell ref="M129:M130"/>
    <mergeCell ref="M123:M124"/>
    <mergeCell ref="M127:M128"/>
    <mergeCell ref="M119:M120"/>
    <mergeCell ref="M121:M122"/>
    <mergeCell ref="C98:C99"/>
    <mergeCell ref="C107:C108"/>
    <mergeCell ref="C109:C110"/>
    <mergeCell ref="M24:M25"/>
    <mergeCell ref="M33:M34"/>
    <mergeCell ref="L58:L59"/>
    <mergeCell ref="M58:M59"/>
    <mergeCell ref="L88:L89"/>
    <mergeCell ref="M31:M32"/>
    <mergeCell ref="M60:M61"/>
    <mergeCell ref="M66:M67"/>
    <mergeCell ref="M79:M80"/>
    <mergeCell ref="M72:M73"/>
    <mergeCell ref="M35:M36"/>
    <mergeCell ref="M28:M29"/>
    <mergeCell ref="M62:M63"/>
    <mergeCell ref="M75:M76"/>
    <mergeCell ref="M88:M89"/>
    <mergeCell ref="D58:F58"/>
    <mergeCell ref="G58:I58"/>
    <mergeCell ref="K58:K59"/>
    <mergeCell ref="A72:A73"/>
    <mergeCell ref="A75:A76"/>
    <mergeCell ref="K88:K89"/>
    <mergeCell ref="A88:A89"/>
    <mergeCell ref="M68:M69"/>
    <mergeCell ref="M77:M78"/>
    <mergeCell ref="C60:C61"/>
    <mergeCell ref="D88:F88"/>
    <mergeCell ref="G88:I88"/>
    <mergeCell ref="C62:C63"/>
    <mergeCell ref="A58:A59"/>
    <mergeCell ref="A66:A67"/>
    <mergeCell ref="A68:A69"/>
    <mergeCell ref="A77:A78"/>
    <mergeCell ref="B88:B89"/>
    <mergeCell ref="C88:C89"/>
    <mergeCell ref="A79:A80"/>
    <mergeCell ref="A4:B4"/>
    <mergeCell ref="A14:A15"/>
    <mergeCell ref="B14:B15"/>
    <mergeCell ref="C14:C15"/>
    <mergeCell ref="K14:K15"/>
    <mergeCell ref="J4:M4"/>
    <mergeCell ref="A16:A17"/>
    <mergeCell ref="A18:A19"/>
    <mergeCell ref="A22:A23"/>
    <mergeCell ref="M16:M17"/>
    <mergeCell ref="M18:M19"/>
    <mergeCell ref="M22:M23"/>
    <mergeCell ref="C16:C17"/>
    <mergeCell ref="C18:C19"/>
    <mergeCell ref="C22:C23"/>
    <mergeCell ref="L14:L15"/>
    <mergeCell ref="M14:M15"/>
    <mergeCell ref="D14:F14"/>
    <mergeCell ref="G14:I14"/>
    <mergeCell ref="A143:B144"/>
    <mergeCell ref="C143:M144"/>
    <mergeCell ref="A105:A106"/>
    <mergeCell ref="M105:M106"/>
    <mergeCell ref="A98:A99"/>
    <mergeCell ref="M98:M99"/>
    <mergeCell ref="A107:A108"/>
    <mergeCell ref="M107:M108"/>
    <mergeCell ref="A109:A110"/>
    <mergeCell ref="M109:M110"/>
    <mergeCell ref="M140:M141"/>
    <mergeCell ref="A136:A137"/>
    <mergeCell ref="M136:M137"/>
    <mergeCell ref="G119:I119"/>
    <mergeCell ref="K119:K120"/>
    <mergeCell ref="L119:L120"/>
    <mergeCell ref="M133:M134"/>
    <mergeCell ref="D119:F119"/>
    <mergeCell ref="A129:A130"/>
    <mergeCell ref="A102:A103"/>
    <mergeCell ref="B119:B120"/>
    <mergeCell ref="C119:C120"/>
    <mergeCell ref="C136:C137"/>
    <mergeCell ref="A123:A124"/>
    <mergeCell ref="C24:C25"/>
    <mergeCell ref="C33:C34"/>
    <mergeCell ref="C35:C36"/>
    <mergeCell ref="C28:C29"/>
    <mergeCell ref="C31:C32"/>
    <mergeCell ref="A31:A32"/>
    <mergeCell ref="A60:A61"/>
    <mergeCell ref="A62:A63"/>
    <mergeCell ref="B58:B59"/>
    <mergeCell ref="C58:C59"/>
    <mergeCell ref="A24:A25"/>
    <mergeCell ref="A33:A34"/>
    <mergeCell ref="A35:A36"/>
    <mergeCell ref="A28:A29"/>
    <mergeCell ref="A133:A134"/>
    <mergeCell ref="A119:A120"/>
    <mergeCell ref="A138:A139"/>
    <mergeCell ref="A140:A141"/>
    <mergeCell ref="C66:C67"/>
    <mergeCell ref="C68:C69"/>
    <mergeCell ref="C77:C78"/>
    <mergeCell ref="C79:C80"/>
    <mergeCell ref="C72:C73"/>
    <mergeCell ref="C75:C76"/>
    <mergeCell ref="C90:C91"/>
    <mergeCell ref="C127:C128"/>
    <mergeCell ref="C129:C130"/>
    <mergeCell ref="C138:C139"/>
    <mergeCell ref="C140:C141"/>
    <mergeCell ref="C133:C134"/>
    <mergeCell ref="A127:A128"/>
    <mergeCell ref="A90:A91"/>
    <mergeCell ref="A92:A93"/>
    <mergeCell ref="A96:A97"/>
    <mergeCell ref="A121:A122"/>
    <mergeCell ref="C121:C122"/>
    <mergeCell ref="C92:C93"/>
    <mergeCell ref="C96:C97"/>
  </mergeCells>
  <phoneticPr fontId="1" type="noConversion"/>
  <dataValidations disablePrompts="1" xWindow="308" yWindow="234" count="5">
    <dataValidation allowBlank="1" showInputMessage="1" showErrorMessage="1" promptTitle="中文案字數：" prompt="會影響某些中文案件的【慧盈服務費】" sqref="B5" xr:uid="{00000000-0002-0000-0000-000006000000}"/>
    <dataValidation allowBlank="1" showInputMessage="1" showErrorMessage="1" promptTitle="英文案字數：" prompt="會影響某些英文案件的【慧盈服務費】，以及某些案件的【外國代理人費用】" sqref="B6" xr:uid="{00000000-0002-0000-0000-000007000000}"/>
    <dataValidation allowBlank="1" showInputMessage="1" showErrorMessage="1" promptTitle="總請求項數：" prompt="會影響許多地區案件的【官方費用】，以及某些案件的【外國代理人費用】" sqref="B7" xr:uid="{00000000-0002-0000-0000-000008000000}"/>
    <dataValidation allowBlank="1" showInputMessage="1" showErrorMessage="1" promptTitle="獨立項數：" prompt="會影響許多地區案件的【官方費用】，以及某些案件的【外國代理人費用】" sqref="B8" xr:uid="{00000000-0002-0000-0000-000009000000}"/>
    <dataValidation allowBlank="1" showInputMessage="1" showErrorMessage="1" promptTitle="附圖張數：" prompt="會影響某些案件的【慧盈服務費】、【官方費用】、或【外國代理人費用】" sqref="B9" xr:uid="{00000000-0002-0000-0000-00000A000000}"/>
  </dataValidations>
  <printOptions horizontalCentered="1"/>
  <pageMargins left="0.70866141732283472" right="0.70866141732283472" top="0.74803149606299213" bottom="0.39370078740157483" header="0.31496062992125984" footer="0.31496062992125984"/>
  <pageSetup paperSize="9" scale="54" fitToHeight="0" orientation="portrait" r:id="rId1"/>
  <headerFooter>
    <oddHeader>&amp;C&amp;G&amp;RPatent Your Future!&amp;"微軟正黑體,標準"&amp;X®</oddHeader>
    <oddFooter>&amp;L&amp;"標楷體,標準"《IP Winner．慧幫你盈®》&amp;C&amp;"標楷體,標準"第 &amp;P 頁，共 &amp;N 頁&amp;R&amp;"標楷體,標準"V2025.07</oddFooter>
  </headerFooter>
  <rowBreaks count="2" manualBreakCount="2">
    <brk id="85" max="16" man="1"/>
    <brk id="171"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官方費用">
                <anchor moveWithCells="1">
                  <from>
                    <xdr:col>5</xdr:col>
                    <xdr:colOff>9525</xdr:colOff>
                    <xdr:row>5</xdr:row>
                    <xdr:rowOff>47625</xdr:rowOff>
                  </from>
                  <to>
                    <xdr:col>5</xdr:col>
                    <xdr:colOff>781050</xdr:colOff>
                    <xdr:row>5</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ltText="官方費用">
                <anchor moveWithCells="1">
                  <from>
                    <xdr:col>5</xdr:col>
                    <xdr:colOff>9525</xdr:colOff>
                    <xdr:row>6</xdr:row>
                    <xdr:rowOff>47625</xdr:rowOff>
                  </from>
                  <to>
                    <xdr:col>5</xdr:col>
                    <xdr:colOff>781050</xdr:colOff>
                    <xdr:row>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ltText="官方費用">
                <anchor moveWithCells="1">
                  <from>
                    <xdr:col>5</xdr:col>
                    <xdr:colOff>9525</xdr:colOff>
                    <xdr:row>7</xdr:row>
                    <xdr:rowOff>47625</xdr:rowOff>
                  </from>
                  <to>
                    <xdr:col>5</xdr:col>
                    <xdr:colOff>781050</xdr:colOff>
                    <xdr:row>7</xdr:row>
                    <xdr:rowOff>190500</xdr:rowOff>
                  </to>
                </anchor>
              </controlPr>
            </control>
          </mc:Choice>
        </mc:AlternateContent>
        <mc:AlternateContent xmlns:mc="http://schemas.openxmlformats.org/markup-compatibility/2006">
          <mc:Choice Requires="x14">
            <control shapeId="1028" r:id="rId8" name="Check Box 4">
              <controlPr defaultSize="0" autoFill="0" autoLine="0" autoPict="0" altText="官方費用">
                <anchor moveWithCells="1">
                  <from>
                    <xdr:col>4</xdr:col>
                    <xdr:colOff>38100</xdr:colOff>
                    <xdr:row>5</xdr:row>
                    <xdr:rowOff>47625</xdr:rowOff>
                  </from>
                  <to>
                    <xdr:col>4</xdr:col>
                    <xdr:colOff>809625</xdr:colOff>
                    <xdr:row>5</xdr:row>
                    <xdr:rowOff>190500</xdr:rowOff>
                  </to>
                </anchor>
              </controlPr>
            </control>
          </mc:Choice>
        </mc:AlternateContent>
        <mc:AlternateContent xmlns:mc="http://schemas.openxmlformats.org/markup-compatibility/2006">
          <mc:Choice Requires="x14">
            <control shapeId="1029" r:id="rId9" name="Check Box 5">
              <controlPr defaultSize="0" autoFill="0" autoLine="0" autoPict="0" altText="官方費用">
                <anchor moveWithCells="1">
                  <from>
                    <xdr:col>4</xdr:col>
                    <xdr:colOff>38100</xdr:colOff>
                    <xdr:row>6</xdr:row>
                    <xdr:rowOff>47625</xdr:rowOff>
                  </from>
                  <to>
                    <xdr:col>4</xdr:col>
                    <xdr:colOff>809625</xdr:colOff>
                    <xdr:row>6</xdr:row>
                    <xdr:rowOff>190500</xdr:rowOff>
                  </to>
                </anchor>
              </controlPr>
            </control>
          </mc:Choice>
        </mc:AlternateContent>
        <mc:AlternateContent xmlns:mc="http://schemas.openxmlformats.org/markup-compatibility/2006">
          <mc:Choice Requires="x14">
            <control shapeId="1030" r:id="rId10" name="Check Box 6">
              <controlPr defaultSize="0" autoFill="0" autoLine="0" autoPict="0" altText="官方費用">
                <anchor moveWithCells="1">
                  <from>
                    <xdr:col>4</xdr:col>
                    <xdr:colOff>38100</xdr:colOff>
                    <xdr:row>7</xdr:row>
                    <xdr:rowOff>47625</xdr:rowOff>
                  </from>
                  <to>
                    <xdr:col>4</xdr:col>
                    <xdr:colOff>809625</xdr:colOff>
                    <xdr:row>7</xdr:row>
                    <xdr:rowOff>190500</xdr:rowOff>
                  </to>
                </anchor>
              </controlPr>
            </control>
          </mc:Choice>
        </mc:AlternateContent>
        <mc:AlternateContent xmlns:mc="http://schemas.openxmlformats.org/markup-compatibility/2006">
          <mc:Choice Requires="x14">
            <control shapeId="1031" r:id="rId11" name="Check Box 7">
              <controlPr defaultSize="0" autoFill="0" autoLine="0" autoPict="0" altText="官方費用">
                <anchor moveWithCells="1">
                  <from>
                    <xdr:col>4</xdr:col>
                    <xdr:colOff>38100</xdr:colOff>
                    <xdr:row>8</xdr:row>
                    <xdr:rowOff>47625</xdr:rowOff>
                  </from>
                  <to>
                    <xdr:col>4</xdr:col>
                    <xdr:colOff>809625</xdr:colOff>
                    <xdr:row>8</xdr:row>
                    <xdr:rowOff>190500</xdr:rowOff>
                  </to>
                </anchor>
              </controlPr>
            </control>
          </mc:Choice>
        </mc:AlternateContent>
        <mc:AlternateContent xmlns:mc="http://schemas.openxmlformats.org/markup-compatibility/2006">
          <mc:Choice Requires="x14">
            <control shapeId="1059" r:id="rId12" name="Option Button 35">
              <controlPr defaultSize="0" autoFill="0" autoLine="0" autoPict="0">
                <anchor moveWithCells="1">
                  <from>
                    <xdr:col>3</xdr:col>
                    <xdr:colOff>76200</xdr:colOff>
                    <xdr:row>142</xdr:row>
                    <xdr:rowOff>0</xdr:rowOff>
                  </from>
                  <to>
                    <xdr:col>4</xdr:col>
                    <xdr:colOff>133350</xdr:colOff>
                    <xdr:row>142</xdr:row>
                    <xdr:rowOff>238125</xdr:rowOff>
                  </to>
                </anchor>
              </controlPr>
            </control>
          </mc:Choice>
        </mc:AlternateContent>
        <mc:AlternateContent xmlns:mc="http://schemas.openxmlformats.org/markup-compatibility/2006">
          <mc:Choice Requires="x14">
            <control shapeId="1060" r:id="rId13" name="Option Button 36">
              <controlPr defaultSize="0" autoFill="0" autoLine="0" autoPict="0">
                <anchor moveWithCells="1">
                  <from>
                    <xdr:col>4</xdr:col>
                    <xdr:colOff>247650</xdr:colOff>
                    <xdr:row>142</xdr:row>
                    <xdr:rowOff>0</xdr:rowOff>
                  </from>
                  <to>
                    <xdr:col>4</xdr:col>
                    <xdr:colOff>742950</xdr:colOff>
                    <xdr:row>142</xdr:row>
                    <xdr:rowOff>238125</xdr:rowOff>
                  </to>
                </anchor>
              </controlPr>
            </control>
          </mc:Choice>
        </mc:AlternateContent>
        <mc:AlternateContent xmlns:mc="http://schemas.openxmlformats.org/markup-compatibility/2006">
          <mc:Choice Requires="x14">
            <control shapeId="1061" r:id="rId14" name="Option Button 37">
              <controlPr defaultSize="0" autoFill="0" autoLine="0" autoPict="0">
                <anchor moveWithCells="1">
                  <from>
                    <xdr:col>4</xdr:col>
                    <xdr:colOff>857250</xdr:colOff>
                    <xdr:row>142</xdr:row>
                    <xdr:rowOff>0</xdr:rowOff>
                  </from>
                  <to>
                    <xdr:col>5</xdr:col>
                    <xdr:colOff>314325</xdr:colOff>
                    <xdr:row>142</xdr:row>
                    <xdr:rowOff>238125</xdr:rowOff>
                  </to>
                </anchor>
              </controlPr>
            </control>
          </mc:Choice>
        </mc:AlternateContent>
        <mc:AlternateContent xmlns:mc="http://schemas.openxmlformats.org/markup-compatibility/2006">
          <mc:Choice Requires="x14">
            <control shapeId="1062" r:id="rId15" name="Option Button 38">
              <controlPr defaultSize="0" autoFill="0" autoLine="0" autoPict="0">
                <anchor moveWithCells="1">
                  <from>
                    <xdr:col>5</xdr:col>
                    <xdr:colOff>409575</xdr:colOff>
                    <xdr:row>142</xdr:row>
                    <xdr:rowOff>0</xdr:rowOff>
                  </from>
                  <to>
                    <xdr:col>5</xdr:col>
                    <xdr:colOff>904875</xdr:colOff>
                    <xdr:row>142</xdr:row>
                    <xdr:rowOff>238125</xdr:rowOff>
                  </to>
                </anchor>
              </controlPr>
            </control>
          </mc:Choice>
        </mc:AlternateContent>
        <mc:AlternateContent xmlns:mc="http://schemas.openxmlformats.org/markup-compatibility/2006">
          <mc:Choice Requires="x14">
            <control shapeId="1063" r:id="rId16" name="Option Button 39">
              <controlPr defaultSize="0" autoFill="0" autoLine="0" autoPict="0">
                <anchor moveWithCells="1">
                  <from>
                    <xdr:col>5</xdr:col>
                    <xdr:colOff>1019175</xdr:colOff>
                    <xdr:row>142</xdr:row>
                    <xdr:rowOff>0</xdr:rowOff>
                  </from>
                  <to>
                    <xdr:col>7</xdr:col>
                    <xdr:colOff>38100</xdr:colOff>
                    <xdr:row>142</xdr:row>
                    <xdr:rowOff>238125</xdr:rowOff>
                  </to>
                </anchor>
              </controlPr>
            </control>
          </mc:Choice>
        </mc:AlternateContent>
        <mc:AlternateContent xmlns:mc="http://schemas.openxmlformats.org/markup-compatibility/2006">
          <mc:Choice Requires="x14">
            <control shapeId="1064" r:id="rId17" name="Option Button 40">
              <controlPr defaultSize="0" autoFill="0" autoLine="0" autoPict="0">
                <anchor moveWithCells="1">
                  <from>
                    <xdr:col>7</xdr:col>
                    <xdr:colOff>161925</xdr:colOff>
                    <xdr:row>142</xdr:row>
                    <xdr:rowOff>0</xdr:rowOff>
                  </from>
                  <to>
                    <xdr:col>7</xdr:col>
                    <xdr:colOff>657225</xdr:colOff>
                    <xdr:row>142</xdr:row>
                    <xdr:rowOff>238125</xdr:rowOff>
                  </to>
                </anchor>
              </controlPr>
            </control>
          </mc:Choice>
        </mc:AlternateContent>
        <mc:AlternateContent xmlns:mc="http://schemas.openxmlformats.org/markup-compatibility/2006">
          <mc:Choice Requires="x14">
            <control shapeId="1065" r:id="rId18" name="Option Button 41">
              <controlPr defaultSize="0" autoFill="0" autoLine="0" autoPict="0">
                <anchor moveWithCells="1">
                  <from>
                    <xdr:col>7</xdr:col>
                    <xdr:colOff>762000</xdr:colOff>
                    <xdr:row>142</xdr:row>
                    <xdr:rowOff>0</xdr:rowOff>
                  </from>
                  <to>
                    <xdr:col>8</xdr:col>
                    <xdr:colOff>219075</xdr:colOff>
                    <xdr:row>142</xdr:row>
                    <xdr:rowOff>238125</xdr:rowOff>
                  </to>
                </anchor>
              </controlPr>
            </control>
          </mc:Choice>
        </mc:AlternateContent>
        <mc:AlternateContent xmlns:mc="http://schemas.openxmlformats.org/markup-compatibility/2006">
          <mc:Choice Requires="x14">
            <control shapeId="1066" r:id="rId19" name="Option Button 42">
              <controlPr defaultSize="0" autoFill="0" autoLine="0" autoPict="0">
                <anchor moveWithCells="1">
                  <from>
                    <xdr:col>8</xdr:col>
                    <xdr:colOff>333375</xdr:colOff>
                    <xdr:row>142</xdr:row>
                    <xdr:rowOff>0</xdr:rowOff>
                  </from>
                  <to>
                    <xdr:col>8</xdr:col>
                    <xdr:colOff>828675</xdr:colOff>
                    <xdr:row>142</xdr:row>
                    <xdr:rowOff>238125</xdr:rowOff>
                  </to>
                </anchor>
              </controlPr>
            </control>
          </mc:Choice>
        </mc:AlternateContent>
        <mc:AlternateContent xmlns:mc="http://schemas.openxmlformats.org/markup-compatibility/2006">
          <mc:Choice Requires="x14">
            <control shapeId="1067" r:id="rId20" name="Option Button 43">
              <controlPr defaultSize="0" autoFill="0" autoLine="0" autoPict="0">
                <anchor moveWithCells="1">
                  <from>
                    <xdr:col>8</xdr:col>
                    <xdr:colOff>933450</xdr:colOff>
                    <xdr:row>142</xdr:row>
                    <xdr:rowOff>0</xdr:rowOff>
                  </from>
                  <to>
                    <xdr:col>9</xdr:col>
                    <xdr:colOff>390525</xdr:colOff>
                    <xdr:row>142</xdr:row>
                    <xdr:rowOff>238125</xdr:rowOff>
                  </to>
                </anchor>
              </controlPr>
            </control>
          </mc:Choice>
        </mc:AlternateContent>
        <mc:AlternateContent xmlns:mc="http://schemas.openxmlformats.org/markup-compatibility/2006">
          <mc:Choice Requires="x14">
            <control shapeId="1068" r:id="rId21" name="Option Button 44">
              <controlPr defaultSize="0" autoFill="0" autoLine="0" autoPict="0">
                <anchor moveWithCells="1">
                  <from>
                    <xdr:col>9</xdr:col>
                    <xdr:colOff>514350</xdr:colOff>
                    <xdr:row>142</xdr:row>
                    <xdr:rowOff>0</xdr:rowOff>
                  </from>
                  <to>
                    <xdr:col>9</xdr:col>
                    <xdr:colOff>1009650</xdr:colOff>
                    <xdr:row>142</xdr:row>
                    <xdr:rowOff>238125</xdr:rowOff>
                  </to>
                </anchor>
              </controlPr>
            </control>
          </mc:Choice>
        </mc:AlternateContent>
        <mc:AlternateContent xmlns:mc="http://schemas.openxmlformats.org/markup-compatibility/2006">
          <mc:Choice Requires="x14">
            <control shapeId="1069" r:id="rId22" name="Option Button 45">
              <controlPr defaultSize="0" autoFill="0" autoLine="0" autoPict="0">
                <anchor moveWithCells="1">
                  <from>
                    <xdr:col>10</xdr:col>
                    <xdr:colOff>85725</xdr:colOff>
                    <xdr:row>142</xdr:row>
                    <xdr:rowOff>0</xdr:rowOff>
                  </from>
                  <to>
                    <xdr:col>10</xdr:col>
                    <xdr:colOff>581025</xdr:colOff>
                    <xdr:row>142</xdr:row>
                    <xdr:rowOff>238125</xdr:rowOff>
                  </to>
                </anchor>
              </controlPr>
            </control>
          </mc:Choice>
        </mc:AlternateContent>
        <mc:AlternateContent xmlns:mc="http://schemas.openxmlformats.org/markup-compatibility/2006">
          <mc:Choice Requires="x14">
            <control shapeId="1070" r:id="rId23" name="Option Button 46">
              <controlPr defaultSize="0" autoFill="0" autoLine="0" autoPict="0">
                <anchor moveWithCells="1">
                  <from>
                    <xdr:col>10</xdr:col>
                    <xdr:colOff>695325</xdr:colOff>
                    <xdr:row>142</xdr:row>
                    <xdr:rowOff>0</xdr:rowOff>
                  </from>
                  <to>
                    <xdr:col>11</xdr:col>
                    <xdr:colOff>152400</xdr:colOff>
                    <xdr:row>142</xdr:row>
                    <xdr:rowOff>238125</xdr:rowOff>
                  </to>
                </anchor>
              </controlPr>
            </control>
          </mc:Choice>
        </mc:AlternateContent>
        <mc:AlternateContent xmlns:mc="http://schemas.openxmlformats.org/markup-compatibility/2006">
          <mc:Choice Requires="x14">
            <control shapeId="1071" r:id="rId24" name="Option Button 47">
              <controlPr defaultSize="0" autoFill="0" autoLine="0" autoPict="0">
                <anchor moveWithCells="1">
                  <from>
                    <xdr:col>11</xdr:col>
                    <xdr:colOff>257175</xdr:colOff>
                    <xdr:row>142</xdr:row>
                    <xdr:rowOff>0</xdr:rowOff>
                  </from>
                  <to>
                    <xdr:col>11</xdr:col>
                    <xdr:colOff>752475</xdr:colOff>
                    <xdr:row>142</xdr:row>
                    <xdr:rowOff>238125</xdr:rowOff>
                  </to>
                </anchor>
              </controlPr>
            </control>
          </mc:Choice>
        </mc:AlternateContent>
        <mc:AlternateContent xmlns:mc="http://schemas.openxmlformats.org/markup-compatibility/2006">
          <mc:Choice Requires="x14">
            <control shapeId="1072" r:id="rId25" name="Option Button 48">
              <controlPr defaultSize="0" autoFill="0" autoLine="0" autoPict="0">
                <anchor moveWithCells="1">
                  <from>
                    <xdr:col>11</xdr:col>
                    <xdr:colOff>857250</xdr:colOff>
                    <xdr:row>142</xdr:row>
                    <xdr:rowOff>0</xdr:rowOff>
                  </from>
                  <to>
                    <xdr:col>12</xdr:col>
                    <xdr:colOff>47625</xdr:colOff>
                    <xdr:row>142</xdr:row>
                    <xdr:rowOff>238125</xdr:rowOff>
                  </to>
                </anchor>
              </controlPr>
            </control>
          </mc:Choice>
        </mc:AlternateContent>
        <mc:AlternateContent xmlns:mc="http://schemas.openxmlformats.org/markup-compatibility/2006">
          <mc:Choice Requires="x14">
            <control shapeId="1073" r:id="rId26" name="Option Button 49">
              <controlPr defaultSize="0" autoFill="0" autoLine="0" autoPict="0">
                <anchor moveWithCells="1">
                  <from>
                    <xdr:col>12</xdr:col>
                    <xdr:colOff>152400</xdr:colOff>
                    <xdr:row>142</xdr:row>
                    <xdr:rowOff>0</xdr:rowOff>
                  </from>
                  <to>
                    <xdr:col>12</xdr:col>
                    <xdr:colOff>762000</xdr:colOff>
                    <xdr:row>142</xdr:row>
                    <xdr:rowOff>238125</xdr:rowOff>
                  </to>
                </anchor>
              </controlPr>
            </control>
          </mc:Choice>
        </mc:AlternateContent>
        <mc:AlternateContent xmlns:mc="http://schemas.openxmlformats.org/markup-compatibility/2006">
          <mc:Choice Requires="x14">
            <control shapeId="1074" r:id="rId27" name="Option Button 50">
              <controlPr defaultSize="0" autoFill="0" autoLine="0" autoPict="0">
                <anchor moveWithCells="1">
                  <from>
                    <xdr:col>3</xdr:col>
                    <xdr:colOff>76200</xdr:colOff>
                    <xdr:row>143</xdr:row>
                    <xdr:rowOff>9525</xdr:rowOff>
                  </from>
                  <to>
                    <xdr:col>4</xdr:col>
                    <xdr:colOff>133350</xdr:colOff>
                    <xdr:row>144</xdr:row>
                    <xdr:rowOff>0</xdr:rowOff>
                  </to>
                </anchor>
              </controlPr>
            </control>
          </mc:Choice>
        </mc:AlternateContent>
        <mc:AlternateContent xmlns:mc="http://schemas.openxmlformats.org/markup-compatibility/2006">
          <mc:Choice Requires="x14">
            <control shapeId="1075" r:id="rId28" name="Option Button 51">
              <controlPr defaultSize="0" autoFill="0" autoLine="0" autoPict="0">
                <anchor moveWithCells="1">
                  <from>
                    <xdr:col>4</xdr:col>
                    <xdr:colOff>247650</xdr:colOff>
                    <xdr:row>143</xdr:row>
                    <xdr:rowOff>9525</xdr:rowOff>
                  </from>
                  <to>
                    <xdr:col>4</xdr:col>
                    <xdr:colOff>742950</xdr:colOff>
                    <xdr:row>144</xdr:row>
                    <xdr:rowOff>0</xdr:rowOff>
                  </to>
                </anchor>
              </controlPr>
            </control>
          </mc:Choice>
        </mc:AlternateContent>
        <mc:AlternateContent xmlns:mc="http://schemas.openxmlformats.org/markup-compatibility/2006">
          <mc:Choice Requires="x14">
            <control shapeId="1076" r:id="rId29" name="Option Button 52">
              <controlPr defaultSize="0" autoFill="0" autoLine="0" autoPict="0">
                <anchor moveWithCells="1">
                  <from>
                    <xdr:col>4</xdr:col>
                    <xdr:colOff>847725</xdr:colOff>
                    <xdr:row>143</xdr:row>
                    <xdr:rowOff>9525</xdr:rowOff>
                  </from>
                  <to>
                    <xdr:col>5</xdr:col>
                    <xdr:colOff>304800</xdr:colOff>
                    <xdr:row>144</xdr:row>
                    <xdr:rowOff>0</xdr:rowOff>
                  </to>
                </anchor>
              </controlPr>
            </control>
          </mc:Choice>
        </mc:AlternateContent>
        <mc:AlternateContent xmlns:mc="http://schemas.openxmlformats.org/markup-compatibility/2006">
          <mc:Choice Requires="x14">
            <control shapeId="1077" r:id="rId30" name="Option Button 53">
              <controlPr defaultSize="0" autoFill="0" autoLine="0" autoPict="0">
                <anchor moveWithCells="1">
                  <from>
                    <xdr:col>5</xdr:col>
                    <xdr:colOff>409575</xdr:colOff>
                    <xdr:row>143</xdr:row>
                    <xdr:rowOff>9525</xdr:rowOff>
                  </from>
                  <to>
                    <xdr:col>5</xdr:col>
                    <xdr:colOff>904875</xdr:colOff>
                    <xdr:row>144</xdr:row>
                    <xdr:rowOff>0</xdr:rowOff>
                  </to>
                </anchor>
              </controlPr>
            </control>
          </mc:Choice>
        </mc:AlternateContent>
        <mc:AlternateContent xmlns:mc="http://schemas.openxmlformats.org/markup-compatibility/2006">
          <mc:Choice Requires="x14">
            <control shapeId="1078" r:id="rId31" name="Option Button 54">
              <controlPr defaultSize="0" autoFill="0" autoLine="0" autoPict="0">
                <anchor moveWithCells="1">
                  <from>
                    <xdr:col>5</xdr:col>
                    <xdr:colOff>1019175</xdr:colOff>
                    <xdr:row>143</xdr:row>
                    <xdr:rowOff>9525</xdr:rowOff>
                  </from>
                  <to>
                    <xdr:col>7</xdr:col>
                    <xdr:colOff>38100</xdr:colOff>
                    <xdr:row>144</xdr:row>
                    <xdr:rowOff>0</xdr:rowOff>
                  </to>
                </anchor>
              </controlPr>
            </control>
          </mc:Choice>
        </mc:AlternateContent>
        <mc:AlternateContent xmlns:mc="http://schemas.openxmlformats.org/markup-compatibility/2006">
          <mc:Choice Requires="x14">
            <control shapeId="1079" r:id="rId32" name="Option Button 55">
              <controlPr defaultSize="0" autoFill="0" autoLine="0" autoPict="0">
                <anchor moveWithCells="1">
                  <from>
                    <xdr:col>7</xdr:col>
                    <xdr:colOff>161925</xdr:colOff>
                    <xdr:row>143</xdr:row>
                    <xdr:rowOff>9525</xdr:rowOff>
                  </from>
                  <to>
                    <xdr:col>7</xdr:col>
                    <xdr:colOff>657225</xdr:colOff>
                    <xdr:row>144</xdr:row>
                    <xdr:rowOff>0</xdr:rowOff>
                  </to>
                </anchor>
              </controlPr>
            </control>
          </mc:Choice>
        </mc:AlternateContent>
        <mc:AlternateContent xmlns:mc="http://schemas.openxmlformats.org/markup-compatibility/2006">
          <mc:Choice Requires="x14">
            <control shapeId="1080" r:id="rId33" name="Option Button 56">
              <controlPr defaultSize="0" autoFill="0" autoLine="0" autoPict="0">
                <anchor moveWithCells="1">
                  <from>
                    <xdr:col>7</xdr:col>
                    <xdr:colOff>762000</xdr:colOff>
                    <xdr:row>143</xdr:row>
                    <xdr:rowOff>9525</xdr:rowOff>
                  </from>
                  <to>
                    <xdr:col>8</xdr:col>
                    <xdr:colOff>219075</xdr:colOff>
                    <xdr:row>144</xdr:row>
                    <xdr:rowOff>0</xdr:rowOff>
                  </to>
                </anchor>
              </controlPr>
            </control>
          </mc:Choice>
        </mc:AlternateContent>
        <mc:AlternateContent xmlns:mc="http://schemas.openxmlformats.org/markup-compatibility/2006">
          <mc:Choice Requires="x14">
            <control shapeId="1081" r:id="rId34" name="Option Button 57">
              <controlPr defaultSize="0" autoFill="0" autoLine="0" autoPict="0">
                <anchor moveWithCells="1">
                  <from>
                    <xdr:col>8</xdr:col>
                    <xdr:colOff>333375</xdr:colOff>
                    <xdr:row>143</xdr:row>
                    <xdr:rowOff>9525</xdr:rowOff>
                  </from>
                  <to>
                    <xdr:col>8</xdr:col>
                    <xdr:colOff>828675</xdr:colOff>
                    <xdr:row>144</xdr:row>
                    <xdr:rowOff>0</xdr:rowOff>
                  </to>
                </anchor>
              </controlPr>
            </control>
          </mc:Choice>
        </mc:AlternateContent>
        <mc:AlternateContent xmlns:mc="http://schemas.openxmlformats.org/markup-compatibility/2006">
          <mc:Choice Requires="x14">
            <control shapeId="1082" r:id="rId35" name="Option Button 58">
              <controlPr defaultSize="0" autoFill="0" autoLine="0" autoPict="0">
                <anchor moveWithCells="1">
                  <from>
                    <xdr:col>8</xdr:col>
                    <xdr:colOff>933450</xdr:colOff>
                    <xdr:row>143</xdr:row>
                    <xdr:rowOff>9525</xdr:rowOff>
                  </from>
                  <to>
                    <xdr:col>9</xdr:col>
                    <xdr:colOff>390525</xdr:colOff>
                    <xdr:row>144</xdr:row>
                    <xdr:rowOff>0</xdr:rowOff>
                  </to>
                </anchor>
              </controlPr>
            </control>
          </mc:Choice>
        </mc:AlternateContent>
        <mc:AlternateContent xmlns:mc="http://schemas.openxmlformats.org/markup-compatibility/2006">
          <mc:Choice Requires="x14">
            <control shapeId="1083" r:id="rId36" name="Option Button 59">
              <controlPr defaultSize="0" autoFill="0" autoLine="0" autoPict="0">
                <anchor moveWithCells="1">
                  <from>
                    <xdr:col>9</xdr:col>
                    <xdr:colOff>514350</xdr:colOff>
                    <xdr:row>143</xdr:row>
                    <xdr:rowOff>9525</xdr:rowOff>
                  </from>
                  <to>
                    <xdr:col>9</xdr:col>
                    <xdr:colOff>1009650</xdr:colOff>
                    <xdr:row>144</xdr:row>
                    <xdr:rowOff>0</xdr:rowOff>
                  </to>
                </anchor>
              </controlPr>
            </control>
          </mc:Choice>
        </mc:AlternateContent>
        <mc:AlternateContent xmlns:mc="http://schemas.openxmlformats.org/markup-compatibility/2006">
          <mc:Choice Requires="x14">
            <control shapeId="1084" r:id="rId37" name="Option Button 60">
              <controlPr defaultSize="0" autoFill="0" autoLine="0" autoPict="0">
                <anchor moveWithCells="1">
                  <from>
                    <xdr:col>2</xdr:col>
                    <xdr:colOff>76200</xdr:colOff>
                    <xdr:row>142</xdr:row>
                    <xdr:rowOff>0</xdr:rowOff>
                  </from>
                  <to>
                    <xdr:col>3</xdr:col>
                    <xdr:colOff>47625</xdr:colOff>
                    <xdr:row>142</xdr:row>
                    <xdr:rowOff>238125</xdr:rowOff>
                  </to>
                </anchor>
              </controlPr>
            </control>
          </mc:Choice>
        </mc:AlternateContent>
        <mc:AlternateContent xmlns:mc="http://schemas.openxmlformats.org/markup-compatibility/2006">
          <mc:Choice Requires="x14">
            <control shapeId="1154" r:id="rId38" name="Check Box 130">
              <controlPr defaultSize="0" autoFill="0" autoLine="0" autoPict="0">
                <anchor moveWithCells="1">
                  <from>
                    <xdr:col>1</xdr:col>
                    <xdr:colOff>171450</xdr:colOff>
                    <xdr:row>15</xdr:row>
                    <xdr:rowOff>38100</xdr:rowOff>
                  </from>
                  <to>
                    <xdr:col>1</xdr:col>
                    <xdr:colOff>695325</xdr:colOff>
                    <xdr:row>15</xdr:row>
                    <xdr:rowOff>180975</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1</xdr:col>
                    <xdr:colOff>171450</xdr:colOff>
                    <xdr:row>16</xdr:row>
                    <xdr:rowOff>38100</xdr:rowOff>
                  </from>
                  <to>
                    <xdr:col>1</xdr:col>
                    <xdr:colOff>695325</xdr:colOff>
                    <xdr:row>16</xdr:row>
                    <xdr:rowOff>180975</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1</xdr:col>
                    <xdr:colOff>171450</xdr:colOff>
                    <xdr:row>17</xdr:row>
                    <xdr:rowOff>38100</xdr:rowOff>
                  </from>
                  <to>
                    <xdr:col>1</xdr:col>
                    <xdr:colOff>695325</xdr:colOff>
                    <xdr:row>17</xdr:row>
                    <xdr:rowOff>180975</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1</xdr:col>
                    <xdr:colOff>171450</xdr:colOff>
                    <xdr:row>18</xdr:row>
                    <xdr:rowOff>38100</xdr:rowOff>
                  </from>
                  <to>
                    <xdr:col>1</xdr:col>
                    <xdr:colOff>695325</xdr:colOff>
                    <xdr:row>18</xdr:row>
                    <xdr:rowOff>180975</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1</xdr:col>
                    <xdr:colOff>171450</xdr:colOff>
                    <xdr:row>19</xdr:row>
                    <xdr:rowOff>38100</xdr:rowOff>
                  </from>
                  <to>
                    <xdr:col>1</xdr:col>
                    <xdr:colOff>695325</xdr:colOff>
                    <xdr:row>19</xdr:row>
                    <xdr:rowOff>180975</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1</xdr:col>
                    <xdr:colOff>171450</xdr:colOff>
                    <xdr:row>20</xdr:row>
                    <xdr:rowOff>38100</xdr:rowOff>
                  </from>
                  <to>
                    <xdr:col>1</xdr:col>
                    <xdr:colOff>695325</xdr:colOff>
                    <xdr:row>20</xdr:row>
                    <xdr:rowOff>180975</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1</xdr:col>
                    <xdr:colOff>171450</xdr:colOff>
                    <xdr:row>21</xdr:row>
                    <xdr:rowOff>38100</xdr:rowOff>
                  </from>
                  <to>
                    <xdr:col>1</xdr:col>
                    <xdr:colOff>695325</xdr:colOff>
                    <xdr:row>21</xdr:row>
                    <xdr:rowOff>180975</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1</xdr:col>
                    <xdr:colOff>171450</xdr:colOff>
                    <xdr:row>22</xdr:row>
                    <xdr:rowOff>38100</xdr:rowOff>
                  </from>
                  <to>
                    <xdr:col>1</xdr:col>
                    <xdr:colOff>695325</xdr:colOff>
                    <xdr:row>22</xdr:row>
                    <xdr:rowOff>190500</xdr:rowOff>
                  </to>
                </anchor>
              </controlPr>
            </control>
          </mc:Choice>
        </mc:AlternateContent>
        <mc:AlternateContent xmlns:mc="http://schemas.openxmlformats.org/markup-compatibility/2006">
          <mc:Choice Requires="x14">
            <control shapeId="1162" r:id="rId46" name="Check Box 138">
              <controlPr defaultSize="0" autoFill="0" autoLine="0" autoPict="0">
                <anchor moveWithCells="1">
                  <from>
                    <xdr:col>1</xdr:col>
                    <xdr:colOff>171450</xdr:colOff>
                    <xdr:row>23</xdr:row>
                    <xdr:rowOff>38100</xdr:rowOff>
                  </from>
                  <to>
                    <xdr:col>1</xdr:col>
                    <xdr:colOff>695325</xdr:colOff>
                    <xdr:row>23</xdr:row>
                    <xdr:rowOff>190500</xdr:rowOff>
                  </to>
                </anchor>
              </controlPr>
            </control>
          </mc:Choice>
        </mc:AlternateContent>
        <mc:AlternateContent xmlns:mc="http://schemas.openxmlformats.org/markup-compatibility/2006">
          <mc:Choice Requires="x14">
            <control shapeId="1163" r:id="rId47" name="Check Box 139">
              <controlPr defaultSize="0" autoFill="0" autoLine="0" autoPict="0">
                <anchor moveWithCells="1">
                  <from>
                    <xdr:col>1</xdr:col>
                    <xdr:colOff>171450</xdr:colOff>
                    <xdr:row>24</xdr:row>
                    <xdr:rowOff>38100</xdr:rowOff>
                  </from>
                  <to>
                    <xdr:col>1</xdr:col>
                    <xdr:colOff>695325</xdr:colOff>
                    <xdr:row>24</xdr:row>
                    <xdr:rowOff>190500</xdr:rowOff>
                  </to>
                </anchor>
              </controlPr>
            </control>
          </mc:Choice>
        </mc:AlternateContent>
        <mc:AlternateContent xmlns:mc="http://schemas.openxmlformats.org/markup-compatibility/2006">
          <mc:Choice Requires="x14">
            <control shapeId="1164" r:id="rId48" name="Check Box 140">
              <controlPr defaultSize="0" autoFill="0" autoLine="0" autoPict="0">
                <anchor moveWithCells="1">
                  <from>
                    <xdr:col>1</xdr:col>
                    <xdr:colOff>171450</xdr:colOff>
                    <xdr:row>32</xdr:row>
                    <xdr:rowOff>38100</xdr:rowOff>
                  </from>
                  <to>
                    <xdr:col>1</xdr:col>
                    <xdr:colOff>695325</xdr:colOff>
                    <xdr:row>32</xdr:row>
                    <xdr:rowOff>190500</xdr:rowOff>
                  </to>
                </anchor>
              </controlPr>
            </control>
          </mc:Choice>
        </mc:AlternateContent>
        <mc:AlternateContent xmlns:mc="http://schemas.openxmlformats.org/markup-compatibility/2006">
          <mc:Choice Requires="x14">
            <control shapeId="1165" r:id="rId49" name="Check Box 141">
              <controlPr defaultSize="0" autoFill="0" autoLine="0" autoPict="0">
                <anchor moveWithCells="1">
                  <from>
                    <xdr:col>1</xdr:col>
                    <xdr:colOff>171450</xdr:colOff>
                    <xdr:row>33</xdr:row>
                    <xdr:rowOff>38100</xdr:rowOff>
                  </from>
                  <to>
                    <xdr:col>1</xdr:col>
                    <xdr:colOff>695325</xdr:colOff>
                    <xdr:row>33</xdr:row>
                    <xdr:rowOff>190500</xdr:rowOff>
                  </to>
                </anchor>
              </controlPr>
            </control>
          </mc:Choice>
        </mc:AlternateContent>
        <mc:AlternateContent xmlns:mc="http://schemas.openxmlformats.org/markup-compatibility/2006">
          <mc:Choice Requires="x14">
            <control shapeId="1166" r:id="rId50" name="Check Box 142">
              <controlPr defaultSize="0" autoFill="0" autoLine="0" autoPict="0">
                <anchor moveWithCells="1">
                  <from>
                    <xdr:col>1</xdr:col>
                    <xdr:colOff>171450</xdr:colOff>
                    <xdr:row>34</xdr:row>
                    <xdr:rowOff>38100</xdr:rowOff>
                  </from>
                  <to>
                    <xdr:col>1</xdr:col>
                    <xdr:colOff>695325</xdr:colOff>
                    <xdr:row>34</xdr:row>
                    <xdr:rowOff>190500</xdr:rowOff>
                  </to>
                </anchor>
              </controlPr>
            </control>
          </mc:Choice>
        </mc:AlternateContent>
        <mc:AlternateContent xmlns:mc="http://schemas.openxmlformats.org/markup-compatibility/2006">
          <mc:Choice Requires="x14">
            <control shapeId="1167" r:id="rId51" name="Check Box 143">
              <controlPr defaultSize="0" autoFill="0" autoLine="0" autoPict="0">
                <anchor moveWithCells="1">
                  <from>
                    <xdr:col>1</xdr:col>
                    <xdr:colOff>171450</xdr:colOff>
                    <xdr:row>35</xdr:row>
                    <xdr:rowOff>38100</xdr:rowOff>
                  </from>
                  <to>
                    <xdr:col>1</xdr:col>
                    <xdr:colOff>695325</xdr:colOff>
                    <xdr:row>35</xdr:row>
                    <xdr:rowOff>190500</xdr:rowOff>
                  </to>
                </anchor>
              </controlPr>
            </control>
          </mc:Choice>
        </mc:AlternateContent>
        <mc:AlternateContent xmlns:mc="http://schemas.openxmlformats.org/markup-compatibility/2006">
          <mc:Choice Requires="x14">
            <control shapeId="1168" r:id="rId52" name="Check Box 144">
              <controlPr defaultSize="0" autoFill="0" autoLine="0" autoPict="0">
                <anchor moveWithCells="1">
                  <from>
                    <xdr:col>1</xdr:col>
                    <xdr:colOff>171450</xdr:colOff>
                    <xdr:row>27</xdr:row>
                    <xdr:rowOff>38100</xdr:rowOff>
                  </from>
                  <to>
                    <xdr:col>1</xdr:col>
                    <xdr:colOff>695325</xdr:colOff>
                    <xdr:row>27</xdr:row>
                    <xdr:rowOff>190500</xdr:rowOff>
                  </to>
                </anchor>
              </controlPr>
            </control>
          </mc:Choice>
        </mc:AlternateContent>
        <mc:AlternateContent xmlns:mc="http://schemas.openxmlformats.org/markup-compatibility/2006">
          <mc:Choice Requires="x14">
            <control shapeId="1169" r:id="rId53" name="Check Box 145">
              <controlPr defaultSize="0" autoFill="0" autoLine="0" autoPict="0">
                <anchor moveWithCells="1">
                  <from>
                    <xdr:col>1</xdr:col>
                    <xdr:colOff>171450</xdr:colOff>
                    <xdr:row>28</xdr:row>
                    <xdr:rowOff>38100</xdr:rowOff>
                  </from>
                  <to>
                    <xdr:col>1</xdr:col>
                    <xdr:colOff>695325</xdr:colOff>
                    <xdr:row>28</xdr:row>
                    <xdr:rowOff>190500</xdr:rowOff>
                  </to>
                </anchor>
              </controlPr>
            </control>
          </mc:Choice>
        </mc:AlternateContent>
        <mc:AlternateContent xmlns:mc="http://schemas.openxmlformats.org/markup-compatibility/2006">
          <mc:Choice Requires="x14">
            <control shapeId="1170" r:id="rId54" name="Check Box 146">
              <controlPr defaultSize="0" autoFill="0" autoLine="0" autoPict="0">
                <anchor moveWithCells="1">
                  <from>
                    <xdr:col>1</xdr:col>
                    <xdr:colOff>171450</xdr:colOff>
                    <xdr:row>30</xdr:row>
                    <xdr:rowOff>38100</xdr:rowOff>
                  </from>
                  <to>
                    <xdr:col>1</xdr:col>
                    <xdr:colOff>695325</xdr:colOff>
                    <xdr:row>30</xdr:row>
                    <xdr:rowOff>190500</xdr:rowOff>
                  </to>
                </anchor>
              </controlPr>
            </control>
          </mc:Choice>
        </mc:AlternateContent>
        <mc:AlternateContent xmlns:mc="http://schemas.openxmlformats.org/markup-compatibility/2006">
          <mc:Choice Requires="x14">
            <control shapeId="1171" r:id="rId55" name="Check Box 147">
              <controlPr defaultSize="0" autoFill="0" autoLine="0" autoPict="0">
                <anchor moveWithCells="1">
                  <from>
                    <xdr:col>1</xdr:col>
                    <xdr:colOff>171450</xdr:colOff>
                    <xdr:row>31</xdr:row>
                    <xdr:rowOff>38100</xdr:rowOff>
                  </from>
                  <to>
                    <xdr:col>1</xdr:col>
                    <xdr:colOff>695325</xdr:colOff>
                    <xdr:row>31</xdr:row>
                    <xdr:rowOff>190500</xdr:rowOff>
                  </to>
                </anchor>
              </controlPr>
            </control>
          </mc:Choice>
        </mc:AlternateContent>
        <mc:AlternateContent xmlns:mc="http://schemas.openxmlformats.org/markup-compatibility/2006">
          <mc:Choice Requires="x14">
            <control shapeId="1172" r:id="rId56" name="Check Box 148">
              <controlPr defaultSize="0" autoFill="0" autoLine="0" autoPict="0">
                <anchor moveWithCells="1">
                  <from>
                    <xdr:col>1</xdr:col>
                    <xdr:colOff>171450</xdr:colOff>
                    <xdr:row>26</xdr:row>
                    <xdr:rowOff>38100</xdr:rowOff>
                  </from>
                  <to>
                    <xdr:col>1</xdr:col>
                    <xdr:colOff>695325</xdr:colOff>
                    <xdr:row>26</xdr:row>
                    <xdr:rowOff>190500</xdr:rowOff>
                  </to>
                </anchor>
              </controlPr>
            </control>
          </mc:Choice>
        </mc:AlternateContent>
        <mc:AlternateContent xmlns:mc="http://schemas.openxmlformats.org/markup-compatibility/2006">
          <mc:Choice Requires="x14">
            <control shapeId="1173" r:id="rId57" name="Check Box 149">
              <controlPr defaultSize="0" autoFill="0" autoLine="0" autoPict="0">
                <anchor moveWithCells="1">
                  <from>
                    <xdr:col>1</xdr:col>
                    <xdr:colOff>171450</xdr:colOff>
                    <xdr:row>29</xdr:row>
                    <xdr:rowOff>38100</xdr:rowOff>
                  </from>
                  <to>
                    <xdr:col>1</xdr:col>
                    <xdr:colOff>695325</xdr:colOff>
                    <xdr:row>29</xdr:row>
                    <xdr:rowOff>190500</xdr:rowOff>
                  </to>
                </anchor>
              </controlPr>
            </control>
          </mc:Choice>
        </mc:AlternateContent>
        <mc:AlternateContent xmlns:mc="http://schemas.openxmlformats.org/markup-compatibility/2006">
          <mc:Choice Requires="x14">
            <control shapeId="1174" r:id="rId58" name="Check Box 150">
              <controlPr defaultSize="0" autoFill="0" autoLine="0" autoPict="0">
                <anchor moveWithCells="1">
                  <from>
                    <xdr:col>1</xdr:col>
                    <xdr:colOff>171450</xdr:colOff>
                    <xdr:row>25</xdr:row>
                    <xdr:rowOff>38100</xdr:rowOff>
                  </from>
                  <to>
                    <xdr:col>1</xdr:col>
                    <xdr:colOff>695325</xdr:colOff>
                    <xdr:row>25</xdr:row>
                    <xdr:rowOff>190500</xdr:rowOff>
                  </to>
                </anchor>
              </controlPr>
            </control>
          </mc:Choice>
        </mc:AlternateContent>
        <mc:AlternateContent xmlns:mc="http://schemas.openxmlformats.org/markup-compatibility/2006">
          <mc:Choice Requires="x14">
            <control shapeId="1281" r:id="rId59" name="Option Button 257">
              <controlPr defaultSize="0" autoFill="0" autoLine="0" autoPict="0">
                <anchor moveWithCells="1">
                  <from>
                    <xdr:col>2</xdr:col>
                    <xdr:colOff>57150</xdr:colOff>
                    <xdr:row>15</xdr:row>
                    <xdr:rowOff>123825</xdr:rowOff>
                  </from>
                  <to>
                    <xdr:col>2</xdr:col>
                    <xdr:colOff>695325</xdr:colOff>
                    <xdr:row>16</xdr:row>
                    <xdr:rowOff>95250</xdr:rowOff>
                  </to>
                </anchor>
              </controlPr>
            </control>
          </mc:Choice>
        </mc:AlternateContent>
        <mc:AlternateContent xmlns:mc="http://schemas.openxmlformats.org/markup-compatibility/2006">
          <mc:Choice Requires="x14">
            <control shapeId="1287" r:id="rId60" name="Option Button 263">
              <controlPr defaultSize="0" autoFill="0" autoLine="0" autoPict="0">
                <anchor moveWithCells="1">
                  <from>
                    <xdr:col>2</xdr:col>
                    <xdr:colOff>57150</xdr:colOff>
                    <xdr:row>17</xdr:row>
                    <xdr:rowOff>123825</xdr:rowOff>
                  </from>
                  <to>
                    <xdr:col>2</xdr:col>
                    <xdr:colOff>695325</xdr:colOff>
                    <xdr:row>18</xdr:row>
                    <xdr:rowOff>85725</xdr:rowOff>
                  </to>
                </anchor>
              </controlPr>
            </control>
          </mc:Choice>
        </mc:AlternateContent>
        <mc:AlternateContent xmlns:mc="http://schemas.openxmlformats.org/markup-compatibility/2006">
          <mc:Choice Requires="x14">
            <control shapeId="1288" r:id="rId61" name="Option Button 264">
              <controlPr defaultSize="0" autoFill="0" autoLine="0" autoPict="0">
                <anchor moveWithCells="1">
                  <from>
                    <xdr:col>2</xdr:col>
                    <xdr:colOff>57150</xdr:colOff>
                    <xdr:row>19</xdr:row>
                    <xdr:rowOff>19050</xdr:rowOff>
                  </from>
                  <to>
                    <xdr:col>2</xdr:col>
                    <xdr:colOff>695325</xdr:colOff>
                    <xdr:row>19</xdr:row>
                    <xdr:rowOff>190500</xdr:rowOff>
                  </to>
                </anchor>
              </controlPr>
            </control>
          </mc:Choice>
        </mc:AlternateContent>
        <mc:AlternateContent xmlns:mc="http://schemas.openxmlformats.org/markup-compatibility/2006">
          <mc:Choice Requires="x14">
            <control shapeId="1289" r:id="rId62" name="Option Button 265">
              <controlPr defaultSize="0" autoFill="0" autoLine="0" autoPict="0">
                <anchor moveWithCells="1">
                  <from>
                    <xdr:col>2</xdr:col>
                    <xdr:colOff>57150</xdr:colOff>
                    <xdr:row>25</xdr:row>
                    <xdr:rowOff>19050</xdr:rowOff>
                  </from>
                  <to>
                    <xdr:col>2</xdr:col>
                    <xdr:colOff>695325</xdr:colOff>
                    <xdr:row>25</xdr:row>
                    <xdr:rowOff>190500</xdr:rowOff>
                  </to>
                </anchor>
              </controlPr>
            </control>
          </mc:Choice>
        </mc:AlternateContent>
        <mc:AlternateContent xmlns:mc="http://schemas.openxmlformats.org/markup-compatibility/2006">
          <mc:Choice Requires="x14">
            <control shapeId="1291" r:id="rId63" name="Option Button 267">
              <controlPr defaultSize="0" autoFill="0" autoLine="0" autoPict="0">
                <anchor moveWithCells="1">
                  <from>
                    <xdr:col>2</xdr:col>
                    <xdr:colOff>57150</xdr:colOff>
                    <xdr:row>26</xdr:row>
                    <xdr:rowOff>19050</xdr:rowOff>
                  </from>
                  <to>
                    <xdr:col>2</xdr:col>
                    <xdr:colOff>695325</xdr:colOff>
                    <xdr:row>26</xdr:row>
                    <xdr:rowOff>190500</xdr:rowOff>
                  </to>
                </anchor>
              </controlPr>
            </control>
          </mc:Choice>
        </mc:AlternateContent>
        <mc:AlternateContent xmlns:mc="http://schemas.openxmlformats.org/markup-compatibility/2006">
          <mc:Choice Requires="x14">
            <control shapeId="1293" r:id="rId64" name="Option Button 269">
              <controlPr defaultSize="0" autoFill="0" autoLine="0" autoPict="0">
                <anchor moveWithCells="1">
                  <from>
                    <xdr:col>2</xdr:col>
                    <xdr:colOff>57150</xdr:colOff>
                    <xdr:row>27</xdr:row>
                    <xdr:rowOff>123825</xdr:rowOff>
                  </from>
                  <to>
                    <xdr:col>2</xdr:col>
                    <xdr:colOff>695325</xdr:colOff>
                    <xdr:row>28</xdr:row>
                    <xdr:rowOff>85725</xdr:rowOff>
                  </to>
                </anchor>
              </controlPr>
            </control>
          </mc:Choice>
        </mc:AlternateContent>
        <mc:AlternateContent xmlns:mc="http://schemas.openxmlformats.org/markup-compatibility/2006">
          <mc:Choice Requires="x14">
            <control shapeId="1670" r:id="rId65" name="Group Box 646">
              <controlPr defaultSize="0" print="0" autoFill="0" autoPict="0">
                <anchor moveWithCells="1">
                  <from>
                    <xdr:col>0</xdr:col>
                    <xdr:colOff>0</xdr:colOff>
                    <xdr:row>13</xdr:row>
                    <xdr:rowOff>0</xdr:rowOff>
                  </from>
                  <to>
                    <xdr:col>12</xdr:col>
                    <xdr:colOff>923925</xdr:colOff>
                    <xdr:row>36</xdr:row>
                    <xdr:rowOff>238125</xdr:rowOff>
                  </to>
                </anchor>
              </controlPr>
            </control>
          </mc:Choice>
        </mc:AlternateContent>
        <mc:AlternateContent xmlns:mc="http://schemas.openxmlformats.org/markup-compatibility/2006">
          <mc:Choice Requires="x14">
            <control shapeId="1671" r:id="rId66" name="Option Button 647">
              <controlPr defaultSize="0" autoFill="0" autoLine="0" autoPict="0">
                <anchor moveWithCells="1">
                  <from>
                    <xdr:col>2</xdr:col>
                    <xdr:colOff>57150</xdr:colOff>
                    <xdr:row>29</xdr:row>
                    <xdr:rowOff>19050</xdr:rowOff>
                  </from>
                  <to>
                    <xdr:col>2</xdr:col>
                    <xdr:colOff>695325</xdr:colOff>
                    <xdr:row>29</xdr:row>
                    <xdr:rowOff>190500</xdr:rowOff>
                  </to>
                </anchor>
              </controlPr>
            </control>
          </mc:Choice>
        </mc:AlternateContent>
        <mc:AlternateContent xmlns:mc="http://schemas.openxmlformats.org/markup-compatibility/2006">
          <mc:Choice Requires="x14">
            <control shapeId="1672" r:id="rId67" name="Check Box 648">
              <controlPr defaultSize="0" autoFill="0" autoLine="0" autoPict="0">
                <anchor moveWithCells="1">
                  <from>
                    <xdr:col>1</xdr:col>
                    <xdr:colOff>171450</xdr:colOff>
                    <xdr:row>59</xdr:row>
                    <xdr:rowOff>38100</xdr:rowOff>
                  </from>
                  <to>
                    <xdr:col>1</xdr:col>
                    <xdr:colOff>695325</xdr:colOff>
                    <xdr:row>59</xdr:row>
                    <xdr:rowOff>180975</xdr:rowOff>
                  </to>
                </anchor>
              </controlPr>
            </control>
          </mc:Choice>
        </mc:AlternateContent>
        <mc:AlternateContent xmlns:mc="http://schemas.openxmlformats.org/markup-compatibility/2006">
          <mc:Choice Requires="x14">
            <control shapeId="1673" r:id="rId68" name="Check Box 649">
              <controlPr defaultSize="0" autoFill="0" autoLine="0" autoPict="0">
                <anchor moveWithCells="1">
                  <from>
                    <xdr:col>1</xdr:col>
                    <xdr:colOff>171450</xdr:colOff>
                    <xdr:row>60</xdr:row>
                    <xdr:rowOff>38100</xdr:rowOff>
                  </from>
                  <to>
                    <xdr:col>1</xdr:col>
                    <xdr:colOff>695325</xdr:colOff>
                    <xdr:row>60</xdr:row>
                    <xdr:rowOff>180975</xdr:rowOff>
                  </to>
                </anchor>
              </controlPr>
            </control>
          </mc:Choice>
        </mc:AlternateContent>
        <mc:AlternateContent xmlns:mc="http://schemas.openxmlformats.org/markup-compatibility/2006">
          <mc:Choice Requires="x14">
            <control shapeId="1674" r:id="rId69" name="Check Box 650">
              <controlPr defaultSize="0" autoFill="0" autoLine="0" autoPict="0">
                <anchor moveWithCells="1">
                  <from>
                    <xdr:col>1</xdr:col>
                    <xdr:colOff>171450</xdr:colOff>
                    <xdr:row>61</xdr:row>
                    <xdr:rowOff>38100</xdr:rowOff>
                  </from>
                  <to>
                    <xdr:col>1</xdr:col>
                    <xdr:colOff>695325</xdr:colOff>
                    <xdr:row>61</xdr:row>
                    <xdr:rowOff>180975</xdr:rowOff>
                  </to>
                </anchor>
              </controlPr>
            </control>
          </mc:Choice>
        </mc:AlternateContent>
        <mc:AlternateContent xmlns:mc="http://schemas.openxmlformats.org/markup-compatibility/2006">
          <mc:Choice Requires="x14">
            <control shapeId="1675" r:id="rId70" name="Check Box 651">
              <controlPr defaultSize="0" autoFill="0" autoLine="0" autoPict="0">
                <anchor moveWithCells="1">
                  <from>
                    <xdr:col>1</xdr:col>
                    <xdr:colOff>171450</xdr:colOff>
                    <xdr:row>62</xdr:row>
                    <xdr:rowOff>38100</xdr:rowOff>
                  </from>
                  <to>
                    <xdr:col>1</xdr:col>
                    <xdr:colOff>695325</xdr:colOff>
                    <xdr:row>62</xdr:row>
                    <xdr:rowOff>180975</xdr:rowOff>
                  </to>
                </anchor>
              </controlPr>
            </control>
          </mc:Choice>
        </mc:AlternateContent>
        <mc:AlternateContent xmlns:mc="http://schemas.openxmlformats.org/markup-compatibility/2006">
          <mc:Choice Requires="x14">
            <control shapeId="1676" r:id="rId71" name="Check Box 652">
              <controlPr defaultSize="0" autoFill="0" autoLine="0" autoPict="0">
                <anchor moveWithCells="1">
                  <from>
                    <xdr:col>1</xdr:col>
                    <xdr:colOff>171450</xdr:colOff>
                    <xdr:row>63</xdr:row>
                    <xdr:rowOff>38100</xdr:rowOff>
                  </from>
                  <to>
                    <xdr:col>1</xdr:col>
                    <xdr:colOff>695325</xdr:colOff>
                    <xdr:row>63</xdr:row>
                    <xdr:rowOff>180975</xdr:rowOff>
                  </to>
                </anchor>
              </controlPr>
            </control>
          </mc:Choice>
        </mc:AlternateContent>
        <mc:AlternateContent xmlns:mc="http://schemas.openxmlformats.org/markup-compatibility/2006">
          <mc:Choice Requires="x14">
            <control shapeId="1677" r:id="rId72" name="Check Box 653">
              <controlPr defaultSize="0" autoFill="0" autoLine="0" autoPict="0">
                <anchor moveWithCells="1">
                  <from>
                    <xdr:col>1</xdr:col>
                    <xdr:colOff>171450</xdr:colOff>
                    <xdr:row>64</xdr:row>
                    <xdr:rowOff>38100</xdr:rowOff>
                  </from>
                  <to>
                    <xdr:col>1</xdr:col>
                    <xdr:colOff>695325</xdr:colOff>
                    <xdr:row>64</xdr:row>
                    <xdr:rowOff>180975</xdr:rowOff>
                  </to>
                </anchor>
              </controlPr>
            </control>
          </mc:Choice>
        </mc:AlternateContent>
        <mc:AlternateContent xmlns:mc="http://schemas.openxmlformats.org/markup-compatibility/2006">
          <mc:Choice Requires="x14">
            <control shapeId="1678" r:id="rId73" name="Check Box 654">
              <controlPr defaultSize="0" autoFill="0" autoLine="0" autoPict="0">
                <anchor moveWithCells="1">
                  <from>
                    <xdr:col>1</xdr:col>
                    <xdr:colOff>171450</xdr:colOff>
                    <xdr:row>65</xdr:row>
                    <xdr:rowOff>38100</xdr:rowOff>
                  </from>
                  <to>
                    <xdr:col>1</xdr:col>
                    <xdr:colOff>695325</xdr:colOff>
                    <xdr:row>65</xdr:row>
                    <xdr:rowOff>180975</xdr:rowOff>
                  </to>
                </anchor>
              </controlPr>
            </control>
          </mc:Choice>
        </mc:AlternateContent>
        <mc:AlternateContent xmlns:mc="http://schemas.openxmlformats.org/markup-compatibility/2006">
          <mc:Choice Requires="x14">
            <control shapeId="1679" r:id="rId74" name="Check Box 655">
              <controlPr defaultSize="0" autoFill="0" autoLine="0" autoPict="0">
                <anchor moveWithCells="1">
                  <from>
                    <xdr:col>1</xdr:col>
                    <xdr:colOff>171450</xdr:colOff>
                    <xdr:row>66</xdr:row>
                    <xdr:rowOff>38100</xdr:rowOff>
                  </from>
                  <to>
                    <xdr:col>1</xdr:col>
                    <xdr:colOff>695325</xdr:colOff>
                    <xdr:row>66</xdr:row>
                    <xdr:rowOff>190500</xdr:rowOff>
                  </to>
                </anchor>
              </controlPr>
            </control>
          </mc:Choice>
        </mc:AlternateContent>
        <mc:AlternateContent xmlns:mc="http://schemas.openxmlformats.org/markup-compatibility/2006">
          <mc:Choice Requires="x14">
            <control shapeId="1680" r:id="rId75" name="Check Box 656">
              <controlPr defaultSize="0" autoFill="0" autoLine="0" autoPict="0">
                <anchor moveWithCells="1">
                  <from>
                    <xdr:col>1</xdr:col>
                    <xdr:colOff>171450</xdr:colOff>
                    <xdr:row>67</xdr:row>
                    <xdr:rowOff>38100</xdr:rowOff>
                  </from>
                  <to>
                    <xdr:col>1</xdr:col>
                    <xdr:colOff>695325</xdr:colOff>
                    <xdr:row>67</xdr:row>
                    <xdr:rowOff>190500</xdr:rowOff>
                  </to>
                </anchor>
              </controlPr>
            </control>
          </mc:Choice>
        </mc:AlternateContent>
        <mc:AlternateContent xmlns:mc="http://schemas.openxmlformats.org/markup-compatibility/2006">
          <mc:Choice Requires="x14">
            <control shapeId="1681" r:id="rId76" name="Check Box 657">
              <controlPr defaultSize="0" autoFill="0" autoLine="0" autoPict="0">
                <anchor moveWithCells="1">
                  <from>
                    <xdr:col>1</xdr:col>
                    <xdr:colOff>171450</xdr:colOff>
                    <xdr:row>68</xdr:row>
                    <xdr:rowOff>38100</xdr:rowOff>
                  </from>
                  <to>
                    <xdr:col>1</xdr:col>
                    <xdr:colOff>695325</xdr:colOff>
                    <xdr:row>68</xdr:row>
                    <xdr:rowOff>190500</xdr:rowOff>
                  </to>
                </anchor>
              </controlPr>
            </control>
          </mc:Choice>
        </mc:AlternateContent>
        <mc:AlternateContent xmlns:mc="http://schemas.openxmlformats.org/markup-compatibility/2006">
          <mc:Choice Requires="x14">
            <control shapeId="1682" r:id="rId77" name="Check Box 658">
              <controlPr defaultSize="0" autoFill="0" autoLine="0" autoPict="0">
                <anchor moveWithCells="1">
                  <from>
                    <xdr:col>1</xdr:col>
                    <xdr:colOff>171450</xdr:colOff>
                    <xdr:row>76</xdr:row>
                    <xdr:rowOff>38100</xdr:rowOff>
                  </from>
                  <to>
                    <xdr:col>1</xdr:col>
                    <xdr:colOff>695325</xdr:colOff>
                    <xdr:row>76</xdr:row>
                    <xdr:rowOff>190500</xdr:rowOff>
                  </to>
                </anchor>
              </controlPr>
            </control>
          </mc:Choice>
        </mc:AlternateContent>
        <mc:AlternateContent xmlns:mc="http://schemas.openxmlformats.org/markup-compatibility/2006">
          <mc:Choice Requires="x14">
            <control shapeId="1683" r:id="rId78" name="Check Box 659">
              <controlPr defaultSize="0" autoFill="0" autoLine="0" autoPict="0">
                <anchor moveWithCells="1">
                  <from>
                    <xdr:col>1</xdr:col>
                    <xdr:colOff>171450</xdr:colOff>
                    <xdr:row>77</xdr:row>
                    <xdr:rowOff>38100</xdr:rowOff>
                  </from>
                  <to>
                    <xdr:col>1</xdr:col>
                    <xdr:colOff>695325</xdr:colOff>
                    <xdr:row>77</xdr:row>
                    <xdr:rowOff>190500</xdr:rowOff>
                  </to>
                </anchor>
              </controlPr>
            </control>
          </mc:Choice>
        </mc:AlternateContent>
        <mc:AlternateContent xmlns:mc="http://schemas.openxmlformats.org/markup-compatibility/2006">
          <mc:Choice Requires="x14">
            <control shapeId="1684" r:id="rId79" name="Check Box 660">
              <controlPr defaultSize="0" autoFill="0" autoLine="0" autoPict="0">
                <anchor moveWithCells="1">
                  <from>
                    <xdr:col>1</xdr:col>
                    <xdr:colOff>171450</xdr:colOff>
                    <xdr:row>78</xdr:row>
                    <xdr:rowOff>38100</xdr:rowOff>
                  </from>
                  <to>
                    <xdr:col>1</xdr:col>
                    <xdr:colOff>695325</xdr:colOff>
                    <xdr:row>78</xdr:row>
                    <xdr:rowOff>190500</xdr:rowOff>
                  </to>
                </anchor>
              </controlPr>
            </control>
          </mc:Choice>
        </mc:AlternateContent>
        <mc:AlternateContent xmlns:mc="http://schemas.openxmlformats.org/markup-compatibility/2006">
          <mc:Choice Requires="x14">
            <control shapeId="1685" r:id="rId80" name="Check Box 661">
              <controlPr defaultSize="0" autoFill="0" autoLine="0" autoPict="0">
                <anchor moveWithCells="1">
                  <from>
                    <xdr:col>1</xdr:col>
                    <xdr:colOff>171450</xdr:colOff>
                    <xdr:row>79</xdr:row>
                    <xdr:rowOff>38100</xdr:rowOff>
                  </from>
                  <to>
                    <xdr:col>1</xdr:col>
                    <xdr:colOff>695325</xdr:colOff>
                    <xdr:row>79</xdr:row>
                    <xdr:rowOff>190500</xdr:rowOff>
                  </to>
                </anchor>
              </controlPr>
            </control>
          </mc:Choice>
        </mc:AlternateContent>
        <mc:AlternateContent xmlns:mc="http://schemas.openxmlformats.org/markup-compatibility/2006">
          <mc:Choice Requires="x14">
            <control shapeId="1686" r:id="rId81" name="Check Box 662">
              <controlPr defaultSize="0" autoFill="0" autoLine="0" autoPict="0">
                <anchor moveWithCells="1">
                  <from>
                    <xdr:col>1</xdr:col>
                    <xdr:colOff>171450</xdr:colOff>
                    <xdr:row>71</xdr:row>
                    <xdr:rowOff>38100</xdr:rowOff>
                  </from>
                  <to>
                    <xdr:col>1</xdr:col>
                    <xdr:colOff>695325</xdr:colOff>
                    <xdr:row>71</xdr:row>
                    <xdr:rowOff>190500</xdr:rowOff>
                  </to>
                </anchor>
              </controlPr>
            </control>
          </mc:Choice>
        </mc:AlternateContent>
        <mc:AlternateContent xmlns:mc="http://schemas.openxmlformats.org/markup-compatibility/2006">
          <mc:Choice Requires="x14">
            <control shapeId="1687" r:id="rId82" name="Check Box 663">
              <controlPr defaultSize="0" autoFill="0" autoLine="0" autoPict="0">
                <anchor moveWithCells="1">
                  <from>
                    <xdr:col>1</xdr:col>
                    <xdr:colOff>171450</xdr:colOff>
                    <xdr:row>72</xdr:row>
                    <xdr:rowOff>38100</xdr:rowOff>
                  </from>
                  <to>
                    <xdr:col>1</xdr:col>
                    <xdr:colOff>695325</xdr:colOff>
                    <xdr:row>72</xdr:row>
                    <xdr:rowOff>190500</xdr:rowOff>
                  </to>
                </anchor>
              </controlPr>
            </control>
          </mc:Choice>
        </mc:AlternateContent>
        <mc:AlternateContent xmlns:mc="http://schemas.openxmlformats.org/markup-compatibility/2006">
          <mc:Choice Requires="x14">
            <control shapeId="1688" r:id="rId83" name="Check Box 664">
              <controlPr defaultSize="0" autoFill="0" autoLine="0" autoPict="0">
                <anchor moveWithCells="1">
                  <from>
                    <xdr:col>1</xdr:col>
                    <xdr:colOff>171450</xdr:colOff>
                    <xdr:row>74</xdr:row>
                    <xdr:rowOff>38100</xdr:rowOff>
                  </from>
                  <to>
                    <xdr:col>1</xdr:col>
                    <xdr:colOff>695325</xdr:colOff>
                    <xdr:row>74</xdr:row>
                    <xdr:rowOff>190500</xdr:rowOff>
                  </to>
                </anchor>
              </controlPr>
            </control>
          </mc:Choice>
        </mc:AlternateContent>
        <mc:AlternateContent xmlns:mc="http://schemas.openxmlformats.org/markup-compatibility/2006">
          <mc:Choice Requires="x14">
            <control shapeId="1689" r:id="rId84" name="Check Box 665">
              <controlPr defaultSize="0" autoFill="0" autoLine="0" autoPict="0">
                <anchor moveWithCells="1">
                  <from>
                    <xdr:col>1</xdr:col>
                    <xdr:colOff>171450</xdr:colOff>
                    <xdr:row>75</xdr:row>
                    <xdr:rowOff>38100</xdr:rowOff>
                  </from>
                  <to>
                    <xdr:col>1</xdr:col>
                    <xdr:colOff>695325</xdr:colOff>
                    <xdr:row>75</xdr:row>
                    <xdr:rowOff>190500</xdr:rowOff>
                  </to>
                </anchor>
              </controlPr>
            </control>
          </mc:Choice>
        </mc:AlternateContent>
        <mc:AlternateContent xmlns:mc="http://schemas.openxmlformats.org/markup-compatibility/2006">
          <mc:Choice Requires="x14">
            <control shapeId="1690" r:id="rId85" name="Check Box 666">
              <controlPr defaultSize="0" autoFill="0" autoLine="0" autoPict="0">
                <anchor moveWithCells="1">
                  <from>
                    <xdr:col>1</xdr:col>
                    <xdr:colOff>171450</xdr:colOff>
                    <xdr:row>70</xdr:row>
                    <xdr:rowOff>38100</xdr:rowOff>
                  </from>
                  <to>
                    <xdr:col>1</xdr:col>
                    <xdr:colOff>695325</xdr:colOff>
                    <xdr:row>70</xdr:row>
                    <xdr:rowOff>190500</xdr:rowOff>
                  </to>
                </anchor>
              </controlPr>
            </control>
          </mc:Choice>
        </mc:AlternateContent>
        <mc:AlternateContent xmlns:mc="http://schemas.openxmlformats.org/markup-compatibility/2006">
          <mc:Choice Requires="x14">
            <control shapeId="1691" r:id="rId86" name="Check Box 667">
              <controlPr defaultSize="0" autoFill="0" autoLine="0" autoPict="0">
                <anchor moveWithCells="1">
                  <from>
                    <xdr:col>1</xdr:col>
                    <xdr:colOff>171450</xdr:colOff>
                    <xdr:row>73</xdr:row>
                    <xdr:rowOff>38100</xdr:rowOff>
                  </from>
                  <to>
                    <xdr:col>1</xdr:col>
                    <xdr:colOff>695325</xdr:colOff>
                    <xdr:row>73</xdr:row>
                    <xdr:rowOff>190500</xdr:rowOff>
                  </to>
                </anchor>
              </controlPr>
            </control>
          </mc:Choice>
        </mc:AlternateContent>
        <mc:AlternateContent xmlns:mc="http://schemas.openxmlformats.org/markup-compatibility/2006">
          <mc:Choice Requires="x14">
            <control shapeId="1692" r:id="rId87" name="Check Box 668">
              <controlPr defaultSize="0" autoFill="0" autoLine="0" autoPict="0">
                <anchor moveWithCells="1">
                  <from>
                    <xdr:col>1</xdr:col>
                    <xdr:colOff>171450</xdr:colOff>
                    <xdr:row>69</xdr:row>
                    <xdr:rowOff>38100</xdr:rowOff>
                  </from>
                  <to>
                    <xdr:col>1</xdr:col>
                    <xdr:colOff>695325</xdr:colOff>
                    <xdr:row>69</xdr:row>
                    <xdr:rowOff>190500</xdr:rowOff>
                  </to>
                </anchor>
              </controlPr>
            </control>
          </mc:Choice>
        </mc:AlternateContent>
        <mc:AlternateContent xmlns:mc="http://schemas.openxmlformats.org/markup-compatibility/2006">
          <mc:Choice Requires="x14">
            <control shapeId="1693" r:id="rId88" name="Check Box 669">
              <controlPr defaultSize="0" autoFill="0" autoLine="0" autoPict="0">
                <anchor moveWithCells="1">
                  <from>
                    <xdr:col>1</xdr:col>
                    <xdr:colOff>171450</xdr:colOff>
                    <xdr:row>89</xdr:row>
                    <xdr:rowOff>38100</xdr:rowOff>
                  </from>
                  <to>
                    <xdr:col>1</xdr:col>
                    <xdr:colOff>695325</xdr:colOff>
                    <xdr:row>89</xdr:row>
                    <xdr:rowOff>180975</xdr:rowOff>
                  </to>
                </anchor>
              </controlPr>
            </control>
          </mc:Choice>
        </mc:AlternateContent>
        <mc:AlternateContent xmlns:mc="http://schemas.openxmlformats.org/markup-compatibility/2006">
          <mc:Choice Requires="x14">
            <control shapeId="1694" r:id="rId89" name="Check Box 670">
              <controlPr defaultSize="0" autoFill="0" autoLine="0" autoPict="0">
                <anchor moveWithCells="1">
                  <from>
                    <xdr:col>1</xdr:col>
                    <xdr:colOff>171450</xdr:colOff>
                    <xdr:row>90</xdr:row>
                    <xdr:rowOff>38100</xdr:rowOff>
                  </from>
                  <to>
                    <xdr:col>1</xdr:col>
                    <xdr:colOff>695325</xdr:colOff>
                    <xdr:row>90</xdr:row>
                    <xdr:rowOff>180975</xdr:rowOff>
                  </to>
                </anchor>
              </controlPr>
            </control>
          </mc:Choice>
        </mc:AlternateContent>
        <mc:AlternateContent xmlns:mc="http://schemas.openxmlformats.org/markup-compatibility/2006">
          <mc:Choice Requires="x14">
            <control shapeId="1695" r:id="rId90" name="Check Box 671">
              <controlPr defaultSize="0" autoFill="0" autoLine="0" autoPict="0">
                <anchor moveWithCells="1">
                  <from>
                    <xdr:col>1</xdr:col>
                    <xdr:colOff>171450</xdr:colOff>
                    <xdr:row>91</xdr:row>
                    <xdr:rowOff>38100</xdr:rowOff>
                  </from>
                  <to>
                    <xdr:col>1</xdr:col>
                    <xdr:colOff>695325</xdr:colOff>
                    <xdr:row>91</xdr:row>
                    <xdr:rowOff>180975</xdr:rowOff>
                  </to>
                </anchor>
              </controlPr>
            </control>
          </mc:Choice>
        </mc:AlternateContent>
        <mc:AlternateContent xmlns:mc="http://schemas.openxmlformats.org/markup-compatibility/2006">
          <mc:Choice Requires="x14">
            <control shapeId="1696" r:id="rId91" name="Check Box 672">
              <controlPr defaultSize="0" autoFill="0" autoLine="0" autoPict="0">
                <anchor moveWithCells="1">
                  <from>
                    <xdr:col>1</xdr:col>
                    <xdr:colOff>171450</xdr:colOff>
                    <xdr:row>92</xdr:row>
                    <xdr:rowOff>38100</xdr:rowOff>
                  </from>
                  <to>
                    <xdr:col>1</xdr:col>
                    <xdr:colOff>695325</xdr:colOff>
                    <xdr:row>92</xdr:row>
                    <xdr:rowOff>180975</xdr:rowOff>
                  </to>
                </anchor>
              </controlPr>
            </control>
          </mc:Choice>
        </mc:AlternateContent>
        <mc:AlternateContent xmlns:mc="http://schemas.openxmlformats.org/markup-compatibility/2006">
          <mc:Choice Requires="x14">
            <control shapeId="1697" r:id="rId92" name="Check Box 673">
              <controlPr defaultSize="0" autoFill="0" autoLine="0" autoPict="0">
                <anchor moveWithCells="1">
                  <from>
                    <xdr:col>1</xdr:col>
                    <xdr:colOff>171450</xdr:colOff>
                    <xdr:row>93</xdr:row>
                    <xdr:rowOff>38100</xdr:rowOff>
                  </from>
                  <to>
                    <xdr:col>1</xdr:col>
                    <xdr:colOff>695325</xdr:colOff>
                    <xdr:row>93</xdr:row>
                    <xdr:rowOff>180975</xdr:rowOff>
                  </to>
                </anchor>
              </controlPr>
            </control>
          </mc:Choice>
        </mc:AlternateContent>
        <mc:AlternateContent xmlns:mc="http://schemas.openxmlformats.org/markup-compatibility/2006">
          <mc:Choice Requires="x14">
            <control shapeId="1698" r:id="rId93" name="Check Box 674">
              <controlPr defaultSize="0" autoFill="0" autoLine="0" autoPict="0">
                <anchor moveWithCells="1">
                  <from>
                    <xdr:col>1</xdr:col>
                    <xdr:colOff>171450</xdr:colOff>
                    <xdr:row>94</xdr:row>
                    <xdr:rowOff>38100</xdr:rowOff>
                  </from>
                  <to>
                    <xdr:col>1</xdr:col>
                    <xdr:colOff>695325</xdr:colOff>
                    <xdr:row>94</xdr:row>
                    <xdr:rowOff>180975</xdr:rowOff>
                  </to>
                </anchor>
              </controlPr>
            </control>
          </mc:Choice>
        </mc:AlternateContent>
        <mc:AlternateContent xmlns:mc="http://schemas.openxmlformats.org/markup-compatibility/2006">
          <mc:Choice Requires="x14">
            <control shapeId="1699" r:id="rId94" name="Check Box 675">
              <controlPr defaultSize="0" autoFill="0" autoLine="0" autoPict="0">
                <anchor moveWithCells="1">
                  <from>
                    <xdr:col>1</xdr:col>
                    <xdr:colOff>171450</xdr:colOff>
                    <xdr:row>95</xdr:row>
                    <xdr:rowOff>38100</xdr:rowOff>
                  </from>
                  <to>
                    <xdr:col>1</xdr:col>
                    <xdr:colOff>695325</xdr:colOff>
                    <xdr:row>95</xdr:row>
                    <xdr:rowOff>180975</xdr:rowOff>
                  </to>
                </anchor>
              </controlPr>
            </control>
          </mc:Choice>
        </mc:AlternateContent>
        <mc:AlternateContent xmlns:mc="http://schemas.openxmlformats.org/markup-compatibility/2006">
          <mc:Choice Requires="x14">
            <control shapeId="1700" r:id="rId95" name="Check Box 676">
              <controlPr defaultSize="0" autoFill="0" autoLine="0" autoPict="0">
                <anchor moveWithCells="1">
                  <from>
                    <xdr:col>1</xdr:col>
                    <xdr:colOff>171450</xdr:colOff>
                    <xdr:row>96</xdr:row>
                    <xdr:rowOff>38100</xdr:rowOff>
                  </from>
                  <to>
                    <xdr:col>1</xdr:col>
                    <xdr:colOff>695325</xdr:colOff>
                    <xdr:row>96</xdr:row>
                    <xdr:rowOff>190500</xdr:rowOff>
                  </to>
                </anchor>
              </controlPr>
            </control>
          </mc:Choice>
        </mc:AlternateContent>
        <mc:AlternateContent xmlns:mc="http://schemas.openxmlformats.org/markup-compatibility/2006">
          <mc:Choice Requires="x14">
            <control shapeId="1701" r:id="rId96" name="Check Box 677">
              <controlPr defaultSize="0" autoFill="0" autoLine="0" autoPict="0">
                <anchor moveWithCells="1">
                  <from>
                    <xdr:col>1</xdr:col>
                    <xdr:colOff>171450</xdr:colOff>
                    <xdr:row>97</xdr:row>
                    <xdr:rowOff>38100</xdr:rowOff>
                  </from>
                  <to>
                    <xdr:col>1</xdr:col>
                    <xdr:colOff>695325</xdr:colOff>
                    <xdr:row>97</xdr:row>
                    <xdr:rowOff>190500</xdr:rowOff>
                  </to>
                </anchor>
              </controlPr>
            </control>
          </mc:Choice>
        </mc:AlternateContent>
        <mc:AlternateContent xmlns:mc="http://schemas.openxmlformats.org/markup-compatibility/2006">
          <mc:Choice Requires="x14">
            <control shapeId="1702" r:id="rId97" name="Check Box 678">
              <controlPr defaultSize="0" autoFill="0" autoLine="0" autoPict="0">
                <anchor moveWithCells="1">
                  <from>
                    <xdr:col>1</xdr:col>
                    <xdr:colOff>171450</xdr:colOff>
                    <xdr:row>98</xdr:row>
                    <xdr:rowOff>38100</xdr:rowOff>
                  </from>
                  <to>
                    <xdr:col>1</xdr:col>
                    <xdr:colOff>695325</xdr:colOff>
                    <xdr:row>98</xdr:row>
                    <xdr:rowOff>190500</xdr:rowOff>
                  </to>
                </anchor>
              </controlPr>
            </control>
          </mc:Choice>
        </mc:AlternateContent>
        <mc:AlternateContent xmlns:mc="http://schemas.openxmlformats.org/markup-compatibility/2006">
          <mc:Choice Requires="x14">
            <control shapeId="1703" r:id="rId98" name="Check Box 679">
              <controlPr defaultSize="0" autoFill="0" autoLine="0" autoPict="0">
                <anchor moveWithCells="1">
                  <from>
                    <xdr:col>1</xdr:col>
                    <xdr:colOff>171450</xdr:colOff>
                    <xdr:row>106</xdr:row>
                    <xdr:rowOff>38100</xdr:rowOff>
                  </from>
                  <to>
                    <xdr:col>1</xdr:col>
                    <xdr:colOff>695325</xdr:colOff>
                    <xdr:row>106</xdr:row>
                    <xdr:rowOff>190500</xdr:rowOff>
                  </to>
                </anchor>
              </controlPr>
            </control>
          </mc:Choice>
        </mc:AlternateContent>
        <mc:AlternateContent xmlns:mc="http://schemas.openxmlformats.org/markup-compatibility/2006">
          <mc:Choice Requires="x14">
            <control shapeId="1704" r:id="rId99" name="Check Box 680">
              <controlPr defaultSize="0" autoFill="0" autoLine="0" autoPict="0">
                <anchor moveWithCells="1">
                  <from>
                    <xdr:col>1</xdr:col>
                    <xdr:colOff>171450</xdr:colOff>
                    <xdr:row>107</xdr:row>
                    <xdr:rowOff>38100</xdr:rowOff>
                  </from>
                  <to>
                    <xdr:col>1</xdr:col>
                    <xdr:colOff>695325</xdr:colOff>
                    <xdr:row>107</xdr:row>
                    <xdr:rowOff>190500</xdr:rowOff>
                  </to>
                </anchor>
              </controlPr>
            </control>
          </mc:Choice>
        </mc:AlternateContent>
        <mc:AlternateContent xmlns:mc="http://schemas.openxmlformats.org/markup-compatibility/2006">
          <mc:Choice Requires="x14">
            <control shapeId="1705" r:id="rId100" name="Check Box 681">
              <controlPr defaultSize="0" autoFill="0" autoLine="0" autoPict="0">
                <anchor moveWithCells="1">
                  <from>
                    <xdr:col>1</xdr:col>
                    <xdr:colOff>171450</xdr:colOff>
                    <xdr:row>108</xdr:row>
                    <xdr:rowOff>38100</xdr:rowOff>
                  </from>
                  <to>
                    <xdr:col>1</xdr:col>
                    <xdr:colOff>695325</xdr:colOff>
                    <xdr:row>108</xdr:row>
                    <xdr:rowOff>190500</xdr:rowOff>
                  </to>
                </anchor>
              </controlPr>
            </control>
          </mc:Choice>
        </mc:AlternateContent>
        <mc:AlternateContent xmlns:mc="http://schemas.openxmlformats.org/markup-compatibility/2006">
          <mc:Choice Requires="x14">
            <control shapeId="1706" r:id="rId101" name="Check Box 682">
              <controlPr defaultSize="0" autoFill="0" autoLine="0" autoPict="0">
                <anchor moveWithCells="1">
                  <from>
                    <xdr:col>1</xdr:col>
                    <xdr:colOff>171450</xdr:colOff>
                    <xdr:row>109</xdr:row>
                    <xdr:rowOff>38100</xdr:rowOff>
                  </from>
                  <to>
                    <xdr:col>1</xdr:col>
                    <xdr:colOff>695325</xdr:colOff>
                    <xdr:row>109</xdr:row>
                    <xdr:rowOff>190500</xdr:rowOff>
                  </to>
                </anchor>
              </controlPr>
            </control>
          </mc:Choice>
        </mc:AlternateContent>
        <mc:AlternateContent xmlns:mc="http://schemas.openxmlformats.org/markup-compatibility/2006">
          <mc:Choice Requires="x14">
            <control shapeId="1707" r:id="rId102" name="Check Box 683">
              <controlPr defaultSize="0" autoFill="0" autoLine="0" autoPict="0">
                <anchor moveWithCells="1">
                  <from>
                    <xdr:col>1</xdr:col>
                    <xdr:colOff>171450</xdr:colOff>
                    <xdr:row>101</xdr:row>
                    <xdr:rowOff>38100</xdr:rowOff>
                  </from>
                  <to>
                    <xdr:col>1</xdr:col>
                    <xdr:colOff>695325</xdr:colOff>
                    <xdr:row>101</xdr:row>
                    <xdr:rowOff>190500</xdr:rowOff>
                  </to>
                </anchor>
              </controlPr>
            </control>
          </mc:Choice>
        </mc:AlternateContent>
        <mc:AlternateContent xmlns:mc="http://schemas.openxmlformats.org/markup-compatibility/2006">
          <mc:Choice Requires="x14">
            <control shapeId="1708" r:id="rId103" name="Check Box 684">
              <controlPr defaultSize="0" autoFill="0" autoLine="0" autoPict="0">
                <anchor moveWithCells="1">
                  <from>
                    <xdr:col>1</xdr:col>
                    <xdr:colOff>171450</xdr:colOff>
                    <xdr:row>102</xdr:row>
                    <xdr:rowOff>38100</xdr:rowOff>
                  </from>
                  <to>
                    <xdr:col>1</xdr:col>
                    <xdr:colOff>695325</xdr:colOff>
                    <xdr:row>102</xdr:row>
                    <xdr:rowOff>190500</xdr:rowOff>
                  </to>
                </anchor>
              </controlPr>
            </control>
          </mc:Choice>
        </mc:AlternateContent>
        <mc:AlternateContent xmlns:mc="http://schemas.openxmlformats.org/markup-compatibility/2006">
          <mc:Choice Requires="x14">
            <control shapeId="1709" r:id="rId104" name="Check Box 685">
              <controlPr defaultSize="0" autoFill="0" autoLine="0" autoPict="0">
                <anchor moveWithCells="1">
                  <from>
                    <xdr:col>1</xdr:col>
                    <xdr:colOff>171450</xdr:colOff>
                    <xdr:row>104</xdr:row>
                    <xdr:rowOff>38100</xdr:rowOff>
                  </from>
                  <to>
                    <xdr:col>1</xdr:col>
                    <xdr:colOff>695325</xdr:colOff>
                    <xdr:row>104</xdr:row>
                    <xdr:rowOff>190500</xdr:rowOff>
                  </to>
                </anchor>
              </controlPr>
            </control>
          </mc:Choice>
        </mc:AlternateContent>
        <mc:AlternateContent xmlns:mc="http://schemas.openxmlformats.org/markup-compatibility/2006">
          <mc:Choice Requires="x14">
            <control shapeId="1710" r:id="rId105" name="Check Box 686">
              <controlPr defaultSize="0" autoFill="0" autoLine="0" autoPict="0">
                <anchor moveWithCells="1">
                  <from>
                    <xdr:col>1</xdr:col>
                    <xdr:colOff>171450</xdr:colOff>
                    <xdr:row>105</xdr:row>
                    <xdr:rowOff>38100</xdr:rowOff>
                  </from>
                  <to>
                    <xdr:col>1</xdr:col>
                    <xdr:colOff>695325</xdr:colOff>
                    <xdr:row>105</xdr:row>
                    <xdr:rowOff>190500</xdr:rowOff>
                  </to>
                </anchor>
              </controlPr>
            </control>
          </mc:Choice>
        </mc:AlternateContent>
        <mc:AlternateContent xmlns:mc="http://schemas.openxmlformats.org/markup-compatibility/2006">
          <mc:Choice Requires="x14">
            <control shapeId="1711" r:id="rId106" name="Check Box 687">
              <controlPr defaultSize="0" autoFill="0" autoLine="0" autoPict="0">
                <anchor moveWithCells="1">
                  <from>
                    <xdr:col>1</xdr:col>
                    <xdr:colOff>171450</xdr:colOff>
                    <xdr:row>100</xdr:row>
                    <xdr:rowOff>38100</xdr:rowOff>
                  </from>
                  <to>
                    <xdr:col>1</xdr:col>
                    <xdr:colOff>695325</xdr:colOff>
                    <xdr:row>100</xdr:row>
                    <xdr:rowOff>190500</xdr:rowOff>
                  </to>
                </anchor>
              </controlPr>
            </control>
          </mc:Choice>
        </mc:AlternateContent>
        <mc:AlternateContent xmlns:mc="http://schemas.openxmlformats.org/markup-compatibility/2006">
          <mc:Choice Requires="x14">
            <control shapeId="1712" r:id="rId107" name="Check Box 688">
              <controlPr defaultSize="0" autoFill="0" autoLine="0" autoPict="0">
                <anchor moveWithCells="1">
                  <from>
                    <xdr:col>1</xdr:col>
                    <xdr:colOff>171450</xdr:colOff>
                    <xdr:row>103</xdr:row>
                    <xdr:rowOff>38100</xdr:rowOff>
                  </from>
                  <to>
                    <xdr:col>1</xdr:col>
                    <xdr:colOff>695325</xdr:colOff>
                    <xdr:row>103</xdr:row>
                    <xdr:rowOff>190500</xdr:rowOff>
                  </to>
                </anchor>
              </controlPr>
            </control>
          </mc:Choice>
        </mc:AlternateContent>
        <mc:AlternateContent xmlns:mc="http://schemas.openxmlformats.org/markup-compatibility/2006">
          <mc:Choice Requires="x14">
            <control shapeId="1713" r:id="rId108" name="Check Box 689">
              <controlPr defaultSize="0" autoFill="0" autoLine="0" autoPict="0">
                <anchor moveWithCells="1">
                  <from>
                    <xdr:col>1</xdr:col>
                    <xdr:colOff>171450</xdr:colOff>
                    <xdr:row>99</xdr:row>
                    <xdr:rowOff>38100</xdr:rowOff>
                  </from>
                  <to>
                    <xdr:col>1</xdr:col>
                    <xdr:colOff>695325</xdr:colOff>
                    <xdr:row>99</xdr:row>
                    <xdr:rowOff>190500</xdr:rowOff>
                  </to>
                </anchor>
              </controlPr>
            </control>
          </mc:Choice>
        </mc:AlternateContent>
        <mc:AlternateContent xmlns:mc="http://schemas.openxmlformats.org/markup-compatibility/2006">
          <mc:Choice Requires="x14">
            <control shapeId="1714" r:id="rId109" name="Check Box 690">
              <controlPr defaultSize="0" autoFill="0" autoLine="0" autoPict="0">
                <anchor moveWithCells="1">
                  <from>
                    <xdr:col>1</xdr:col>
                    <xdr:colOff>171450</xdr:colOff>
                    <xdr:row>120</xdr:row>
                    <xdr:rowOff>38100</xdr:rowOff>
                  </from>
                  <to>
                    <xdr:col>1</xdr:col>
                    <xdr:colOff>695325</xdr:colOff>
                    <xdr:row>120</xdr:row>
                    <xdr:rowOff>180975</xdr:rowOff>
                  </to>
                </anchor>
              </controlPr>
            </control>
          </mc:Choice>
        </mc:AlternateContent>
        <mc:AlternateContent xmlns:mc="http://schemas.openxmlformats.org/markup-compatibility/2006">
          <mc:Choice Requires="x14">
            <control shapeId="1715" r:id="rId110" name="Check Box 691">
              <controlPr defaultSize="0" autoFill="0" autoLine="0" autoPict="0">
                <anchor moveWithCells="1">
                  <from>
                    <xdr:col>1</xdr:col>
                    <xdr:colOff>171450</xdr:colOff>
                    <xdr:row>121</xdr:row>
                    <xdr:rowOff>38100</xdr:rowOff>
                  </from>
                  <to>
                    <xdr:col>1</xdr:col>
                    <xdr:colOff>695325</xdr:colOff>
                    <xdr:row>121</xdr:row>
                    <xdr:rowOff>180975</xdr:rowOff>
                  </to>
                </anchor>
              </controlPr>
            </control>
          </mc:Choice>
        </mc:AlternateContent>
        <mc:AlternateContent xmlns:mc="http://schemas.openxmlformats.org/markup-compatibility/2006">
          <mc:Choice Requires="x14">
            <control shapeId="1716" r:id="rId111" name="Check Box 692">
              <controlPr defaultSize="0" autoFill="0" autoLine="0" autoPict="0">
                <anchor moveWithCells="1">
                  <from>
                    <xdr:col>1</xdr:col>
                    <xdr:colOff>171450</xdr:colOff>
                    <xdr:row>122</xdr:row>
                    <xdr:rowOff>38100</xdr:rowOff>
                  </from>
                  <to>
                    <xdr:col>1</xdr:col>
                    <xdr:colOff>695325</xdr:colOff>
                    <xdr:row>122</xdr:row>
                    <xdr:rowOff>180975</xdr:rowOff>
                  </to>
                </anchor>
              </controlPr>
            </control>
          </mc:Choice>
        </mc:AlternateContent>
        <mc:AlternateContent xmlns:mc="http://schemas.openxmlformats.org/markup-compatibility/2006">
          <mc:Choice Requires="x14">
            <control shapeId="1717" r:id="rId112" name="Check Box 693">
              <controlPr defaultSize="0" autoFill="0" autoLine="0" autoPict="0">
                <anchor moveWithCells="1">
                  <from>
                    <xdr:col>1</xdr:col>
                    <xdr:colOff>171450</xdr:colOff>
                    <xdr:row>123</xdr:row>
                    <xdr:rowOff>38100</xdr:rowOff>
                  </from>
                  <to>
                    <xdr:col>1</xdr:col>
                    <xdr:colOff>695325</xdr:colOff>
                    <xdr:row>123</xdr:row>
                    <xdr:rowOff>180975</xdr:rowOff>
                  </to>
                </anchor>
              </controlPr>
            </control>
          </mc:Choice>
        </mc:AlternateContent>
        <mc:AlternateContent xmlns:mc="http://schemas.openxmlformats.org/markup-compatibility/2006">
          <mc:Choice Requires="x14">
            <control shapeId="1718" r:id="rId113" name="Check Box 694">
              <controlPr defaultSize="0" autoFill="0" autoLine="0" autoPict="0">
                <anchor moveWithCells="1">
                  <from>
                    <xdr:col>1</xdr:col>
                    <xdr:colOff>171450</xdr:colOff>
                    <xdr:row>124</xdr:row>
                    <xdr:rowOff>38100</xdr:rowOff>
                  </from>
                  <to>
                    <xdr:col>1</xdr:col>
                    <xdr:colOff>695325</xdr:colOff>
                    <xdr:row>124</xdr:row>
                    <xdr:rowOff>180975</xdr:rowOff>
                  </to>
                </anchor>
              </controlPr>
            </control>
          </mc:Choice>
        </mc:AlternateContent>
        <mc:AlternateContent xmlns:mc="http://schemas.openxmlformats.org/markup-compatibility/2006">
          <mc:Choice Requires="x14">
            <control shapeId="1719" r:id="rId114" name="Check Box 695">
              <controlPr defaultSize="0" autoFill="0" autoLine="0" autoPict="0">
                <anchor moveWithCells="1">
                  <from>
                    <xdr:col>1</xdr:col>
                    <xdr:colOff>171450</xdr:colOff>
                    <xdr:row>125</xdr:row>
                    <xdr:rowOff>38100</xdr:rowOff>
                  </from>
                  <to>
                    <xdr:col>1</xdr:col>
                    <xdr:colOff>695325</xdr:colOff>
                    <xdr:row>125</xdr:row>
                    <xdr:rowOff>180975</xdr:rowOff>
                  </to>
                </anchor>
              </controlPr>
            </control>
          </mc:Choice>
        </mc:AlternateContent>
        <mc:AlternateContent xmlns:mc="http://schemas.openxmlformats.org/markup-compatibility/2006">
          <mc:Choice Requires="x14">
            <control shapeId="1720" r:id="rId115" name="Check Box 696">
              <controlPr defaultSize="0" autoFill="0" autoLine="0" autoPict="0">
                <anchor moveWithCells="1">
                  <from>
                    <xdr:col>1</xdr:col>
                    <xdr:colOff>171450</xdr:colOff>
                    <xdr:row>126</xdr:row>
                    <xdr:rowOff>38100</xdr:rowOff>
                  </from>
                  <to>
                    <xdr:col>1</xdr:col>
                    <xdr:colOff>695325</xdr:colOff>
                    <xdr:row>126</xdr:row>
                    <xdr:rowOff>180975</xdr:rowOff>
                  </to>
                </anchor>
              </controlPr>
            </control>
          </mc:Choice>
        </mc:AlternateContent>
        <mc:AlternateContent xmlns:mc="http://schemas.openxmlformats.org/markup-compatibility/2006">
          <mc:Choice Requires="x14">
            <control shapeId="1721" r:id="rId116" name="Check Box 697">
              <controlPr defaultSize="0" autoFill="0" autoLine="0" autoPict="0">
                <anchor moveWithCells="1">
                  <from>
                    <xdr:col>1</xdr:col>
                    <xdr:colOff>171450</xdr:colOff>
                    <xdr:row>127</xdr:row>
                    <xdr:rowOff>38100</xdr:rowOff>
                  </from>
                  <to>
                    <xdr:col>1</xdr:col>
                    <xdr:colOff>695325</xdr:colOff>
                    <xdr:row>127</xdr:row>
                    <xdr:rowOff>190500</xdr:rowOff>
                  </to>
                </anchor>
              </controlPr>
            </control>
          </mc:Choice>
        </mc:AlternateContent>
        <mc:AlternateContent xmlns:mc="http://schemas.openxmlformats.org/markup-compatibility/2006">
          <mc:Choice Requires="x14">
            <control shapeId="1722" r:id="rId117" name="Check Box 698">
              <controlPr defaultSize="0" autoFill="0" autoLine="0" autoPict="0">
                <anchor moveWithCells="1">
                  <from>
                    <xdr:col>1</xdr:col>
                    <xdr:colOff>171450</xdr:colOff>
                    <xdr:row>128</xdr:row>
                    <xdr:rowOff>38100</xdr:rowOff>
                  </from>
                  <to>
                    <xdr:col>1</xdr:col>
                    <xdr:colOff>695325</xdr:colOff>
                    <xdr:row>128</xdr:row>
                    <xdr:rowOff>190500</xdr:rowOff>
                  </to>
                </anchor>
              </controlPr>
            </control>
          </mc:Choice>
        </mc:AlternateContent>
        <mc:AlternateContent xmlns:mc="http://schemas.openxmlformats.org/markup-compatibility/2006">
          <mc:Choice Requires="x14">
            <control shapeId="1723" r:id="rId118" name="Check Box 699">
              <controlPr defaultSize="0" autoFill="0" autoLine="0" autoPict="0">
                <anchor moveWithCells="1">
                  <from>
                    <xdr:col>1</xdr:col>
                    <xdr:colOff>171450</xdr:colOff>
                    <xdr:row>129</xdr:row>
                    <xdr:rowOff>38100</xdr:rowOff>
                  </from>
                  <to>
                    <xdr:col>1</xdr:col>
                    <xdr:colOff>695325</xdr:colOff>
                    <xdr:row>129</xdr:row>
                    <xdr:rowOff>190500</xdr:rowOff>
                  </to>
                </anchor>
              </controlPr>
            </control>
          </mc:Choice>
        </mc:AlternateContent>
        <mc:AlternateContent xmlns:mc="http://schemas.openxmlformats.org/markup-compatibility/2006">
          <mc:Choice Requires="x14">
            <control shapeId="1724" r:id="rId119" name="Check Box 700">
              <controlPr defaultSize="0" autoFill="0" autoLine="0" autoPict="0">
                <anchor moveWithCells="1">
                  <from>
                    <xdr:col>1</xdr:col>
                    <xdr:colOff>171450</xdr:colOff>
                    <xdr:row>137</xdr:row>
                    <xdr:rowOff>38100</xdr:rowOff>
                  </from>
                  <to>
                    <xdr:col>1</xdr:col>
                    <xdr:colOff>695325</xdr:colOff>
                    <xdr:row>137</xdr:row>
                    <xdr:rowOff>190500</xdr:rowOff>
                  </to>
                </anchor>
              </controlPr>
            </control>
          </mc:Choice>
        </mc:AlternateContent>
        <mc:AlternateContent xmlns:mc="http://schemas.openxmlformats.org/markup-compatibility/2006">
          <mc:Choice Requires="x14">
            <control shapeId="1725" r:id="rId120" name="Check Box 701">
              <controlPr defaultSize="0" autoFill="0" autoLine="0" autoPict="0">
                <anchor moveWithCells="1">
                  <from>
                    <xdr:col>1</xdr:col>
                    <xdr:colOff>171450</xdr:colOff>
                    <xdr:row>138</xdr:row>
                    <xdr:rowOff>38100</xdr:rowOff>
                  </from>
                  <to>
                    <xdr:col>1</xdr:col>
                    <xdr:colOff>695325</xdr:colOff>
                    <xdr:row>138</xdr:row>
                    <xdr:rowOff>190500</xdr:rowOff>
                  </to>
                </anchor>
              </controlPr>
            </control>
          </mc:Choice>
        </mc:AlternateContent>
        <mc:AlternateContent xmlns:mc="http://schemas.openxmlformats.org/markup-compatibility/2006">
          <mc:Choice Requires="x14">
            <control shapeId="1726" r:id="rId121" name="Check Box 702">
              <controlPr defaultSize="0" autoFill="0" autoLine="0" autoPict="0">
                <anchor moveWithCells="1">
                  <from>
                    <xdr:col>1</xdr:col>
                    <xdr:colOff>171450</xdr:colOff>
                    <xdr:row>139</xdr:row>
                    <xdr:rowOff>38100</xdr:rowOff>
                  </from>
                  <to>
                    <xdr:col>1</xdr:col>
                    <xdr:colOff>695325</xdr:colOff>
                    <xdr:row>139</xdr:row>
                    <xdr:rowOff>190500</xdr:rowOff>
                  </to>
                </anchor>
              </controlPr>
            </control>
          </mc:Choice>
        </mc:AlternateContent>
        <mc:AlternateContent xmlns:mc="http://schemas.openxmlformats.org/markup-compatibility/2006">
          <mc:Choice Requires="x14">
            <control shapeId="1727" r:id="rId122" name="Check Box 703">
              <controlPr defaultSize="0" autoFill="0" autoLine="0" autoPict="0">
                <anchor moveWithCells="1">
                  <from>
                    <xdr:col>1</xdr:col>
                    <xdr:colOff>171450</xdr:colOff>
                    <xdr:row>140</xdr:row>
                    <xdr:rowOff>38100</xdr:rowOff>
                  </from>
                  <to>
                    <xdr:col>1</xdr:col>
                    <xdr:colOff>695325</xdr:colOff>
                    <xdr:row>140</xdr:row>
                    <xdr:rowOff>190500</xdr:rowOff>
                  </to>
                </anchor>
              </controlPr>
            </control>
          </mc:Choice>
        </mc:AlternateContent>
        <mc:AlternateContent xmlns:mc="http://schemas.openxmlformats.org/markup-compatibility/2006">
          <mc:Choice Requires="x14">
            <control shapeId="1728" r:id="rId123" name="Check Box 704">
              <controlPr defaultSize="0" autoFill="0" autoLine="0" autoPict="0">
                <anchor moveWithCells="1">
                  <from>
                    <xdr:col>1</xdr:col>
                    <xdr:colOff>171450</xdr:colOff>
                    <xdr:row>132</xdr:row>
                    <xdr:rowOff>38100</xdr:rowOff>
                  </from>
                  <to>
                    <xdr:col>1</xdr:col>
                    <xdr:colOff>695325</xdr:colOff>
                    <xdr:row>132</xdr:row>
                    <xdr:rowOff>190500</xdr:rowOff>
                  </to>
                </anchor>
              </controlPr>
            </control>
          </mc:Choice>
        </mc:AlternateContent>
        <mc:AlternateContent xmlns:mc="http://schemas.openxmlformats.org/markup-compatibility/2006">
          <mc:Choice Requires="x14">
            <control shapeId="1729" r:id="rId124" name="Check Box 705">
              <controlPr defaultSize="0" autoFill="0" autoLine="0" autoPict="0">
                <anchor moveWithCells="1">
                  <from>
                    <xdr:col>1</xdr:col>
                    <xdr:colOff>171450</xdr:colOff>
                    <xdr:row>133</xdr:row>
                    <xdr:rowOff>38100</xdr:rowOff>
                  </from>
                  <to>
                    <xdr:col>1</xdr:col>
                    <xdr:colOff>695325</xdr:colOff>
                    <xdr:row>133</xdr:row>
                    <xdr:rowOff>190500</xdr:rowOff>
                  </to>
                </anchor>
              </controlPr>
            </control>
          </mc:Choice>
        </mc:AlternateContent>
        <mc:AlternateContent xmlns:mc="http://schemas.openxmlformats.org/markup-compatibility/2006">
          <mc:Choice Requires="x14">
            <control shapeId="1730" r:id="rId125" name="Check Box 706">
              <controlPr defaultSize="0" autoFill="0" autoLine="0" autoPict="0">
                <anchor moveWithCells="1">
                  <from>
                    <xdr:col>1</xdr:col>
                    <xdr:colOff>171450</xdr:colOff>
                    <xdr:row>135</xdr:row>
                    <xdr:rowOff>38100</xdr:rowOff>
                  </from>
                  <to>
                    <xdr:col>1</xdr:col>
                    <xdr:colOff>695325</xdr:colOff>
                    <xdr:row>135</xdr:row>
                    <xdr:rowOff>190500</xdr:rowOff>
                  </to>
                </anchor>
              </controlPr>
            </control>
          </mc:Choice>
        </mc:AlternateContent>
        <mc:AlternateContent xmlns:mc="http://schemas.openxmlformats.org/markup-compatibility/2006">
          <mc:Choice Requires="x14">
            <control shapeId="1731" r:id="rId126" name="Check Box 707">
              <controlPr defaultSize="0" autoFill="0" autoLine="0" autoPict="0">
                <anchor moveWithCells="1">
                  <from>
                    <xdr:col>1</xdr:col>
                    <xdr:colOff>171450</xdr:colOff>
                    <xdr:row>136</xdr:row>
                    <xdr:rowOff>38100</xdr:rowOff>
                  </from>
                  <to>
                    <xdr:col>1</xdr:col>
                    <xdr:colOff>695325</xdr:colOff>
                    <xdr:row>136</xdr:row>
                    <xdr:rowOff>190500</xdr:rowOff>
                  </to>
                </anchor>
              </controlPr>
            </control>
          </mc:Choice>
        </mc:AlternateContent>
        <mc:AlternateContent xmlns:mc="http://schemas.openxmlformats.org/markup-compatibility/2006">
          <mc:Choice Requires="x14">
            <control shapeId="1732" r:id="rId127" name="Check Box 708">
              <controlPr defaultSize="0" autoFill="0" autoLine="0" autoPict="0">
                <anchor moveWithCells="1">
                  <from>
                    <xdr:col>1</xdr:col>
                    <xdr:colOff>171450</xdr:colOff>
                    <xdr:row>131</xdr:row>
                    <xdr:rowOff>38100</xdr:rowOff>
                  </from>
                  <to>
                    <xdr:col>1</xdr:col>
                    <xdr:colOff>695325</xdr:colOff>
                    <xdr:row>131</xdr:row>
                    <xdr:rowOff>190500</xdr:rowOff>
                  </to>
                </anchor>
              </controlPr>
            </control>
          </mc:Choice>
        </mc:AlternateContent>
        <mc:AlternateContent xmlns:mc="http://schemas.openxmlformats.org/markup-compatibility/2006">
          <mc:Choice Requires="x14">
            <control shapeId="1733" r:id="rId128" name="Check Box 709">
              <controlPr defaultSize="0" autoFill="0" autoLine="0" autoPict="0">
                <anchor moveWithCells="1">
                  <from>
                    <xdr:col>1</xdr:col>
                    <xdr:colOff>171450</xdr:colOff>
                    <xdr:row>134</xdr:row>
                    <xdr:rowOff>38100</xdr:rowOff>
                  </from>
                  <to>
                    <xdr:col>1</xdr:col>
                    <xdr:colOff>695325</xdr:colOff>
                    <xdr:row>134</xdr:row>
                    <xdr:rowOff>190500</xdr:rowOff>
                  </to>
                </anchor>
              </controlPr>
            </control>
          </mc:Choice>
        </mc:AlternateContent>
        <mc:AlternateContent xmlns:mc="http://schemas.openxmlformats.org/markup-compatibility/2006">
          <mc:Choice Requires="x14">
            <control shapeId="1734" r:id="rId129" name="Check Box 710">
              <controlPr defaultSize="0" autoFill="0" autoLine="0" autoPict="0">
                <anchor moveWithCells="1">
                  <from>
                    <xdr:col>1</xdr:col>
                    <xdr:colOff>171450</xdr:colOff>
                    <xdr:row>130</xdr:row>
                    <xdr:rowOff>38100</xdr:rowOff>
                  </from>
                  <to>
                    <xdr:col>1</xdr:col>
                    <xdr:colOff>695325</xdr:colOff>
                    <xdr:row>130</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308" yWindow="234" count="2">
        <x14:dataValidation type="list" allowBlank="1" showInputMessage="1" showErrorMessage="1" promptTitle="申請人規模：" prompt="會影響美國案、加拿大案的【官方費用】" xr:uid="{00000000-0002-0000-0000-000017000000}">
          <x14:formula1>
            <xm:f>選項!$G$2:$G$4</xm:f>
          </x14:formula1>
          <xm:sqref>B10</xm:sqref>
        </x14:dataValidation>
        <x14:dataValidation type="list" allowBlank="1" showInputMessage="1" showErrorMessage="1" promptTitle="申請人屬性：" prompt="會影響台灣案在年費階段的【官方費用】，請注意，企業需符合經濟部的中小企業認定標準才能算【中小企業】" xr:uid="{00000000-0002-0000-0000-000018000000}">
          <x14:formula1>
            <xm:f>選項!$H$2:$H$5</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dimension ref="A1:DR93"/>
  <sheetViews>
    <sheetView topLeftCell="N1" zoomScale="85" zoomScaleNormal="85" workbookViewId="0">
      <selection activeCell="K2" sqref="K2"/>
    </sheetView>
  </sheetViews>
  <sheetFormatPr defaultRowHeight="16.5" x14ac:dyDescent="0.25"/>
  <cols>
    <col min="1" max="1" width="11.75" customWidth="1"/>
    <col min="2" max="2" width="11.625" bestFit="1" customWidth="1"/>
    <col min="3" max="3" width="11.625" customWidth="1"/>
    <col min="4" max="4" width="13.375" customWidth="1"/>
    <col min="5" max="5" width="13.875" style="133" customWidth="1"/>
    <col min="6" max="6" width="5.75" customWidth="1"/>
    <col min="7" max="7" width="9.75" customWidth="1"/>
    <col min="8" max="8" width="11.625" customWidth="1"/>
    <col min="9" max="9" width="9.75" customWidth="1"/>
    <col min="10" max="10" width="24" customWidth="1"/>
    <col min="11" max="12" width="11.625" customWidth="1"/>
    <col min="13" max="13" width="15.25" bestFit="1" customWidth="1"/>
    <col min="14" max="15" width="9.75" customWidth="1"/>
    <col min="16" max="16" width="8.625" customWidth="1"/>
    <col min="17" max="17" width="9.5" customWidth="1"/>
    <col min="18" max="18" width="14.375" customWidth="1"/>
    <col min="19" max="19" width="9" customWidth="1"/>
    <col min="20" max="20" width="11.625" customWidth="1"/>
    <col min="21" max="21" width="10.625" customWidth="1"/>
    <col min="22" max="22" width="14.125" customWidth="1"/>
    <col min="23" max="23" width="11.125" customWidth="1"/>
    <col min="24" max="24" width="10" bestFit="1" customWidth="1"/>
    <col min="25" max="25" width="7.5" customWidth="1"/>
    <col min="26" max="26" width="11.625" customWidth="1"/>
    <col min="27" max="27" width="12.5" customWidth="1"/>
    <col min="28" max="28" width="16.75" customWidth="1"/>
    <col min="29" max="29" width="9.5" customWidth="1"/>
    <col min="30" max="30" width="9.75" bestFit="1" customWidth="1"/>
    <col min="31" max="31" width="11.25" bestFit="1" customWidth="1"/>
    <col min="32" max="32" width="9.75" bestFit="1" customWidth="1"/>
    <col min="33" max="34" width="9.875" customWidth="1"/>
    <col min="35" max="36" width="9" customWidth="1"/>
    <col min="37" max="37" width="5.75" customWidth="1"/>
    <col min="38" max="39" width="14.125" bestFit="1" customWidth="1"/>
    <col min="40" max="40" width="12.875" customWidth="1"/>
    <col min="41" max="41" width="12.875" bestFit="1" customWidth="1"/>
    <col min="42" max="42" width="12.75" bestFit="1" customWidth="1"/>
    <col min="43" max="43" width="5.75" customWidth="1"/>
    <col min="44" max="44" width="11.625" bestFit="1" customWidth="1"/>
    <col min="45" max="46" width="9.5" customWidth="1"/>
    <col min="47" max="47" width="11.625" bestFit="1" customWidth="1"/>
    <col min="48" max="48" width="12.75" bestFit="1" customWidth="1"/>
    <col min="49" max="49" width="14.125" bestFit="1" customWidth="1"/>
    <col min="50" max="50" width="16.125" bestFit="1" customWidth="1"/>
    <col min="51" max="51" width="11.625" bestFit="1" customWidth="1"/>
    <col min="52" max="52" width="17.875" customWidth="1"/>
    <col min="53" max="53" width="9.5" customWidth="1"/>
    <col min="54" max="54" width="12.75" bestFit="1" customWidth="1"/>
    <col min="55" max="56" width="11.625" bestFit="1" customWidth="1"/>
    <col min="58" max="58" width="13.875" bestFit="1" customWidth="1"/>
    <col min="59" max="59" width="11.625" bestFit="1" customWidth="1"/>
    <col min="60" max="60" width="11.625" customWidth="1"/>
    <col min="61" max="61" width="12.75" bestFit="1" customWidth="1"/>
    <col min="62" max="66" width="12.75" customWidth="1"/>
    <col min="67" max="67" width="15.75" customWidth="1"/>
    <col min="69" max="69" width="15.625" customWidth="1"/>
    <col min="70" max="70" width="16.375" bestFit="1" customWidth="1"/>
    <col min="72" max="72" width="13.875" bestFit="1" customWidth="1"/>
    <col min="73" max="74" width="13.875" customWidth="1"/>
    <col min="75" max="75" width="16.375" bestFit="1" customWidth="1"/>
    <col min="77" max="77" width="17.125" customWidth="1"/>
    <col min="78" max="78" width="16" bestFit="1" customWidth="1"/>
    <col min="80" max="80" width="15.5" customWidth="1"/>
    <col min="81" max="81" width="20.25" customWidth="1"/>
  </cols>
  <sheetData>
    <row r="1" spans="1:81" x14ac:dyDescent="0.25">
      <c r="A1" s="9" t="s">
        <v>68</v>
      </c>
    </row>
    <row r="2" spans="1:81" ht="16.5" customHeight="1" x14ac:dyDescent="0.25">
      <c r="A2" s="9" t="s">
        <v>59</v>
      </c>
    </row>
    <row r="3" spans="1:81" ht="16.5" customHeight="1" x14ac:dyDescent="0.25">
      <c r="A3" s="9"/>
    </row>
    <row r="4" spans="1:81" ht="16.5" customHeight="1" x14ac:dyDescent="0.25">
      <c r="A4" s="226" t="s">
        <v>27</v>
      </c>
      <c r="B4" s="227"/>
      <c r="C4" s="1"/>
      <c r="D4" s="1"/>
      <c r="K4" s="226" t="s">
        <v>145</v>
      </c>
      <c r="L4" s="228"/>
      <c r="M4" s="228"/>
      <c r="N4" s="227"/>
      <c r="T4" s="229" t="s">
        <v>221</v>
      </c>
      <c r="U4" s="230"/>
      <c r="V4" s="229" t="s">
        <v>141</v>
      </c>
      <c r="W4" s="230"/>
    </row>
    <row r="5" spans="1:81" ht="16.5" customHeight="1" x14ac:dyDescent="0.25">
      <c r="A5" s="6" t="s">
        <v>34</v>
      </c>
      <c r="B5" s="12">
        <f>'發明(新型)案成本估算'!B5</f>
        <v>7500</v>
      </c>
      <c r="C5" t="s">
        <v>91</v>
      </c>
      <c r="D5" s="130"/>
      <c r="K5" s="6" t="s">
        <v>81</v>
      </c>
      <c r="L5" s="13">
        <f>'發明(新型)案成本估算'!K5</f>
        <v>30</v>
      </c>
      <c r="M5" s="6" t="s">
        <v>80</v>
      </c>
      <c r="N5" s="13">
        <f>'發明(新型)案成本估算'!M5</f>
        <v>4.2</v>
      </c>
      <c r="T5" s="5" t="s">
        <v>1</v>
      </c>
      <c r="U5" s="5" t="b">
        <v>1</v>
      </c>
      <c r="V5" s="5" t="s">
        <v>142</v>
      </c>
      <c r="W5" s="5" t="b">
        <v>1</v>
      </c>
    </row>
    <row r="6" spans="1:81" ht="16.5" customHeight="1" x14ac:dyDescent="0.25">
      <c r="A6" s="6" t="s">
        <v>35</v>
      </c>
      <c r="B6" s="12">
        <f>'發明(新型)案成本估算'!B6</f>
        <v>5000</v>
      </c>
      <c r="C6" t="s">
        <v>92</v>
      </c>
      <c r="D6" s="130"/>
      <c r="K6" s="3" t="s">
        <v>82</v>
      </c>
      <c r="L6" s="13">
        <f>'發明(新型)案成本估算'!K6</f>
        <v>34.700000000000003</v>
      </c>
      <c r="M6" s="3" t="s">
        <v>85</v>
      </c>
      <c r="N6" s="13">
        <f>'發明(新型)案成本估算'!M6</f>
        <v>23.5</v>
      </c>
      <c r="T6" s="5" t="s">
        <v>220</v>
      </c>
      <c r="U6" s="5" t="b">
        <v>1</v>
      </c>
      <c r="V6" s="5" t="s">
        <v>143</v>
      </c>
      <c r="W6" s="5" t="b">
        <v>1</v>
      </c>
    </row>
    <row r="7" spans="1:81" ht="16.5" customHeight="1" x14ac:dyDescent="0.25">
      <c r="A7" s="6" t="s">
        <v>25</v>
      </c>
      <c r="B7" s="12">
        <f>'發明(新型)案成本估算'!B7</f>
        <v>10</v>
      </c>
      <c r="C7" t="s">
        <v>94</v>
      </c>
      <c r="D7" s="130"/>
      <c r="K7" s="3" t="s">
        <v>83</v>
      </c>
      <c r="L7" s="13">
        <f>'發明(新型)案成本估算'!K7</f>
        <v>0.21</v>
      </c>
      <c r="M7" s="3" t="s">
        <v>86</v>
      </c>
      <c r="N7" s="13">
        <f>'發明(新型)案成本估算'!M7</f>
        <v>1.4E-3</v>
      </c>
      <c r="T7" s="5" t="s">
        <v>219</v>
      </c>
      <c r="U7" s="5" t="b">
        <v>1</v>
      </c>
      <c r="V7" s="5" t="s">
        <v>144</v>
      </c>
      <c r="W7" s="5" t="b">
        <v>1</v>
      </c>
    </row>
    <row r="8" spans="1:81" ht="16.5" customHeight="1" x14ac:dyDescent="0.25">
      <c r="A8" s="6" t="s">
        <v>26</v>
      </c>
      <c r="B8" s="12">
        <f>'發明(新型)案成本估算'!B8</f>
        <v>3</v>
      </c>
      <c r="C8" t="s">
        <v>93</v>
      </c>
      <c r="D8" s="130"/>
      <c r="K8" s="3" t="s">
        <v>84</v>
      </c>
      <c r="L8" s="13">
        <f>'發明(新型)案成本估算'!K8</f>
        <v>2.5000000000000001E-2</v>
      </c>
      <c r="M8" s="3" t="s">
        <v>88</v>
      </c>
      <c r="N8" s="13">
        <f>'發明(新型)案成本估算'!M8</f>
        <v>7.4</v>
      </c>
      <c r="T8" s="5" t="s">
        <v>212</v>
      </c>
      <c r="U8" s="5" t="b">
        <v>1</v>
      </c>
    </row>
    <row r="9" spans="1:81" ht="16.5" customHeight="1" x14ac:dyDescent="0.25">
      <c r="A9" s="6" t="s">
        <v>58</v>
      </c>
      <c r="B9" s="12">
        <f>'發明(新型)案成本估算'!B9</f>
        <v>10</v>
      </c>
      <c r="C9" t="s">
        <v>97</v>
      </c>
      <c r="D9" s="130"/>
      <c r="K9" s="3" t="s">
        <v>87</v>
      </c>
      <c r="L9" s="13">
        <f>'發明(新型)案成本估算'!K9</f>
        <v>1</v>
      </c>
      <c r="M9" s="3" t="s">
        <v>89</v>
      </c>
      <c r="N9" s="13">
        <f>'發明(新型)案成本估算'!M9</f>
        <v>22</v>
      </c>
    </row>
    <row r="10" spans="1:81" ht="16.5" customHeight="1" x14ac:dyDescent="0.25">
      <c r="A10" s="6" t="s">
        <v>37</v>
      </c>
      <c r="B10" s="21" t="str">
        <f>'發明(新型)案成本估算'!B10</f>
        <v>少於100人</v>
      </c>
      <c r="C10" t="s">
        <v>90</v>
      </c>
      <c r="D10" s="131"/>
    </row>
    <row r="11" spans="1:81" ht="16.5" customHeight="1" x14ac:dyDescent="0.25">
      <c r="A11" s="6" t="s">
        <v>67</v>
      </c>
      <c r="B11" s="21" t="str">
        <f>'發明(新型)案成本估算'!B11</f>
        <v>中小企業</v>
      </c>
      <c r="C11" t="s">
        <v>98</v>
      </c>
      <c r="D11" s="131"/>
    </row>
    <row r="12" spans="1:81" ht="16.5" customHeight="1" x14ac:dyDescent="0.25">
      <c r="A12" s="9"/>
      <c r="BF12" t="s">
        <v>258</v>
      </c>
    </row>
    <row r="13" spans="1:81" ht="16.5" customHeight="1" x14ac:dyDescent="0.25">
      <c r="A13" s="30" t="s">
        <v>203</v>
      </c>
      <c r="AI13" s="30" t="s">
        <v>217</v>
      </c>
      <c r="AJ13" s="31"/>
      <c r="AK13" s="31"/>
      <c r="AL13" s="31"/>
      <c r="AM13" s="31"/>
      <c r="AN13" s="31"/>
      <c r="AO13" s="31"/>
      <c r="AP13" s="31"/>
      <c r="AQ13" s="31"/>
      <c r="AR13" s="31"/>
      <c r="AS13" s="31"/>
      <c r="AT13" s="31"/>
      <c r="AU13" s="31"/>
      <c r="AV13" s="31"/>
    </row>
    <row r="14" spans="1:81" ht="16.5" customHeight="1" thickBot="1" x14ac:dyDescent="0.3">
      <c r="A14" s="231" t="s">
        <v>204</v>
      </c>
      <c r="B14" s="232"/>
      <c r="C14" s="232"/>
      <c r="D14" s="232"/>
      <c r="E14" s="232"/>
      <c r="F14" s="232"/>
      <c r="G14" s="232"/>
      <c r="H14" s="232"/>
      <c r="I14" s="232"/>
      <c r="J14" s="232"/>
      <c r="K14" s="232"/>
      <c r="L14" s="232"/>
      <c r="M14" s="232"/>
      <c r="N14" s="232"/>
      <c r="O14" s="232"/>
      <c r="P14" s="232"/>
      <c r="Q14" s="232"/>
      <c r="R14" s="232"/>
      <c r="S14" s="232"/>
      <c r="T14" s="232"/>
      <c r="U14" s="232"/>
      <c r="V14" s="233"/>
      <c r="W14" s="233"/>
      <c r="X14" s="233"/>
      <c r="Y14" s="233"/>
      <c r="Z14" s="233"/>
      <c r="AA14" s="233"/>
      <c r="AB14" s="234"/>
      <c r="AD14" s="201" t="s">
        <v>62</v>
      </c>
      <c r="AE14" s="202"/>
      <c r="AF14" s="202"/>
      <c r="AI14" s="236" t="s">
        <v>205</v>
      </c>
      <c r="AJ14" s="237"/>
      <c r="AK14" s="237"/>
      <c r="AL14" s="237"/>
      <c r="AM14" s="237"/>
      <c r="AN14" s="237"/>
      <c r="AO14" s="237"/>
      <c r="AP14" s="237"/>
      <c r="AQ14" s="237"/>
      <c r="AR14" s="237"/>
      <c r="AS14" s="237"/>
      <c r="AT14" s="237"/>
      <c r="AU14" s="237"/>
      <c r="AV14" s="237"/>
      <c r="AW14" s="237"/>
      <c r="AX14" s="237"/>
      <c r="AY14" s="237"/>
      <c r="AZ14" s="237"/>
      <c r="BA14" s="237"/>
      <c r="BB14" s="201" t="s">
        <v>210</v>
      </c>
      <c r="BC14" s="202"/>
      <c r="BD14" s="202"/>
      <c r="BF14" s="201" t="s">
        <v>263</v>
      </c>
      <c r="BG14" s="202"/>
      <c r="BH14" s="202"/>
      <c r="BI14" s="202"/>
      <c r="BJ14" s="202"/>
      <c r="BK14" s="247"/>
      <c r="BL14" s="247"/>
      <c r="BM14" s="247"/>
      <c r="BN14" s="247"/>
      <c r="BO14" s="248"/>
      <c r="BQ14" s="201" t="s">
        <v>96</v>
      </c>
      <c r="BR14" s="202"/>
      <c r="BT14" s="201" t="s">
        <v>266</v>
      </c>
      <c r="BU14" s="249"/>
      <c r="BV14" s="249"/>
      <c r="BW14" s="249"/>
      <c r="BY14" s="243" t="s">
        <v>265</v>
      </c>
      <c r="BZ14" s="244"/>
      <c r="CB14" s="243" t="s">
        <v>267</v>
      </c>
      <c r="CC14" s="244"/>
    </row>
    <row r="15" spans="1:81" ht="33" customHeight="1" thickTop="1" x14ac:dyDescent="0.25">
      <c r="A15" s="203" t="s">
        <v>114</v>
      </c>
      <c r="B15" s="203" t="s">
        <v>0</v>
      </c>
      <c r="C15" s="235" t="s">
        <v>301</v>
      </c>
      <c r="D15" s="235" t="s">
        <v>305</v>
      </c>
      <c r="E15" s="204" t="s">
        <v>306</v>
      </c>
      <c r="F15" s="206" t="s">
        <v>60</v>
      </c>
      <c r="G15" s="207"/>
      <c r="H15" s="207"/>
      <c r="I15" s="207"/>
      <c r="J15" s="207"/>
      <c r="K15" s="208"/>
      <c r="L15" s="209"/>
      <c r="M15" s="206" t="s">
        <v>36</v>
      </c>
      <c r="N15" s="207"/>
      <c r="O15" s="207"/>
      <c r="P15" s="207"/>
      <c r="Q15" s="207"/>
      <c r="R15" s="207"/>
      <c r="S15" s="207"/>
      <c r="T15" s="208"/>
      <c r="U15" s="209"/>
      <c r="V15" s="15" t="s">
        <v>237</v>
      </c>
      <c r="W15" s="210" t="s">
        <v>32</v>
      </c>
      <c r="X15" s="211"/>
      <c r="Y15" s="211"/>
      <c r="Z15" s="209"/>
      <c r="AA15" s="212" t="s">
        <v>238</v>
      </c>
      <c r="AB15" s="212" t="s">
        <v>239</v>
      </c>
      <c r="AC15" s="213" t="s">
        <v>115</v>
      </c>
      <c r="AD15" s="218" t="s">
        <v>77</v>
      </c>
      <c r="AE15" s="218" t="s">
        <v>76</v>
      </c>
      <c r="AF15" s="214" t="s">
        <v>240</v>
      </c>
      <c r="AG15" s="235" t="s">
        <v>305</v>
      </c>
      <c r="AH15" s="220" t="s">
        <v>95</v>
      </c>
      <c r="AI15" s="213" t="s">
        <v>114</v>
      </c>
      <c r="AJ15" s="217" t="s">
        <v>0</v>
      </c>
      <c r="AK15" s="222" t="s">
        <v>276</v>
      </c>
      <c r="AL15" s="223"/>
      <c r="AM15" s="223"/>
      <c r="AN15" s="223"/>
      <c r="AO15" s="224"/>
      <c r="AP15" s="225"/>
      <c r="AQ15" s="222" t="s">
        <v>277</v>
      </c>
      <c r="AR15" s="223"/>
      <c r="AS15" s="223"/>
      <c r="AT15" s="223"/>
      <c r="AU15" s="224"/>
      <c r="AV15" s="225"/>
      <c r="AW15" s="25" t="s">
        <v>278</v>
      </c>
      <c r="AX15" s="18" t="s">
        <v>32</v>
      </c>
      <c r="AY15" s="216" t="s">
        <v>279</v>
      </c>
      <c r="AZ15" s="216" t="s">
        <v>280</v>
      </c>
      <c r="BA15" s="213" t="s">
        <v>115</v>
      </c>
      <c r="BB15" s="218" t="s">
        <v>281</v>
      </c>
      <c r="BC15" s="218" t="s">
        <v>282</v>
      </c>
      <c r="BD15" s="214" t="s">
        <v>283</v>
      </c>
      <c r="BF15" s="195" t="s">
        <v>116</v>
      </c>
      <c r="BG15" s="250" t="s">
        <v>259</v>
      </c>
      <c r="BH15" s="214" t="s">
        <v>260</v>
      </c>
      <c r="BI15" s="214" t="s">
        <v>284</v>
      </c>
      <c r="BJ15" s="251" t="s">
        <v>261</v>
      </c>
      <c r="BK15" s="245" t="s">
        <v>262</v>
      </c>
      <c r="BL15" s="252" t="s">
        <v>285</v>
      </c>
      <c r="BM15" s="252" t="s">
        <v>286</v>
      </c>
      <c r="BN15" s="245" t="s">
        <v>290</v>
      </c>
      <c r="BO15" s="245" t="s">
        <v>287</v>
      </c>
      <c r="BQ15" s="218" t="s">
        <v>241</v>
      </c>
      <c r="BR15" s="218" t="s">
        <v>288</v>
      </c>
      <c r="BT15" s="218" t="s">
        <v>77</v>
      </c>
      <c r="BU15" s="218" t="s">
        <v>76</v>
      </c>
      <c r="BV15" s="214" t="s">
        <v>240</v>
      </c>
      <c r="BW15" s="218" t="s">
        <v>289</v>
      </c>
      <c r="BY15" s="218" t="s">
        <v>293</v>
      </c>
      <c r="BZ15" s="245" t="s">
        <v>287</v>
      </c>
      <c r="CB15" s="218" t="s">
        <v>264</v>
      </c>
      <c r="CC15" s="245" t="s">
        <v>287</v>
      </c>
    </row>
    <row r="16" spans="1:81" x14ac:dyDescent="0.25">
      <c r="A16" s="203"/>
      <c r="B16" s="203"/>
      <c r="C16" s="213"/>
      <c r="D16" s="213"/>
      <c r="E16" s="205"/>
      <c r="F16" s="4" t="s">
        <v>13</v>
      </c>
      <c r="G16" s="3" t="s">
        <v>1</v>
      </c>
      <c r="H16" s="3" t="s">
        <v>44</v>
      </c>
      <c r="I16" s="3" t="s">
        <v>28</v>
      </c>
      <c r="J16" s="3" t="s">
        <v>332</v>
      </c>
      <c r="K16" s="4" t="s">
        <v>56</v>
      </c>
      <c r="L16" s="4" t="s">
        <v>47</v>
      </c>
      <c r="M16" s="4" t="s">
        <v>13</v>
      </c>
      <c r="N16" s="3" t="s">
        <v>1</v>
      </c>
      <c r="O16" s="3" t="s">
        <v>33</v>
      </c>
      <c r="P16" s="3" t="s">
        <v>44</v>
      </c>
      <c r="Q16" s="3" t="s">
        <v>28</v>
      </c>
      <c r="R16" s="3" t="s">
        <v>343</v>
      </c>
      <c r="S16" s="3" t="s">
        <v>45</v>
      </c>
      <c r="T16" s="4" t="s">
        <v>56</v>
      </c>
      <c r="U16" s="4" t="s">
        <v>47</v>
      </c>
      <c r="V16" s="4" t="s">
        <v>47</v>
      </c>
      <c r="W16" s="3" t="s">
        <v>24</v>
      </c>
      <c r="X16" s="3" t="s">
        <v>30</v>
      </c>
      <c r="Y16" s="3" t="s">
        <v>31</v>
      </c>
      <c r="Z16" s="3" t="s">
        <v>46</v>
      </c>
      <c r="AA16" s="203"/>
      <c r="AB16" s="203"/>
      <c r="AC16" s="213"/>
      <c r="AD16" s="219"/>
      <c r="AE16" s="219"/>
      <c r="AF16" s="215"/>
      <c r="AG16" s="213"/>
      <c r="AH16" s="221"/>
      <c r="AI16" s="213"/>
      <c r="AJ16" s="217"/>
      <c r="AK16" s="26" t="s">
        <v>13</v>
      </c>
      <c r="AL16" s="3" t="s">
        <v>66</v>
      </c>
      <c r="AM16" s="3" t="s">
        <v>28</v>
      </c>
      <c r="AN16" s="3" t="s">
        <v>29</v>
      </c>
      <c r="AO16" s="26" t="s">
        <v>56</v>
      </c>
      <c r="AP16" s="26" t="s">
        <v>47</v>
      </c>
      <c r="AQ16" s="26" t="s">
        <v>13</v>
      </c>
      <c r="AR16" s="3" t="s">
        <v>66</v>
      </c>
      <c r="AS16" s="3" t="s">
        <v>28</v>
      </c>
      <c r="AT16" s="3" t="s">
        <v>29</v>
      </c>
      <c r="AU16" s="26" t="s">
        <v>56</v>
      </c>
      <c r="AV16" s="26" t="s">
        <v>47</v>
      </c>
      <c r="AW16" s="26" t="s">
        <v>47</v>
      </c>
      <c r="AX16" s="3" t="s">
        <v>66</v>
      </c>
      <c r="AY16" s="217"/>
      <c r="AZ16" s="217"/>
      <c r="BA16" s="213"/>
      <c r="BB16" s="219"/>
      <c r="BC16" s="219"/>
      <c r="BD16" s="215"/>
      <c r="BF16" s="213"/>
      <c r="BG16" s="219"/>
      <c r="BH16" s="214"/>
      <c r="BI16" s="214"/>
      <c r="BJ16" s="251"/>
      <c r="BK16" s="246"/>
      <c r="BL16" s="253"/>
      <c r="BM16" s="253"/>
      <c r="BN16" s="246"/>
      <c r="BO16" s="246"/>
      <c r="BQ16" s="219"/>
      <c r="BR16" s="219"/>
      <c r="BT16" s="219"/>
      <c r="BU16" s="219"/>
      <c r="BV16" s="215"/>
      <c r="BW16" s="219"/>
      <c r="BY16" s="219"/>
      <c r="BZ16" s="246"/>
      <c r="CB16" s="219"/>
      <c r="CC16" s="246"/>
    </row>
    <row r="17" spans="1:75" x14ac:dyDescent="0.25">
      <c r="A17" s="194" t="s">
        <v>2</v>
      </c>
      <c r="B17" s="96" t="s">
        <v>302</v>
      </c>
      <c r="C17" s="11" t="b">
        <v>1</v>
      </c>
      <c r="D17" s="200">
        <v>1</v>
      </c>
      <c r="E17" s="139" t="str">
        <f>IF(C17=FALSE,"不申請",IF($D$17=1,"初稿案",IF(AND($D$17=2,OR(C19=TRUE,C20=TRUE)),"同語言轉換案",IF(OR(D17=3,D17=4,D17=5,D17=6,D17=7),"翻譯案","異常"))))</f>
        <v>初稿案</v>
      </c>
      <c r="F17" s="3" t="s">
        <v>14</v>
      </c>
      <c r="G17" s="7">
        <f>IF($W$5=FALSE,0,IF(C17=FALSE,0,2100))</f>
        <v>2100</v>
      </c>
      <c r="H17" s="7">
        <f>IF($W$5=FALSE,0,IF(C17=FALSE,0,IF($B$7&lt;11,7000,7000+800*($B$7-10))))</f>
        <v>7000</v>
      </c>
      <c r="I17" s="86"/>
      <c r="J17" s="86"/>
      <c r="K17" s="7">
        <f t="shared" ref="K17:K37" si="0">IF($U$5=FALSE,0,SUM(G17:J17))</f>
        <v>9100</v>
      </c>
      <c r="L17" s="23">
        <f>K17*1</f>
        <v>9100</v>
      </c>
      <c r="M17" s="3" t="s">
        <v>14</v>
      </c>
      <c r="N17" s="7"/>
      <c r="O17" s="7"/>
      <c r="P17" s="7"/>
      <c r="Q17" s="7"/>
      <c r="R17" s="7"/>
      <c r="S17" s="7"/>
      <c r="T17" s="7">
        <f t="shared" ref="T17:T37" si="1">IF($U$5=FALSE,0,SUM(N17:S17))</f>
        <v>0</v>
      </c>
      <c r="U17" s="23">
        <f>T17*1</f>
        <v>0</v>
      </c>
      <c r="V17" s="23">
        <f>L17+U17</f>
        <v>9100</v>
      </c>
      <c r="W17" s="7">
        <f>IF($W$7=FALSE,0,IF(C17=FALSE,0,IF(E17="初稿案",85000,IF(E17="翻譯案",50000,IF(E17="同語言轉換案",15000,999999)))))</f>
        <v>85000</v>
      </c>
      <c r="X17" s="7">
        <f>IF($W$7=FALSE,0,IF(C17=FALSE,0,IF(E17="初稿案",IF($B$5&lt;7500,0,700*(ROUNDDOWN($B$5/100,0)-75)),IF(E17="翻譯案",IF($B$5&lt;7500,0,700*(ROUNDDOWN($B$5/100,0)-75)),IF(E17="同語言轉換案",0,0)))))</f>
        <v>0</v>
      </c>
      <c r="Y17" s="7">
        <f>IF($W$7=FALSE,0,IF(C17=FALSE,0,IF(E17="初稿案",IF($B$9&lt;11,0,1000*($B$9-10)),IF(E17="翻譯案",IF($B$9&lt;11,0,1000*($B$9-10)),IF(E17="同語言轉換案",0,0)))))</f>
        <v>0</v>
      </c>
      <c r="Z17" s="7"/>
      <c r="AA17" s="23">
        <f t="shared" ref="AA17:AA37" si="2">IF($U$5=FALSE,0,SUM(W17:Z17))</f>
        <v>85000</v>
      </c>
      <c r="AB17" s="23">
        <f t="shared" ref="AB17:AB37" si="3">V17+AA17</f>
        <v>94100</v>
      </c>
      <c r="AC17" s="200" t="str">
        <f>$A$17</f>
        <v>台灣</v>
      </c>
      <c r="AD17" s="27">
        <f t="shared" ref="AD17:AD38" si="4">L17</f>
        <v>9100</v>
      </c>
      <c r="AE17" s="27">
        <f t="shared" ref="AE17:AE38" si="5">U17</f>
        <v>0</v>
      </c>
      <c r="AF17" s="27">
        <f t="shared" ref="AF17:AF38" si="6">AA17</f>
        <v>85000</v>
      </c>
      <c r="AG17" s="200">
        <v>1</v>
      </c>
      <c r="AH17" s="238">
        <f>IF($D$17=AG17,MAX(AA17,AA18),0)</f>
        <v>85000</v>
      </c>
      <c r="AI17" s="200" t="str">
        <f>$A$17</f>
        <v>台灣</v>
      </c>
      <c r="AJ17" s="11" t="str">
        <f t="shared" ref="AJ17:AJ37" si="7">B17</f>
        <v>發明</v>
      </c>
      <c r="AK17" s="3" t="str">
        <f>F17</f>
        <v>NTD</v>
      </c>
      <c r="AL17" s="7">
        <f>IF($W$5=FALSE,0,IF(C17=FALSE,0,IF($B$11="大企業",1000+2500,1000+1700)))</f>
        <v>2700</v>
      </c>
      <c r="AM17" s="7"/>
      <c r="AN17" s="7"/>
      <c r="AO17" s="7">
        <f t="shared" ref="AO17:AO37" si="8">IF($U$6=FALSE,0,SUM(AL17:AN17))</f>
        <v>2700</v>
      </c>
      <c r="AP17" s="22">
        <f>AO17*1</f>
        <v>2700</v>
      </c>
      <c r="AQ17" s="3" t="str">
        <f>M17</f>
        <v>NTD</v>
      </c>
      <c r="AR17" s="7"/>
      <c r="AS17" s="7"/>
      <c r="AT17" s="7"/>
      <c r="AU17" s="7">
        <f t="shared" ref="AU17:AU37" si="9">IF($U$6=FALSE,0,SUM(AR17:AT17))</f>
        <v>0</v>
      </c>
      <c r="AV17" s="22">
        <f>AU17*1</f>
        <v>0</v>
      </c>
      <c r="AW17" s="22">
        <f t="shared" ref="AW17:AW37" si="10">AP17+AV17</f>
        <v>2700</v>
      </c>
      <c r="AX17" s="7">
        <f t="shared" ref="AX17:AX37" si="11">IF($W$7=FALSE,0,IF(C17=FALSE,0,0))</f>
        <v>0</v>
      </c>
      <c r="AY17" s="22">
        <f>IF($U$6=FALSE,0,SUM(AX17:AX17))</f>
        <v>0</v>
      </c>
      <c r="AZ17" s="22">
        <f t="shared" ref="AZ17:AZ37" si="12">AW17+AY17</f>
        <v>2700</v>
      </c>
      <c r="BA17" s="200" t="str">
        <f>$A$17</f>
        <v>台灣</v>
      </c>
      <c r="BB17" s="27">
        <f>AP17</f>
        <v>2700</v>
      </c>
      <c r="BC17" s="27">
        <f>AV17</f>
        <v>0</v>
      </c>
      <c r="BD17" s="27">
        <f>AY17</f>
        <v>0</v>
      </c>
      <c r="BF17" s="3" t="s">
        <v>99</v>
      </c>
      <c r="BG17" s="27">
        <f>AB17</f>
        <v>94100</v>
      </c>
      <c r="BH17" s="27">
        <f t="shared" ref="BH17:BH37" si="13">AB46</f>
        <v>25000</v>
      </c>
      <c r="BI17" s="27">
        <f t="shared" ref="BI17:BI37" si="14">AZ17</f>
        <v>2700</v>
      </c>
      <c r="BJ17" s="90">
        <f t="shared" ref="BJ17:BJ37" si="15">AZ46</f>
        <v>271800</v>
      </c>
      <c r="BK17" s="91">
        <f t="shared" ref="BK17:BK38" si="16">BG17+BH17</f>
        <v>119100</v>
      </c>
      <c r="BL17" s="94">
        <f>BG17+BI17</f>
        <v>96800</v>
      </c>
      <c r="BM17" s="94">
        <f>BG17+BH17+BI17</f>
        <v>121800</v>
      </c>
      <c r="BN17" s="91">
        <f>BI17+BJ17</f>
        <v>274500</v>
      </c>
      <c r="BO17" s="91">
        <f t="shared" ref="BO17:BO37" si="17">BK17+BN17</f>
        <v>393600</v>
      </c>
      <c r="BQ17" s="27">
        <f t="shared" ref="BQ17:BQ37" si="18">AB17</f>
        <v>94100</v>
      </c>
      <c r="BR17" s="27">
        <f t="shared" ref="BR17:BR37" si="19">AZ17</f>
        <v>2700</v>
      </c>
      <c r="BT17" s="27">
        <f t="shared" ref="BT17:BT37" si="20">AD17</f>
        <v>9100</v>
      </c>
      <c r="BU17" s="27">
        <f t="shared" ref="BU17:BU37" si="21">AE17</f>
        <v>0</v>
      </c>
      <c r="BV17" s="27">
        <f t="shared" ref="BV17:BV37" si="22">AF17</f>
        <v>85000</v>
      </c>
      <c r="BW17" s="27">
        <f t="shared" ref="BW17:BW37" si="23">BH17+BI17+BJ17</f>
        <v>299500</v>
      </c>
    </row>
    <row r="18" spans="1:75" x14ac:dyDescent="0.25">
      <c r="A18" s="195"/>
      <c r="B18" s="96" t="s">
        <v>303</v>
      </c>
      <c r="C18" s="11" t="b">
        <v>0</v>
      </c>
      <c r="D18" s="195"/>
      <c r="E18" s="139" t="str">
        <f>IF(C18=FALSE,"不申請",IF(C17=TRUE,"同語言轉換案",IF($D$17=1,"初稿案",IF(AND($D$17=2,OR(C19=TRUE,C20=TRUE)),"同語言轉換案",IF(OR(D17=3,D17=4,D17=5,D17=6,D17=7),"翻譯案","異常")))))</f>
        <v>不申請</v>
      </c>
      <c r="F18" s="3" t="s">
        <v>14</v>
      </c>
      <c r="G18" s="7">
        <f>IF($W$5=FALSE,0,IF(C18=FALSE,0,2400))</f>
        <v>0</v>
      </c>
      <c r="H18" s="7">
        <f>IF($W$5=FALSE,0,IF(C18=FALSE,0,0))</f>
        <v>0</v>
      </c>
      <c r="I18" s="86"/>
      <c r="J18" s="86"/>
      <c r="K18" s="7">
        <f t="shared" si="0"/>
        <v>0</v>
      </c>
      <c r="L18" s="23">
        <f>K18*1</f>
        <v>0</v>
      </c>
      <c r="M18" s="3" t="s">
        <v>14</v>
      </c>
      <c r="N18" s="7"/>
      <c r="O18" s="7"/>
      <c r="P18" s="7"/>
      <c r="Q18" s="7"/>
      <c r="R18" s="7"/>
      <c r="S18" s="7"/>
      <c r="T18" s="7">
        <f t="shared" si="1"/>
        <v>0</v>
      </c>
      <c r="U18" s="23">
        <f>T18*1</f>
        <v>0</v>
      </c>
      <c r="V18" s="23">
        <f t="shared" ref="V18:V37" si="24">L18+U18</f>
        <v>0</v>
      </c>
      <c r="W18" s="7">
        <f>IF($W$7=FALSE,0,IF(C18=FALSE,0,IF(E18="初稿案",85000,IF(E18="翻譯案",50000,IF(E18="同語言轉換案",15000,999999)))))</f>
        <v>0</v>
      </c>
      <c r="X18" s="7">
        <f>IF($W$7=FALSE,0,IF(C18=FALSE,0,IF(E18="初稿案",IF($B$5&lt;7500,0,700*(ROUNDDOWN($B$5/100,0)-75)),IF(E18="翻譯案",IF($B$5&lt;7500,0,700*(ROUNDDOWN($B$5/100,0)-75)),IF(E18="同語言轉換案",0,0)))))</f>
        <v>0</v>
      </c>
      <c r="Y18" s="7">
        <f>IF($W$7=FALSE,0,IF(C18=FALSE,0,IF(E18="初稿案",IF($B$9&lt;11,0,1000*($B$9-10)),IF(E18="翻譯案",IF($B$9&lt;11,0,1000*($B$9-10)),IF(E18="同語言轉換案",0,0)))))</f>
        <v>0</v>
      </c>
      <c r="Z18" s="7"/>
      <c r="AA18" s="23">
        <f t="shared" si="2"/>
        <v>0</v>
      </c>
      <c r="AB18" s="23">
        <f t="shared" si="3"/>
        <v>0</v>
      </c>
      <c r="AC18" s="195"/>
      <c r="AD18" s="27">
        <f t="shared" si="4"/>
        <v>0</v>
      </c>
      <c r="AE18" s="27">
        <f t="shared" si="5"/>
        <v>0</v>
      </c>
      <c r="AF18" s="27">
        <f t="shared" si="6"/>
        <v>0</v>
      </c>
      <c r="AG18" s="195"/>
      <c r="AH18" s="239"/>
      <c r="AI18" s="195"/>
      <c r="AJ18" s="11" t="str">
        <f t="shared" si="7"/>
        <v>新型</v>
      </c>
      <c r="AK18" s="3" t="str">
        <f t="shared" ref="AK18:AK37" si="25">F18</f>
        <v>NTD</v>
      </c>
      <c r="AL18" s="7">
        <f>IF($W$5=FALSE,0,IF(C18=FALSE,0,IF($B$11="大企業",1000+2500,1000+1700)))</f>
        <v>0</v>
      </c>
      <c r="AM18" s="7"/>
      <c r="AN18" s="7"/>
      <c r="AO18" s="7">
        <f t="shared" si="8"/>
        <v>0</v>
      </c>
      <c r="AP18" s="22">
        <f>AO18*1</f>
        <v>0</v>
      </c>
      <c r="AQ18" s="3" t="str">
        <f t="shared" ref="AQ18:AQ37" si="26">M18</f>
        <v>NTD</v>
      </c>
      <c r="AR18" s="7"/>
      <c r="AS18" s="7"/>
      <c r="AT18" s="7"/>
      <c r="AU18" s="7">
        <f t="shared" si="9"/>
        <v>0</v>
      </c>
      <c r="AV18" s="22">
        <f>AU18*1</f>
        <v>0</v>
      </c>
      <c r="AW18" s="22">
        <f t="shared" si="10"/>
        <v>0</v>
      </c>
      <c r="AX18" s="7">
        <f t="shared" si="11"/>
        <v>0</v>
      </c>
      <c r="AY18" s="22">
        <f t="shared" ref="AY18:AY37" si="27">IF($U$6=FALSE,0,SUM(AX18:AX18))</f>
        <v>0</v>
      </c>
      <c r="AZ18" s="22">
        <f t="shared" si="12"/>
        <v>0</v>
      </c>
      <c r="BA18" s="195"/>
      <c r="BB18" s="27">
        <f t="shared" ref="BB18:BB37" si="28">AP18</f>
        <v>0</v>
      </c>
      <c r="BC18" s="27">
        <f t="shared" ref="BC18:BC37" si="29">AV18</f>
        <v>0</v>
      </c>
      <c r="BD18" s="27">
        <f t="shared" ref="BD18:BD37" si="30">AY18</f>
        <v>0</v>
      </c>
      <c r="BF18" s="3" t="s">
        <v>100</v>
      </c>
      <c r="BG18" s="27">
        <f t="shared" ref="BG18:BG37" si="31">AB18</f>
        <v>0</v>
      </c>
      <c r="BH18" s="27">
        <f t="shared" si="13"/>
        <v>0</v>
      </c>
      <c r="BI18" s="27">
        <f t="shared" si="14"/>
        <v>0</v>
      </c>
      <c r="BJ18" s="90">
        <f t="shared" si="15"/>
        <v>0</v>
      </c>
      <c r="BK18" s="91">
        <f t="shared" si="16"/>
        <v>0</v>
      </c>
      <c r="BL18" s="94">
        <f t="shared" ref="BL18:BM38" si="32">BG18+BI18</f>
        <v>0</v>
      </c>
      <c r="BM18" s="94">
        <f t="shared" ref="BM18:BM37" si="33">BG18+BH18+BI18</f>
        <v>0</v>
      </c>
      <c r="BN18" s="91">
        <f t="shared" ref="BN18:BN38" si="34">BI18+BJ18</f>
        <v>0</v>
      </c>
      <c r="BO18" s="91">
        <f t="shared" si="17"/>
        <v>0</v>
      </c>
      <c r="BQ18" s="27">
        <f t="shared" si="18"/>
        <v>0</v>
      </c>
      <c r="BR18" s="27">
        <f t="shared" si="19"/>
        <v>0</v>
      </c>
      <c r="BT18" s="27">
        <f t="shared" si="20"/>
        <v>0</v>
      </c>
      <c r="BU18" s="27">
        <f t="shared" si="21"/>
        <v>0</v>
      </c>
      <c r="BV18" s="27">
        <f t="shared" si="22"/>
        <v>0</v>
      </c>
      <c r="BW18" s="27">
        <f t="shared" si="23"/>
        <v>0</v>
      </c>
    </row>
    <row r="19" spans="1:75" x14ac:dyDescent="0.25">
      <c r="A19" s="194" t="s">
        <v>3</v>
      </c>
      <c r="B19" s="96" t="s">
        <v>302</v>
      </c>
      <c r="C19" s="11" t="b">
        <v>1</v>
      </c>
      <c r="D19" s="240" t="s">
        <v>310</v>
      </c>
      <c r="E19" s="139" t="str">
        <f>IF(C19=FALSE,"不申請",IF($D$17=2,"初稿案",IF(AND($D$17=1,OR(C17=TRUE,C18=TRUE)),"同語言轉換案",IF(OR(C17=TRUE,C18=TRUE),"同語言轉換案",IF(OR(D17=3,D17=4,D17=5,D17=6,D17=7),"翻譯案","異常")))))</f>
        <v>同語言轉換案</v>
      </c>
      <c r="F19" s="3" t="s">
        <v>15</v>
      </c>
      <c r="G19" s="7">
        <f>IF($W$5=FALSE,0,IF(C19=FALSE,0,950))</f>
        <v>950</v>
      </c>
      <c r="H19" s="7">
        <f>IF($W$5=FALSE,0,IF(C19=FALSE,0,2500))</f>
        <v>2500</v>
      </c>
      <c r="I19" s="7">
        <f>IF($W$5=FALSE,0,IF(C19=FALSE,0,IF($B$7&lt;11,0,150*($B$7-10))))</f>
        <v>0</v>
      </c>
      <c r="J19" s="7"/>
      <c r="K19" s="7">
        <f t="shared" si="0"/>
        <v>3450</v>
      </c>
      <c r="L19" s="23">
        <f>K19*$N$5</f>
        <v>14490</v>
      </c>
      <c r="M19" s="3" t="s">
        <v>15</v>
      </c>
      <c r="N19" s="7">
        <f>IF($W$6=FALSE,0,IF(C19=FALSE,0,1500))</f>
        <v>1500</v>
      </c>
      <c r="O19" s="7"/>
      <c r="P19" s="7">
        <f>IF($W$6=FALSE,0,IF(C19=FALSE,0,200))</f>
        <v>200</v>
      </c>
      <c r="Q19" s="7"/>
      <c r="R19" s="7"/>
      <c r="S19" s="7"/>
      <c r="T19" s="7">
        <f t="shared" si="1"/>
        <v>1700</v>
      </c>
      <c r="U19" s="23">
        <f>T19*$N$5</f>
        <v>7140</v>
      </c>
      <c r="V19" s="23">
        <f t="shared" si="24"/>
        <v>21630</v>
      </c>
      <c r="W19" s="7">
        <f>IF($W$7=FALSE,0,IF(E19="不申請",0,IF(E19="初稿案",90000,IF(E19="翻譯案",55000,IF(E19="同語言轉換案",20000,999999)))))</f>
        <v>20000</v>
      </c>
      <c r="X19" s="7">
        <f>IF($W$7=FALSE,0,IF(C19=FALSE,0,IF(E19="初稿案",IF($B$5&lt;7500,0,700*(ROUNDDOWN($B$5/100,0)-75)),IF(E19="翻譯案",IF($B$5&lt;7500,0,700*(ROUNDDOWN($B$5/100,0)-75)),IF(E19="同語言轉換案",0,0)))))</f>
        <v>0</v>
      </c>
      <c r="Y19" s="7">
        <f>IF($W$7=FALSE,0,IF(C19=FALSE,0,IF(E19="初稿案",IF($B$9&lt;11,0,1000*($B$9-10)),IF(E19="翻譯案",IF($B$9&lt;11,0,1000*($B$9-10)),IF(E19="同語言轉換案",0,0)))))</f>
        <v>0</v>
      </c>
      <c r="Z19" s="7"/>
      <c r="AA19" s="23">
        <f t="shared" si="2"/>
        <v>20000</v>
      </c>
      <c r="AB19" s="23">
        <f t="shared" si="3"/>
        <v>41630</v>
      </c>
      <c r="AC19" s="200" t="str">
        <f>$A$19</f>
        <v>大陸</v>
      </c>
      <c r="AD19" s="27">
        <f t="shared" si="4"/>
        <v>14490</v>
      </c>
      <c r="AE19" s="27">
        <f t="shared" si="5"/>
        <v>7140</v>
      </c>
      <c r="AF19" s="27">
        <f t="shared" si="6"/>
        <v>20000</v>
      </c>
      <c r="AG19" s="200">
        <v>2</v>
      </c>
      <c r="AH19" s="238">
        <f>IF($D$17=AG19,MAX(AA19,AA20),0)</f>
        <v>0</v>
      </c>
      <c r="AI19" s="200" t="str">
        <f>$A$19</f>
        <v>大陸</v>
      </c>
      <c r="AJ19" s="11" t="str">
        <f t="shared" si="7"/>
        <v>發明</v>
      </c>
      <c r="AK19" s="3" t="str">
        <f t="shared" si="25"/>
        <v>CNY</v>
      </c>
      <c r="AL19" s="7">
        <f>IF($W$5=FALSE,0,IF(C19=FALSE,0,5+900))</f>
        <v>905</v>
      </c>
      <c r="AM19" s="7"/>
      <c r="AN19" s="7"/>
      <c r="AO19" s="7">
        <f t="shared" si="8"/>
        <v>905</v>
      </c>
      <c r="AP19" s="22">
        <f>AO19*$N$5</f>
        <v>3801</v>
      </c>
      <c r="AQ19" s="3" t="str">
        <f t="shared" si="26"/>
        <v>CNY</v>
      </c>
      <c r="AR19" s="7">
        <f>IF($W$6=FALSE,0,IF(C19=FALSE,0,200))</f>
        <v>200</v>
      </c>
      <c r="AS19" s="7"/>
      <c r="AT19" s="7"/>
      <c r="AU19" s="7">
        <f t="shared" si="9"/>
        <v>200</v>
      </c>
      <c r="AV19" s="22">
        <f>AU19*$N$5</f>
        <v>840</v>
      </c>
      <c r="AW19" s="22">
        <f t="shared" si="10"/>
        <v>4641</v>
      </c>
      <c r="AX19" s="7">
        <f t="shared" si="11"/>
        <v>0</v>
      </c>
      <c r="AY19" s="22">
        <f t="shared" si="27"/>
        <v>0</v>
      </c>
      <c r="AZ19" s="22">
        <f t="shared" si="12"/>
        <v>4641</v>
      </c>
      <c r="BA19" s="200" t="str">
        <f>$A$19</f>
        <v>大陸</v>
      </c>
      <c r="BB19" s="27">
        <f t="shared" si="28"/>
        <v>3801</v>
      </c>
      <c r="BC19" s="27">
        <f t="shared" si="29"/>
        <v>840</v>
      </c>
      <c r="BD19" s="27">
        <f t="shared" si="30"/>
        <v>0</v>
      </c>
      <c r="BF19" s="3" t="s">
        <v>101</v>
      </c>
      <c r="BG19" s="27">
        <f t="shared" si="31"/>
        <v>41630</v>
      </c>
      <c r="BH19" s="27">
        <f t="shared" si="13"/>
        <v>30040</v>
      </c>
      <c r="BI19" s="27">
        <f t="shared" si="14"/>
        <v>4641</v>
      </c>
      <c r="BJ19" s="90">
        <f t="shared" si="15"/>
        <v>414840</v>
      </c>
      <c r="BK19" s="91">
        <f t="shared" si="16"/>
        <v>71670</v>
      </c>
      <c r="BL19" s="94">
        <f t="shared" si="32"/>
        <v>46271</v>
      </c>
      <c r="BM19" s="94">
        <f t="shared" si="33"/>
        <v>76311</v>
      </c>
      <c r="BN19" s="91">
        <f t="shared" si="34"/>
        <v>419481</v>
      </c>
      <c r="BO19" s="91">
        <f t="shared" si="17"/>
        <v>491151</v>
      </c>
      <c r="BQ19" s="27">
        <f t="shared" si="18"/>
        <v>41630</v>
      </c>
      <c r="BR19" s="27">
        <f t="shared" si="19"/>
        <v>4641</v>
      </c>
      <c r="BT19" s="27">
        <f t="shared" si="20"/>
        <v>14490</v>
      </c>
      <c r="BU19" s="27">
        <f t="shared" si="21"/>
        <v>7140</v>
      </c>
      <c r="BV19" s="27">
        <f t="shared" si="22"/>
        <v>20000</v>
      </c>
      <c r="BW19" s="27">
        <f t="shared" si="23"/>
        <v>449521</v>
      </c>
    </row>
    <row r="20" spans="1:75" x14ac:dyDescent="0.25">
      <c r="A20" s="195"/>
      <c r="B20" s="96" t="s">
        <v>303</v>
      </c>
      <c r="C20" s="11" t="b">
        <v>0</v>
      </c>
      <c r="D20" s="241"/>
      <c r="E20" s="139" t="str">
        <f>IF(C20=FALSE,"不申請",IF(C19=TRUE,"同語言轉換案",IF($D$17=2,"初稿案",IF(AND($D$17=1,OR(C17=TRUE,C18=TRUE)),"同語言轉換案",IF(OR(D17=3,D17=4,D17=5,D17=6,D17=7),"翻譯案","異常")))))</f>
        <v>不申請</v>
      </c>
      <c r="F20" s="3" t="s">
        <v>15</v>
      </c>
      <c r="G20" s="7">
        <f>IF($W$5=FALSE,0,IF(C20=FALSE,0,500))</f>
        <v>0</v>
      </c>
      <c r="H20" s="7">
        <f>IF($W$5=FALSE,0,IF(C20=FALSE,0,0))</f>
        <v>0</v>
      </c>
      <c r="I20" s="7">
        <f>IF($W$5=FALSE,0,IF(C20=FALSE,0,IF($B$7&lt;11,0,150*($B$7-10))))</f>
        <v>0</v>
      </c>
      <c r="J20" s="7"/>
      <c r="K20" s="7">
        <f t="shared" si="0"/>
        <v>0</v>
      </c>
      <c r="L20" s="23">
        <f>K20*$N$5</f>
        <v>0</v>
      </c>
      <c r="M20" s="3" t="s">
        <v>15</v>
      </c>
      <c r="N20" s="7">
        <f>IF($W$6=FALSE,0,IF(C20=FALSE,0,1200))</f>
        <v>0</v>
      </c>
      <c r="O20" s="7"/>
      <c r="P20" s="7">
        <f>IF($W$6=FALSE,0,IF(C20=FALSE,0,0))</f>
        <v>0</v>
      </c>
      <c r="Q20" s="7"/>
      <c r="R20" s="7"/>
      <c r="S20" s="7"/>
      <c r="T20" s="7">
        <f t="shared" si="1"/>
        <v>0</v>
      </c>
      <c r="U20" s="23">
        <f>T20*$N$5</f>
        <v>0</v>
      </c>
      <c r="V20" s="23">
        <f t="shared" si="24"/>
        <v>0</v>
      </c>
      <c r="W20" s="7">
        <f>IF($W$7=FALSE,0,IF(E20="不申請",0,IF(E20="初稿案",90000,IF(E20="翻譯案",5500,IF(E20="同語言轉換案",20000,999999)))))</f>
        <v>0</v>
      </c>
      <c r="X20" s="7">
        <f>IF($W$7=FALSE,0,IF(C20=FALSE,0,IF(E20="初稿案",IF($B$5&lt;7500,0,700*(ROUNDDOWN($B$5/100,0)-75)),IF(E20="翻譯案",IF($B$5&lt;7500,0,700*(ROUNDDOWN($B$5/100,0)-75)),IF(E20="同語言轉換案",0,0)))))</f>
        <v>0</v>
      </c>
      <c r="Y20" s="7">
        <f>IF($W$7=FALSE,0,IF(C20=FALSE,0,IF(E20="初稿案",IF($B$9&lt;11,0,1000*($B$9-10)),IF(E20="翻譯案",IF($B$9&lt;11,0,1000*($B$9-10)),IF(E20="同語言轉換案",0,0)))))</f>
        <v>0</v>
      </c>
      <c r="Z20" s="7"/>
      <c r="AA20" s="23">
        <f t="shared" si="2"/>
        <v>0</v>
      </c>
      <c r="AB20" s="23">
        <f t="shared" si="3"/>
        <v>0</v>
      </c>
      <c r="AC20" s="195"/>
      <c r="AD20" s="27">
        <f t="shared" si="4"/>
        <v>0</v>
      </c>
      <c r="AE20" s="27">
        <f t="shared" si="5"/>
        <v>0</v>
      </c>
      <c r="AF20" s="27">
        <f t="shared" si="6"/>
        <v>0</v>
      </c>
      <c r="AG20" s="195"/>
      <c r="AH20" s="239"/>
      <c r="AI20" s="195"/>
      <c r="AJ20" s="11" t="str">
        <f t="shared" si="7"/>
        <v>新型</v>
      </c>
      <c r="AK20" s="3" t="str">
        <f t="shared" si="25"/>
        <v>CNY</v>
      </c>
      <c r="AL20" s="7">
        <f>IF($W$5=FALSE,0,IF(C20=FALSE,0,5+600))</f>
        <v>0</v>
      </c>
      <c r="AM20" s="7"/>
      <c r="AN20" s="7"/>
      <c r="AO20" s="7">
        <f t="shared" si="8"/>
        <v>0</v>
      </c>
      <c r="AP20" s="22">
        <f>AO20*$N$5</f>
        <v>0</v>
      </c>
      <c r="AQ20" s="3" t="str">
        <f t="shared" si="26"/>
        <v>CNY</v>
      </c>
      <c r="AR20" s="7">
        <f>IF($W$6=FALSE,0,IF(C20=FALSE,0,200))</f>
        <v>0</v>
      </c>
      <c r="AS20" s="7"/>
      <c r="AT20" s="7"/>
      <c r="AU20" s="7">
        <f t="shared" si="9"/>
        <v>0</v>
      </c>
      <c r="AV20" s="22">
        <f>AU20*$N$5</f>
        <v>0</v>
      </c>
      <c r="AW20" s="22">
        <f t="shared" si="10"/>
        <v>0</v>
      </c>
      <c r="AX20" s="7">
        <f t="shared" si="11"/>
        <v>0</v>
      </c>
      <c r="AY20" s="22">
        <f t="shared" si="27"/>
        <v>0</v>
      </c>
      <c r="AZ20" s="22">
        <f t="shared" si="12"/>
        <v>0</v>
      </c>
      <c r="BA20" s="195"/>
      <c r="BB20" s="27">
        <f t="shared" si="28"/>
        <v>0</v>
      </c>
      <c r="BC20" s="27">
        <f t="shared" si="29"/>
        <v>0</v>
      </c>
      <c r="BD20" s="27">
        <f t="shared" si="30"/>
        <v>0</v>
      </c>
      <c r="BF20" s="3" t="s">
        <v>102</v>
      </c>
      <c r="BG20" s="27">
        <f t="shared" si="31"/>
        <v>0</v>
      </c>
      <c r="BH20" s="27">
        <f t="shared" si="13"/>
        <v>0</v>
      </c>
      <c r="BI20" s="27">
        <f t="shared" si="14"/>
        <v>0</v>
      </c>
      <c r="BJ20" s="90">
        <f t="shared" si="15"/>
        <v>0</v>
      </c>
      <c r="BK20" s="91">
        <f t="shared" si="16"/>
        <v>0</v>
      </c>
      <c r="BL20" s="94">
        <f t="shared" si="32"/>
        <v>0</v>
      </c>
      <c r="BM20" s="94">
        <f t="shared" si="33"/>
        <v>0</v>
      </c>
      <c r="BN20" s="91">
        <f t="shared" si="34"/>
        <v>0</v>
      </c>
      <c r="BO20" s="91">
        <f t="shared" si="17"/>
        <v>0</v>
      </c>
      <c r="BQ20" s="27">
        <f t="shared" si="18"/>
        <v>0</v>
      </c>
      <c r="BR20" s="27">
        <f t="shared" si="19"/>
        <v>0</v>
      </c>
      <c r="BT20" s="27">
        <f t="shared" si="20"/>
        <v>0</v>
      </c>
      <c r="BU20" s="27">
        <f t="shared" si="21"/>
        <v>0</v>
      </c>
      <c r="BV20" s="27">
        <f t="shared" si="22"/>
        <v>0</v>
      </c>
      <c r="BW20" s="27">
        <f t="shared" si="23"/>
        <v>0</v>
      </c>
    </row>
    <row r="21" spans="1:75" x14ac:dyDescent="0.25">
      <c r="A21" s="3" t="s">
        <v>4</v>
      </c>
      <c r="B21" s="96" t="s">
        <v>302</v>
      </c>
      <c r="C21" s="11" t="b">
        <v>1</v>
      </c>
      <c r="D21" s="241"/>
      <c r="E21" s="139" t="str">
        <f>IF(C21=FALSE,"不申請",IF($D$17=3,"初稿案",IF(OR(AND(D17=4,C28=TRUE),AND(D17=5,C31=TRUE),AND(D17=6,OR(C29=TRUE,C30=TRUE)),AND(D17=7,C27=TRUE)),"同語言轉換案",IF(OR(AND(D17=1,OR(C17=TRUE,C18=TRUE)),AND(D17=2,OR(C19=TRUE,C20=TRUE))),"翻譯案","異常"))))</f>
        <v>翻譯案</v>
      </c>
      <c r="F21" s="3" t="s">
        <v>16</v>
      </c>
      <c r="G21" s="7">
        <f>IF($W$5=FALSE,0,IF(C21=FALSE,0,IF($B$10="500人以上",2000,730)))</f>
        <v>730</v>
      </c>
      <c r="H21" s="7"/>
      <c r="I21" s="7">
        <f>IF($W$5=FALSE,0,IF(C21=FALSE,0,IF($B$7&lt;21,0,IF($B$10="500人以上",200*($B$7-20),80*($B$7-20)))))</f>
        <v>0</v>
      </c>
      <c r="J21" s="7">
        <f>IF($W$5=FALSE,0,IF(C21=FALSE,0,IF($B$8&lt;4,0,IF($B$10="500人以上",600*($B$8-3),240*($B$8-3)))))</f>
        <v>0</v>
      </c>
      <c r="K21" s="7">
        <f t="shared" si="0"/>
        <v>730</v>
      </c>
      <c r="L21" s="23">
        <f>K21*$L$5</f>
        <v>21900</v>
      </c>
      <c r="M21" s="3" t="s">
        <v>16</v>
      </c>
      <c r="N21" s="7">
        <f>IF($W$6=FALSE,0,IF(C21=FALSE,0,550+100))</f>
        <v>650</v>
      </c>
      <c r="O21" s="7"/>
      <c r="P21" s="7"/>
      <c r="Q21" s="7"/>
      <c r="R21" s="7"/>
      <c r="S21" s="7"/>
      <c r="T21" s="7">
        <f t="shared" si="1"/>
        <v>650</v>
      </c>
      <c r="U21" s="23">
        <f>T21*$L$5</f>
        <v>19500</v>
      </c>
      <c r="V21" s="23">
        <f t="shared" si="24"/>
        <v>41400</v>
      </c>
      <c r="W21" s="7">
        <f>IF($W$7=FALSE,0,IF(E21="不申請",0,IF(E21="初稿案",95000,IF(E21="翻譯案",60000,IF(E21="同語言轉換案",30000,999999)))))</f>
        <v>60000</v>
      </c>
      <c r="X21" s="7">
        <f>IF($W$7=FALSE,0,IF(E21="不申請",0,IF(E21="初稿案",IF($B$6&lt;5000,0,1000*(ROUNDDOWN($B$6/100,0)-50)),IF(E21="翻譯案",IF($B$6&lt;5000,0,1000*(ROUNDDOWN($B$6/100,0)-50)),IF(E21="同語言轉換案",0,0)))))</f>
        <v>0</v>
      </c>
      <c r="Y21" s="7">
        <f>IF($W$7=FALSE,0,IF(E21="不申請",0,IF(E21="初稿案",IF($B$9&lt;11,0,1000*($B$9-10)),IF(E21="翻譯案",IF($B$9&lt;11,0,1000*($B$9-10)),IF(E21="同語言轉換案",0,0)))))</f>
        <v>0</v>
      </c>
      <c r="Z21" s="7"/>
      <c r="AA21" s="23">
        <f t="shared" si="2"/>
        <v>60000</v>
      </c>
      <c r="AB21" s="23">
        <f t="shared" si="3"/>
        <v>101400</v>
      </c>
      <c r="AC21" s="14" t="str">
        <f>$A$21</f>
        <v>美國</v>
      </c>
      <c r="AD21" s="27">
        <f t="shared" si="4"/>
        <v>21900</v>
      </c>
      <c r="AE21" s="27">
        <f t="shared" si="5"/>
        <v>19500</v>
      </c>
      <c r="AF21" s="27">
        <f t="shared" si="6"/>
        <v>60000</v>
      </c>
      <c r="AG21" s="14">
        <v>3</v>
      </c>
      <c r="AH21" s="138">
        <f>IF($D$17=AG21,AA21,0)</f>
        <v>0</v>
      </c>
      <c r="AI21" s="14" t="str">
        <f>$A$21</f>
        <v>美國</v>
      </c>
      <c r="AJ21" s="11" t="str">
        <f t="shared" si="7"/>
        <v>發明</v>
      </c>
      <c r="AK21" s="3" t="str">
        <f t="shared" si="25"/>
        <v>USD</v>
      </c>
      <c r="AL21" s="7">
        <f>IF($W$5=FALSE,0,IF(C21=FALSE,0,IF($B$10="500人以上",1290,516)))</f>
        <v>516</v>
      </c>
      <c r="AM21" s="7"/>
      <c r="AN21" s="7"/>
      <c r="AO21" s="7">
        <f t="shared" si="8"/>
        <v>516</v>
      </c>
      <c r="AP21" s="22">
        <f>AO21*$L$5</f>
        <v>15480</v>
      </c>
      <c r="AQ21" s="3" t="str">
        <f t="shared" si="26"/>
        <v>USD</v>
      </c>
      <c r="AR21" s="7">
        <f>IF($W$6=FALSE,0,IF(C21=FALSE,0,350))</f>
        <v>350</v>
      </c>
      <c r="AS21" s="7"/>
      <c r="AT21" s="7"/>
      <c r="AU21" s="7">
        <f t="shared" si="9"/>
        <v>350</v>
      </c>
      <c r="AV21" s="22">
        <f>AU21*$L$5</f>
        <v>10500</v>
      </c>
      <c r="AW21" s="22">
        <f t="shared" si="10"/>
        <v>25980</v>
      </c>
      <c r="AX21" s="7">
        <f t="shared" si="11"/>
        <v>0</v>
      </c>
      <c r="AY21" s="22">
        <f t="shared" si="27"/>
        <v>0</v>
      </c>
      <c r="AZ21" s="22">
        <f t="shared" si="12"/>
        <v>25980</v>
      </c>
      <c r="BA21" s="14" t="str">
        <f>$A$21</f>
        <v>美國</v>
      </c>
      <c r="BB21" s="27">
        <f t="shared" si="28"/>
        <v>15480</v>
      </c>
      <c r="BC21" s="27">
        <f t="shared" si="29"/>
        <v>10500</v>
      </c>
      <c r="BD21" s="27">
        <f t="shared" si="30"/>
        <v>0</v>
      </c>
      <c r="BF21" s="3" t="str">
        <f>A21</f>
        <v>美國</v>
      </c>
      <c r="BG21" s="27">
        <f t="shared" si="31"/>
        <v>101400</v>
      </c>
      <c r="BH21" s="27">
        <f t="shared" si="13"/>
        <v>79600</v>
      </c>
      <c r="BI21" s="27">
        <f t="shared" si="14"/>
        <v>25980</v>
      </c>
      <c r="BJ21" s="90">
        <f t="shared" si="15"/>
        <v>199980</v>
      </c>
      <c r="BK21" s="91">
        <f t="shared" si="16"/>
        <v>181000</v>
      </c>
      <c r="BL21" s="94">
        <f t="shared" si="32"/>
        <v>127380</v>
      </c>
      <c r="BM21" s="94">
        <f t="shared" si="33"/>
        <v>206980</v>
      </c>
      <c r="BN21" s="91">
        <f t="shared" si="34"/>
        <v>225960</v>
      </c>
      <c r="BO21" s="91">
        <f t="shared" si="17"/>
        <v>406960</v>
      </c>
      <c r="BQ21" s="27">
        <f t="shared" si="18"/>
        <v>101400</v>
      </c>
      <c r="BR21" s="27">
        <f t="shared" si="19"/>
        <v>25980</v>
      </c>
      <c r="BT21" s="27">
        <f t="shared" si="20"/>
        <v>21900</v>
      </c>
      <c r="BU21" s="27">
        <f t="shared" si="21"/>
        <v>19500</v>
      </c>
      <c r="BV21" s="27">
        <f t="shared" si="22"/>
        <v>60000</v>
      </c>
      <c r="BW21" s="27">
        <f t="shared" si="23"/>
        <v>305560</v>
      </c>
    </row>
    <row r="22" spans="1:75" x14ac:dyDescent="0.25">
      <c r="A22" s="3" t="s">
        <v>5</v>
      </c>
      <c r="B22" s="96" t="s">
        <v>302</v>
      </c>
      <c r="C22" s="11" t="b">
        <v>1</v>
      </c>
      <c r="D22" s="241"/>
      <c r="E22" s="139" t="str">
        <f>IF(C22=FALSE,"不申請",IF(OR(AND(D17=3,C21=TRUE),AND(D17=4,C27=TRUE),AND(D17=5,C28=TRUE),AND(D17=6,OR(C29=TRUE,C30=TRUE)),AND(D17=7,C31=TRUE)),"同語言轉換案",IF(OR(C21=TRUE,C27=TRUE,C28=TRUE,C29=TRUE,C30=TRUE,C31=TRUE),"同語言轉換案",IF(OR(AND(D17=1,OR(C17=TRUE,C18=TRUE)),AND(D17=2,OR(C19=TRUE,C20=TRUE))),"翻譯案","異常"))))</f>
        <v>同語言轉換案</v>
      </c>
      <c r="F22" s="3" t="s">
        <v>17</v>
      </c>
      <c r="G22" s="7">
        <f>IF($W$5=FALSE,0,IF(C22=FALSE,0,1655))</f>
        <v>1655</v>
      </c>
      <c r="H22" s="27">
        <f>IF($W$5=FALSE,0,IF(C22=FALSE,0,0))</f>
        <v>0</v>
      </c>
      <c r="I22" s="7">
        <f>IF($W$5=FALSE,0,IF(C22=FALSE,0,IF($B$7&lt;15,0,IF($B$7&lt;51,275*($B$7-15),275*35+660*($B$7-50)))))</f>
        <v>0</v>
      </c>
      <c r="J22" s="7"/>
      <c r="K22" s="7">
        <f t="shared" si="0"/>
        <v>1655</v>
      </c>
      <c r="L22" s="23">
        <f>K22*$L$6</f>
        <v>57428.500000000007</v>
      </c>
      <c r="M22" s="3" t="s">
        <v>17</v>
      </c>
      <c r="N22" s="7">
        <f>IF($W$6=FALSE,0,IF(C22=FALSE,0,460))</f>
        <v>460</v>
      </c>
      <c r="O22" s="7"/>
      <c r="P22" s="27">
        <f>IF($W$6=FALSE,0,IF(C22=FALSE,0,0))</f>
        <v>0</v>
      </c>
      <c r="Q22" s="7"/>
      <c r="R22" s="7"/>
      <c r="S22" s="7"/>
      <c r="T22" s="7">
        <f t="shared" si="1"/>
        <v>460</v>
      </c>
      <c r="U22" s="23">
        <f>T22*$L$6</f>
        <v>15962.000000000002</v>
      </c>
      <c r="V22" s="23">
        <f t="shared" si="24"/>
        <v>73390.500000000015</v>
      </c>
      <c r="W22" s="7">
        <f>IF($W$7=FALSE,0,IF(E22="不申請",0,IF(E22="初稿案",95000,IF(E22="翻譯案",75000,IF(E22="同語言轉換案",40000,999999)))))</f>
        <v>40000</v>
      </c>
      <c r="X22" s="7">
        <f>IF($W$7=FALSE,0,IF(E22="不申請",0,IF(E22="初稿案",IF($B$6&lt;5000,0,1000*(ROUNDDOWN($B$6/100,0)-50)),IF(E22="翻譯案",IF($B$6&lt;5000,0,1000*(ROUNDDOWN($B$6/100,0)-50)),IF(E22="同語言轉換案",0,0)))))</f>
        <v>0</v>
      </c>
      <c r="Y22" s="7">
        <f>IF($W$7=FALSE,0,IF(E22="不申請",0,IF(E22="初稿案",IF($B$9&lt;11,0,1000*($B$9-10)),IF(E22="翻譯案",IF($B$9&lt;11,0,1000*($B$9-10)),IF(E22="同語言轉換案",0,0)))))</f>
        <v>0</v>
      </c>
      <c r="Z22" s="7"/>
      <c r="AA22" s="23">
        <f t="shared" si="2"/>
        <v>40000</v>
      </c>
      <c r="AB22" s="23">
        <f t="shared" si="3"/>
        <v>113390.50000000001</v>
      </c>
      <c r="AC22" s="14" t="str">
        <f>$A$22</f>
        <v>歐洲</v>
      </c>
      <c r="AD22" s="27">
        <f t="shared" si="4"/>
        <v>57428.500000000007</v>
      </c>
      <c r="AE22" s="27">
        <f t="shared" si="5"/>
        <v>15962.000000000002</v>
      </c>
      <c r="AF22" s="27">
        <f t="shared" si="6"/>
        <v>40000</v>
      </c>
      <c r="AG22" s="14"/>
      <c r="AH22" s="138"/>
      <c r="AI22" s="14" t="str">
        <f>$A$22</f>
        <v>歐洲</v>
      </c>
      <c r="AJ22" s="11" t="str">
        <f t="shared" si="7"/>
        <v>發明</v>
      </c>
      <c r="AK22" s="3" t="str">
        <f t="shared" si="25"/>
        <v>EUR</v>
      </c>
      <c r="AL22" s="10">
        <f>IF($W$5=FALSE,0,IF(C22=FALSE,0,1080))</f>
        <v>1080</v>
      </c>
      <c r="AM22" s="7"/>
      <c r="AN22" s="7"/>
      <c r="AO22" s="7">
        <f t="shared" si="8"/>
        <v>1080</v>
      </c>
      <c r="AP22" s="22">
        <f>AO22*$L$6</f>
        <v>37476</v>
      </c>
      <c r="AQ22" s="3" t="str">
        <f t="shared" si="26"/>
        <v>EUR</v>
      </c>
      <c r="AR22" s="10">
        <f>IF($W$6=FALSE,0,IF(C22=FALSE,0,530+100+100+100+1000))</f>
        <v>1830</v>
      </c>
      <c r="AS22" s="7"/>
      <c r="AT22" s="7"/>
      <c r="AU22" s="7">
        <f t="shared" si="9"/>
        <v>1830</v>
      </c>
      <c r="AV22" s="22">
        <f>AU22*$L$6</f>
        <v>63501.000000000007</v>
      </c>
      <c r="AW22" s="22">
        <f t="shared" si="10"/>
        <v>100977</v>
      </c>
      <c r="AX22" s="10">
        <f>IF($W$7=FALSE,0,IF(C22=FALSE,0,10000+3*5000))</f>
        <v>25000</v>
      </c>
      <c r="AY22" s="22">
        <f t="shared" si="27"/>
        <v>25000</v>
      </c>
      <c r="AZ22" s="22">
        <f t="shared" si="12"/>
        <v>125977</v>
      </c>
      <c r="BA22" s="14" t="str">
        <f>$A$22</f>
        <v>歐洲</v>
      </c>
      <c r="BB22" s="27">
        <f t="shared" si="28"/>
        <v>37476</v>
      </c>
      <c r="BC22" s="27">
        <f t="shared" si="29"/>
        <v>63501.000000000007</v>
      </c>
      <c r="BD22" s="27">
        <f t="shared" si="30"/>
        <v>25000</v>
      </c>
      <c r="BF22" s="3" t="str">
        <f>A22</f>
        <v>歐洲</v>
      </c>
      <c r="BG22" s="27">
        <f t="shared" si="31"/>
        <v>113390.50000000001</v>
      </c>
      <c r="BH22" s="27">
        <f t="shared" si="13"/>
        <v>195456</v>
      </c>
      <c r="BI22" s="27">
        <f t="shared" si="14"/>
        <v>125977</v>
      </c>
      <c r="BJ22" s="90">
        <f t="shared" si="15"/>
        <v>1439673</v>
      </c>
      <c r="BK22" s="91">
        <f t="shared" si="16"/>
        <v>308846.5</v>
      </c>
      <c r="BL22" s="94">
        <f t="shared" si="32"/>
        <v>239367.5</v>
      </c>
      <c r="BM22" s="94">
        <f t="shared" si="33"/>
        <v>434823.5</v>
      </c>
      <c r="BN22" s="91">
        <f t="shared" si="34"/>
        <v>1565650</v>
      </c>
      <c r="BO22" s="91">
        <f t="shared" si="17"/>
        <v>1874496.5</v>
      </c>
      <c r="BQ22" s="27">
        <f t="shared" si="18"/>
        <v>113390.50000000001</v>
      </c>
      <c r="BR22" s="27">
        <f t="shared" si="19"/>
        <v>125977</v>
      </c>
      <c r="BT22" s="27">
        <f t="shared" si="20"/>
        <v>57428.500000000007</v>
      </c>
      <c r="BU22" s="27">
        <f t="shared" si="21"/>
        <v>15962.000000000002</v>
      </c>
      <c r="BV22" s="27">
        <f t="shared" si="22"/>
        <v>40000</v>
      </c>
      <c r="BW22" s="27">
        <f t="shared" si="23"/>
        <v>1761106</v>
      </c>
    </row>
    <row r="23" spans="1:75" x14ac:dyDescent="0.25">
      <c r="A23" s="194" t="s">
        <v>6</v>
      </c>
      <c r="B23" s="96" t="s">
        <v>302</v>
      </c>
      <c r="C23" s="11" t="b">
        <v>1</v>
      </c>
      <c r="D23" s="241"/>
      <c r="E23" s="139" t="str">
        <f>IF(C23=FALSE,"不申請",IF(OR(C17=TRUE,C18=TRUE,C19=TRUE,C20=TRUE,C21=TRUE,C22=TRUE,C28=TRUE,C31=TRUE,C29=TRUE,C30=TRUE,C27=TRUE),"翻譯案","異常"))</f>
        <v>翻譯案</v>
      </c>
      <c r="F23" s="3" t="s">
        <v>18</v>
      </c>
      <c r="G23" s="7">
        <f>IF($W$5=FALSE,0,IF(C23=FALSE,0,14000))</f>
        <v>14000</v>
      </c>
      <c r="H23" s="7">
        <f>IF($W$5=FALSE,0,IF(C23=FALSE,0,138000))</f>
        <v>138000</v>
      </c>
      <c r="I23" s="7">
        <f>IF($W$5=FALSE,0,IF(C23=FALSE,0,4000*$B$7))</f>
        <v>40000</v>
      </c>
      <c r="J23" s="7"/>
      <c r="K23" s="7">
        <f t="shared" si="0"/>
        <v>192000</v>
      </c>
      <c r="L23" s="23">
        <f>K23*$L$7</f>
        <v>40320</v>
      </c>
      <c r="M23" s="3" t="s">
        <v>18</v>
      </c>
      <c r="N23" s="7">
        <f>IF($W$6=FALSE,0,IF(C23=FALSE,0,120000+8500))</f>
        <v>128500</v>
      </c>
      <c r="O23" s="10">
        <f>IF($W$6=FALSE,0,IF(C23=FALSE,0,IF(OR(C21=TRUE,C22=TRUE,C28=TRUE,C31=TRUE,C29=TRUE,C30=TRUE,C27=TRUE),$B$6*32,IF(OR(C17=TRUE,C18=TRUE,C19=TRUE,C20=TRUE),$B$5*14,"欠缺英文案及中文案"))))</f>
        <v>160000</v>
      </c>
      <c r="P23" s="7">
        <f>IF($W$6=FALSE,0,IF(C23=FALSE,0,14000))</f>
        <v>14000</v>
      </c>
      <c r="Q23" s="7"/>
      <c r="R23" s="7"/>
      <c r="S23" s="7">
        <f>IF($W$6=FALSE,0,IF(C23=FALSE,0,200*$B$9))</f>
        <v>2000</v>
      </c>
      <c r="T23" s="7">
        <f t="shared" si="1"/>
        <v>304500</v>
      </c>
      <c r="U23" s="23">
        <f>T23*$L$7</f>
        <v>63945</v>
      </c>
      <c r="V23" s="23">
        <f t="shared" si="24"/>
        <v>104265</v>
      </c>
      <c r="W23" s="10">
        <f>IF($W$7=FALSE,0,IF(E23="不申請",0,IF(E23="初稿案",30000,IF(E23="翻譯案",30000,IF(E23="同語言轉換案",30000,999999)))))</f>
        <v>30000</v>
      </c>
      <c r="X23" s="10"/>
      <c r="Y23" s="10"/>
      <c r="Z23" s="7"/>
      <c r="AA23" s="23">
        <f t="shared" si="2"/>
        <v>30000</v>
      </c>
      <c r="AB23" s="23">
        <f t="shared" si="3"/>
        <v>134265</v>
      </c>
      <c r="AC23" s="200" t="str">
        <f>$A$23</f>
        <v>日本</v>
      </c>
      <c r="AD23" s="27">
        <f t="shared" si="4"/>
        <v>40320</v>
      </c>
      <c r="AE23" s="27">
        <f t="shared" si="5"/>
        <v>63945</v>
      </c>
      <c r="AF23" s="27">
        <f t="shared" si="6"/>
        <v>30000</v>
      </c>
      <c r="AG23" s="200"/>
      <c r="AH23" s="238"/>
      <c r="AI23" s="200" t="str">
        <f>$A$23</f>
        <v>日本</v>
      </c>
      <c r="AJ23" s="11" t="str">
        <f t="shared" si="7"/>
        <v>發明</v>
      </c>
      <c r="AK23" s="3" t="str">
        <f t="shared" si="25"/>
        <v>JPY</v>
      </c>
      <c r="AL23" s="7">
        <f>IF($W$5=FALSE,0,IF(C23=FALSE,0,4300*3))</f>
        <v>12900</v>
      </c>
      <c r="AM23" s="7">
        <f>IF($W$5=FALSE,0,IF(C23=FALSE,0,300*$B$7*3))</f>
        <v>9000</v>
      </c>
      <c r="AN23" s="7"/>
      <c r="AO23" s="7">
        <f t="shared" si="8"/>
        <v>21900</v>
      </c>
      <c r="AP23" s="22">
        <f>AO23*$L$7</f>
        <v>4599</v>
      </c>
      <c r="AQ23" s="3" t="str">
        <f t="shared" si="26"/>
        <v>JPY</v>
      </c>
      <c r="AR23" s="7">
        <f>IF($W$6=FALSE,0,IF(C23=FALSE,0,25000))</f>
        <v>25000</v>
      </c>
      <c r="AS23" s="7"/>
      <c r="AT23" s="7"/>
      <c r="AU23" s="7">
        <f t="shared" si="9"/>
        <v>25000</v>
      </c>
      <c r="AV23" s="22">
        <f>AU23*$L$7</f>
        <v>5250</v>
      </c>
      <c r="AW23" s="22">
        <f t="shared" si="10"/>
        <v>9849</v>
      </c>
      <c r="AX23" s="7">
        <f t="shared" si="11"/>
        <v>0</v>
      </c>
      <c r="AY23" s="22">
        <f t="shared" si="27"/>
        <v>0</v>
      </c>
      <c r="AZ23" s="22">
        <f t="shared" si="12"/>
        <v>9849</v>
      </c>
      <c r="BA23" s="200" t="str">
        <f>$A$23</f>
        <v>日本</v>
      </c>
      <c r="BB23" s="27">
        <f t="shared" si="28"/>
        <v>4599</v>
      </c>
      <c r="BC23" s="27">
        <f t="shared" si="29"/>
        <v>5250</v>
      </c>
      <c r="BD23" s="27">
        <f t="shared" si="30"/>
        <v>0</v>
      </c>
      <c r="BF23" s="3" t="s">
        <v>103</v>
      </c>
      <c r="BG23" s="27">
        <f t="shared" si="31"/>
        <v>134265</v>
      </c>
      <c r="BH23" s="27">
        <f t="shared" si="13"/>
        <v>85150</v>
      </c>
      <c r="BI23" s="27">
        <f t="shared" si="14"/>
        <v>9849</v>
      </c>
      <c r="BJ23" s="90">
        <f t="shared" si="15"/>
        <v>408547</v>
      </c>
      <c r="BK23" s="91">
        <f t="shared" si="16"/>
        <v>219415</v>
      </c>
      <c r="BL23" s="94">
        <f t="shared" si="32"/>
        <v>144114</v>
      </c>
      <c r="BM23" s="94">
        <f t="shared" si="33"/>
        <v>229264</v>
      </c>
      <c r="BN23" s="91">
        <f t="shared" si="34"/>
        <v>418396</v>
      </c>
      <c r="BO23" s="91">
        <f t="shared" si="17"/>
        <v>637811</v>
      </c>
      <c r="BQ23" s="27">
        <f t="shared" si="18"/>
        <v>134265</v>
      </c>
      <c r="BR23" s="27">
        <f t="shared" si="19"/>
        <v>9849</v>
      </c>
      <c r="BT23" s="27">
        <f t="shared" si="20"/>
        <v>40320</v>
      </c>
      <c r="BU23" s="27">
        <f t="shared" si="21"/>
        <v>63945</v>
      </c>
      <c r="BV23" s="27">
        <f t="shared" si="22"/>
        <v>30000</v>
      </c>
      <c r="BW23" s="27">
        <f t="shared" si="23"/>
        <v>503546</v>
      </c>
    </row>
    <row r="24" spans="1:75" x14ac:dyDescent="0.25">
      <c r="A24" s="195"/>
      <c r="B24" s="96" t="s">
        <v>303</v>
      </c>
      <c r="C24" s="11" t="b">
        <v>0</v>
      </c>
      <c r="D24" s="241"/>
      <c r="E24" s="139" t="str">
        <f>IF(C24=FALSE,"不申請",IF(OR(C17=TRUE,C18=TRUE,C19=TRUE,C20=TRUE,C21=TRUE,C22=TRUE,C28=TRUE,C31=TRUE,C29=TRUE,C30=TRUE,C27=TRUE),"翻譯案","異常"))</f>
        <v>不申請</v>
      </c>
      <c r="F24" s="3" t="s">
        <v>18</v>
      </c>
      <c r="G24" s="7">
        <f>IF($W$5=FALSE,0,IF(C24=FALSE,0,14000))</f>
        <v>0</v>
      </c>
      <c r="H24" s="7">
        <f>IF($W$5=FALSE,0,IF(C24=FALSE,0,0))</f>
        <v>0</v>
      </c>
      <c r="I24" s="7">
        <f>IF($W$5=FALSE,0,IF(C24=FALSE,0,0))</f>
        <v>0</v>
      </c>
      <c r="J24" s="7"/>
      <c r="K24" s="7">
        <f t="shared" si="0"/>
        <v>0</v>
      </c>
      <c r="L24" s="23">
        <f>K24*$L$7</f>
        <v>0</v>
      </c>
      <c r="M24" s="3" t="s">
        <v>18</v>
      </c>
      <c r="N24" s="7">
        <f>IF($W$6=FALSE,0,IF(C24=FALSE,0,130000+8500))</f>
        <v>0</v>
      </c>
      <c r="O24" s="10">
        <f>IF($W$6=FALSE,0,IF(C24=FALSE,0,IF(OR(C21=TRUE,C22=TRUE,C28=TRUE,C31=TRUE,C29=TRUE,C30=TRUE,C27=TRUE),$B$6*36,IF(OR(C17=TRUE,C18=TRUE,C19=TRUE,C20=TRUE),$B$5*26,"欠缺英文案及中文案"))))</f>
        <v>0</v>
      </c>
      <c r="P24" s="7">
        <f>IF($W$6=FALSE,0,IF(C24=FALSE,0,0))</f>
        <v>0</v>
      </c>
      <c r="Q24" s="7"/>
      <c r="R24" s="7"/>
      <c r="S24" s="7">
        <f>IF($W$6=FALSE,0,IF(C24=FALSE,0,200*$B$9))</f>
        <v>0</v>
      </c>
      <c r="T24" s="7">
        <f t="shared" si="1"/>
        <v>0</v>
      </c>
      <c r="U24" s="23">
        <f>T24*$L$7</f>
        <v>0</v>
      </c>
      <c r="V24" s="23">
        <f t="shared" si="24"/>
        <v>0</v>
      </c>
      <c r="W24" s="10">
        <f>IF($W$7=FALSE,0,IF(E24="不申請",0,IF(E24="初稿案",30000,IF(E24="翻譯案",30000,IF(E24="同語言轉換案",30000,999999)))))</f>
        <v>0</v>
      </c>
      <c r="X24" s="10"/>
      <c r="Y24" s="10"/>
      <c r="Z24" s="7"/>
      <c r="AA24" s="23">
        <f t="shared" si="2"/>
        <v>0</v>
      </c>
      <c r="AB24" s="23">
        <f t="shared" si="3"/>
        <v>0</v>
      </c>
      <c r="AC24" s="195"/>
      <c r="AD24" s="27">
        <f t="shared" si="4"/>
        <v>0</v>
      </c>
      <c r="AE24" s="27">
        <f t="shared" si="5"/>
        <v>0</v>
      </c>
      <c r="AF24" s="27">
        <f t="shared" si="6"/>
        <v>0</v>
      </c>
      <c r="AG24" s="195"/>
      <c r="AH24" s="239"/>
      <c r="AI24" s="195"/>
      <c r="AJ24" s="11" t="str">
        <f t="shared" si="7"/>
        <v>新型</v>
      </c>
      <c r="AK24" s="3" t="str">
        <f t="shared" si="25"/>
        <v>JPY</v>
      </c>
      <c r="AL24" s="7">
        <f>IF($W$5=FALSE,0,IF(C24=FALSE,0,6300*3))</f>
        <v>0</v>
      </c>
      <c r="AM24" s="7">
        <f>IF($W$5=FALSE,0,IF(C24=FALSE,0,300*$B$7*3))</f>
        <v>0</v>
      </c>
      <c r="AN24" s="7"/>
      <c r="AO24" s="7">
        <f t="shared" si="8"/>
        <v>0</v>
      </c>
      <c r="AP24" s="22">
        <f>AO24*$L$7</f>
        <v>0</v>
      </c>
      <c r="AQ24" s="3" t="str">
        <f t="shared" si="26"/>
        <v>JPY</v>
      </c>
      <c r="AR24" s="7">
        <f>IF($W$6=FALSE,0,IF(C24=FALSE,0,10000))</f>
        <v>0</v>
      </c>
      <c r="AS24" s="7"/>
      <c r="AT24" s="7"/>
      <c r="AU24" s="7">
        <f t="shared" si="9"/>
        <v>0</v>
      </c>
      <c r="AV24" s="22">
        <f>AU24*$L$7</f>
        <v>0</v>
      </c>
      <c r="AW24" s="22">
        <f t="shared" si="10"/>
        <v>0</v>
      </c>
      <c r="AX24" s="7">
        <f t="shared" si="11"/>
        <v>0</v>
      </c>
      <c r="AY24" s="22">
        <f t="shared" si="27"/>
        <v>0</v>
      </c>
      <c r="AZ24" s="22">
        <f t="shared" si="12"/>
        <v>0</v>
      </c>
      <c r="BA24" s="195"/>
      <c r="BB24" s="27">
        <f t="shared" si="28"/>
        <v>0</v>
      </c>
      <c r="BC24" s="27">
        <f t="shared" si="29"/>
        <v>0</v>
      </c>
      <c r="BD24" s="27">
        <f t="shared" si="30"/>
        <v>0</v>
      </c>
      <c r="BF24" s="3" t="s">
        <v>104</v>
      </c>
      <c r="BG24" s="27">
        <f t="shared" si="31"/>
        <v>0</v>
      </c>
      <c r="BH24" s="27">
        <f t="shared" si="13"/>
        <v>0</v>
      </c>
      <c r="BI24" s="27">
        <f t="shared" si="14"/>
        <v>0</v>
      </c>
      <c r="BJ24" s="90">
        <f t="shared" si="15"/>
        <v>0</v>
      </c>
      <c r="BK24" s="91">
        <f t="shared" si="16"/>
        <v>0</v>
      </c>
      <c r="BL24" s="94">
        <f t="shared" si="32"/>
        <v>0</v>
      </c>
      <c r="BM24" s="94">
        <f t="shared" si="33"/>
        <v>0</v>
      </c>
      <c r="BN24" s="91">
        <f t="shared" si="34"/>
        <v>0</v>
      </c>
      <c r="BO24" s="91">
        <f t="shared" si="17"/>
        <v>0</v>
      </c>
      <c r="BQ24" s="27">
        <f t="shared" si="18"/>
        <v>0</v>
      </c>
      <c r="BR24" s="27">
        <f t="shared" si="19"/>
        <v>0</v>
      </c>
      <c r="BT24" s="27">
        <f t="shared" si="20"/>
        <v>0</v>
      </c>
      <c r="BU24" s="27">
        <f t="shared" si="21"/>
        <v>0</v>
      </c>
      <c r="BV24" s="27">
        <f t="shared" si="22"/>
        <v>0</v>
      </c>
      <c r="BW24" s="27">
        <f t="shared" si="23"/>
        <v>0</v>
      </c>
    </row>
    <row r="25" spans="1:75" x14ac:dyDescent="0.25">
      <c r="A25" s="194" t="s">
        <v>7</v>
      </c>
      <c r="B25" s="96" t="s">
        <v>302</v>
      </c>
      <c r="C25" s="11" t="b">
        <v>1</v>
      </c>
      <c r="D25" s="241"/>
      <c r="E25" s="139" t="str">
        <f>IF(C25=FALSE,"不申請",IF(OR(C17=TRUE,C18=TRUE,C19=TRUE,C20=TRUE,C21=TRUE,C22=TRUE,C28=TRUE,C31=TRUE,C29=TRUE,C30=TRUE,C27=TRUE),"翻譯案","異常"))</f>
        <v>翻譯案</v>
      </c>
      <c r="F25" s="3" t="s">
        <v>19</v>
      </c>
      <c r="G25" s="7">
        <f>IF($W$5=FALSE,0,IF(C25=FALSE,0,46000))</f>
        <v>46000</v>
      </c>
      <c r="H25" s="7">
        <f>IF($W$5=FALSE,0,IF(C25=FALSE,0,166000))</f>
        <v>166000</v>
      </c>
      <c r="I25" s="7">
        <f>IF($W$5=FALSE,0,IF(C25=FALSE,0,51000*$B$7))</f>
        <v>510000</v>
      </c>
      <c r="J25" s="7"/>
      <c r="K25" s="7">
        <f t="shared" si="0"/>
        <v>722000</v>
      </c>
      <c r="L25" s="23">
        <f>K25*$L$8</f>
        <v>18050</v>
      </c>
      <c r="M25" s="3" t="s">
        <v>16</v>
      </c>
      <c r="N25" s="7">
        <f>IF($W$6=FALSE,0,IF(C25=FALSE,0,850))</f>
        <v>850</v>
      </c>
      <c r="O25" s="10">
        <f>IF($W$6=FALSE,0,IF(C25=FALSE,0,IF(OR(C21=TRUE,C22=TRUE,C28=TRUE,C31=TRUE,C29=TRUE,C30=TRUE,C27=TRUE),$B$6/100*26,IF(OR(C17=TRUE,C18=TRUE,C19=TRUE,C20=TRUE),$B$5/100*24,"欠缺英文案及中文案"))))</f>
        <v>1300</v>
      </c>
      <c r="P25" s="7">
        <f>IF($W$6=FALSE,0,IF(C25=FALSE,0,130))</f>
        <v>130</v>
      </c>
      <c r="Q25" s="7">
        <f>IF($W$6=FALSE,0,IF(C25=FALSE,0,26*$B$7))</f>
        <v>260</v>
      </c>
      <c r="R25" s="7"/>
      <c r="S25" s="7">
        <f>IF($W$6=FALSE,0,IF(C25=FALSE,0,25*$B$9))</f>
        <v>250</v>
      </c>
      <c r="T25" s="7">
        <f t="shared" si="1"/>
        <v>2790</v>
      </c>
      <c r="U25" s="23">
        <f>T25*$L$5</f>
        <v>83700</v>
      </c>
      <c r="V25" s="23">
        <f t="shared" si="24"/>
        <v>101750</v>
      </c>
      <c r="W25" s="10">
        <f>IF($W$7=FALSE,0,IF(E25="不申請",0,IF(E25="初稿案",30000,IF(E25="翻譯案",30000,IF(E25="同語言轉換案",30000,999999)))))</f>
        <v>30000</v>
      </c>
      <c r="X25" s="10"/>
      <c r="Y25" s="10"/>
      <c r="Z25" s="7"/>
      <c r="AA25" s="23">
        <f t="shared" si="2"/>
        <v>30000</v>
      </c>
      <c r="AB25" s="23">
        <f t="shared" si="3"/>
        <v>131750</v>
      </c>
      <c r="AC25" s="200" t="str">
        <f>$A$25</f>
        <v>韓國</v>
      </c>
      <c r="AD25" s="27">
        <f t="shared" si="4"/>
        <v>18050</v>
      </c>
      <c r="AE25" s="27">
        <f t="shared" si="5"/>
        <v>83700</v>
      </c>
      <c r="AF25" s="27">
        <f t="shared" si="6"/>
        <v>30000</v>
      </c>
      <c r="AG25" s="200"/>
      <c r="AH25" s="238"/>
      <c r="AI25" s="200" t="str">
        <f>$A$25</f>
        <v>韓國</v>
      </c>
      <c r="AJ25" s="11" t="str">
        <f t="shared" si="7"/>
        <v>發明</v>
      </c>
      <c r="AK25" s="3" t="str">
        <f t="shared" si="25"/>
        <v>KRW</v>
      </c>
      <c r="AL25" s="7">
        <f>IF($W$5=FALSE,0,IF(C25=FALSE,0,39000))</f>
        <v>39000</v>
      </c>
      <c r="AM25" s="7">
        <f>IF($W$5=FALSE,0,IF(C25=FALSE,0,36000*$B$7))</f>
        <v>360000</v>
      </c>
      <c r="AN25" s="7"/>
      <c r="AO25" s="7">
        <f t="shared" si="8"/>
        <v>399000</v>
      </c>
      <c r="AP25" s="22">
        <f>AO25*$L$8</f>
        <v>9975</v>
      </c>
      <c r="AQ25" s="3" t="str">
        <f t="shared" si="26"/>
        <v>USD</v>
      </c>
      <c r="AR25" s="7">
        <f>IF($W$6=FALSE,0,IF(C25=FALSE,0,130+130))</f>
        <v>260</v>
      </c>
      <c r="AS25" s="7"/>
      <c r="AT25" s="7"/>
      <c r="AU25" s="7">
        <f t="shared" si="9"/>
        <v>260</v>
      </c>
      <c r="AV25" s="22">
        <f>AU25*$L$5</f>
        <v>7800</v>
      </c>
      <c r="AW25" s="22">
        <f t="shared" si="10"/>
        <v>17775</v>
      </c>
      <c r="AX25" s="7">
        <f t="shared" si="11"/>
        <v>0</v>
      </c>
      <c r="AY25" s="22">
        <f t="shared" si="27"/>
        <v>0</v>
      </c>
      <c r="AZ25" s="22">
        <f t="shared" si="12"/>
        <v>17775</v>
      </c>
      <c r="BA25" s="200" t="str">
        <f>$A$25</f>
        <v>韓國</v>
      </c>
      <c r="BB25" s="27">
        <f t="shared" si="28"/>
        <v>9975</v>
      </c>
      <c r="BC25" s="27">
        <f t="shared" si="29"/>
        <v>7800</v>
      </c>
      <c r="BD25" s="27">
        <f t="shared" si="30"/>
        <v>0</v>
      </c>
      <c r="BF25" s="3" t="s">
        <v>105</v>
      </c>
      <c r="BG25" s="27">
        <f t="shared" si="31"/>
        <v>131750</v>
      </c>
      <c r="BH25" s="27">
        <f t="shared" si="13"/>
        <v>100100</v>
      </c>
      <c r="BI25" s="27">
        <f t="shared" si="14"/>
        <v>17775</v>
      </c>
      <c r="BJ25" s="90">
        <f t="shared" si="15"/>
        <v>447000</v>
      </c>
      <c r="BK25" s="91">
        <f t="shared" si="16"/>
        <v>231850</v>
      </c>
      <c r="BL25" s="94">
        <f t="shared" si="32"/>
        <v>149525</v>
      </c>
      <c r="BM25" s="94">
        <f t="shared" si="33"/>
        <v>249625</v>
      </c>
      <c r="BN25" s="91">
        <f t="shared" si="34"/>
        <v>464775</v>
      </c>
      <c r="BO25" s="91">
        <f t="shared" si="17"/>
        <v>696625</v>
      </c>
      <c r="BQ25" s="27">
        <f t="shared" si="18"/>
        <v>131750</v>
      </c>
      <c r="BR25" s="27">
        <f t="shared" si="19"/>
        <v>17775</v>
      </c>
      <c r="BT25" s="27">
        <f t="shared" si="20"/>
        <v>18050</v>
      </c>
      <c r="BU25" s="27">
        <f t="shared" si="21"/>
        <v>83700</v>
      </c>
      <c r="BV25" s="27">
        <f t="shared" si="22"/>
        <v>30000</v>
      </c>
      <c r="BW25" s="27">
        <f t="shared" si="23"/>
        <v>564875</v>
      </c>
    </row>
    <row r="26" spans="1:75" x14ac:dyDescent="0.25">
      <c r="A26" s="195"/>
      <c r="B26" s="96" t="s">
        <v>303</v>
      </c>
      <c r="C26" s="11" t="b">
        <v>0</v>
      </c>
      <c r="D26" s="241"/>
      <c r="E26" s="139" t="str">
        <f>IF(C26=FALSE,"不申請",IF(OR(C17=TRUE,C18=TRUE,C19=TRUE,C20=TRUE,C21=TRUE,C22=TRUE,C28=TRUE,C31=TRUE,C29=TRUE,C30=TRUE,C27=TRUE),"翻譯案","異常"))</f>
        <v>不申請</v>
      </c>
      <c r="F26" s="3" t="s">
        <v>19</v>
      </c>
      <c r="G26" s="7">
        <f>IF($W$5=FALSE,0,IF(C26=FALSE,0,20000))</f>
        <v>0</v>
      </c>
      <c r="H26" s="7">
        <f>IF($W$5=FALSE,0,IF(C26=FALSE,0,71000))</f>
        <v>0</v>
      </c>
      <c r="I26" s="7">
        <f>IF($W$5=FALSE,0,IF(C26=FALSE,0,19000*$B$7))</f>
        <v>0</v>
      </c>
      <c r="J26" s="7"/>
      <c r="K26" s="7">
        <f t="shared" si="0"/>
        <v>0</v>
      </c>
      <c r="L26" s="23">
        <f>K26*$L$8</f>
        <v>0</v>
      </c>
      <c r="M26" s="3" t="s">
        <v>16</v>
      </c>
      <c r="N26" s="7">
        <f>IF($W$6=FALSE,0,IF(C26=FALSE,0,820))</f>
        <v>0</v>
      </c>
      <c r="O26" s="10">
        <f>IF($W$6=FALSE,0,IF(C26=FALSE,0,IF(OR(C21=TRUE,C22=TRUE,C28=TRUE,C31=TRUE,C29=TRUE,C30=TRUE,C27=TRUE),$B$6/100*26,IF(OR(C17=TRUE,C18=TRUE,C19=TRUE,C20=TRUE),$B$5/100*24,"欠缺英文案及中文案"))))</f>
        <v>0</v>
      </c>
      <c r="P26" s="7">
        <f>IF($W$6=FALSE,0,IF(C26=FALSE,0,130))</f>
        <v>0</v>
      </c>
      <c r="Q26" s="7">
        <f>IF($W$6=FALSE,0,IF(C26=FALSE,0,26*$B$7))</f>
        <v>0</v>
      </c>
      <c r="R26" s="7"/>
      <c r="S26" s="7">
        <f>IF($W$6=FALSE,0,IF(C26=FALSE,0,25*$B$9))</f>
        <v>0</v>
      </c>
      <c r="T26" s="7">
        <f t="shared" si="1"/>
        <v>0</v>
      </c>
      <c r="U26" s="23">
        <f>T26*$L$5</f>
        <v>0</v>
      </c>
      <c r="V26" s="23">
        <f t="shared" si="24"/>
        <v>0</v>
      </c>
      <c r="W26" s="10">
        <f>IF($W$7=FALSE,0,IF(E26="不申請",0,IF(E26="初稿案",30000,IF(E26="翻譯案",30000,IF(E26="同語言轉換案",30000,999999)))))</f>
        <v>0</v>
      </c>
      <c r="X26" s="10"/>
      <c r="Y26" s="10"/>
      <c r="Z26" s="7"/>
      <c r="AA26" s="23">
        <f t="shared" si="2"/>
        <v>0</v>
      </c>
      <c r="AB26" s="23">
        <f t="shared" si="3"/>
        <v>0</v>
      </c>
      <c r="AC26" s="195"/>
      <c r="AD26" s="27">
        <f t="shared" si="4"/>
        <v>0</v>
      </c>
      <c r="AE26" s="27">
        <f t="shared" si="5"/>
        <v>0</v>
      </c>
      <c r="AF26" s="27">
        <f t="shared" si="6"/>
        <v>0</v>
      </c>
      <c r="AG26" s="195"/>
      <c r="AH26" s="239"/>
      <c r="AI26" s="195"/>
      <c r="AJ26" s="11" t="str">
        <f t="shared" si="7"/>
        <v>新型</v>
      </c>
      <c r="AK26" s="3" t="str">
        <f t="shared" si="25"/>
        <v>KRW</v>
      </c>
      <c r="AL26" s="7">
        <f>IF($W$5=FALSE,0,IF(C26=FALSE,0,36000))</f>
        <v>0</v>
      </c>
      <c r="AM26" s="7">
        <f>IF($W$5=FALSE,0,IF(C26=FALSE,0,12000*$B$7))</f>
        <v>0</v>
      </c>
      <c r="AN26" s="7"/>
      <c r="AO26" s="7">
        <f t="shared" si="8"/>
        <v>0</v>
      </c>
      <c r="AP26" s="22">
        <f>AO26*$L$8</f>
        <v>0</v>
      </c>
      <c r="AQ26" s="3" t="str">
        <f t="shared" si="26"/>
        <v>USD</v>
      </c>
      <c r="AR26" s="7">
        <f>IF($W$6=FALSE,0,IF(C26=FALSE,0,130+130))</f>
        <v>0</v>
      </c>
      <c r="AS26" s="7"/>
      <c r="AT26" s="7"/>
      <c r="AU26" s="7">
        <f t="shared" si="9"/>
        <v>0</v>
      </c>
      <c r="AV26" s="22">
        <f>AU26*$L$5</f>
        <v>0</v>
      </c>
      <c r="AW26" s="22">
        <f t="shared" si="10"/>
        <v>0</v>
      </c>
      <c r="AX26" s="7">
        <f t="shared" si="11"/>
        <v>0</v>
      </c>
      <c r="AY26" s="22">
        <f t="shared" si="27"/>
        <v>0</v>
      </c>
      <c r="AZ26" s="22">
        <f t="shared" si="12"/>
        <v>0</v>
      </c>
      <c r="BA26" s="195"/>
      <c r="BB26" s="27">
        <f t="shared" si="28"/>
        <v>0</v>
      </c>
      <c r="BC26" s="27">
        <f t="shared" si="29"/>
        <v>0</v>
      </c>
      <c r="BD26" s="27">
        <f t="shared" si="30"/>
        <v>0</v>
      </c>
      <c r="BF26" s="3" t="s">
        <v>106</v>
      </c>
      <c r="BG26" s="27">
        <f t="shared" si="31"/>
        <v>0</v>
      </c>
      <c r="BH26" s="27">
        <f t="shared" si="13"/>
        <v>0</v>
      </c>
      <c r="BI26" s="27">
        <f t="shared" si="14"/>
        <v>0</v>
      </c>
      <c r="BJ26" s="90">
        <f t="shared" si="15"/>
        <v>0</v>
      </c>
      <c r="BK26" s="91">
        <f t="shared" si="16"/>
        <v>0</v>
      </c>
      <c r="BL26" s="94">
        <f t="shared" si="32"/>
        <v>0</v>
      </c>
      <c r="BM26" s="94">
        <f t="shared" si="33"/>
        <v>0</v>
      </c>
      <c r="BN26" s="91">
        <f t="shared" si="34"/>
        <v>0</v>
      </c>
      <c r="BO26" s="91">
        <f t="shared" si="17"/>
        <v>0</v>
      </c>
      <c r="BQ26" s="27">
        <f t="shared" si="18"/>
        <v>0</v>
      </c>
      <c r="BR26" s="27">
        <f t="shared" si="19"/>
        <v>0</v>
      </c>
      <c r="BT26" s="27">
        <f t="shared" si="20"/>
        <v>0</v>
      </c>
      <c r="BU26" s="27">
        <f t="shared" si="21"/>
        <v>0</v>
      </c>
      <c r="BV26" s="27">
        <f t="shared" si="22"/>
        <v>0</v>
      </c>
      <c r="BW26" s="27">
        <f t="shared" si="23"/>
        <v>0</v>
      </c>
    </row>
    <row r="27" spans="1:75" x14ac:dyDescent="0.25">
      <c r="A27" s="3" t="s">
        <v>42</v>
      </c>
      <c r="B27" s="96" t="s">
        <v>302</v>
      </c>
      <c r="C27" s="11" t="b">
        <v>1</v>
      </c>
      <c r="D27" s="241"/>
      <c r="E27" s="139" t="str">
        <f>IF(C27=FALSE,"不申請",IF($D$17=4,"初稿案",IF(OR(AND(D17=3,C21=TRUE),AND(D17=5,C28=TRUE),AND(D17=6,OR(C29=TRUE,C30=TRUE)),AND(D17=7,C31=TRUE)),"同語言轉換案",IF(C21=TRUE,"同語言轉換案",IF(OR(AND(D17=1,OR(C17=TRUE,C18=TRUE)),AND(D17=2,OR(C19=TRUE,C20=TRUE))),"翻譯案","異常")))))</f>
        <v>同語言轉換案</v>
      </c>
      <c r="F27" s="3" t="s">
        <v>43</v>
      </c>
      <c r="G27" s="7">
        <f>IF($W$5=FALSE,0,IF(C27=FALSE,0,IF($B$10="少於100人",234.9,579.42)))</f>
        <v>234.9</v>
      </c>
      <c r="H27" s="7">
        <f>IF($W$5=FALSE,0,IF(C27=FALSE,0,IF($B$10="少於100人",469.8,1158.84)))</f>
        <v>469.8</v>
      </c>
      <c r="I27" s="7">
        <f>IF($W$5=FALSE,0,IF(C27=FALSE,0,IF($B$7&lt;21,0,IF($B$10="少於100人",57.42*($B$7-20),114.84*($B$7-20)))))</f>
        <v>0</v>
      </c>
      <c r="J27" s="7">
        <f>IF($W$5=FALSE,0,IF(C27=FALSE,0,125))</f>
        <v>125</v>
      </c>
      <c r="K27" s="7">
        <f>IF($U$5=FALSE,0,SUM(G27:J27))</f>
        <v>829.7</v>
      </c>
      <c r="L27" s="23">
        <f>K27*$N$9</f>
        <v>18253.400000000001</v>
      </c>
      <c r="M27" s="3" t="s">
        <v>43</v>
      </c>
      <c r="N27" s="7">
        <f>IF($W$6=FALSE,0,IF(C27=FALSE,0,1100))</f>
        <v>1100</v>
      </c>
      <c r="O27" s="7"/>
      <c r="P27" s="7">
        <v>0</v>
      </c>
      <c r="Q27" s="7"/>
      <c r="R27" s="7">
        <f>IF($W$6=FALSE,0,IF(C27=FALSE,0,340))</f>
        <v>340</v>
      </c>
      <c r="S27" s="7"/>
      <c r="T27" s="7">
        <f>IF($U$5=FALSE,0,SUM(N27:S27))</f>
        <v>1440</v>
      </c>
      <c r="U27" s="23">
        <f>T27*$N$9</f>
        <v>31680</v>
      </c>
      <c r="V27" s="23">
        <f>L27+U27</f>
        <v>49933.4</v>
      </c>
      <c r="W27" s="7">
        <f>IF($W$7=FALSE,0,IF(E27="不申請",0,IF(E27="初稿案",95000,IF(E27="翻譯案",60000,IF(E27="同語言轉換案",30000,999999)))))</f>
        <v>30000</v>
      </c>
      <c r="X27" s="7">
        <f>IF($W$7=FALSE,0,IF(E27="不申請",0,IF(E27="初稿案",IF($B$6&lt;5000,0,1000*(ROUNDDOWN($B$6/100,0)-50)),IF(E27="翻譯案",IF($B$6&lt;5000,0,1000*(ROUNDDOWN($B$6/100,0)-50)),IF(E27="同語言轉換案",0,0)))))</f>
        <v>0</v>
      </c>
      <c r="Y27" s="7">
        <f>IF($W$7=FALSE,0,IF(E27="不申請",0,IF(E27="初稿案",IF($B$9&lt;11,0,1000*($B$9-10)),IF(E27="翻譯案",IF($B$9&lt;11,0,1000*($B$9-10)),IF(E27="同語言轉換案",0,0)))))</f>
        <v>0</v>
      </c>
      <c r="Z27" s="7"/>
      <c r="AA27" s="23">
        <f>IF($U$5=FALSE,0,SUM(W27:Z27))</f>
        <v>30000</v>
      </c>
      <c r="AB27" s="23">
        <f>V27+AA27</f>
        <v>79933.399999999994</v>
      </c>
      <c r="AC27" s="14" t="str">
        <f>$A$27</f>
        <v>加拿大</v>
      </c>
      <c r="AD27" s="27">
        <f>L27</f>
        <v>18253.400000000001</v>
      </c>
      <c r="AE27" s="27">
        <f>U27</f>
        <v>31680</v>
      </c>
      <c r="AF27" s="27">
        <f>AA27</f>
        <v>30000</v>
      </c>
      <c r="AG27" s="14">
        <v>7</v>
      </c>
      <c r="AH27" s="138">
        <f>IF($D$17=AG27,AA27,0)</f>
        <v>0</v>
      </c>
      <c r="AI27" s="14" t="str">
        <f>$A$27</f>
        <v>加拿大</v>
      </c>
      <c r="AJ27" s="11" t="str">
        <f>B27</f>
        <v>發明</v>
      </c>
      <c r="AK27" s="3" t="str">
        <f>F27</f>
        <v>CAD</v>
      </c>
      <c r="AL27" s="7">
        <f>IF($W$5=FALSE,0,IF(C27=FALSE,0,IF($B$10="少於100人",176.44,434.3)))</f>
        <v>176.44</v>
      </c>
      <c r="AM27" s="7"/>
      <c r="AN27" s="7"/>
      <c r="AO27" s="7">
        <f>IF($U$6=FALSE,0,SUM(AL27:AN27))</f>
        <v>176.44</v>
      </c>
      <c r="AP27" s="22">
        <f>AO27*$N$9</f>
        <v>3881.68</v>
      </c>
      <c r="AQ27" s="3" t="str">
        <f>M27</f>
        <v>CAD</v>
      </c>
      <c r="AR27" s="7">
        <f>IF($W$6=FALSE,0,IF(C27=FALSE,0,895))</f>
        <v>895</v>
      </c>
      <c r="AS27" s="7"/>
      <c r="AT27" s="7"/>
      <c r="AU27" s="7">
        <f>IF($U$6=FALSE,0,SUM(AR27:AT27))</f>
        <v>895</v>
      </c>
      <c r="AV27" s="22">
        <f>AU27*$N$9</f>
        <v>19690</v>
      </c>
      <c r="AW27" s="22">
        <f>AP27+AV27</f>
        <v>23571.68</v>
      </c>
      <c r="AX27" s="7">
        <f>IF($W$7=FALSE,0,IF(C27=FALSE,0,0))</f>
        <v>0</v>
      </c>
      <c r="AY27" s="22">
        <f>IF($U$6=FALSE,0,SUM(AX27:AX27))</f>
        <v>0</v>
      </c>
      <c r="AZ27" s="22">
        <f>AW27+AY27</f>
        <v>23571.68</v>
      </c>
      <c r="BA27" s="14" t="str">
        <f>$A$27</f>
        <v>加拿大</v>
      </c>
      <c r="BB27" s="27">
        <f>AP27</f>
        <v>3881.68</v>
      </c>
      <c r="BC27" s="27">
        <f>AV27</f>
        <v>19690</v>
      </c>
      <c r="BD27" s="27">
        <f>AY27</f>
        <v>0</v>
      </c>
      <c r="BF27" s="3" t="str">
        <f>A27</f>
        <v>加拿大</v>
      </c>
      <c r="BG27" s="27">
        <f>AB27</f>
        <v>79933.399999999994</v>
      </c>
      <c r="BH27" s="27">
        <f t="shared" si="13"/>
        <v>84000</v>
      </c>
      <c r="BI27" s="27">
        <f>AZ27</f>
        <v>23571.68</v>
      </c>
      <c r="BJ27" s="90">
        <f t="shared" si="15"/>
        <v>237866.18</v>
      </c>
      <c r="BK27" s="91">
        <f>BG27+BH27</f>
        <v>163933.4</v>
      </c>
      <c r="BL27" s="94">
        <f>BG27+BI27</f>
        <v>103505.07999999999</v>
      </c>
      <c r="BM27" s="94">
        <f>BG27+BH27+BI27</f>
        <v>187505.08</v>
      </c>
      <c r="BN27" s="91">
        <f>BI27+BJ27</f>
        <v>261437.86</v>
      </c>
      <c r="BO27" s="91">
        <f>BK27+BN27</f>
        <v>425371.26</v>
      </c>
      <c r="BQ27" s="27">
        <f>AB27</f>
        <v>79933.399999999994</v>
      </c>
      <c r="BR27" s="27">
        <f>AZ27</f>
        <v>23571.68</v>
      </c>
      <c r="BT27" s="27">
        <f>AD27</f>
        <v>18253.400000000001</v>
      </c>
      <c r="BU27" s="27">
        <f>AE27</f>
        <v>31680</v>
      </c>
      <c r="BV27" s="27">
        <f>AF27</f>
        <v>30000</v>
      </c>
      <c r="BW27" s="27">
        <f>BH27+BI27+BJ27</f>
        <v>345437.86</v>
      </c>
    </row>
    <row r="28" spans="1:75" x14ac:dyDescent="0.25">
      <c r="A28" s="3" t="s">
        <v>8</v>
      </c>
      <c r="B28" s="96" t="s">
        <v>302</v>
      </c>
      <c r="C28" s="11" t="b">
        <v>1</v>
      </c>
      <c r="D28" s="241"/>
      <c r="E28" s="139" t="str">
        <f>IF(C28=FALSE,"不申請",IF($D$17=5,"初稿案",IF(OR(AND(D17=3,C21=TRUE),AND(D17=4,C28=TRUE),AND(D17=6,OR(C29=TRUE,C30=TRUE)),AND(D17=7,C31=TRUE)),"同語言轉換案",IF(OR(C21=TRUE,C27=TRUE),"同語言轉換案",IF(OR(AND(D17=1,OR(C17=TRUE,C18=TRUE)),AND(D17=2,OR(C19=TRUE,C20=TRUE))),"翻譯案","異常")))))</f>
        <v>同語言轉換案</v>
      </c>
      <c r="F28" s="3" t="s">
        <v>20</v>
      </c>
      <c r="G28" s="7">
        <f>IF($W$5=FALSE,0,IF(C28=FALSE,0,170))</f>
        <v>170</v>
      </c>
      <c r="H28" s="7">
        <f>IF($W$5=FALSE,0,IF(C28=FALSE,0,2050))</f>
        <v>2050</v>
      </c>
      <c r="I28" s="7">
        <f>IF($W$5=FALSE,0,IF(C28=FALSE,0,IF($B$7&lt;21,0,40*($B$7-20))))</f>
        <v>0</v>
      </c>
      <c r="J28" s="7"/>
      <c r="K28" s="7">
        <f t="shared" si="0"/>
        <v>2220</v>
      </c>
      <c r="L28" s="23">
        <f>K28*$N$6</f>
        <v>52170</v>
      </c>
      <c r="M28" s="3" t="s">
        <v>20</v>
      </c>
      <c r="N28" s="7">
        <f>IF($W$6=FALSE,0,IF(C28=FALSE,0,950))</f>
        <v>950</v>
      </c>
      <c r="O28" s="7"/>
      <c r="P28" s="7">
        <f>IF($W$6=FALSE,0,IF(C28=FALSE,0,650))</f>
        <v>650</v>
      </c>
      <c r="Q28" s="7"/>
      <c r="R28" s="7"/>
      <c r="S28" s="7"/>
      <c r="T28" s="7">
        <f t="shared" si="1"/>
        <v>1600</v>
      </c>
      <c r="U28" s="23">
        <f>T28*$N$6</f>
        <v>37600</v>
      </c>
      <c r="V28" s="23">
        <f t="shared" si="24"/>
        <v>89770</v>
      </c>
      <c r="W28" s="7">
        <f>IF($W$7=FALSE,0,IF(E28="不申請",0,IF(E28="初稿案",95000,IF(E28="翻譯案",60000,IF(E28="同語言轉換案",30000,999999)))))</f>
        <v>30000</v>
      </c>
      <c r="X28" s="7">
        <f>IF($W$7=FALSE,0,IF(E28="不申請",0,IF(E28="初稿案",IF($B$6&lt;5000,0,1000*(ROUNDDOWN($B$6/100,0)-50)),IF(E28="翻譯案",IF($B$6&lt;5000,0,1000*(ROUNDDOWN($B$6/100,0)-50)),IF(E28="同語言轉換案",0,0)))))</f>
        <v>0</v>
      </c>
      <c r="Y28" s="7">
        <f t="shared" ref="Y28:Y31" si="35">IF($W$7=FALSE,0,IF(E28="不申請",0,IF(E28="初稿案",IF($B$9&lt;11,0,1000*($B$9-10)),IF(E28="翻譯案",IF($B$9&lt;11,0,1000*($B$9-10)),IF(E28="同語言轉換案",0,0)))))</f>
        <v>0</v>
      </c>
      <c r="Z28" s="7"/>
      <c r="AA28" s="23">
        <f t="shared" si="2"/>
        <v>30000</v>
      </c>
      <c r="AB28" s="23">
        <f t="shared" si="3"/>
        <v>119770</v>
      </c>
      <c r="AC28" s="14" t="str">
        <f>$A$28</f>
        <v>新加坡</v>
      </c>
      <c r="AD28" s="27">
        <f t="shared" si="4"/>
        <v>52170</v>
      </c>
      <c r="AE28" s="27">
        <f t="shared" si="5"/>
        <v>37600</v>
      </c>
      <c r="AF28" s="27">
        <f t="shared" si="6"/>
        <v>30000</v>
      </c>
      <c r="AG28" s="14">
        <v>4</v>
      </c>
      <c r="AH28" s="138">
        <f>IF($D$17=AG28,AA28,0)</f>
        <v>0</v>
      </c>
      <c r="AI28" s="14" t="str">
        <f>$A$28</f>
        <v>新加坡</v>
      </c>
      <c r="AJ28" s="11" t="str">
        <f t="shared" si="7"/>
        <v>發明</v>
      </c>
      <c r="AK28" s="3" t="str">
        <f t="shared" si="25"/>
        <v>SGD</v>
      </c>
      <c r="AL28" s="7">
        <f>IF($W$5=FALSE,0,IF(C28=FALSE,0,210))</f>
        <v>210</v>
      </c>
      <c r="AM28" s="7">
        <f>IF($W$5=FALSE,0,IF(C28=FALSE,0,IF($B$7&gt;20,40*($B$7-20),0)))</f>
        <v>0</v>
      </c>
      <c r="AN28" s="7"/>
      <c r="AO28" s="7">
        <f t="shared" si="8"/>
        <v>210</v>
      </c>
      <c r="AP28" s="22">
        <f>AO28*$N$6</f>
        <v>4935</v>
      </c>
      <c r="AQ28" s="3" t="str">
        <f t="shared" si="26"/>
        <v>SGD</v>
      </c>
      <c r="AR28" s="7">
        <f>IF($W$6=FALSE,0,IF(C28=FALSE,0,400+250+600+300))</f>
        <v>1550</v>
      </c>
      <c r="AS28" s="7"/>
      <c r="AT28" s="7"/>
      <c r="AU28" s="7">
        <f t="shared" si="9"/>
        <v>1550</v>
      </c>
      <c r="AV28" s="22">
        <f>AU28*$N$6</f>
        <v>36425</v>
      </c>
      <c r="AW28" s="22">
        <f t="shared" si="10"/>
        <v>41360</v>
      </c>
      <c r="AX28" s="7">
        <f t="shared" si="11"/>
        <v>0</v>
      </c>
      <c r="AY28" s="22">
        <f t="shared" si="27"/>
        <v>0</v>
      </c>
      <c r="AZ28" s="22">
        <f t="shared" si="12"/>
        <v>41360</v>
      </c>
      <c r="BA28" s="14" t="str">
        <f>$A$28</f>
        <v>新加坡</v>
      </c>
      <c r="BB28" s="27">
        <f t="shared" si="28"/>
        <v>4935</v>
      </c>
      <c r="BC28" s="27">
        <f t="shared" si="29"/>
        <v>36425</v>
      </c>
      <c r="BD28" s="27">
        <f t="shared" si="30"/>
        <v>0</v>
      </c>
      <c r="BF28" s="3" t="str">
        <f>A28</f>
        <v>新加坡</v>
      </c>
      <c r="BG28" s="27">
        <f t="shared" si="31"/>
        <v>119770</v>
      </c>
      <c r="BH28" s="27">
        <f t="shared" si="13"/>
        <v>84650</v>
      </c>
      <c r="BI28" s="27">
        <f t="shared" si="14"/>
        <v>41360</v>
      </c>
      <c r="BJ28" s="90">
        <f t="shared" si="15"/>
        <v>438727.5</v>
      </c>
      <c r="BK28" s="91">
        <f t="shared" si="16"/>
        <v>204420</v>
      </c>
      <c r="BL28" s="94">
        <f t="shared" si="32"/>
        <v>161130</v>
      </c>
      <c r="BM28" s="94">
        <f t="shared" si="33"/>
        <v>245780</v>
      </c>
      <c r="BN28" s="91">
        <f t="shared" si="34"/>
        <v>480087.5</v>
      </c>
      <c r="BO28" s="91">
        <f t="shared" si="17"/>
        <v>684507.5</v>
      </c>
      <c r="BQ28" s="27">
        <f t="shared" si="18"/>
        <v>119770</v>
      </c>
      <c r="BR28" s="27">
        <f t="shared" si="19"/>
        <v>41360</v>
      </c>
      <c r="BT28" s="27">
        <f t="shared" si="20"/>
        <v>52170</v>
      </c>
      <c r="BU28" s="27">
        <f t="shared" si="21"/>
        <v>37600</v>
      </c>
      <c r="BV28" s="27">
        <f t="shared" si="22"/>
        <v>30000</v>
      </c>
      <c r="BW28" s="27">
        <f t="shared" si="23"/>
        <v>564737.5</v>
      </c>
    </row>
    <row r="29" spans="1:75" x14ac:dyDescent="0.25">
      <c r="A29" s="194" t="s">
        <v>11</v>
      </c>
      <c r="B29" s="96" t="s">
        <v>302</v>
      </c>
      <c r="C29" s="11" t="b">
        <v>1</v>
      </c>
      <c r="D29" s="241"/>
      <c r="E29" s="139" t="str">
        <f>IF(C29=FALSE,"不申請",IF($D$17=6,"初稿案",IF(OR(AND(D17=3,C21=TRUE),AND(D17=4,C27=TRUE),AND(D17=5,C28=TRUE),AND(D17=7,C31=TRUE)),"同語言轉換案",IF(OR(C21=TRUE,C27=TRUE,C28=TRUE),"同語言轉換案",IF(OR(AND(D17=1,OR(C17=TRUE,C18=TRUE)),AND(D17=2,OR(C19=TRUE,C20=TRUE))),"翻譯案","異常")))))</f>
        <v>同語言轉換案</v>
      </c>
      <c r="F29" s="3" t="s">
        <v>23</v>
      </c>
      <c r="G29" s="7">
        <f>IF($W$5=FALSE,0,IF(C29=FALSE,0,290+100))</f>
        <v>390</v>
      </c>
      <c r="H29" s="7">
        <f>IF($W$5=FALSE,0,IF(C29=FALSE,0,1100))</f>
        <v>1100</v>
      </c>
      <c r="I29" s="10">
        <f>IF($W$5=FALSE,0,IF(C29=FALSE,0,IF(B29="發明",IF($B$7&gt;40,50*($B$7-40)+40*10+30*10+20*10,IF($B$7&gt;30,40*($B$7-30)+30*10+20*10,IF($B$7&gt;20,30*($B$7-20)+20*10,IF($B$7&gt;10,20*($B$7-10),0)))))))</f>
        <v>0</v>
      </c>
      <c r="J29" s="7">
        <f>IF($W$5=FALSE,0,IF(C29=FALSE,0,100))</f>
        <v>100</v>
      </c>
      <c r="K29" s="7">
        <f>IF($U$5=FALSE,0,SUM(G29:J29))</f>
        <v>1590</v>
      </c>
      <c r="L29" s="23">
        <f>K29*$N$8</f>
        <v>11766</v>
      </c>
      <c r="M29" s="3" t="s">
        <v>23</v>
      </c>
      <c r="N29" s="7">
        <f>IF($W$6=FALSE,0,IF(C29=FALSE,0,742+25+106))</f>
        <v>873</v>
      </c>
      <c r="O29" s="7"/>
      <c r="P29" s="7">
        <f>IF($W$6=FALSE,0,IF(C29=FALSE,0,1060))</f>
        <v>1060</v>
      </c>
      <c r="Q29" s="7">
        <f>IF($W$5=FALSE,0,IF(C29=FALSE,0,IF($B$7&lt;11,0,26.5*($B$7-10))))</f>
        <v>0</v>
      </c>
      <c r="R29" s="7"/>
      <c r="S29" s="7"/>
      <c r="T29" s="7">
        <f>IF($U$5=FALSE,0,SUM(N29:S29))</f>
        <v>1933</v>
      </c>
      <c r="U29" s="23">
        <f>T29*$N$8</f>
        <v>14304.2</v>
      </c>
      <c r="V29" s="23">
        <f>L29+U29</f>
        <v>26070.2</v>
      </c>
      <c r="W29" s="7">
        <f>IF($W$7=FALSE,0,IF(E29="不申請",0,IF(E29="初稿案",95000,IF(E29="翻譯案",60000,IF(E29="同語言轉換案",30000,999999)))))</f>
        <v>30000</v>
      </c>
      <c r="X29" s="7">
        <f>IF($W$7=FALSE,0,IF(E29="不申請",0,IF(E29="初稿案",IF($B$6&lt;5000,0,1000*(ROUNDDOWN($B$6/100,0)-50)),IF(E29="翻譯案",IF($B$6&lt;5000,0,1000*(ROUNDDOWN($B$6/100,0)-50)),IF(E29="同語言轉換案",0,0)))))</f>
        <v>0</v>
      </c>
      <c r="Y29" s="7">
        <f t="shared" ref="Y29:Y30" si="36">IF($W$7=FALSE,0,IF(E29="不申請",0,IF(E29="初稿案",IF($B$9&lt;11,0,1000*($B$9-10)),IF(E29="翻譯案",IF($B$9&lt;11,0,1000*($B$9-10)),IF(E29="同語言轉換案",0,0)))))</f>
        <v>0</v>
      </c>
      <c r="Z29" s="7"/>
      <c r="AA29" s="23">
        <f>IF($U$5=FALSE,0,SUM(W29:Z29))</f>
        <v>30000</v>
      </c>
      <c r="AB29" s="23">
        <f>V29+AA29</f>
        <v>56070.2</v>
      </c>
      <c r="AC29" s="200" t="str">
        <f>$A$29</f>
        <v>馬來西亞</v>
      </c>
      <c r="AD29" s="27">
        <f>L29</f>
        <v>11766</v>
      </c>
      <c r="AE29" s="27">
        <f>U29</f>
        <v>14304.2</v>
      </c>
      <c r="AF29" s="27">
        <f>AA29</f>
        <v>30000</v>
      </c>
      <c r="AG29" s="200">
        <v>6</v>
      </c>
      <c r="AH29" s="238">
        <f>IF($D$17=AG29,MAX(AA29,AA30),0)</f>
        <v>0</v>
      </c>
      <c r="AI29" s="200" t="str">
        <f>$A$29</f>
        <v>馬來西亞</v>
      </c>
      <c r="AJ29" s="11" t="str">
        <f>B29</f>
        <v>發明</v>
      </c>
      <c r="AK29" s="3" t="str">
        <f>F29</f>
        <v>MYR</v>
      </c>
      <c r="AL29" s="7">
        <f>IF($W$5=FALSE,0,IF(C29=FALSE,0,0))</f>
        <v>0</v>
      </c>
      <c r="AM29" s="7"/>
      <c r="AN29" s="7"/>
      <c r="AO29" s="7">
        <f>IF($U$6=FALSE,0,SUM(AL29:AN29))</f>
        <v>0</v>
      </c>
      <c r="AP29" s="22">
        <f>AO29*$N$8</f>
        <v>0</v>
      </c>
      <c r="AQ29" s="3" t="str">
        <f>M29</f>
        <v>MYR</v>
      </c>
      <c r="AR29" s="7">
        <f>IF($W$6=FALSE,0,IF(C29=FALSE,0,530))</f>
        <v>530</v>
      </c>
      <c r="AS29" s="7"/>
      <c r="AT29" s="7"/>
      <c r="AU29" s="7">
        <f>IF($U$6=FALSE,0,SUM(AR29:AT29))</f>
        <v>530</v>
      </c>
      <c r="AV29" s="22">
        <f>AU29*$N$8</f>
        <v>3922</v>
      </c>
      <c r="AW29" s="22">
        <f>AP29+AV29</f>
        <v>3922</v>
      </c>
      <c r="AX29" s="7">
        <f>IF($W$7=FALSE,0,IF(C29=FALSE,0,0))</f>
        <v>0</v>
      </c>
      <c r="AY29" s="22">
        <f>IF($U$6=FALSE,0,SUM(AX29:AX29))</f>
        <v>0</v>
      </c>
      <c r="AZ29" s="22">
        <f>AW29+AY29</f>
        <v>3922</v>
      </c>
      <c r="BA29" s="200" t="str">
        <f>$A$29</f>
        <v>馬來西亞</v>
      </c>
      <c r="BB29" s="27">
        <f>AP29</f>
        <v>0</v>
      </c>
      <c r="BC29" s="27">
        <f>AV29</f>
        <v>3922</v>
      </c>
      <c r="BD29" s="27">
        <f>AY29</f>
        <v>0</v>
      </c>
      <c r="BF29" s="3" t="s">
        <v>111</v>
      </c>
      <c r="BG29" s="27">
        <f>AB29</f>
        <v>56070.2</v>
      </c>
      <c r="BH29" s="27">
        <f t="shared" si="13"/>
        <v>67468.800000000003</v>
      </c>
      <c r="BI29" s="27">
        <f>AZ29</f>
        <v>3922</v>
      </c>
      <c r="BJ29" s="90">
        <f t="shared" si="15"/>
        <v>313929</v>
      </c>
      <c r="BK29" s="91">
        <f>BG29+BH29</f>
        <v>123539</v>
      </c>
      <c r="BL29" s="94">
        <f>BG29+BI29</f>
        <v>59992.2</v>
      </c>
      <c r="BM29" s="94">
        <f>BG29+BH29+BI29</f>
        <v>127461</v>
      </c>
      <c r="BN29" s="91">
        <f>BI29+BJ29</f>
        <v>317851</v>
      </c>
      <c r="BO29" s="91">
        <f>BK29+BN29</f>
        <v>441390</v>
      </c>
      <c r="BQ29" s="27">
        <f>AB29</f>
        <v>56070.2</v>
      </c>
      <c r="BR29" s="27">
        <f>AZ29</f>
        <v>3922</v>
      </c>
      <c r="BT29" s="27">
        <f t="shared" ref="BT29:BV30" si="37">AD29</f>
        <v>11766</v>
      </c>
      <c r="BU29" s="27">
        <f t="shared" si="37"/>
        <v>14304.2</v>
      </c>
      <c r="BV29" s="27">
        <f t="shared" si="37"/>
        <v>30000</v>
      </c>
      <c r="BW29" s="27">
        <f>BH29+BI29+BJ29</f>
        <v>385319.8</v>
      </c>
    </row>
    <row r="30" spans="1:75" x14ac:dyDescent="0.25">
      <c r="A30" s="195"/>
      <c r="B30" s="96" t="s">
        <v>303</v>
      </c>
      <c r="C30" s="11" t="b">
        <v>0</v>
      </c>
      <c r="D30" s="241"/>
      <c r="E30" s="139" t="str">
        <f>IF(C30=FALSE,"不申請",IF(C29=TRUE,"同語言轉換案",IF($D$17=6,"初稿案",IF(OR(AND(D17=3,C21=TRUE),AND(D17=4,C27=TRUE),AND(D17=5,C28=TRUE),AND(D17=7,C31=TRUE)),"同語言轉換案",IF(OR(C21=TRUE,C27=TRUE,C28=TRUE),"同語言轉換案",IF(OR(AND(D17=1,OR(C17=TRUE,C18=TRUE)),AND(D17=2,OR(C19=TRUE,C20=TRUE))),"翻譯案","異常"))))))</f>
        <v>不申請</v>
      </c>
      <c r="F30" s="3" t="s">
        <v>23</v>
      </c>
      <c r="G30" s="7">
        <f>IF($W$5=FALSE,0,IF(C30=FALSE,0,140+100))</f>
        <v>0</v>
      </c>
      <c r="H30" s="7">
        <f>IF($W$5=FALSE,0,IF(C30=FALSE,0,1100))</f>
        <v>0</v>
      </c>
      <c r="I30" s="7">
        <f>IF($W$5=FALSE,0,IF(C30=FALSE,0,0))</f>
        <v>0</v>
      </c>
      <c r="J30" s="7">
        <f>IF($W$5=FALSE,0,IF(C30=FALSE,0,100))</f>
        <v>0</v>
      </c>
      <c r="K30" s="7">
        <f>IF($U$5=FALSE,0,SUM(G30:J30))</f>
        <v>0</v>
      </c>
      <c r="L30" s="23">
        <f>K30*$N$8</f>
        <v>0</v>
      </c>
      <c r="M30" s="3" t="s">
        <v>23</v>
      </c>
      <c r="N30" s="7">
        <f>IF($W$6=FALSE,0,IF(C30=FALSE,0,742+25+106))</f>
        <v>0</v>
      </c>
      <c r="O30" s="7"/>
      <c r="P30" s="7">
        <f>IF($W$6=FALSE,0,IF(C30=FALSE,0,1060))</f>
        <v>0</v>
      </c>
      <c r="Q30" s="7"/>
      <c r="R30" s="7"/>
      <c r="S30" s="7"/>
      <c r="T30" s="7">
        <f>IF($U$5=FALSE,0,SUM(N30:S30))</f>
        <v>0</v>
      </c>
      <c r="U30" s="23">
        <f>T30*$N$8</f>
        <v>0</v>
      </c>
      <c r="V30" s="23">
        <f>L30+U30</f>
        <v>0</v>
      </c>
      <c r="W30" s="7">
        <f>IF($W$7=FALSE,0,IF(E30="不申請",0,IF(E30="初稿案",95000,IF(E30="翻譯案",60000,IF(E30="同語言轉換案",30000,999999)))))</f>
        <v>0</v>
      </c>
      <c r="X30" s="7">
        <f>IF($W$7=FALSE,0,IF(E30="不申請",0,IF(E30="初稿案",IF($B$6&lt;5000,0,1000*(ROUNDDOWN($B$6/100,0)-50)),IF(E30="翻譯案",IF($B$6&lt;5000,0,1000*(ROUNDDOWN($B$6/100,0)-50)),IF(E30="同語言轉換案",0,0)))))</f>
        <v>0</v>
      </c>
      <c r="Y30" s="7">
        <f t="shared" si="36"/>
        <v>0</v>
      </c>
      <c r="Z30" s="7"/>
      <c r="AA30" s="23">
        <f>IF($U$5=FALSE,0,SUM(W30:Z30))</f>
        <v>0</v>
      </c>
      <c r="AB30" s="23">
        <f>V30+AA30</f>
        <v>0</v>
      </c>
      <c r="AC30" s="195"/>
      <c r="AD30" s="27">
        <f>L30</f>
        <v>0</v>
      </c>
      <c r="AE30" s="27">
        <f>U30</f>
        <v>0</v>
      </c>
      <c r="AF30" s="27">
        <f>AA30</f>
        <v>0</v>
      </c>
      <c r="AG30" s="195"/>
      <c r="AH30" s="239"/>
      <c r="AI30" s="195"/>
      <c r="AJ30" s="11" t="str">
        <f>B30</f>
        <v>新型</v>
      </c>
      <c r="AK30" s="3" t="str">
        <f>F30</f>
        <v>MYR</v>
      </c>
      <c r="AL30" s="7">
        <f>IF($W$5=FALSE,0,IF(C30=FALSE,0,0))</f>
        <v>0</v>
      </c>
      <c r="AM30" s="7"/>
      <c r="AN30" s="7"/>
      <c r="AO30" s="7">
        <f>IF($U$6=FALSE,0,SUM(AL30:AN30))</f>
        <v>0</v>
      </c>
      <c r="AP30" s="22">
        <f>AO30*$N$8</f>
        <v>0</v>
      </c>
      <c r="AQ30" s="3" t="str">
        <f>M30</f>
        <v>MYR</v>
      </c>
      <c r="AR30" s="7">
        <f>IF($W$6=FALSE,0,IF(C30=FALSE,0,530))</f>
        <v>0</v>
      </c>
      <c r="AS30" s="7"/>
      <c r="AT30" s="7"/>
      <c r="AU30" s="7">
        <f>IF($U$6=FALSE,0,SUM(AR30:AT30))</f>
        <v>0</v>
      </c>
      <c r="AV30" s="22">
        <f>AU30*$N$8</f>
        <v>0</v>
      </c>
      <c r="AW30" s="22">
        <f>AP30+AV30</f>
        <v>0</v>
      </c>
      <c r="AX30" s="7">
        <f>IF($W$7=FALSE,0,IF(C30=FALSE,0,0))</f>
        <v>0</v>
      </c>
      <c r="AY30" s="22">
        <f>IF($U$6=FALSE,0,SUM(AX30:AX30))</f>
        <v>0</v>
      </c>
      <c r="AZ30" s="22">
        <f>AW30+AY30</f>
        <v>0</v>
      </c>
      <c r="BA30" s="195"/>
      <c r="BB30" s="27">
        <f>AP30</f>
        <v>0</v>
      </c>
      <c r="BC30" s="27">
        <f>AV30</f>
        <v>0</v>
      </c>
      <c r="BD30" s="27">
        <f>AY30</f>
        <v>0</v>
      </c>
      <c r="BF30" s="3" t="s">
        <v>112</v>
      </c>
      <c r="BG30" s="27">
        <f>AB30</f>
        <v>0</v>
      </c>
      <c r="BH30" s="27">
        <f t="shared" si="13"/>
        <v>0</v>
      </c>
      <c r="BI30" s="27">
        <f>AZ30</f>
        <v>0</v>
      </c>
      <c r="BJ30" s="90">
        <f t="shared" si="15"/>
        <v>0</v>
      </c>
      <c r="BK30" s="91">
        <f>BG30+BH30</f>
        <v>0</v>
      </c>
      <c r="BL30" s="94">
        <f>BG30+BI30</f>
        <v>0</v>
      </c>
      <c r="BM30" s="94">
        <f>BG30+BH30+BI30</f>
        <v>0</v>
      </c>
      <c r="BN30" s="91">
        <f>BI30+BJ30</f>
        <v>0</v>
      </c>
      <c r="BO30" s="91">
        <f>BK30+BN30</f>
        <v>0</v>
      </c>
      <c r="BQ30" s="27">
        <f>AB30</f>
        <v>0</v>
      </c>
      <c r="BR30" s="27">
        <f>AZ30</f>
        <v>0</v>
      </c>
      <c r="BT30" s="27">
        <f t="shared" si="37"/>
        <v>0</v>
      </c>
      <c r="BU30" s="27">
        <f t="shared" si="37"/>
        <v>0</v>
      </c>
      <c r="BV30" s="27">
        <f t="shared" si="37"/>
        <v>0</v>
      </c>
      <c r="BW30" s="27">
        <f>BH30+BI30+BJ30</f>
        <v>0</v>
      </c>
    </row>
    <row r="31" spans="1:75" x14ac:dyDescent="0.25">
      <c r="A31" s="53" t="s">
        <v>146</v>
      </c>
      <c r="B31" s="96" t="s">
        <v>302</v>
      </c>
      <c r="C31" s="11" t="b">
        <v>0</v>
      </c>
      <c r="D31" s="241"/>
      <c r="E31" s="139" t="str">
        <f>IF(C31=FALSE,"不申請",IF($D$17=7,"初稿案",IF(OR(AND(D17=3,C21=TRUE),AND(D17=4,C27=TRUE),AND(D17=5,C28=TRUE),AND(D17=6,OR(C29=TRUE,C30=TRUE))),"同語言轉換案",IF(OR(C21=TRUE,C27=TRUE,C28=TRUE,C29=TRUE,C30=TRUE),"同語言轉換案",IF(OR(AND(D17=1,OR(C17=TRUE,C18=TRUE)),AND(D17=2,OR(C19=TRUE,C20=TRUE))),"翻譯案","異常")))))</f>
        <v>不申請</v>
      </c>
      <c r="F31" s="3" t="s">
        <v>16</v>
      </c>
      <c r="G31" s="7">
        <f>IF($W$5=FALSE,0,IF(C31=FALSE,0,97+22))</f>
        <v>0</v>
      </c>
      <c r="H31" s="7">
        <f>IF($W$5=FALSE,0,IF(C31=FALSE,0,95))</f>
        <v>0</v>
      </c>
      <c r="I31" s="7">
        <f>IF($W$5=FALSE,0,IF(C31=FALSE,0,IF($B$7&lt;6,0,9*($B$7-5))))</f>
        <v>0</v>
      </c>
      <c r="J31" s="7"/>
      <c r="K31" s="7">
        <f t="shared" si="0"/>
        <v>0</v>
      </c>
      <c r="L31" s="23">
        <f>K31*$L$5</f>
        <v>0</v>
      </c>
      <c r="M31" s="3" t="s">
        <v>16</v>
      </c>
      <c r="N31" s="7">
        <f>IF($W$6=FALSE,0,IF(C31=FALSE,0,300+100))</f>
        <v>0</v>
      </c>
      <c r="O31" s="7"/>
      <c r="P31" s="7">
        <f>IF($W$6=FALSE,0,IF(C31=FALSE,0,100))</f>
        <v>0</v>
      </c>
      <c r="Q31" s="7">
        <f>IF($W$6=FALSE,0,IF(C31=FALSE,0,IF($B$7&lt;6,0,10*($B$7-5))))</f>
        <v>0</v>
      </c>
      <c r="R31" s="7"/>
      <c r="S31" s="7">
        <f>IF($W$6=FALSE,0,IF(C31=FALSE,0,10*$B$9))</f>
        <v>0</v>
      </c>
      <c r="T31" s="7">
        <f t="shared" si="1"/>
        <v>0</v>
      </c>
      <c r="U31" s="23">
        <f>T31*$L$5</f>
        <v>0</v>
      </c>
      <c r="V31" s="23">
        <f>L31+U31</f>
        <v>0</v>
      </c>
      <c r="W31" s="7">
        <f>IF($W$7=FALSE,0,IF(E31="不申請",0,IF(E31="初稿案",95000,IF(E31="翻譯案",60000,IF(E31="同語言轉換案",30000,999999)))))</f>
        <v>0</v>
      </c>
      <c r="X31" s="7">
        <f>IF($W$7=FALSE,0,IF(E31="不申請",0,IF(E31="初稿案",IF($B$6&lt;5000,0,1000*(ROUNDDOWN($B$6/100,0)-50)),IF(E31="翻譯案",IF($B$6&lt;5000,0,1000*(ROUNDDOWN($B$6/100,0)-50)),IF(E31="同語言轉換案",0,0)))))</f>
        <v>0</v>
      </c>
      <c r="Y31" s="7">
        <f t="shared" si="35"/>
        <v>0</v>
      </c>
      <c r="Z31" s="7"/>
      <c r="AA31" s="23">
        <f t="shared" si="2"/>
        <v>0</v>
      </c>
      <c r="AB31" s="23">
        <f>V31+AA31</f>
        <v>0</v>
      </c>
      <c r="AC31" s="14" t="str">
        <f>$A$31</f>
        <v>菲律賓</v>
      </c>
      <c r="AD31" s="27">
        <f>L31</f>
        <v>0</v>
      </c>
      <c r="AE31" s="27">
        <f>U31</f>
        <v>0</v>
      </c>
      <c r="AF31" s="27">
        <f>AA31</f>
        <v>0</v>
      </c>
      <c r="AG31" s="14">
        <v>5</v>
      </c>
      <c r="AH31" s="138">
        <f>IF($D$17=AG31,AA31,0)</f>
        <v>0</v>
      </c>
      <c r="AI31" s="14" t="str">
        <f>$A$31</f>
        <v>菲律賓</v>
      </c>
      <c r="AJ31" s="11" t="str">
        <f t="shared" si="7"/>
        <v>發明</v>
      </c>
      <c r="AK31" s="3" t="str">
        <f>F31</f>
        <v>USD</v>
      </c>
      <c r="AL31" s="7">
        <f>IF($W$5=FALSE,0,IF(C31=FALSE,0,22+27))</f>
        <v>0</v>
      </c>
      <c r="AM31" s="7"/>
      <c r="AN31" s="7"/>
      <c r="AO31" s="7">
        <f t="shared" si="8"/>
        <v>0</v>
      </c>
      <c r="AP31" s="22">
        <f>AO31*$L$5</f>
        <v>0</v>
      </c>
      <c r="AQ31" s="3" t="str">
        <f>M31</f>
        <v>USD</v>
      </c>
      <c r="AR31" s="7">
        <f>IF($W$6=FALSE,0,IF(C31=FALSE,0,100+150))</f>
        <v>0</v>
      </c>
      <c r="AS31" s="7"/>
      <c r="AT31" s="7"/>
      <c r="AU31" s="7">
        <f t="shared" si="9"/>
        <v>0</v>
      </c>
      <c r="AV31" s="22">
        <f>AU31*$L$5</f>
        <v>0</v>
      </c>
      <c r="AW31" s="22">
        <f>AP31+AV31</f>
        <v>0</v>
      </c>
      <c r="AX31" s="7">
        <f t="shared" si="11"/>
        <v>0</v>
      </c>
      <c r="AY31" s="22">
        <f t="shared" si="27"/>
        <v>0</v>
      </c>
      <c r="AZ31" s="22">
        <f>AW31+AY31</f>
        <v>0</v>
      </c>
      <c r="BA31" s="14" t="str">
        <f>$A$31</f>
        <v>菲律賓</v>
      </c>
      <c r="BB31" s="27">
        <f>AP31</f>
        <v>0</v>
      </c>
      <c r="BC31" s="27">
        <f>AV31</f>
        <v>0</v>
      </c>
      <c r="BD31" s="27">
        <f>AY31</f>
        <v>0</v>
      </c>
      <c r="BF31" s="3" t="str">
        <f>A31</f>
        <v>菲律賓</v>
      </c>
      <c r="BG31" s="27">
        <f>AB31</f>
        <v>0</v>
      </c>
      <c r="BH31" s="27">
        <f t="shared" si="13"/>
        <v>0</v>
      </c>
      <c r="BI31" s="27">
        <f t="shared" si="14"/>
        <v>0</v>
      </c>
      <c r="BJ31" s="90">
        <f t="shared" si="15"/>
        <v>0</v>
      </c>
      <c r="BK31" s="91">
        <f t="shared" si="16"/>
        <v>0</v>
      </c>
      <c r="BL31" s="94">
        <f t="shared" si="32"/>
        <v>0</v>
      </c>
      <c r="BM31" s="94">
        <f t="shared" si="33"/>
        <v>0</v>
      </c>
      <c r="BN31" s="91">
        <f t="shared" si="34"/>
        <v>0</v>
      </c>
      <c r="BO31" s="91">
        <f t="shared" si="17"/>
        <v>0</v>
      </c>
      <c r="BQ31" s="27">
        <f t="shared" si="18"/>
        <v>0</v>
      </c>
      <c r="BR31" s="27">
        <f t="shared" si="19"/>
        <v>0</v>
      </c>
      <c r="BT31" s="27">
        <f t="shared" si="20"/>
        <v>0</v>
      </c>
      <c r="BU31" s="27">
        <f t="shared" si="21"/>
        <v>0</v>
      </c>
      <c r="BV31" s="27">
        <f t="shared" si="22"/>
        <v>0</v>
      </c>
      <c r="BW31" s="27">
        <f t="shared" si="23"/>
        <v>0</v>
      </c>
    </row>
    <row r="32" spans="1:75" x14ac:dyDescent="0.25">
      <c r="A32" s="194" t="s">
        <v>131</v>
      </c>
      <c r="B32" s="96" t="s">
        <v>302</v>
      </c>
      <c r="C32" s="11" t="b">
        <v>0</v>
      </c>
      <c r="D32" s="241"/>
      <c r="E32" s="139" t="str">
        <f>IF(C32=FALSE,"不申請",IF(OR(C21=TRUE,C22=TRUE,C28=TRUE,C31=TRUE,C29=TRUE,C30=TRUE,C27=TRUE),"翻譯案","異常"))</f>
        <v>不申請</v>
      </c>
      <c r="F32" s="3" t="s">
        <v>16</v>
      </c>
      <c r="G32" s="7">
        <f>IF($W$5=FALSE,0,IF(C32=FALSE,0,125))</f>
        <v>0</v>
      </c>
      <c r="H32" s="7">
        <f>IF($W$5=FALSE,0,IF(C32=FALSE,0,300))</f>
        <v>0</v>
      </c>
      <c r="I32" s="7">
        <f>IF($W$5=FALSE,0,IF(C32=FALSE,0,IF($B$7&lt;11,0,7.5*($B$7-10))))</f>
        <v>0</v>
      </c>
      <c r="J32" s="7"/>
      <c r="K32" s="7">
        <f>IF($U$5=FALSE,0,SUM(G32:J32))</f>
        <v>0</v>
      </c>
      <c r="L32" s="23">
        <f>K32*$L$5</f>
        <v>0</v>
      </c>
      <c r="M32" s="3" t="s">
        <v>16</v>
      </c>
      <c r="N32" s="7">
        <f>IF($W$6=FALSE,0,IF(C32=FALSE,0,800))</f>
        <v>0</v>
      </c>
      <c r="O32" s="10">
        <f>IF($W$6=FALSE,0,IF(C32=FALSE,0,IF(OR(C21=TRUE,C22=TRUE,C28=TRUE,C31=TRUE,C29=TRUE,C30=TRUE,C27=TRUE),$B$6/100*30,"欠缺英文案")))</f>
        <v>0</v>
      </c>
      <c r="P32" s="7">
        <f>IF($W$6=FALSE,0,IF(C32=FALSE,0,500))</f>
        <v>0</v>
      </c>
      <c r="Q32" s="7"/>
      <c r="R32" s="7"/>
      <c r="S32" s="7">
        <f>IF($W$6=FALSE,0,IF(C32=FALSE,0,30*$B$9))</f>
        <v>0</v>
      </c>
      <c r="T32" s="7">
        <f>IF($U$5=FALSE,0,SUM(N32:S32))</f>
        <v>0</v>
      </c>
      <c r="U32" s="23">
        <f>T32*$L$5</f>
        <v>0</v>
      </c>
      <c r="V32" s="23">
        <f>L32+U32</f>
        <v>0</v>
      </c>
      <c r="W32" s="10">
        <f t="shared" ref="W32:W33" si="38">IF($W$7=FALSE,0,IF(E32="不申請",0,IF(E32="初稿案",30000,IF(E32="翻譯案",30000,IF(E32="同語言轉換案",30000,999999)))))</f>
        <v>0</v>
      </c>
      <c r="X32" s="10"/>
      <c r="Y32" s="10"/>
      <c r="Z32" s="7"/>
      <c r="AA32" s="23">
        <f>IF($U$5=FALSE,0,SUM(W32:Z32))</f>
        <v>0</v>
      </c>
      <c r="AB32" s="23">
        <f>V32+AA32</f>
        <v>0</v>
      </c>
      <c r="AC32" s="200" t="str">
        <f>$A$32</f>
        <v>印尼</v>
      </c>
      <c r="AD32" s="27">
        <f>L32</f>
        <v>0</v>
      </c>
      <c r="AE32" s="27">
        <f>U32</f>
        <v>0</v>
      </c>
      <c r="AF32" s="27">
        <f>AA32</f>
        <v>0</v>
      </c>
      <c r="AG32" s="200"/>
      <c r="AH32" s="238"/>
      <c r="AI32" s="200" t="str">
        <f>$A$32</f>
        <v>印尼</v>
      </c>
      <c r="AJ32" s="11" t="str">
        <f>B32</f>
        <v>發明</v>
      </c>
      <c r="AK32" s="3" t="s">
        <v>16</v>
      </c>
      <c r="AL32" s="7">
        <f>IF($W$5=FALSE,0,IF(C32=FALSE,0,100))</f>
        <v>0</v>
      </c>
      <c r="AM32" s="7">
        <f>IF($W$5=FALSE,0,IF(C32=FALSE,0,7.5*$B$7))</f>
        <v>0</v>
      </c>
      <c r="AN32" s="7"/>
      <c r="AO32" s="7">
        <f>IF($U$6=FALSE,0,SUM(AL32:AN32))</f>
        <v>0</v>
      </c>
      <c r="AP32" s="22">
        <f>AO32*$L$5</f>
        <v>0</v>
      </c>
      <c r="AQ32" s="3" t="s">
        <v>16</v>
      </c>
      <c r="AR32" s="7">
        <f>IF($W$6=FALSE,0,IF(C32=FALSE,0,300+170))</f>
        <v>0</v>
      </c>
      <c r="AS32" s="7"/>
      <c r="AT32" s="7"/>
      <c r="AU32" s="7">
        <f>IF($U$6=FALSE,0,SUM(AR32:AT32))</f>
        <v>0</v>
      </c>
      <c r="AV32" s="22">
        <f>AU32*$L$5</f>
        <v>0</v>
      </c>
      <c r="AW32" s="22">
        <f>AP32+AV32</f>
        <v>0</v>
      </c>
      <c r="AX32" s="7">
        <f>IF($W$7=FALSE,0,IF(C32=FALSE,0,0))</f>
        <v>0</v>
      </c>
      <c r="AY32" s="22">
        <f>IF($U$6=FALSE,0,SUM(AX32:AX32))</f>
        <v>0</v>
      </c>
      <c r="AZ32" s="22">
        <f>AW32+AY32</f>
        <v>0</v>
      </c>
      <c r="BA32" s="200" t="str">
        <f>$A$32</f>
        <v>印尼</v>
      </c>
      <c r="BB32" s="27">
        <f>AP32</f>
        <v>0</v>
      </c>
      <c r="BC32" s="27">
        <f>AV32</f>
        <v>0</v>
      </c>
      <c r="BD32" s="27">
        <f>AY32</f>
        <v>0</v>
      </c>
      <c r="BF32" s="3" t="s">
        <v>132</v>
      </c>
      <c r="BG32" s="27">
        <f>AB32</f>
        <v>0</v>
      </c>
      <c r="BH32" s="27">
        <f t="shared" si="13"/>
        <v>0</v>
      </c>
      <c r="BI32" s="27">
        <f>AZ32</f>
        <v>0</v>
      </c>
      <c r="BJ32" s="90">
        <f t="shared" si="15"/>
        <v>0</v>
      </c>
      <c r="BK32" s="91">
        <f>BG32+BH32</f>
        <v>0</v>
      </c>
      <c r="BL32" s="94">
        <f>BG32+BI32</f>
        <v>0</v>
      </c>
      <c r="BM32" s="94">
        <f>BG32+BH32+BI32</f>
        <v>0</v>
      </c>
      <c r="BN32" s="91">
        <f>BI32+BJ32</f>
        <v>0</v>
      </c>
      <c r="BO32" s="91">
        <f>BK32+BN32</f>
        <v>0</v>
      </c>
      <c r="BQ32" s="27">
        <f>AB32</f>
        <v>0</v>
      </c>
      <c r="BR32" s="27">
        <f>AZ32</f>
        <v>0</v>
      </c>
      <c r="BT32" s="27">
        <f t="shared" ref="BT32:BV33" si="39">AD32</f>
        <v>0</v>
      </c>
      <c r="BU32" s="27">
        <f t="shared" si="39"/>
        <v>0</v>
      </c>
      <c r="BV32" s="27">
        <f t="shared" si="39"/>
        <v>0</v>
      </c>
      <c r="BW32" s="27">
        <f>BH32+BI32+BJ32</f>
        <v>0</v>
      </c>
    </row>
    <row r="33" spans="1:82" x14ac:dyDescent="0.25">
      <c r="A33" s="195"/>
      <c r="B33" s="96" t="s">
        <v>303</v>
      </c>
      <c r="C33" s="11" t="b">
        <v>0</v>
      </c>
      <c r="D33" s="241"/>
      <c r="E33" s="139" t="str">
        <f>IF(C33=FALSE,"不申請",IF(OR(C21=TRUE,C22=TRUE,C28=TRUE,C31=TRUE,C29=TRUE,C30=TRUE,C27=TRUE),"翻譯案","異常"))</f>
        <v>不申請</v>
      </c>
      <c r="F33" s="3" t="s">
        <v>16</v>
      </c>
      <c r="G33" s="7">
        <f>IF($W$5=FALSE,0,IF(C33=FALSE,0,80))</f>
        <v>0</v>
      </c>
      <c r="H33" s="7">
        <f>IF($W$5=FALSE,0,IF(C33=FALSE,0,50))</f>
        <v>0</v>
      </c>
      <c r="I33" s="7">
        <f>IF($W$5=FALSE,0,IF(C33=FALSE,0,IF($B$7&lt;11,0,7.5*($B$7-10))))</f>
        <v>0</v>
      </c>
      <c r="J33" s="7"/>
      <c r="K33" s="7">
        <f>IF($U$5=FALSE,0,SUM(G33:J33))</f>
        <v>0</v>
      </c>
      <c r="L33" s="23">
        <f>K33*$L$5</f>
        <v>0</v>
      </c>
      <c r="M33" s="3" t="s">
        <v>16</v>
      </c>
      <c r="N33" s="7">
        <f>IF($W$6=FALSE,0,IF(C33=FALSE,0,650))</f>
        <v>0</v>
      </c>
      <c r="O33" s="10">
        <f>IF($W$6=FALSE,0,IF(C33=FALSE,0,IF(OR(C21=TRUE,C22=TRUE,C28=TRUE,C31=TRUE,C29=TRUE,C30=TRUE,C27=TRUE),$B$6/100*30,"欠缺英文案")))</f>
        <v>0</v>
      </c>
      <c r="P33" s="7">
        <f>IF($W$6=FALSE,0,IF(C33=FALSE,0,500))</f>
        <v>0</v>
      </c>
      <c r="Q33" s="7"/>
      <c r="R33" s="7"/>
      <c r="S33" s="7">
        <f>IF($W$6=FALSE,0,IF(C33=FALSE,0,30*$B$9))</f>
        <v>0</v>
      </c>
      <c r="T33" s="7">
        <f>IF($U$5=FALSE,0,SUM(N33:S33))</f>
        <v>0</v>
      </c>
      <c r="U33" s="23">
        <f>T33*$L$5</f>
        <v>0</v>
      </c>
      <c r="V33" s="23">
        <f>L33+U33</f>
        <v>0</v>
      </c>
      <c r="W33" s="10">
        <f t="shared" si="38"/>
        <v>0</v>
      </c>
      <c r="X33" s="10"/>
      <c r="Y33" s="10"/>
      <c r="Z33" s="7"/>
      <c r="AA33" s="23">
        <f>IF($U$5=FALSE,0,SUM(W33:Z33))</f>
        <v>0</v>
      </c>
      <c r="AB33" s="23">
        <f>V33+AA33</f>
        <v>0</v>
      </c>
      <c r="AC33" s="195"/>
      <c r="AD33" s="27">
        <f>L33</f>
        <v>0</v>
      </c>
      <c r="AE33" s="27">
        <f>U33</f>
        <v>0</v>
      </c>
      <c r="AF33" s="27">
        <f>AA33</f>
        <v>0</v>
      </c>
      <c r="AG33" s="195"/>
      <c r="AH33" s="239"/>
      <c r="AI33" s="195"/>
      <c r="AJ33" s="11" t="str">
        <f>B33</f>
        <v>新型</v>
      </c>
      <c r="AK33" s="3" t="s">
        <v>16</v>
      </c>
      <c r="AL33" s="7">
        <f>IF($W$5=FALSE,0,IF(C33=FALSE,0,75))</f>
        <v>0</v>
      </c>
      <c r="AM33" s="7">
        <f>IF($W$5=FALSE,0,IF(C33=FALSE,0,5*$B$7))</f>
        <v>0</v>
      </c>
      <c r="AN33" s="7"/>
      <c r="AO33" s="7">
        <f>IF($U$6=FALSE,0,SUM(AL33:AN33))</f>
        <v>0</v>
      </c>
      <c r="AP33" s="22">
        <f>AO33*$L$5</f>
        <v>0</v>
      </c>
      <c r="AQ33" s="3" t="s">
        <v>16</v>
      </c>
      <c r="AR33" s="7">
        <f>IF($W$6=FALSE,0,IF(C33=FALSE,0,300+150))</f>
        <v>0</v>
      </c>
      <c r="AS33" s="7"/>
      <c r="AT33" s="7"/>
      <c r="AU33" s="7">
        <f>IF($U$6=FALSE,0,SUM(AR33:AT33))</f>
        <v>0</v>
      </c>
      <c r="AV33" s="22">
        <f>AU33*$L$5</f>
        <v>0</v>
      </c>
      <c r="AW33" s="22">
        <f>AP33+AV33</f>
        <v>0</v>
      </c>
      <c r="AX33" s="7">
        <f>IF($W$7=FALSE,0,IF(C33=FALSE,0,0))</f>
        <v>0</v>
      </c>
      <c r="AY33" s="22">
        <f>IF($U$6=FALSE,0,SUM(AX33:AX33))</f>
        <v>0</v>
      </c>
      <c r="AZ33" s="22">
        <f>AW33+AY33</f>
        <v>0</v>
      </c>
      <c r="BA33" s="195"/>
      <c r="BB33" s="27">
        <f>AP33</f>
        <v>0</v>
      </c>
      <c r="BC33" s="27">
        <f>AV33</f>
        <v>0</v>
      </c>
      <c r="BD33" s="27">
        <f>AY33</f>
        <v>0</v>
      </c>
      <c r="BF33" s="3" t="s">
        <v>133</v>
      </c>
      <c r="BG33" s="27">
        <f>AB33</f>
        <v>0</v>
      </c>
      <c r="BH33" s="27">
        <f t="shared" si="13"/>
        <v>0</v>
      </c>
      <c r="BI33" s="27">
        <f>AZ33</f>
        <v>0</v>
      </c>
      <c r="BJ33" s="90">
        <f t="shared" si="15"/>
        <v>0</v>
      </c>
      <c r="BK33" s="91">
        <f>BG33+BH33</f>
        <v>0</v>
      </c>
      <c r="BL33" s="94">
        <f>BG33+BI33</f>
        <v>0</v>
      </c>
      <c r="BM33" s="94">
        <f>BG33+BH33+BI33</f>
        <v>0</v>
      </c>
      <c r="BN33" s="91">
        <f>BI33+BJ33</f>
        <v>0</v>
      </c>
      <c r="BO33" s="91">
        <f>BK33+BN33</f>
        <v>0</v>
      </c>
      <c r="BQ33" s="27">
        <f>AB33</f>
        <v>0</v>
      </c>
      <c r="BR33" s="27">
        <f>AZ33</f>
        <v>0</v>
      </c>
      <c r="BT33" s="27">
        <f t="shared" si="39"/>
        <v>0</v>
      </c>
      <c r="BU33" s="27">
        <f t="shared" si="39"/>
        <v>0</v>
      </c>
      <c r="BV33" s="27">
        <f t="shared" si="39"/>
        <v>0</v>
      </c>
      <c r="BW33" s="27">
        <f>BH33+BI33+BJ33</f>
        <v>0</v>
      </c>
    </row>
    <row r="34" spans="1:82" x14ac:dyDescent="0.25">
      <c r="A34" s="194" t="s">
        <v>9</v>
      </c>
      <c r="B34" s="96" t="s">
        <v>302</v>
      </c>
      <c r="C34" s="11" t="b">
        <v>0</v>
      </c>
      <c r="D34" s="241"/>
      <c r="E34" s="139" t="str">
        <f>IF(C34=FALSE,"不申請",IF(OR(C21=TRUE,C22=TRUE,C28=TRUE,C31=TRUE,C29=TRUE,C30=TRUE,C27=TRUE),"翻譯案","異常"))</f>
        <v>不申請</v>
      </c>
      <c r="F34" s="3" t="s">
        <v>21</v>
      </c>
      <c r="G34" s="7">
        <f>IF($W$5=FALSE,0,IF(C34=FALSE,0,150000+120000+60000*($B$9-1)))</f>
        <v>0</v>
      </c>
      <c r="H34" s="7">
        <f>IF($W$5=FALSE,0,IF(C34=FALSE,0,180000+1320000))</f>
        <v>0</v>
      </c>
      <c r="I34" s="7"/>
      <c r="J34" s="7">
        <f>IF($W$5=FALSE,0,IF(C34=FALSE,0,IF($B$8&lt;2,0,(180000+1320000)*($B$8-1))))</f>
        <v>0</v>
      </c>
      <c r="K34" s="7">
        <f t="shared" si="0"/>
        <v>0</v>
      </c>
      <c r="L34" s="23">
        <f>K34*$N$7</f>
        <v>0</v>
      </c>
      <c r="M34" s="3" t="s">
        <v>16</v>
      </c>
      <c r="N34" s="7">
        <f>IF($W$6=FALSE,0,IF(C34=FALSE,0,125+40+10*($B$9-1)))</f>
        <v>0</v>
      </c>
      <c r="O34" s="10">
        <f>IF($W$6=FALSE,0,IF(C34=FALSE,0,IF(OR(C21=TRUE,C22=TRUE,C28=TRUE,C31=TRUE,C29=TRUE,C30=TRUE,C27=TRUE),$B$6/100*12,"欠缺英文案")))</f>
        <v>0</v>
      </c>
      <c r="P34" s="7">
        <f>IF($W$6=FALSE,0,IF(C34=FALSE,0,140+95))</f>
        <v>0</v>
      </c>
      <c r="Q34" s="7"/>
      <c r="R34" s="7">
        <f>IF($W$6=FALSE,0,IF(C34=FALSE,0,IF($B$8&lt;2,0,(68+55)*($B$8-1))))</f>
        <v>0</v>
      </c>
      <c r="S34" s="7"/>
      <c r="T34" s="7">
        <f t="shared" si="1"/>
        <v>0</v>
      </c>
      <c r="U34" s="23">
        <f>T34*$L$5</f>
        <v>0</v>
      </c>
      <c r="V34" s="23">
        <f t="shared" si="24"/>
        <v>0</v>
      </c>
      <c r="W34" s="10">
        <f t="shared" ref="W34:W37" si="40">IF($W$7=FALSE,0,IF(E34="不申請",0,IF(E34="初稿案",30000,IF(E34="翻譯案",30000,IF(E34="同語言轉換案",30000,999999)))))</f>
        <v>0</v>
      </c>
      <c r="X34" s="10"/>
      <c r="Y34" s="10"/>
      <c r="Z34" s="7"/>
      <c r="AA34" s="23">
        <f t="shared" si="2"/>
        <v>0</v>
      </c>
      <c r="AB34" s="23">
        <f t="shared" si="3"/>
        <v>0</v>
      </c>
      <c r="AC34" s="200" t="str">
        <f>$A$34</f>
        <v>越南</v>
      </c>
      <c r="AD34" s="27">
        <f t="shared" si="4"/>
        <v>0</v>
      </c>
      <c r="AE34" s="27">
        <f t="shared" si="5"/>
        <v>0</v>
      </c>
      <c r="AF34" s="27">
        <f t="shared" si="6"/>
        <v>0</v>
      </c>
      <c r="AG34" s="200"/>
      <c r="AH34" s="238"/>
      <c r="AI34" s="200" t="str">
        <f>$A$34</f>
        <v>越南</v>
      </c>
      <c r="AJ34" s="11" t="str">
        <f t="shared" si="7"/>
        <v>發明</v>
      </c>
      <c r="AK34" s="3" t="str">
        <f t="shared" si="25"/>
        <v>VND</v>
      </c>
      <c r="AL34" s="7">
        <f>IF($W$5=FALSE,0,IF(C34=FALSE,0,240000+120000+800000+60000*($B$9-1)))</f>
        <v>0</v>
      </c>
      <c r="AM34" s="7"/>
      <c r="AN34" s="7">
        <f>IF($W$5=FALSE,0,IF(C34=FALSE,0,IF($B$8&lt;2,0,($B$8-1)*(100000+400000))))</f>
        <v>0</v>
      </c>
      <c r="AO34" s="7">
        <f t="shared" si="8"/>
        <v>0</v>
      </c>
      <c r="AP34" s="22">
        <f>AO34*$N$7</f>
        <v>0</v>
      </c>
      <c r="AQ34" s="3" t="str">
        <f t="shared" si="26"/>
        <v>USD</v>
      </c>
      <c r="AR34" s="7">
        <f>IF($W$6=FALSE,0,IF(C34=FALSE,0,160+40+65+10*($B$9-1)))</f>
        <v>0</v>
      </c>
      <c r="AS34" s="7"/>
      <c r="AT34" s="7">
        <f>IF($W$6=FALSE,0,IF(C34=FALSE,0,IF($B$8&lt;2,0,($B$8-1)*(18+11))))</f>
        <v>0</v>
      </c>
      <c r="AU34" s="7">
        <f t="shared" si="9"/>
        <v>0</v>
      </c>
      <c r="AV34" s="22">
        <f>AU34*$L$5</f>
        <v>0</v>
      </c>
      <c r="AW34" s="22">
        <f t="shared" si="10"/>
        <v>0</v>
      </c>
      <c r="AX34" s="7">
        <f t="shared" si="11"/>
        <v>0</v>
      </c>
      <c r="AY34" s="22">
        <f t="shared" si="27"/>
        <v>0</v>
      </c>
      <c r="AZ34" s="22">
        <f t="shared" si="12"/>
        <v>0</v>
      </c>
      <c r="BA34" s="200" t="str">
        <f>$A$34</f>
        <v>越南</v>
      </c>
      <c r="BB34" s="27">
        <f t="shared" si="28"/>
        <v>0</v>
      </c>
      <c r="BC34" s="27">
        <f t="shared" si="29"/>
        <v>0</v>
      </c>
      <c r="BD34" s="27">
        <f t="shared" si="30"/>
        <v>0</v>
      </c>
      <c r="BF34" s="3" t="s">
        <v>107</v>
      </c>
      <c r="BG34" s="27">
        <f t="shared" si="31"/>
        <v>0</v>
      </c>
      <c r="BH34" s="27">
        <f t="shared" si="13"/>
        <v>0</v>
      </c>
      <c r="BI34" s="27">
        <f t="shared" si="14"/>
        <v>0</v>
      </c>
      <c r="BJ34" s="90">
        <f t="shared" si="15"/>
        <v>0</v>
      </c>
      <c r="BK34" s="91">
        <f t="shared" si="16"/>
        <v>0</v>
      </c>
      <c r="BL34" s="94">
        <f t="shared" si="32"/>
        <v>0</v>
      </c>
      <c r="BM34" s="94">
        <f t="shared" si="33"/>
        <v>0</v>
      </c>
      <c r="BN34" s="91">
        <f t="shared" si="34"/>
        <v>0</v>
      </c>
      <c r="BO34" s="91">
        <f t="shared" si="17"/>
        <v>0</v>
      </c>
      <c r="BQ34" s="27">
        <f t="shared" si="18"/>
        <v>0</v>
      </c>
      <c r="BR34" s="27">
        <f t="shared" si="19"/>
        <v>0</v>
      </c>
      <c r="BT34" s="27">
        <f t="shared" si="20"/>
        <v>0</v>
      </c>
      <c r="BU34" s="27">
        <f t="shared" si="21"/>
        <v>0</v>
      </c>
      <c r="BV34" s="27">
        <f t="shared" si="22"/>
        <v>0</v>
      </c>
      <c r="BW34" s="27">
        <f t="shared" si="23"/>
        <v>0</v>
      </c>
    </row>
    <row r="35" spans="1:82" x14ac:dyDescent="0.25">
      <c r="A35" s="195"/>
      <c r="B35" s="96" t="s">
        <v>303</v>
      </c>
      <c r="C35" s="11" t="b">
        <v>0</v>
      </c>
      <c r="D35" s="241"/>
      <c r="E35" s="139" t="str">
        <f>IF(C35=FALSE,"不申請",IF(OR(C21=TRUE,C22=TRUE,C28=TRUE,C31=TRUE,C29=TRUE,C30=TRUE,C27=TRUE),"翻譯案","異常"))</f>
        <v>不申請</v>
      </c>
      <c r="F35" s="3" t="s">
        <v>21</v>
      </c>
      <c r="G35" s="7">
        <f>IF($W$5=FALSE,0,IF(C35=FALSE,0,150000+120000+60000*($B$9-1)))</f>
        <v>0</v>
      </c>
      <c r="H35" s="7">
        <f>IF($W$5=FALSE,0,IF(C35=FALSE,0,180000+1320000))</f>
        <v>0</v>
      </c>
      <c r="I35" s="7"/>
      <c r="J35" s="7">
        <f>IF($W$5=FALSE,0,IF(C35=FALSE,0,IF($B$8&lt;2,0,(180000+1320000)*($B$8-1))))</f>
        <v>0</v>
      </c>
      <c r="K35" s="7">
        <f t="shared" si="0"/>
        <v>0</v>
      </c>
      <c r="L35" s="23">
        <f>K35*$N$7</f>
        <v>0</v>
      </c>
      <c r="M35" s="3" t="s">
        <v>16</v>
      </c>
      <c r="N35" s="7">
        <f>IF($W$6=FALSE,0,IF(C35=FALSE,0,125+40+10*($B$9-1)))</f>
        <v>0</v>
      </c>
      <c r="O35" s="10">
        <f>IF($W$6=FALSE,0,IF(C35=FALSE,0,IF(OR(C21=TRUE,C22=TRUE,C28=TRUE,C31=TRUE,C29=TRUE,C30=TRUE,C27=TRUE),$B$6/100*12,"欠缺英文案")))</f>
        <v>0</v>
      </c>
      <c r="P35" s="7">
        <f>IF($W$6=FALSE,0,IF(C35=FALSE,0,140+95))</f>
        <v>0</v>
      </c>
      <c r="Q35" s="7"/>
      <c r="R35" s="7">
        <f>IF($W$6=FALSE,0,IF(C35=FALSE,0,IF($B$8&lt;2,0,(68+55)*($B$8-1))))</f>
        <v>0</v>
      </c>
      <c r="S35" s="7"/>
      <c r="T35" s="7">
        <f t="shared" si="1"/>
        <v>0</v>
      </c>
      <c r="U35" s="23">
        <f>T35*$L$5</f>
        <v>0</v>
      </c>
      <c r="V35" s="23">
        <f t="shared" si="24"/>
        <v>0</v>
      </c>
      <c r="W35" s="10">
        <f t="shared" si="40"/>
        <v>0</v>
      </c>
      <c r="X35" s="10"/>
      <c r="Y35" s="10"/>
      <c r="Z35" s="7"/>
      <c r="AA35" s="23">
        <f t="shared" si="2"/>
        <v>0</v>
      </c>
      <c r="AB35" s="23">
        <f t="shared" si="3"/>
        <v>0</v>
      </c>
      <c r="AC35" s="195"/>
      <c r="AD35" s="27">
        <f t="shared" si="4"/>
        <v>0</v>
      </c>
      <c r="AE35" s="27">
        <f t="shared" si="5"/>
        <v>0</v>
      </c>
      <c r="AF35" s="27">
        <f t="shared" si="6"/>
        <v>0</v>
      </c>
      <c r="AG35" s="195"/>
      <c r="AH35" s="239"/>
      <c r="AI35" s="195"/>
      <c r="AJ35" s="11" t="str">
        <f t="shared" si="7"/>
        <v>新型</v>
      </c>
      <c r="AK35" s="3" t="str">
        <f t="shared" si="25"/>
        <v>VND</v>
      </c>
      <c r="AL35" s="7">
        <f>IF($W$5=FALSE,0,IF(C35=FALSE,0,240000+120000+800000+60000*($B$9-1)))</f>
        <v>0</v>
      </c>
      <c r="AM35" s="7"/>
      <c r="AN35" s="7">
        <f>IF($W$5=FALSE,0,IF(C35=FALSE,0,IF($B$8&lt;2,0,($B$8-1)*(100000+400000))))</f>
        <v>0</v>
      </c>
      <c r="AO35" s="7">
        <f t="shared" si="8"/>
        <v>0</v>
      </c>
      <c r="AP35" s="22">
        <f>AO35*$N$7</f>
        <v>0</v>
      </c>
      <c r="AQ35" s="3" t="str">
        <f t="shared" si="26"/>
        <v>USD</v>
      </c>
      <c r="AR35" s="7">
        <f>IF($W$6=FALSE,0,IF(C35=FALSE,0,160+40+65+10*($B$9-1)))</f>
        <v>0</v>
      </c>
      <c r="AS35" s="7"/>
      <c r="AT35" s="7">
        <f>IF($W$6=FALSE,0,IF(C35=FALSE,0,IF($B$8&lt;2,0,($B$8-1)*(18+11))))</f>
        <v>0</v>
      </c>
      <c r="AU35" s="7">
        <f t="shared" si="9"/>
        <v>0</v>
      </c>
      <c r="AV35" s="22">
        <f>AU35*$L$5</f>
        <v>0</v>
      </c>
      <c r="AW35" s="22">
        <f t="shared" si="10"/>
        <v>0</v>
      </c>
      <c r="AX35" s="7">
        <f t="shared" si="11"/>
        <v>0</v>
      </c>
      <c r="AY35" s="22">
        <f t="shared" si="27"/>
        <v>0</v>
      </c>
      <c r="AZ35" s="22">
        <f t="shared" si="12"/>
        <v>0</v>
      </c>
      <c r="BA35" s="195"/>
      <c r="BB35" s="27">
        <f t="shared" si="28"/>
        <v>0</v>
      </c>
      <c r="BC35" s="27">
        <f t="shared" si="29"/>
        <v>0</v>
      </c>
      <c r="BD35" s="27">
        <f t="shared" si="30"/>
        <v>0</v>
      </c>
      <c r="BF35" s="3" t="s">
        <v>108</v>
      </c>
      <c r="BG35" s="27">
        <f t="shared" si="31"/>
        <v>0</v>
      </c>
      <c r="BH35" s="27">
        <f t="shared" si="13"/>
        <v>0</v>
      </c>
      <c r="BI35" s="27">
        <f t="shared" si="14"/>
        <v>0</v>
      </c>
      <c r="BJ35" s="90">
        <f t="shared" si="15"/>
        <v>0</v>
      </c>
      <c r="BK35" s="91">
        <f t="shared" si="16"/>
        <v>0</v>
      </c>
      <c r="BL35" s="94">
        <f t="shared" si="32"/>
        <v>0</v>
      </c>
      <c r="BM35" s="94">
        <f t="shared" si="33"/>
        <v>0</v>
      </c>
      <c r="BN35" s="91">
        <f t="shared" si="34"/>
        <v>0</v>
      </c>
      <c r="BO35" s="91">
        <f t="shared" si="17"/>
        <v>0</v>
      </c>
      <c r="BQ35" s="27">
        <f t="shared" si="18"/>
        <v>0</v>
      </c>
      <c r="BR35" s="27">
        <f t="shared" si="19"/>
        <v>0</v>
      </c>
      <c r="BT35" s="27">
        <f t="shared" si="20"/>
        <v>0</v>
      </c>
      <c r="BU35" s="27">
        <f t="shared" si="21"/>
        <v>0</v>
      </c>
      <c r="BV35" s="27">
        <f t="shared" si="22"/>
        <v>0</v>
      </c>
      <c r="BW35" s="27">
        <f t="shared" si="23"/>
        <v>0</v>
      </c>
    </row>
    <row r="36" spans="1:82" x14ac:dyDescent="0.25">
      <c r="A36" s="194" t="s">
        <v>10</v>
      </c>
      <c r="B36" s="96" t="s">
        <v>302</v>
      </c>
      <c r="C36" s="11" t="b">
        <v>0</v>
      </c>
      <c r="D36" s="241"/>
      <c r="E36" s="139" t="str">
        <f>IF(C36=FALSE,"不申請",IF(OR(C21=TRUE,C22=TRUE,C28=TRUE,C31=TRUE,C29=TRUE,C30=TRUE,C27=TRUE),"翻譯案","異常"))</f>
        <v>不申請</v>
      </c>
      <c r="F36" s="3" t="s">
        <v>22</v>
      </c>
      <c r="G36" s="7">
        <f>IF($W$5=FALSE,0,IF(C36=FALSE,0,500))</f>
        <v>0</v>
      </c>
      <c r="H36" s="7">
        <f>IF($W$5=FALSE,0,IF(C36=FALSE,0,250+20000+50))</f>
        <v>0</v>
      </c>
      <c r="I36" s="7"/>
      <c r="J36" s="7"/>
      <c r="K36" s="7">
        <f t="shared" si="0"/>
        <v>0</v>
      </c>
      <c r="L36" s="23">
        <f>K36*$L$9</f>
        <v>0</v>
      </c>
      <c r="M36" s="3" t="s">
        <v>22</v>
      </c>
      <c r="N36" s="7">
        <f>IF($W$6=FALSE,0,IF(C36=FALSE,0,18000))</f>
        <v>0</v>
      </c>
      <c r="O36" s="10">
        <f>IF($W$6=FALSE,0,IF(C36=FALSE,0,IF(OR(C21=TRUE,C22=TRUE,C28=TRUE,C31=TRUE,C29=TRUE,C30=TRUE,C27=TRUE),$B$6/12*70,"欠缺英文案")))</f>
        <v>0</v>
      </c>
      <c r="P36" s="7">
        <f>IF($W$6=FALSE,0,IF(C36=FALSE,0,2800+4800+3600))</f>
        <v>0</v>
      </c>
      <c r="Q36" s="7"/>
      <c r="R36" s="7"/>
      <c r="S36" s="7">
        <f>IF($W$6=FALSE,0,IF(C36=FALSE,0,4000))</f>
        <v>0</v>
      </c>
      <c r="T36" s="7">
        <f t="shared" si="1"/>
        <v>0</v>
      </c>
      <c r="U36" s="23">
        <f>T36*$L$9</f>
        <v>0</v>
      </c>
      <c r="V36" s="23">
        <f t="shared" si="24"/>
        <v>0</v>
      </c>
      <c r="W36" s="10">
        <f t="shared" si="40"/>
        <v>0</v>
      </c>
      <c r="X36" s="10"/>
      <c r="Y36" s="10"/>
      <c r="Z36" s="7"/>
      <c r="AA36" s="23">
        <f t="shared" si="2"/>
        <v>0</v>
      </c>
      <c r="AB36" s="23">
        <f t="shared" si="3"/>
        <v>0</v>
      </c>
      <c r="AC36" s="200" t="str">
        <f>$A$36</f>
        <v>泰國</v>
      </c>
      <c r="AD36" s="27">
        <f t="shared" si="4"/>
        <v>0</v>
      </c>
      <c r="AE36" s="27">
        <f t="shared" si="5"/>
        <v>0</v>
      </c>
      <c r="AF36" s="27">
        <f t="shared" si="6"/>
        <v>0</v>
      </c>
      <c r="AG36" s="200"/>
      <c r="AH36" s="238"/>
      <c r="AI36" s="200" t="str">
        <f>$A$36</f>
        <v>泰國</v>
      </c>
      <c r="AJ36" s="11" t="str">
        <f t="shared" si="7"/>
        <v>發明</v>
      </c>
      <c r="AK36" s="3" t="str">
        <f t="shared" si="25"/>
        <v>THB</v>
      </c>
      <c r="AL36" s="7">
        <f>IF($W$5=FALSE,0,IF(C36=FALSE,0,500))</f>
        <v>0</v>
      </c>
      <c r="AM36" s="7"/>
      <c r="AN36" s="7"/>
      <c r="AO36" s="7">
        <f t="shared" si="8"/>
        <v>0</v>
      </c>
      <c r="AP36" s="22">
        <f>AO36*$L$9</f>
        <v>0</v>
      </c>
      <c r="AQ36" s="3" t="str">
        <f t="shared" si="26"/>
        <v>THB</v>
      </c>
      <c r="AR36" s="7">
        <f>IF($W$6=FALSE,0,IF(C36=FALSE,0,2800))</f>
        <v>0</v>
      </c>
      <c r="AS36" s="7"/>
      <c r="AT36" s="7"/>
      <c r="AU36" s="7">
        <f t="shared" si="9"/>
        <v>0</v>
      </c>
      <c r="AV36" s="22">
        <f>AU36*$L$9</f>
        <v>0</v>
      </c>
      <c r="AW36" s="22">
        <f t="shared" si="10"/>
        <v>0</v>
      </c>
      <c r="AX36" s="7">
        <f t="shared" si="11"/>
        <v>0</v>
      </c>
      <c r="AY36" s="22">
        <f t="shared" si="27"/>
        <v>0</v>
      </c>
      <c r="AZ36" s="22">
        <f t="shared" si="12"/>
        <v>0</v>
      </c>
      <c r="BA36" s="200" t="str">
        <f>$A$36</f>
        <v>泰國</v>
      </c>
      <c r="BB36" s="27">
        <f t="shared" si="28"/>
        <v>0</v>
      </c>
      <c r="BC36" s="27">
        <f t="shared" si="29"/>
        <v>0</v>
      </c>
      <c r="BD36" s="27">
        <f t="shared" si="30"/>
        <v>0</v>
      </c>
      <c r="BF36" s="3" t="s">
        <v>109</v>
      </c>
      <c r="BG36" s="27">
        <f t="shared" si="31"/>
        <v>0</v>
      </c>
      <c r="BH36" s="27">
        <f t="shared" si="13"/>
        <v>0</v>
      </c>
      <c r="BI36" s="27">
        <f t="shared" si="14"/>
        <v>0</v>
      </c>
      <c r="BJ36" s="90">
        <f t="shared" si="15"/>
        <v>0</v>
      </c>
      <c r="BK36" s="91">
        <f t="shared" si="16"/>
        <v>0</v>
      </c>
      <c r="BL36" s="94">
        <f t="shared" si="32"/>
        <v>0</v>
      </c>
      <c r="BM36" s="94">
        <f t="shared" si="33"/>
        <v>0</v>
      </c>
      <c r="BN36" s="91">
        <f t="shared" si="34"/>
        <v>0</v>
      </c>
      <c r="BO36" s="91">
        <f t="shared" si="17"/>
        <v>0</v>
      </c>
      <c r="BQ36" s="27">
        <f t="shared" si="18"/>
        <v>0</v>
      </c>
      <c r="BR36" s="27">
        <f t="shared" si="19"/>
        <v>0</v>
      </c>
      <c r="BT36" s="27">
        <f t="shared" si="20"/>
        <v>0</v>
      </c>
      <c r="BU36" s="27">
        <f t="shared" si="21"/>
        <v>0</v>
      </c>
      <c r="BV36" s="27">
        <f t="shared" si="22"/>
        <v>0</v>
      </c>
      <c r="BW36" s="27">
        <f t="shared" si="23"/>
        <v>0</v>
      </c>
    </row>
    <row r="37" spans="1:82" x14ac:dyDescent="0.25">
      <c r="A37" s="195"/>
      <c r="B37" s="96" t="s">
        <v>303</v>
      </c>
      <c r="C37" s="11" t="b">
        <v>0</v>
      </c>
      <c r="D37" s="242"/>
      <c r="E37" s="139" t="str">
        <f>IF(C37=FALSE,"不申請",IF(OR(C21=TRUE,C22=TRUE,C28=TRUE,C31=TRUE,C29=TRUE,C30=TRUE,C27=TRUE),"翻譯案","異常"))</f>
        <v>不申請</v>
      </c>
      <c r="F37" s="3" t="s">
        <v>22</v>
      </c>
      <c r="G37" s="7">
        <f>IF($W$5=FALSE,0,IF(C37=FALSE,0,250))</f>
        <v>0</v>
      </c>
      <c r="H37" s="7">
        <f>IF($W$5=FALSE,0,IF(C37=FALSE,0,250))</f>
        <v>0</v>
      </c>
      <c r="I37" s="7"/>
      <c r="J37" s="7"/>
      <c r="K37" s="7">
        <f t="shared" si="0"/>
        <v>0</v>
      </c>
      <c r="L37" s="23">
        <f>K37*$L$9</f>
        <v>0</v>
      </c>
      <c r="M37" s="3" t="s">
        <v>22</v>
      </c>
      <c r="N37" s="7">
        <f>IF($W$6=FALSE,0,IF(C37=FALSE,0,14000))</f>
        <v>0</v>
      </c>
      <c r="O37" s="10">
        <f>IF($W$6=FALSE,0,IF(C37=FALSE,0,IF(OR(C21=TRUE,C22=TRUE,C28=TRUE,C31=TRUE,C29=TRUE,C30=TRUE,C27=TRUE),$B$6/12*70,"欠缺英文案")))</f>
        <v>0</v>
      </c>
      <c r="P37" s="7">
        <f>IF($W$6=FALSE,0,IF(C37=FALSE,0,2800))</f>
        <v>0</v>
      </c>
      <c r="Q37" s="7"/>
      <c r="R37" s="7"/>
      <c r="S37" s="7">
        <f>IF($W$6=FALSE,0,IF(C37=FALSE,0,4000))</f>
        <v>0</v>
      </c>
      <c r="T37" s="7">
        <f t="shared" si="1"/>
        <v>0</v>
      </c>
      <c r="U37" s="23">
        <f>T37*$L$9</f>
        <v>0</v>
      </c>
      <c r="V37" s="23">
        <f t="shared" si="24"/>
        <v>0</v>
      </c>
      <c r="W37" s="10">
        <f t="shared" si="40"/>
        <v>0</v>
      </c>
      <c r="X37" s="10"/>
      <c r="Y37" s="10"/>
      <c r="Z37" s="7"/>
      <c r="AA37" s="23">
        <f t="shared" si="2"/>
        <v>0</v>
      </c>
      <c r="AB37" s="23">
        <f t="shared" si="3"/>
        <v>0</v>
      </c>
      <c r="AC37" s="195"/>
      <c r="AD37" s="27">
        <f t="shared" si="4"/>
        <v>0</v>
      </c>
      <c r="AE37" s="27">
        <f t="shared" si="5"/>
        <v>0</v>
      </c>
      <c r="AF37" s="27">
        <f t="shared" si="6"/>
        <v>0</v>
      </c>
      <c r="AG37" s="195"/>
      <c r="AH37" s="239"/>
      <c r="AI37" s="195"/>
      <c r="AJ37" s="11" t="str">
        <f t="shared" si="7"/>
        <v>新型</v>
      </c>
      <c r="AK37" s="3" t="str">
        <f t="shared" si="25"/>
        <v>THB</v>
      </c>
      <c r="AL37" s="7">
        <f>IF($W$5=FALSE,0,IF(C37=FALSE,0,500))</f>
        <v>0</v>
      </c>
      <c r="AM37" s="7"/>
      <c r="AN37" s="7"/>
      <c r="AO37" s="7">
        <f t="shared" si="8"/>
        <v>0</v>
      </c>
      <c r="AP37" s="22">
        <f>AO37*$L$9</f>
        <v>0</v>
      </c>
      <c r="AQ37" s="3" t="str">
        <f t="shared" si="26"/>
        <v>THB</v>
      </c>
      <c r="AR37" s="7">
        <f>IF($W$6=FALSE,0,IF(C37=FALSE,0,2800))</f>
        <v>0</v>
      </c>
      <c r="AS37" s="7"/>
      <c r="AT37" s="7"/>
      <c r="AU37" s="7">
        <f t="shared" si="9"/>
        <v>0</v>
      </c>
      <c r="AV37" s="22">
        <f>AU37*$L$9</f>
        <v>0</v>
      </c>
      <c r="AW37" s="22">
        <f t="shared" si="10"/>
        <v>0</v>
      </c>
      <c r="AX37" s="7">
        <f t="shared" si="11"/>
        <v>0</v>
      </c>
      <c r="AY37" s="22">
        <f t="shared" si="27"/>
        <v>0</v>
      </c>
      <c r="AZ37" s="22">
        <f t="shared" si="12"/>
        <v>0</v>
      </c>
      <c r="BA37" s="195"/>
      <c r="BB37" s="27">
        <f t="shared" si="28"/>
        <v>0</v>
      </c>
      <c r="BC37" s="27">
        <f t="shared" si="29"/>
        <v>0</v>
      </c>
      <c r="BD37" s="27">
        <f t="shared" si="30"/>
        <v>0</v>
      </c>
      <c r="BF37" s="3" t="s">
        <v>110</v>
      </c>
      <c r="BG37" s="27">
        <f t="shared" si="31"/>
        <v>0</v>
      </c>
      <c r="BH37" s="27">
        <f t="shared" si="13"/>
        <v>0</v>
      </c>
      <c r="BI37" s="27">
        <f t="shared" si="14"/>
        <v>0</v>
      </c>
      <c r="BJ37" s="90">
        <f t="shared" si="15"/>
        <v>0</v>
      </c>
      <c r="BK37" s="91">
        <f t="shared" si="16"/>
        <v>0</v>
      </c>
      <c r="BL37" s="94">
        <f t="shared" si="32"/>
        <v>0</v>
      </c>
      <c r="BM37" s="94">
        <f t="shared" si="33"/>
        <v>0</v>
      </c>
      <c r="BN37" s="91">
        <f t="shared" si="34"/>
        <v>0</v>
      </c>
      <c r="BO37" s="91">
        <f t="shared" si="17"/>
        <v>0</v>
      </c>
      <c r="BQ37" s="27">
        <f t="shared" si="18"/>
        <v>0</v>
      </c>
      <c r="BR37" s="27">
        <f t="shared" si="19"/>
        <v>0</v>
      </c>
      <c r="BT37" s="27">
        <f t="shared" si="20"/>
        <v>0</v>
      </c>
      <c r="BU37" s="27">
        <f t="shared" si="21"/>
        <v>0</v>
      </c>
      <c r="BV37" s="27">
        <f t="shared" si="22"/>
        <v>0</v>
      </c>
      <c r="BW37" s="27">
        <f t="shared" si="23"/>
        <v>0</v>
      </c>
    </row>
    <row r="38" spans="1:82" ht="20.25" thickBot="1" x14ac:dyDescent="0.3">
      <c r="A38" s="5"/>
      <c r="B38" s="5"/>
      <c r="C38" s="5"/>
      <c r="D38" s="5"/>
      <c r="E38" s="134"/>
      <c r="F38" s="5"/>
      <c r="G38" s="5"/>
      <c r="H38" s="5"/>
      <c r="I38" s="5"/>
      <c r="J38" s="5"/>
      <c r="K38" s="8" t="s">
        <v>50</v>
      </c>
      <c r="L38" s="24">
        <f>SUM(L17:L37)</f>
        <v>243477.9</v>
      </c>
      <c r="M38" s="5"/>
      <c r="N38" s="5"/>
      <c r="O38" s="5"/>
      <c r="P38" s="5"/>
      <c r="Q38" s="5"/>
      <c r="R38" s="5"/>
      <c r="S38" s="5"/>
      <c r="T38" s="8" t="s">
        <v>50</v>
      </c>
      <c r="U38" s="24">
        <f>SUM(U17:U37)</f>
        <v>273831.2</v>
      </c>
      <c r="V38" s="24">
        <f>SUM(V17:V37)</f>
        <v>517309.10000000003</v>
      </c>
      <c r="W38" s="5"/>
      <c r="X38" s="5"/>
      <c r="Y38" s="5"/>
      <c r="Z38" s="7"/>
      <c r="AA38" s="24">
        <f>SUM(AA17:AA37)</f>
        <v>355000</v>
      </c>
      <c r="AB38" s="24">
        <f>SUM(AB17:AB37)</f>
        <v>872309.1</v>
      </c>
      <c r="AC38" s="3"/>
      <c r="AD38" s="27">
        <f t="shared" si="4"/>
        <v>243477.9</v>
      </c>
      <c r="AE38" s="27">
        <f t="shared" si="5"/>
        <v>273831.2</v>
      </c>
      <c r="AF38" s="27">
        <f t="shared" si="6"/>
        <v>355000</v>
      </c>
      <c r="AG38" s="32"/>
      <c r="AH38" s="21">
        <f>SUM(AH17:AH37)</f>
        <v>85000</v>
      </c>
      <c r="AI38" s="3"/>
      <c r="AJ38" s="3"/>
      <c r="AK38" s="5"/>
      <c r="AL38" s="5"/>
      <c r="AM38" s="5"/>
      <c r="AN38" s="5"/>
      <c r="AO38" s="8" t="s">
        <v>50</v>
      </c>
      <c r="AP38" s="20">
        <f>SUM(AP17:AP37)</f>
        <v>82847.679999999993</v>
      </c>
      <c r="AQ38" s="5"/>
      <c r="AR38" s="5"/>
      <c r="AS38" s="5"/>
      <c r="AT38" s="5"/>
      <c r="AU38" s="8" t="s">
        <v>50</v>
      </c>
      <c r="AV38" s="20">
        <f>SUM(AV17:AV37)</f>
        <v>147928</v>
      </c>
      <c r="AW38" s="20">
        <f>SUM(AW17:AW37)</f>
        <v>230775.67999999999</v>
      </c>
      <c r="AX38" s="5"/>
      <c r="AY38" s="20">
        <f>SUM(AY17:AY37)</f>
        <v>25000</v>
      </c>
      <c r="AZ38" s="20">
        <f>SUM(AZ17:AZ37)</f>
        <v>255775.68</v>
      </c>
      <c r="BA38" s="3"/>
      <c r="BB38" s="19">
        <f>SUM(BB17:BB37)</f>
        <v>82847.679999999993</v>
      </c>
      <c r="BC38" s="19">
        <f>SUM(BC17:BC37)</f>
        <v>147928</v>
      </c>
      <c r="BD38" s="19">
        <f>SUM(BD17:BD37)</f>
        <v>25000</v>
      </c>
      <c r="BF38" s="3"/>
      <c r="BG38" s="19">
        <f>SUM(BG17:BG37)</f>
        <v>872309.1</v>
      </c>
      <c r="BH38" s="27">
        <f t="shared" ref="BH38" si="41">AB67</f>
        <v>751464.8</v>
      </c>
      <c r="BI38" s="19">
        <f>SUM(BI17:BI37)</f>
        <v>255775.68</v>
      </c>
      <c r="BJ38" s="90">
        <f t="shared" ref="BJ38" si="42">AZ67</f>
        <v>4172362.68</v>
      </c>
      <c r="BK38" s="92">
        <f t="shared" si="16"/>
        <v>1623773.9</v>
      </c>
      <c r="BL38" s="95">
        <f t="shared" si="32"/>
        <v>1128084.78</v>
      </c>
      <c r="BM38" s="95">
        <f t="shared" si="32"/>
        <v>4923827.4800000004</v>
      </c>
      <c r="BN38" s="92">
        <f t="shared" si="34"/>
        <v>4428138.3600000003</v>
      </c>
      <c r="BO38" s="93">
        <f>SUM(BO17:BO37)</f>
        <v>6051912.2599999998</v>
      </c>
      <c r="BQ38" s="19">
        <f>SUM(BQ17:BQ37)</f>
        <v>872309.1</v>
      </c>
      <c r="BR38" s="19">
        <f>SUM(BR17:BR37)</f>
        <v>255775.68</v>
      </c>
      <c r="BT38" s="19">
        <f>SUM(BT17:BT37)</f>
        <v>243477.9</v>
      </c>
      <c r="BU38" s="19">
        <f>SUM(BU17:BU37)</f>
        <v>273831.2</v>
      </c>
      <c r="BV38" s="19">
        <f>SUM(BV17:BV37)</f>
        <v>355000</v>
      </c>
      <c r="BW38" s="19">
        <f>SUM(BW17:BW37)</f>
        <v>5179603.16</v>
      </c>
      <c r="BY38" s="19">
        <f>AH38</f>
        <v>85000</v>
      </c>
      <c r="BZ38" s="19">
        <f>BO38</f>
        <v>6051912.2599999998</v>
      </c>
      <c r="CB38" s="73">
        <f>BY38/BZ38</f>
        <v>1.4045147442372207E-2</v>
      </c>
      <c r="CC38" s="73">
        <v>1</v>
      </c>
    </row>
    <row r="39" spans="1:82" ht="20.25" thickTop="1" x14ac:dyDescent="0.25">
      <c r="E39" s="135"/>
      <c r="K39" s="78"/>
      <c r="L39" s="79"/>
      <c r="T39" s="78"/>
      <c r="U39" s="79"/>
      <c r="V39" s="79"/>
      <c r="Z39" s="80"/>
      <c r="AA39" s="79"/>
      <c r="AB39" s="79"/>
      <c r="AC39" s="81"/>
      <c r="AD39" s="80"/>
      <c r="AE39" s="80"/>
      <c r="AF39" s="80"/>
      <c r="AG39" s="85" t="s">
        <v>208</v>
      </c>
      <c r="AH39" s="84">
        <f>AH38/(AB38+AZ38)</f>
        <v>7.5348946734304839E-2</v>
      </c>
      <c r="AI39" s="81"/>
      <c r="AJ39" s="81"/>
      <c r="AL39" s="160" t="s">
        <v>338</v>
      </c>
      <c r="AO39" s="78"/>
      <c r="AP39" s="79"/>
      <c r="AR39" s="160" t="s">
        <v>337</v>
      </c>
      <c r="AU39" s="78"/>
      <c r="AV39" s="79"/>
      <c r="AW39" s="79"/>
      <c r="AY39" s="79"/>
      <c r="AZ39" s="79"/>
      <c r="BA39" s="81"/>
      <c r="BB39" s="79"/>
      <c r="BC39" s="79"/>
      <c r="BD39" s="79"/>
      <c r="BF39" s="81"/>
      <c r="BG39" s="79"/>
      <c r="BH39" s="79"/>
      <c r="BI39" s="79"/>
      <c r="BJ39" s="79"/>
      <c r="BK39" s="79"/>
      <c r="BL39" s="79"/>
      <c r="BM39" s="79"/>
      <c r="BN39" s="79"/>
      <c r="BO39" s="79"/>
      <c r="BQ39" s="79"/>
      <c r="BR39" s="79"/>
      <c r="BT39" s="79"/>
      <c r="BU39" s="79"/>
      <c r="BV39" s="79"/>
      <c r="BW39" s="79"/>
      <c r="BY39" s="79"/>
      <c r="BZ39" s="79"/>
      <c r="CB39" s="82"/>
      <c r="CC39" s="82"/>
    </row>
    <row r="40" spans="1:82" ht="19.5" x14ac:dyDescent="0.25">
      <c r="E40" s="135"/>
      <c r="K40" s="78"/>
      <c r="L40" s="79"/>
      <c r="T40" s="78"/>
      <c r="U40" s="79"/>
      <c r="V40" s="79"/>
      <c r="Z40" s="80"/>
      <c r="AA40" s="79"/>
      <c r="AB40" s="79"/>
      <c r="AC40" s="81"/>
      <c r="AD40" s="80"/>
      <c r="AE40" s="80"/>
      <c r="AF40" s="80"/>
      <c r="AG40" s="71"/>
      <c r="AH40" s="33"/>
      <c r="AI40" s="81"/>
      <c r="AJ40" s="81"/>
      <c r="AO40" s="78"/>
      <c r="AP40" s="79"/>
      <c r="AU40" s="78"/>
      <c r="AV40" s="79"/>
      <c r="AW40" s="79"/>
      <c r="AX40" s="160"/>
      <c r="AY40" s="79"/>
      <c r="AZ40" s="79"/>
      <c r="BA40" s="81"/>
      <c r="BB40" s="79"/>
      <c r="BC40" s="79"/>
      <c r="BD40" s="79"/>
      <c r="BF40" s="81"/>
      <c r="BG40" s="79"/>
      <c r="BH40" s="79"/>
      <c r="BI40" s="79"/>
      <c r="BJ40" s="79"/>
      <c r="BK40" s="79"/>
      <c r="BL40" s="79"/>
      <c r="BM40" s="79"/>
      <c r="BN40" s="79"/>
      <c r="BO40" s="79"/>
      <c r="BQ40" s="79"/>
      <c r="BR40" s="79"/>
      <c r="BT40" s="79"/>
      <c r="BU40" s="79"/>
      <c r="BV40" s="79"/>
      <c r="BW40" s="79"/>
      <c r="BY40" s="79"/>
      <c r="BZ40" s="79"/>
      <c r="CB40" s="82"/>
      <c r="CC40" s="82"/>
    </row>
    <row r="41" spans="1:82" ht="19.5" x14ac:dyDescent="0.25">
      <c r="E41" s="135"/>
      <c r="K41" s="78"/>
      <c r="L41" s="79"/>
      <c r="T41" s="78"/>
      <c r="U41" s="79"/>
      <c r="V41" s="79"/>
      <c r="Z41" s="80"/>
      <c r="AA41" s="79"/>
      <c r="AB41" s="79"/>
      <c r="AC41" s="81"/>
      <c r="AD41" s="80"/>
      <c r="AE41" s="80"/>
      <c r="AF41" s="80"/>
      <c r="AG41" s="71"/>
      <c r="AH41" s="33"/>
      <c r="AI41" s="81"/>
      <c r="AJ41" s="81"/>
      <c r="AO41" s="78"/>
      <c r="AP41" s="79"/>
      <c r="AU41" s="78"/>
      <c r="AV41" s="79"/>
      <c r="AW41" s="79"/>
      <c r="AY41" s="79"/>
      <c r="AZ41" s="79"/>
      <c r="BA41" s="81"/>
      <c r="BB41" s="79"/>
      <c r="BC41" s="79"/>
      <c r="BD41" s="79"/>
      <c r="BF41" s="81"/>
      <c r="BG41" s="79"/>
      <c r="BH41" s="79"/>
      <c r="BI41" s="79"/>
      <c r="BJ41" s="79"/>
      <c r="BK41" s="79"/>
      <c r="BL41" s="79"/>
      <c r="BM41" s="79"/>
      <c r="BN41" s="79"/>
      <c r="BO41" s="79"/>
      <c r="BQ41" s="79"/>
      <c r="BR41" s="79"/>
      <c r="BT41" s="79"/>
      <c r="BU41" s="79"/>
      <c r="BV41" s="79"/>
      <c r="BW41" s="79"/>
      <c r="BY41" s="79"/>
      <c r="BZ41" s="79"/>
      <c r="CB41" s="82"/>
      <c r="CC41" s="82"/>
    </row>
    <row r="42" spans="1:82" ht="19.5" x14ac:dyDescent="0.25">
      <c r="A42" s="9" t="s">
        <v>270</v>
      </c>
      <c r="E42" s="135"/>
      <c r="K42" s="78"/>
      <c r="L42" s="79"/>
      <c r="T42" s="78"/>
      <c r="U42" s="79"/>
      <c r="V42" s="79"/>
      <c r="Z42" s="80"/>
      <c r="AA42" s="79"/>
      <c r="AB42" s="79"/>
      <c r="AC42" s="81"/>
      <c r="AD42" s="80"/>
      <c r="AE42" s="80"/>
      <c r="AF42" s="80"/>
      <c r="AG42" s="71"/>
      <c r="AH42" s="83"/>
      <c r="AI42" s="9" t="s">
        <v>269</v>
      </c>
      <c r="AJ42" s="81"/>
      <c r="AO42" s="78"/>
      <c r="AP42" s="79"/>
      <c r="AU42" s="78"/>
      <c r="AV42" s="79"/>
      <c r="AW42" s="79"/>
      <c r="AY42" s="79"/>
      <c r="AZ42" s="79"/>
      <c r="BA42" s="81"/>
      <c r="BB42" s="79"/>
      <c r="BC42" s="79"/>
      <c r="BD42" s="79"/>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row>
    <row r="43" spans="1:82" ht="16.5" customHeight="1" x14ac:dyDescent="0.25">
      <c r="A43" s="196" t="s">
        <v>207</v>
      </c>
      <c r="B43" s="197"/>
      <c r="C43" s="197"/>
      <c r="D43" s="197"/>
      <c r="E43" s="197"/>
      <c r="F43" s="197"/>
      <c r="G43" s="197"/>
      <c r="H43" s="197"/>
      <c r="I43" s="197"/>
      <c r="J43" s="197"/>
      <c r="K43" s="197"/>
      <c r="L43" s="197"/>
      <c r="M43" s="197"/>
      <c r="N43" s="197"/>
      <c r="O43" s="197"/>
      <c r="P43" s="197"/>
      <c r="Q43" s="197"/>
      <c r="R43" s="197"/>
      <c r="S43" s="197"/>
      <c r="T43" s="197"/>
      <c r="U43" s="197"/>
      <c r="V43" s="198"/>
      <c r="W43" s="198"/>
      <c r="X43" s="198"/>
      <c r="Y43" s="198"/>
      <c r="Z43" s="198"/>
      <c r="AA43" s="198"/>
      <c r="AB43" s="199"/>
      <c r="AD43" s="201" t="s">
        <v>209</v>
      </c>
      <c r="AE43" s="202"/>
      <c r="AF43" s="202"/>
      <c r="AI43" s="236" t="s">
        <v>206</v>
      </c>
      <c r="AJ43" s="237"/>
      <c r="AK43" s="237"/>
      <c r="AL43" s="237"/>
      <c r="AM43" s="237"/>
      <c r="AN43" s="237"/>
      <c r="AO43" s="237"/>
      <c r="AP43" s="237"/>
      <c r="AQ43" s="237"/>
      <c r="AR43" s="237"/>
      <c r="AS43" s="237"/>
      <c r="AT43" s="237"/>
      <c r="AU43" s="237"/>
      <c r="AV43" s="237"/>
      <c r="AW43" s="237"/>
      <c r="AX43" s="237"/>
      <c r="AY43" s="237"/>
      <c r="AZ43" s="237"/>
      <c r="BA43" s="237"/>
      <c r="BB43" s="201" t="s">
        <v>211</v>
      </c>
      <c r="BC43" s="202"/>
      <c r="BD43" s="202"/>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row>
    <row r="44" spans="1:82" ht="33" customHeight="1" x14ac:dyDescent="0.25">
      <c r="A44" s="203" t="s">
        <v>114</v>
      </c>
      <c r="B44" s="203" t="s">
        <v>0</v>
      </c>
      <c r="C44" s="235" t="s">
        <v>301</v>
      </c>
      <c r="D44" s="74"/>
      <c r="E44" s="204" t="s">
        <v>306</v>
      </c>
      <c r="F44" s="206" t="s">
        <v>242</v>
      </c>
      <c r="G44" s="207"/>
      <c r="H44" s="207"/>
      <c r="I44" s="207"/>
      <c r="J44" s="207"/>
      <c r="K44" s="208"/>
      <c r="L44" s="209"/>
      <c r="M44" s="206" t="s">
        <v>243</v>
      </c>
      <c r="N44" s="207"/>
      <c r="O44" s="207"/>
      <c r="P44" s="207"/>
      <c r="Q44" s="207"/>
      <c r="R44" s="207"/>
      <c r="S44" s="207"/>
      <c r="T44" s="208"/>
      <c r="U44" s="209"/>
      <c r="V44" s="15" t="s">
        <v>244</v>
      </c>
      <c r="W44" s="210" t="s">
        <v>32</v>
      </c>
      <c r="X44" s="211"/>
      <c r="Y44" s="211"/>
      <c r="Z44" s="209"/>
      <c r="AA44" s="212" t="s">
        <v>245</v>
      </c>
      <c r="AB44" s="212" t="s">
        <v>246</v>
      </c>
      <c r="AC44" s="213" t="s">
        <v>114</v>
      </c>
      <c r="AD44" s="218" t="s">
        <v>247</v>
      </c>
      <c r="AE44" s="218" t="s">
        <v>248</v>
      </c>
      <c r="AF44" s="214" t="s">
        <v>249</v>
      </c>
      <c r="AG44" s="220"/>
      <c r="AH44" s="220"/>
      <c r="AI44" s="213" t="s">
        <v>114</v>
      </c>
      <c r="AJ44" s="217" t="s">
        <v>0</v>
      </c>
      <c r="AK44" s="222" t="s">
        <v>250</v>
      </c>
      <c r="AL44" s="223"/>
      <c r="AM44" s="223"/>
      <c r="AN44" s="223"/>
      <c r="AO44" s="224"/>
      <c r="AP44" s="225"/>
      <c r="AQ44" s="222" t="s">
        <v>251</v>
      </c>
      <c r="AR44" s="223"/>
      <c r="AS44" s="223"/>
      <c r="AT44" s="223"/>
      <c r="AU44" s="224"/>
      <c r="AV44" s="225"/>
      <c r="AW44" s="25" t="s">
        <v>252</v>
      </c>
      <c r="AX44" s="18" t="s">
        <v>32</v>
      </c>
      <c r="AY44" s="216" t="s">
        <v>253</v>
      </c>
      <c r="AZ44" s="216" t="s">
        <v>254</v>
      </c>
      <c r="BA44" s="213" t="s">
        <v>114</v>
      </c>
      <c r="BB44" s="218" t="s">
        <v>255</v>
      </c>
      <c r="BC44" s="218" t="s">
        <v>256</v>
      </c>
      <c r="BD44" s="214" t="s">
        <v>257</v>
      </c>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row>
    <row r="45" spans="1:82" x14ac:dyDescent="0.25">
      <c r="A45" s="203"/>
      <c r="B45" s="203"/>
      <c r="C45" s="213"/>
      <c r="D45" s="132"/>
      <c r="E45" s="205"/>
      <c r="F45" s="4" t="s">
        <v>13</v>
      </c>
      <c r="G45" s="3" t="s">
        <v>218</v>
      </c>
      <c r="H45" s="3" t="s">
        <v>215</v>
      </c>
      <c r="I45" s="3" t="s">
        <v>28</v>
      </c>
      <c r="J45" s="3" t="s">
        <v>216</v>
      </c>
      <c r="K45" s="4" t="s">
        <v>56</v>
      </c>
      <c r="L45" s="4" t="s">
        <v>47</v>
      </c>
      <c r="M45" s="4" t="s">
        <v>13</v>
      </c>
      <c r="N45" s="3" t="s">
        <v>213</v>
      </c>
      <c r="O45" s="3" t="s">
        <v>212</v>
      </c>
      <c r="P45" s="3" t="s">
        <v>214</v>
      </c>
      <c r="Q45" s="3" t="s">
        <v>215</v>
      </c>
      <c r="R45" s="3" t="s">
        <v>216</v>
      </c>
      <c r="S45" s="3" t="s">
        <v>33</v>
      </c>
      <c r="T45" s="4" t="s">
        <v>56</v>
      </c>
      <c r="U45" s="4" t="s">
        <v>47</v>
      </c>
      <c r="V45" s="4" t="s">
        <v>47</v>
      </c>
      <c r="W45" s="3" t="s">
        <v>212</v>
      </c>
      <c r="X45" s="3" t="s">
        <v>215</v>
      </c>
      <c r="Y45" s="3" t="s">
        <v>31</v>
      </c>
      <c r="Z45" s="3" t="s">
        <v>46</v>
      </c>
      <c r="AA45" s="203"/>
      <c r="AB45" s="203"/>
      <c r="AC45" s="213"/>
      <c r="AD45" s="219"/>
      <c r="AE45" s="219"/>
      <c r="AF45" s="215"/>
      <c r="AG45" s="221"/>
      <c r="AH45" s="221"/>
      <c r="AI45" s="213"/>
      <c r="AJ45" s="217"/>
      <c r="AK45" s="26" t="s">
        <v>13</v>
      </c>
      <c r="AL45" s="3" t="s">
        <v>219</v>
      </c>
      <c r="AM45" s="3"/>
      <c r="AN45" s="3"/>
      <c r="AO45" s="26" t="s">
        <v>56</v>
      </c>
      <c r="AP45" s="26" t="s">
        <v>47</v>
      </c>
      <c r="AQ45" s="26" t="s">
        <v>13</v>
      </c>
      <c r="AR45" s="3" t="s">
        <v>219</v>
      </c>
      <c r="AS45" s="3"/>
      <c r="AT45" s="3"/>
      <c r="AU45" s="26" t="s">
        <v>56</v>
      </c>
      <c r="AV45" s="26" t="s">
        <v>47</v>
      </c>
      <c r="AW45" s="26" t="s">
        <v>47</v>
      </c>
      <c r="AX45" s="3" t="s">
        <v>219</v>
      </c>
      <c r="AY45" s="217"/>
      <c r="AZ45" s="217"/>
      <c r="BA45" s="213"/>
      <c r="BB45" s="219"/>
      <c r="BC45" s="219"/>
      <c r="BD45" s="215"/>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row>
    <row r="46" spans="1:82" x14ac:dyDescent="0.25">
      <c r="A46" s="194" t="s">
        <v>2</v>
      </c>
      <c r="B46" s="11" t="str">
        <f t="shared" ref="B46:C66" si="43">B17</f>
        <v>發明</v>
      </c>
      <c r="C46" s="11" t="b">
        <f t="shared" si="43"/>
        <v>1</v>
      </c>
      <c r="D46" s="11"/>
      <c r="E46" s="139" t="str">
        <f t="shared" ref="E46:E66" si="44">E17</f>
        <v>初稿案</v>
      </c>
      <c r="F46" s="3" t="s">
        <v>14</v>
      </c>
      <c r="G46" s="86"/>
      <c r="H46" s="86"/>
      <c r="I46" s="86"/>
      <c r="J46" s="86"/>
      <c r="K46" s="7">
        <f t="shared" ref="K46:K66" si="45">IF($U$8=FALSE,0,SUM(G46:J46))</f>
        <v>0</v>
      </c>
      <c r="L46" s="23">
        <f>K46*1</f>
        <v>0</v>
      </c>
      <c r="M46" s="3" t="s">
        <v>14</v>
      </c>
      <c r="N46" s="86"/>
      <c r="O46" s="86"/>
      <c r="P46" s="86"/>
      <c r="Q46" s="86"/>
      <c r="R46" s="86"/>
      <c r="S46" s="86"/>
      <c r="T46" s="7">
        <f t="shared" ref="T46:T66" si="46">IF($U$8=FALSE,0,SUM(N46:S46))</f>
        <v>0</v>
      </c>
      <c r="U46" s="23">
        <f>T46*1</f>
        <v>0</v>
      </c>
      <c r="V46" s="23">
        <f>L46+U46</f>
        <v>0</v>
      </c>
      <c r="W46" s="7">
        <f>IF($W$7=FALSE,0,IF(C46=FALSE,0,25000))</f>
        <v>25000</v>
      </c>
      <c r="X46" s="86"/>
      <c r="Y46" s="86"/>
      <c r="Z46" s="86"/>
      <c r="AA46" s="23">
        <f t="shared" ref="AA46:AA66" si="47">IF($U$8=FALSE,0,SUM(W46:Z46))</f>
        <v>25000</v>
      </c>
      <c r="AB46" s="23">
        <f t="shared" ref="AB46:AB66" si="48">V46+AA46</f>
        <v>25000</v>
      </c>
      <c r="AC46" s="200" t="str">
        <f>$A$17</f>
        <v>台灣</v>
      </c>
      <c r="AD46" s="27">
        <f t="shared" ref="AD46:AD67" si="49">L46</f>
        <v>0</v>
      </c>
      <c r="AE46" s="27">
        <f t="shared" ref="AE46:AE67" si="50">U46</f>
        <v>0</v>
      </c>
      <c r="AF46" s="27">
        <f t="shared" ref="AF46:AF67" si="51">AA46</f>
        <v>25000</v>
      </c>
      <c r="AG46" s="32"/>
      <c r="AH46" s="32"/>
      <c r="AI46" s="200" t="str">
        <f>$A$17</f>
        <v>台灣</v>
      </c>
      <c r="AJ46" s="11" t="str">
        <f t="shared" ref="AJ46:AJ66" si="52">B46</f>
        <v>發明</v>
      </c>
      <c r="AK46" s="3" t="str">
        <f>F46</f>
        <v>NTD</v>
      </c>
      <c r="AL46" s="7">
        <f>IF($W$5=FALSE,0,IF(C46=FALSE,0,HLOOKUP(選項!$M$2,'P(M)年費表'!$AH$2:$BG$24,2)))</f>
        <v>214800</v>
      </c>
      <c r="AM46" s="87"/>
      <c r="AN46" s="7"/>
      <c r="AO46" s="7">
        <f t="shared" ref="AO46:AO66" si="53">IF($U$7=FALSE,0,SUM(AL46:AN46))</f>
        <v>214800</v>
      </c>
      <c r="AP46" s="22">
        <f>AO46*1</f>
        <v>214800</v>
      </c>
      <c r="AQ46" s="3" t="str">
        <f>M46</f>
        <v>NTD</v>
      </c>
      <c r="AR46" s="7">
        <f>IF($W$6=FALSE,0,IF(C46=FALSE,0,HLOOKUP(選項!$M$2,'P(M)年費表'!$AH$29:$BG$51,2)))</f>
        <v>0</v>
      </c>
      <c r="AS46" s="7"/>
      <c r="AT46" s="7"/>
      <c r="AU46" s="7">
        <f t="shared" ref="AU46:AU66" si="54">IF($U$7=FALSE,0,SUM(AR46:AT46))</f>
        <v>0</v>
      </c>
      <c r="AV46" s="22">
        <f>AU46*1</f>
        <v>0</v>
      </c>
      <c r="AW46" s="22">
        <f t="shared" ref="AW46:AW66" si="55">AP46+AV46</f>
        <v>214800</v>
      </c>
      <c r="AX46" s="7">
        <f>IF($W$7=FALSE,0,IF(C46=FALSE,0,HLOOKUP(選項!$M$2,'P(M)年費表'!$AH$56:$BG$78,2)))</f>
        <v>57000</v>
      </c>
      <c r="AY46" s="22">
        <f t="shared" ref="AY46:AY66" si="56">IF($U$7=FALSE,0,SUM(AX46:AX46))</f>
        <v>57000</v>
      </c>
      <c r="AZ46" s="22">
        <f t="shared" ref="AZ46:AZ66" si="57">AW46+AY46</f>
        <v>271800</v>
      </c>
      <c r="BA46" s="200" t="str">
        <f>$A$17</f>
        <v>台灣</v>
      </c>
      <c r="BB46" s="27">
        <f>AP46</f>
        <v>214800</v>
      </c>
      <c r="BC46" s="27">
        <f>AV46</f>
        <v>0</v>
      </c>
      <c r="BD46" s="27">
        <f>AY46</f>
        <v>57000</v>
      </c>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row>
    <row r="47" spans="1:82" x14ac:dyDescent="0.25">
      <c r="A47" s="195"/>
      <c r="B47" s="11" t="str">
        <f t="shared" si="43"/>
        <v>新型</v>
      </c>
      <c r="C47" s="11" t="b">
        <f t="shared" si="43"/>
        <v>0</v>
      </c>
      <c r="D47" s="11"/>
      <c r="E47" s="139" t="str">
        <f t="shared" si="44"/>
        <v>不申請</v>
      </c>
      <c r="F47" s="3" t="s">
        <v>14</v>
      </c>
      <c r="G47" s="86"/>
      <c r="H47" s="86"/>
      <c r="I47" s="86"/>
      <c r="J47" s="86"/>
      <c r="K47" s="7">
        <f t="shared" si="45"/>
        <v>0</v>
      </c>
      <c r="L47" s="23">
        <f>K47*1</f>
        <v>0</v>
      </c>
      <c r="M47" s="3" t="s">
        <v>14</v>
      </c>
      <c r="N47" s="86"/>
      <c r="O47" s="86"/>
      <c r="P47" s="86"/>
      <c r="Q47" s="86"/>
      <c r="R47" s="86"/>
      <c r="S47" s="86"/>
      <c r="T47" s="7">
        <f t="shared" si="46"/>
        <v>0</v>
      </c>
      <c r="U47" s="23">
        <f>T47*1</f>
        <v>0</v>
      </c>
      <c r="V47" s="23">
        <f t="shared" ref="V47:V66" si="58">L47+U47</f>
        <v>0</v>
      </c>
      <c r="W47" s="86"/>
      <c r="X47" s="86"/>
      <c r="Y47" s="86"/>
      <c r="Z47" s="86"/>
      <c r="AA47" s="23">
        <f t="shared" si="47"/>
        <v>0</v>
      </c>
      <c r="AB47" s="23">
        <f t="shared" si="48"/>
        <v>0</v>
      </c>
      <c r="AC47" s="195"/>
      <c r="AD47" s="27">
        <f t="shared" si="49"/>
        <v>0</v>
      </c>
      <c r="AE47" s="27">
        <f t="shared" si="50"/>
        <v>0</v>
      </c>
      <c r="AF47" s="27">
        <f t="shared" si="51"/>
        <v>0</v>
      </c>
      <c r="AG47" s="32"/>
      <c r="AH47" s="32"/>
      <c r="AI47" s="195"/>
      <c r="AJ47" s="11" t="str">
        <f t="shared" si="52"/>
        <v>新型</v>
      </c>
      <c r="AK47" s="3" t="str">
        <f t="shared" ref="AK47:AK66" si="59">F47</f>
        <v>NTD</v>
      </c>
      <c r="AL47" s="7">
        <f>IF($W$5=FALSE,0,IF(C47=FALSE,0,HLOOKUP(選項!$M$2,'P(M)年費表'!$AH$2:$BG$24,3)))</f>
        <v>0</v>
      </c>
      <c r="AM47" s="87"/>
      <c r="AN47" s="7"/>
      <c r="AO47" s="7">
        <f t="shared" si="53"/>
        <v>0</v>
      </c>
      <c r="AP47" s="22">
        <f>AO47*1</f>
        <v>0</v>
      </c>
      <c r="AQ47" s="3" t="str">
        <f t="shared" ref="AQ47:AQ66" si="60">M47</f>
        <v>NTD</v>
      </c>
      <c r="AR47" s="7">
        <f>IF($W$6=FALSE,0,IF(C47=FALSE,0,HLOOKUP(選項!$M$2,'P(M)年費表'!$AH$29:$BG$51,3)))</f>
        <v>0</v>
      </c>
      <c r="AS47" s="7"/>
      <c r="AT47" s="7"/>
      <c r="AU47" s="7">
        <f t="shared" si="54"/>
        <v>0</v>
      </c>
      <c r="AV47" s="22">
        <f>AU47*1</f>
        <v>0</v>
      </c>
      <c r="AW47" s="22">
        <f t="shared" si="55"/>
        <v>0</v>
      </c>
      <c r="AX47" s="7">
        <f>IF($W$7=FALSE,0,IF(C47=FALSE,0,HLOOKUP(選項!$M$2,'P(M)年費表'!$AH$56:$BG$78,3)))</f>
        <v>0</v>
      </c>
      <c r="AY47" s="22">
        <f t="shared" si="56"/>
        <v>0</v>
      </c>
      <c r="AZ47" s="22">
        <f t="shared" si="57"/>
        <v>0</v>
      </c>
      <c r="BA47" s="195"/>
      <c r="BB47" s="27">
        <f t="shared" ref="BB47:BB66" si="61">AP47</f>
        <v>0</v>
      </c>
      <c r="BC47" s="27">
        <f t="shared" ref="BC47:BC66" si="62">AV47</f>
        <v>0</v>
      </c>
      <c r="BD47" s="27">
        <f t="shared" ref="BD47:BD66" si="63">AY47</f>
        <v>0</v>
      </c>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row>
    <row r="48" spans="1:82" x14ac:dyDescent="0.25">
      <c r="A48" s="194" t="s">
        <v>3</v>
      </c>
      <c r="B48" s="11" t="str">
        <f t="shared" si="43"/>
        <v>發明</v>
      </c>
      <c r="C48" s="11" t="b">
        <f t="shared" si="43"/>
        <v>1</v>
      </c>
      <c r="D48" s="11"/>
      <c r="E48" s="139" t="str">
        <f t="shared" si="44"/>
        <v>同語言轉換案</v>
      </c>
      <c r="F48" s="3" t="s">
        <v>15</v>
      </c>
      <c r="G48" s="86"/>
      <c r="H48" s="86"/>
      <c r="I48" s="86"/>
      <c r="J48" s="86"/>
      <c r="K48" s="7">
        <f t="shared" si="45"/>
        <v>0</v>
      </c>
      <c r="L48" s="23">
        <f>K48*$N$5</f>
        <v>0</v>
      </c>
      <c r="M48" s="3" t="s">
        <v>15</v>
      </c>
      <c r="N48" s="86"/>
      <c r="O48" s="7">
        <f>IF($W$6=FALSE,0,IF(C48=FALSE,0,200+1000))</f>
        <v>1200</v>
      </c>
      <c r="P48" s="86"/>
      <c r="Q48" s="86"/>
      <c r="R48" s="86"/>
      <c r="S48" s="86"/>
      <c r="T48" s="7">
        <f t="shared" si="46"/>
        <v>1200</v>
      </c>
      <c r="U48" s="23">
        <f>T48*$N$5</f>
        <v>5040</v>
      </c>
      <c r="V48" s="23">
        <f t="shared" si="58"/>
        <v>5040</v>
      </c>
      <c r="W48" s="7">
        <f>IF($W$7=FALSE,0,IF(C48=FALSE,0,25000))</f>
        <v>25000</v>
      </c>
      <c r="X48" s="86"/>
      <c r="Y48" s="86"/>
      <c r="Z48" s="86"/>
      <c r="AA48" s="23">
        <f t="shared" si="47"/>
        <v>25000</v>
      </c>
      <c r="AB48" s="23">
        <f t="shared" si="48"/>
        <v>30040</v>
      </c>
      <c r="AC48" s="200" t="str">
        <f>$A$19</f>
        <v>大陸</v>
      </c>
      <c r="AD48" s="27">
        <f t="shared" si="49"/>
        <v>0</v>
      </c>
      <c r="AE48" s="27">
        <f t="shared" si="50"/>
        <v>5040</v>
      </c>
      <c r="AF48" s="27">
        <f t="shared" si="51"/>
        <v>25000</v>
      </c>
      <c r="AG48" s="32"/>
      <c r="AH48" s="32"/>
      <c r="AI48" s="200" t="str">
        <f>$A$19</f>
        <v>大陸</v>
      </c>
      <c r="AJ48" s="11" t="str">
        <f t="shared" si="52"/>
        <v>發明</v>
      </c>
      <c r="AK48" s="3" t="str">
        <f t="shared" si="59"/>
        <v>CNY</v>
      </c>
      <c r="AL48" s="7">
        <f>IF($W$5=FALSE,0,IF(C48=FALSE,0,HLOOKUP(選項!$M$2,'P(M)年費表'!$AH$2:$BG$24,4)))</f>
        <v>81400</v>
      </c>
      <c r="AM48" s="87"/>
      <c r="AN48" s="7"/>
      <c r="AO48" s="7">
        <f t="shared" si="53"/>
        <v>81400</v>
      </c>
      <c r="AP48" s="22">
        <f>AO48*$N$5</f>
        <v>341880</v>
      </c>
      <c r="AQ48" s="3" t="str">
        <f t="shared" si="60"/>
        <v>CNY</v>
      </c>
      <c r="AR48" s="7">
        <f>IF($W$6=FALSE,0,IF(C48=FALSE,0,HLOOKUP(選項!$M$2,'P(M)年費表'!$AH$29:$BG$51,4)))</f>
        <v>3800</v>
      </c>
      <c r="AS48" s="7"/>
      <c r="AT48" s="7"/>
      <c r="AU48" s="7">
        <f t="shared" si="54"/>
        <v>3800</v>
      </c>
      <c r="AV48" s="22">
        <f>AU48*$N$5</f>
        <v>15960</v>
      </c>
      <c r="AW48" s="22">
        <f t="shared" si="55"/>
        <v>357840</v>
      </c>
      <c r="AX48" s="7">
        <f>IF($W$7=FALSE,0,IF(C48=FALSE,0,HLOOKUP(選項!$M$2,'P(M)年費表'!$AH$56:$BG$78,4)))</f>
        <v>57000</v>
      </c>
      <c r="AY48" s="22">
        <f t="shared" si="56"/>
        <v>57000</v>
      </c>
      <c r="AZ48" s="22">
        <f t="shared" si="57"/>
        <v>414840</v>
      </c>
      <c r="BA48" s="200" t="str">
        <f>$A$19</f>
        <v>大陸</v>
      </c>
      <c r="BB48" s="27">
        <f t="shared" si="61"/>
        <v>341880</v>
      </c>
      <c r="BC48" s="27">
        <f t="shared" si="62"/>
        <v>15960</v>
      </c>
      <c r="BD48" s="27">
        <f t="shared" si="63"/>
        <v>57000</v>
      </c>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row>
    <row r="49" spans="1:82" x14ac:dyDescent="0.25">
      <c r="A49" s="195"/>
      <c r="B49" s="11" t="str">
        <f t="shared" si="43"/>
        <v>新型</v>
      </c>
      <c r="C49" s="11" t="b">
        <f t="shared" si="43"/>
        <v>0</v>
      </c>
      <c r="D49" s="11"/>
      <c r="E49" s="139" t="str">
        <f t="shared" si="44"/>
        <v>不申請</v>
      </c>
      <c r="F49" s="3" t="s">
        <v>15</v>
      </c>
      <c r="G49" s="86"/>
      <c r="H49" s="86"/>
      <c r="I49" s="86"/>
      <c r="J49" s="86"/>
      <c r="K49" s="7">
        <f t="shared" si="45"/>
        <v>0</v>
      </c>
      <c r="L49" s="23">
        <f>K49*$N$5</f>
        <v>0</v>
      </c>
      <c r="M49" s="3" t="s">
        <v>15</v>
      </c>
      <c r="N49" s="86"/>
      <c r="O49" s="86"/>
      <c r="P49" s="86"/>
      <c r="Q49" s="86"/>
      <c r="R49" s="86"/>
      <c r="S49" s="86"/>
      <c r="T49" s="7">
        <f t="shared" si="46"/>
        <v>0</v>
      </c>
      <c r="U49" s="23">
        <f>T49*$N$5</f>
        <v>0</v>
      </c>
      <c r="V49" s="23">
        <f t="shared" si="58"/>
        <v>0</v>
      </c>
      <c r="W49" s="86"/>
      <c r="X49" s="86"/>
      <c r="Y49" s="86"/>
      <c r="Z49" s="86"/>
      <c r="AA49" s="23">
        <f t="shared" si="47"/>
        <v>0</v>
      </c>
      <c r="AB49" s="23">
        <f t="shared" si="48"/>
        <v>0</v>
      </c>
      <c r="AC49" s="195"/>
      <c r="AD49" s="27">
        <f t="shared" si="49"/>
        <v>0</v>
      </c>
      <c r="AE49" s="27">
        <f t="shared" si="50"/>
        <v>0</v>
      </c>
      <c r="AF49" s="27">
        <f t="shared" si="51"/>
        <v>0</v>
      </c>
      <c r="AG49" s="32"/>
      <c r="AH49" s="32"/>
      <c r="AI49" s="195"/>
      <c r="AJ49" s="11" t="str">
        <f t="shared" si="52"/>
        <v>新型</v>
      </c>
      <c r="AK49" s="3" t="str">
        <f t="shared" si="59"/>
        <v>CNY</v>
      </c>
      <c r="AL49" s="7">
        <f>IF($W$5=FALSE,0,IF(C49=FALSE,0,HLOOKUP(選項!$M$2,'P(M)年費表'!$AH$2:$BG$24,5)))</f>
        <v>0</v>
      </c>
      <c r="AM49" s="87"/>
      <c r="AN49" s="7"/>
      <c r="AO49" s="7">
        <f t="shared" si="53"/>
        <v>0</v>
      </c>
      <c r="AP49" s="22">
        <f>AO49*$N$5</f>
        <v>0</v>
      </c>
      <c r="AQ49" s="3" t="str">
        <f t="shared" si="60"/>
        <v>CNY</v>
      </c>
      <c r="AR49" s="7">
        <f>IF($W$6=FALSE,0,IF(C49=FALSE,0,HLOOKUP(選項!$M$2,'P(M)年費表'!$AH$29:$BG$51,5)))</f>
        <v>0</v>
      </c>
      <c r="AS49" s="7"/>
      <c r="AT49" s="7"/>
      <c r="AU49" s="7">
        <f t="shared" si="54"/>
        <v>0</v>
      </c>
      <c r="AV49" s="22">
        <f>AU49*$N$5</f>
        <v>0</v>
      </c>
      <c r="AW49" s="22">
        <f t="shared" si="55"/>
        <v>0</v>
      </c>
      <c r="AX49" s="7">
        <f>IF($W$7=FALSE,0,IF(C49=FALSE,0,HLOOKUP(選項!$M$2,'P(M)年費表'!$AH$56:$BG$78,5)))</f>
        <v>0</v>
      </c>
      <c r="AY49" s="22">
        <f t="shared" si="56"/>
        <v>0</v>
      </c>
      <c r="AZ49" s="22">
        <f t="shared" si="57"/>
        <v>0</v>
      </c>
      <c r="BA49" s="195"/>
      <c r="BB49" s="27">
        <f t="shared" si="61"/>
        <v>0</v>
      </c>
      <c r="BC49" s="27">
        <f t="shared" si="62"/>
        <v>0</v>
      </c>
      <c r="BD49" s="27">
        <f t="shared" si="63"/>
        <v>0</v>
      </c>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row>
    <row r="50" spans="1:82" x14ac:dyDescent="0.25">
      <c r="A50" s="3" t="s">
        <v>4</v>
      </c>
      <c r="B50" s="11" t="str">
        <f t="shared" si="43"/>
        <v>發明</v>
      </c>
      <c r="C50" s="11" t="b">
        <f t="shared" si="43"/>
        <v>1</v>
      </c>
      <c r="D50" s="11"/>
      <c r="E50" s="139" t="str">
        <f t="shared" si="44"/>
        <v>翻譯案</v>
      </c>
      <c r="F50" s="3" t="s">
        <v>16</v>
      </c>
      <c r="G50" s="86"/>
      <c r="H50" s="86"/>
      <c r="I50" s="86"/>
      <c r="J50" s="86"/>
      <c r="K50" s="7">
        <f t="shared" si="45"/>
        <v>0</v>
      </c>
      <c r="L50" s="23">
        <f>K50*$L$5</f>
        <v>0</v>
      </c>
      <c r="M50" s="3" t="s">
        <v>16</v>
      </c>
      <c r="N50" s="7">
        <f>IF($W$6=FALSE,0,IF(C50=FALSE,0,145))</f>
        <v>145</v>
      </c>
      <c r="O50" s="7">
        <f>IF($W$6=FALSE,0,IF(C50=FALSE,0,1100))</f>
        <v>1100</v>
      </c>
      <c r="P50" s="7">
        <f>IF($W$6=FALSE,0,IF(C50=FALSE,0,75))</f>
        <v>75</v>
      </c>
      <c r="Q50" s="86"/>
      <c r="R50" s="86"/>
      <c r="S50" s="86"/>
      <c r="T50" s="7">
        <f t="shared" si="46"/>
        <v>1320</v>
      </c>
      <c r="U50" s="23">
        <f>T50*$L$5</f>
        <v>39600</v>
      </c>
      <c r="V50" s="23">
        <f t="shared" si="58"/>
        <v>39600</v>
      </c>
      <c r="W50" s="7">
        <f>IF($W$7=FALSE,0,IF(C50=FALSE,0,40000))</f>
        <v>40000</v>
      </c>
      <c r="X50" s="86"/>
      <c r="Y50" s="86"/>
      <c r="Z50" s="86"/>
      <c r="AA50" s="23">
        <f t="shared" si="47"/>
        <v>40000</v>
      </c>
      <c r="AB50" s="23">
        <f t="shared" si="48"/>
        <v>79600</v>
      </c>
      <c r="AC50" s="14" t="str">
        <f>$A$21</f>
        <v>美國</v>
      </c>
      <c r="AD50" s="27">
        <f t="shared" si="49"/>
        <v>0</v>
      </c>
      <c r="AE50" s="27">
        <f t="shared" si="50"/>
        <v>39600</v>
      </c>
      <c r="AF50" s="27">
        <f t="shared" si="51"/>
        <v>40000</v>
      </c>
      <c r="AG50" s="32"/>
      <c r="AH50" s="32"/>
      <c r="AI50" s="14" t="str">
        <f>$A$21</f>
        <v>美國</v>
      </c>
      <c r="AJ50" s="11" t="str">
        <f t="shared" si="52"/>
        <v>發明</v>
      </c>
      <c r="AK50" s="3" t="str">
        <f t="shared" si="59"/>
        <v>USD</v>
      </c>
      <c r="AL50" s="7">
        <f>IF($W$5=FALSE,0,IF(C50=FALSE,0,HLOOKUP(選項!$M$2,'P(M)年費表'!$AH$2:$BG$24,6)))</f>
        <v>5788</v>
      </c>
      <c r="AM50" s="87"/>
      <c r="AN50" s="7"/>
      <c r="AO50" s="7">
        <f t="shared" si="53"/>
        <v>5788</v>
      </c>
      <c r="AP50" s="22">
        <f>AO50*$L$5</f>
        <v>173640</v>
      </c>
      <c r="AQ50" s="3" t="str">
        <f t="shared" si="60"/>
        <v>USD</v>
      </c>
      <c r="AR50" s="7">
        <f>IF($W$6=FALSE,0,IF(C50=FALSE,0,HLOOKUP(選項!$M$2,'P(M)年費表'!$AH$29:$BG$51,6)))</f>
        <v>378</v>
      </c>
      <c r="AS50" s="7"/>
      <c r="AT50" s="7"/>
      <c r="AU50" s="7">
        <f t="shared" si="54"/>
        <v>378</v>
      </c>
      <c r="AV50" s="22">
        <f>AU50*$L$5</f>
        <v>11340</v>
      </c>
      <c r="AW50" s="22">
        <f t="shared" si="55"/>
        <v>184980</v>
      </c>
      <c r="AX50" s="7">
        <f>IF($W$7=FALSE,0,IF(C50=FALSE,0,HLOOKUP(選項!$M$2,'P(M)年費表'!$AH$56:$BG$78,6)))</f>
        <v>15000</v>
      </c>
      <c r="AY50" s="22">
        <f t="shared" si="56"/>
        <v>15000</v>
      </c>
      <c r="AZ50" s="22">
        <f t="shared" si="57"/>
        <v>199980</v>
      </c>
      <c r="BA50" s="14" t="str">
        <f>$A$21</f>
        <v>美國</v>
      </c>
      <c r="BB50" s="27">
        <f t="shared" si="61"/>
        <v>173640</v>
      </c>
      <c r="BC50" s="27">
        <f t="shared" si="62"/>
        <v>11340</v>
      </c>
      <c r="BD50" s="27">
        <f t="shared" si="63"/>
        <v>15000</v>
      </c>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row>
    <row r="51" spans="1:82" x14ac:dyDescent="0.25">
      <c r="A51" s="3" t="s">
        <v>5</v>
      </c>
      <c r="B51" s="11" t="str">
        <f t="shared" si="43"/>
        <v>發明</v>
      </c>
      <c r="C51" s="11" t="b">
        <f t="shared" si="43"/>
        <v>1</v>
      </c>
      <c r="D51" s="11"/>
      <c r="E51" s="139" t="str">
        <f t="shared" si="44"/>
        <v>同語言轉換案</v>
      </c>
      <c r="F51" s="3" t="s">
        <v>17</v>
      </c>
      <c r="G51" s="86"/>
      <c r="H51" s="7">
        <f>IF($W$5=FALSE,0,IF(C51=FALSE,0,1840))</f>
        <v>1840</v>
      </c>
      <c r="I51" s="86"/>
      <c r="J51" s="7">
        <f>IF($W$5=FALSE,0,IF(C51=FALSE,0,660))</f>
        <v>660</v>
      </c>
      <c r="K51" s="7">
        <f t="shared" si="45"/>
        <v>2500</v>
      </c>
      <c r="L51" s="23">
        <f>K51*$L$6</f>
        <v>86750</v>
      </c>
      <c r="M51" s="3" t="s">
        <v>17</v>
      </c>
      <c r="N51" s="7">
        <f>IF($W$6=FALSE,0,IF(C51=FALSE,0,0))</f>
        <v>0</v>
      </c>
      <c r="O51" s="7">
        <f>IF($W$6=FALSE,0,IF(C51=FALSE,0,1800))</f>
        <v>1800</v>
      </c>
      <c r="P51" s="86"/>
      <c r="Q51" s="7">
        <f>IF($W$6=FALSE,0,IF(C51=FALSE,0,110))</f>
        <v>110</v>
      </c>
      <c r="R51" s="7">
        <f>IF($W$6=FALSE,0,IF(C51=FALSE,0,70))</f>
        <v>70</v>
      </c>
      <c r="S51" s="86"/>
      <c r="T51" s="7">
        <f t="shared" si="46"/>
        <v>1980</v>
      </c>
      <c r="U51" s="23">
        <f>T51*$L$6</f>
        <v>68706</v>
      </c>
      <c r="V51" s="23">
        <f t="shared" si="58"/>
        <v>155456</v>
      </c>
      <c r="W51" s="7">
        <f>IF($W$7=FALSE,0,IF(C51=FALSE,0,40000))</f>
        <v>40000</v>
      </c>
      <c r="X51" s="86"/>
      <c r="Y51" s="86"/>
      <c r="Z51" s="86"/>
      <c r="AA51" s="23">
        <f t="shared" si="47"/>
        <v>40000</v>
      </c>
      <c r="AB51" s="23">
        <f t="shared" si="48"/>
        <v>195456</v>
      </c>
      <c r="AC51" s="14" t="str">
        <f>$A$22</f>
        <v>歐洲</v>
      </c>
      <c r="AD51" s="27">
        <f t="shared" si="49"/>
        <v>86750</v>
      </c>
      <c r="AE51" s="27">
        <f t="shared" si="50"/>
        <v>68706</v>
      </c>
      <c r="AF51" s="27">
        <f t="shared" si="51"/>
        <v>40000</v>
      </c>
      <c r="AG51" s="32"/>
      <c r="AH51" s="32"/>
      <c r="AI51" s="14" t="str">
        <f>$A$22</f>
        <v>歐洲</v>
      </c>
      <c r="AJ51" s="11" t="str">
        <f t="shared" si="52"/>
        <v>發明</v>
      </c>
      <c r="AK51" s="126" t="s">
        <v>16</v>
      </c>
      <c r="AL51" s="7">
        <f>IF($W$5=FALSE,0,IF(C51=FALSE,0,HLOOKUP(選項!$M$2,'P(M)年費表'!$AH$2:$BG$24,7)))</f>
        <v>31965.340000000004</v>
      </c>
      <c r="AM51" s="87"/>
      <c r="AN51" s="7"/>
      <c r="AO51" s="7">
        <f t="shared" si="53"/>
        <v>31965.340000000004</v>
      </c>
      <c r="AP51" s="89">
        <f>AO51*$L$5</f>
        <v>958960.20000000007</v>
      </c>
      <c r="AQ51" s="126" t="s">
        <v>16</v>
      </c>
      <c r="AR51" s="7">
        <f>IF($W$6=FALSE,0,IF(C51=FALSE,0,HLOOKUP(選項!$M$2,'P(M)年費表'!$AH$29:$BG$51,7)))</f>
        <v>7523.760000000002</v>
      </c>
      <c r="AS51" s="7"/>
      <c r="AT51" s="7"/>
      <c r="AU51" s="7">
        <f t="shared" si="54"/>
        <v>7523.760000000002</v>
      </c>
      <c r="AV51" s="89">
        <f>AU51*$L$5</f>
        <v>225712.80000000005</v>
      </c>
      <c r="AW51" s="22">
        <f t="shared" si="55"/>
        <v>1184673</v>
      </c>
      <c r="AX51" s="7">
        <f>IF($W$7=FALSE,0,IF(C51=FALSE,0,HLOOKUP(選項!$M$2,'P(M)年費表'!$AH$56:$BG$78,7)))</f>
        <v>255000</v>
      </c>
      <c r="AY51" s="22">
        <f t="shared" si="56"/>
        <v>255000</v>
      </c>
      <c r="AZ51" s="22">
        <f t="shared" si="57"/>
        <v>1439673</v>
      </c>
      <c r="BA51" s="14" t="str">
        <f>$A$22</f>
        <v>歐洲</v>
      </c>
      <c r="BB51" s="27">
        <f t="shared" si="61"/>
        <v>958960.20000000007</v>
      </c>
      <c r="BC51" s="27">
        <f t="shared" si="62"/>
        <v>225712.80000000005</v>
      </c>
      <c r="BD51" s="27">
        <f t="shared" si="63"/>
        <v>255000</v>
      </c>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row>
    <row r="52" spans="1:82" x14ac:dyDescent="0.25">
      <c r="A52" s="194" t="s">
        <v>6</v>
      </c>
      <c r="B52" s="11" t="str">
        <f t="shared" si="43"/>
        <v>發明</v>
      </c>
      <c r="C52" s="11" t="b">
        <f t="shared" si="43"/>
        <v>1</v>
      </c>
      <c r="D52" s="11"/>
      <c r="E52" s="139" t="str">
        <f t="shared" si="44"/>
        <v>翻譯案</v>
      </c>
      <c r="F52" s="3" t="s">
        <v>18</v>
      </c>
      <c r="G52" s="86"/>
      <c r="H52" s="86"/>
      <c r="I52" s="86"/>
      <c r="J52" s="86"/>
      <c r="K52" s="7">
        <f t="shared" si="45"/>
        <v>0</v>
      </c>
      <c r="L52" s="23">
        <f>K52*$L$7</f>
        <v>0</v>
      </c>
      <c r="M52" s="3" t="s">
        <v>18</v>
      </c>
      <c r="N52" s="7">
        <f>IF($W$6=FALSE,0,IF(C52=FALSE,0,15000))</f>
        <v>15000</v>
      </c>
      <c r="O52" s="7">
        <f>IF($W$6=FALSE,0,IF(C52=FALSE,0,200000))</f>
        <v>200000</v>
      </c>
      <c r="P52" s="86"/>
      <c r="Q52" s="86"/>
      <c r="R52" s="86"/>
      <c r="S52" s="86"/>
      <c r="T52" s="7">
        <f t="shared" si="46"/>
        <v>215000</v>
      </c>
      <c r="U52" s="23">
        <f>T52*$L$7</f>
        <v>45150</v>
      </c>
      <c r="V52" s="23">
        <f t="shared" si="58"/>
        <v>45150</v>
      </c>
      <c r="W52" s="7">
        <f>IF($W$7=FALSE,0,IF(C52=FALSE,0,40000))</f>
        <v>40000</v>
      </c>
      <c r="X52" s="86"/>
      <c r="Y52" s="86"/>
      <c r="Z52" s="86"/>
      <c r="AA52" s="23">
        <f t="shared" si="47"/>
        <v>40000</v>
      </c>
      <c r="AB52" s="23">
        <f t="shared" si="48"/>
        <v>85150</v>
      </c>
      <c r="AC52" s="200" t="str">
        <f>$A$23</f>
        <v>日本</v>
      </c>
      <c r="AD52" s="27">
        <f t="shared" si="49"/>
        <v>0</v>
      </c>
      <c r="AE52" s="27">
        <f t="shared" si="50"/>
        <v>45150</v>
      </c>
      <c r="AF52" s="27">
        <f t="shared" si="51"/>
        <v>40000</v>
      </c>
      <c r="AG52" s="32"/>
      <c r="AH52" s="32"/>
      <c r="AI52" s="200" t="str">
        <f>$A$23</f>
        <v>日本</v>
      </c>
      <c r="AJ52" s="11" t="str">
        <f t="shared" si="52"/>
        <v>發明</v>
      </c>
      <c r="AK52" s="3" t="str">
        <f t="shared" si="59"/>
        <v>JPY</v>
      </c>
      <c r="AL52" s="7">
        <f>IF($W$5=FALSE,0,IF(C52=FALSE,0,HLOOKUP(選項!$M$2,'P(M)年費表'!$AH$2:$BG$24,8)))</f>
        <v>1345700</v>
      </c>
      <c r="AM52" s="87"/>
      <c r="AN52" s="7"/>
      <c r="AO52" s="7">
        <f t="shared" si="53"/>
        <v>1345700</v>
      </c>
      <c r="AP52" s="22">
        <f>AO52*$L$7</f>
        <v>282597</v>
      </c>
      <c r="AQ52" s="3" t="str">
        <f t="shared" si="60"/>
        <v>JPY</v>
      </c>
      <c r="AR52" s="7">
        <f>IF($W$6=FALSE,0,IF(C52=FALSE,0,HLOOKUP(選項!$M$2,'P(M)年費表'!$AH$29:$BG$51,8)))</f>
        <v>195000</v>
      </c>
      <c r="AS52" s="7"/>
      <c r="AT52" s="7"/>
      <c r="AU52" s="7">
        <f t="shared" si="54"/>
        <v>195000</v>
      </c>
      <c r="AV52" s="22">
        <f>AU52*$L$7</f>
        <v>40950</v>
      </c>
      <c r="AW52" s="22">
        <f t="shared" si="55"/>
        <v>323547</v>
      </c>
      <c r="AX52" s="7">
        <f>IF($W$7=FALSE,0,IF(C52=FALSE,0,HLOOKUP(選項!$M$2,'P(M)年費表'!$AH$56:$BG$78,8)))</f>
        <v>85000</v>
      </c>
      <c r="AY52" s="22">
        <f t="shared" si="56"/>
        <v>85000</v>
      </c>
      <c r="AZ52" s="22">
        <f t="shared" si="57"/>
        <v>408547</v>
      </c>
      <c r="BA52" s="200" t="str">
        <f>$A$23</f>
        <v>日本</v>
      </c>
      <c r="BB52" s="27">
        <f t="shared" si="61"/>
        <v>282597</v>
      </c>
      <c r="BC52" s="27">
        <f t="shared" si="62"/>
        <v>40950</v>
      </c>
      <c r="BD52" s="27">
        <f t="shared" si="63"/>
        <v>85000</v>
      </c>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row>
    <row r="53" spans="1:82" x14ac:dyDescent="0.25">
      <c r="A53" s="195"/>
      <c r="B53" s="11" t="str">
        <f t="shared" si="43"/>
        <v>新型</v>
      </c>
      <c r="C53" s="11" t="b">
        <f t="shared" si="43"/>
        <v>0</v>
      </c>
      <c r="D53" s="11"/>
      <c r="E53" s="139" t="str">
        <f t="shared" si="44"/>
        <v>不申請</v>
      </c>
      <c r="F53" s="3" t="s">
        <v>18</v>
      </c>
      <c r="G53" s="86"/>
      <c r="H53" s="86"/>
      <c r="I53" s="86"/>
      <c r="J53" s="86"/>
      <c r="K53" s="7">
        <f t="shared" si="45"/>
        <v>0</v>
      </c>
      <c r="L53" s="23">
        <f>K53*$L$7</f>
        <v>0</v>
      </c>
      <c r="M53" s="3" t="s">
        <v>18</v>
      </c>
      <c r="N53" s="86"/>
      <c r="O53" s="86"/>
      <c r="P53" s="86"/>
      <c r="Q53" s="86"/>
      <c r="R53" s="86"/>
      <c r="S53" s="86"/>
      <c r="T53" s="7">
        <f t="shared" si="46"/>
        <v>0</v>
      </c>
      <c r="U53" s="23">
        <f>T53*$L$7</f>
        <v>0</v>
      </c>
      <c r="V53" s="23">
        <f t="shared" si="58"/>
        <v>0</v>
      </c>
      <c r="W53" s="86"/>
      <c r="X53" s="86"/>
      <c r="Y53" s="86"/>
      <c r="Z53" s="86"/>
      <c r="AA53" s="23">
        <f t="shared" si="47"/>
        <v>0</v>
      </c>
      <c r="AB53" s="23">
        <f t="shared" si="48"/>
        <v>0</v>
      </c>
      <c r="AC53" s="195"/>
      <c r="AD53" s="27">
        <f t="shared" si="49"/>
        <v>0</v>
      </c>
      <c r="AE53" s="27">
        <f t="shared" si="50"/>
        <v>0</v>
      </c>
      <c r="AF53" s="27">
        <f t="shared" si="51"/>
        <v>0</v>
      </c>
      <c r="AG53" s="32"/>
      <c r="AH53" s="32"/>
      <c r="AI53" s="195"/>
      <c r="AJ53" s="11" t="str">
        <f t="shared" si="52"/>
        <v>新型</v>
      </c>
      <c r="AK53" s="3" t="str">
        <f t="shared" si="59"/>
        <v>JPY</v>
      </c>
      <c r="AL53" s="7">
        <f>IF($W$5=FALSE,0,IF(C53=FALSE,0,HLOOKUP(選項!$M$2,'P(M)年費表'!$AH$2:$BG$24,9)))</f>
        <v>0</v>
      </c>
      <c r="AM53" s="87"/>
      <c r="AN53" s="7"/>
      <c r="AO53" s="7">
        <f t="shared" si="53"/>
        <v>0</v>
      </c>
      <c r="AP53" s="22">
        <f>AO53*$L$7</f>
        <v>0</v>
      </c>
      <c r="AQ53" s="3" t="str">
        <f t="shared" si="60"/>
        <v>JPY</v>
      </c>
      <c r="AR53" s="7">
        <f>IF($W$6=FALSE,0,IF(C53=FALSE,0,HLOOKUP(選項!$M$2,'P(M)年費表'!$AH$29:$BG$51,9)))</f>
        <v>0</v>
      </c>
      <c r="AS53" s="7"/>
      <c r="AT53" s="7"/>
      <c r="AU53" s="7">
        <f t="shared" si="54"/>
        <v>0</v>
      </c>
      <c r="AV53" s="22">
        <f>AU53*$L$7</f>
        <v>0</v>
      </c>
      <c r="AW53" s="22">
        <f t="shared" si="55"/>
        <v>0</v>
      </c>
      <c r="AX53" s="7">
        <f>IF($W$7=FALSE,0,IF(C53=FALSE,0,HLOOKUP(選項!$M$2,'P(M)年費表'!$AH$56:$BG$78,9)))</f>
        <v>0</v>
      </c>
      <c r="AY53" s="22">
        <f t="shared" si="56"/>
        <v>0</v>
      </c>
      <c r="AZ53" s="22">
        <f t="shared" si="57"/>
        <v>0</v>
      </c>
      <c r="BA53" s="195"/>
      <c r="BB53" s="27">
        <f t="shared" si="61"/>
        <v>0</v>
      </c>
      <c r="BC53" s="27">
        <f t="shared" si="62"/>
        <v>0</v>
      </c>
      <c r="BD53" s="27">
        <f t="shared" si="63"/>
        <v>0</v>
      </c>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row>
    <row r="54" spans="1:82" x14ac:dyDescent="0.25">
      <c r="A54" s="194" t="s">
        <v>7</v>
      </c>
      <c r="B54" s="11" t="str">
        <f t="shared" si="43"/>
        <v>發明</v>
      </c>
      <c r="C54" s="11" t="b">
        <f t="shared" si="43"/>
        <v>1</v>
      </c>
      <c r="D54" s="11"/>
      <c r="E54" s="139" t="str">
        <f t="shared" si="44"/>
        <v>翻譯案</v>
      </c>
      <c r="F54" s="3" t="s">
        <v>19</v>
      </c>
      <c r="G54" s="7">
        <f>IF($W$5=FALSE,0,IF(C54=FALSE,0,4000))</f>
        <v>4000</v>
      </c>
      <c r="H54" s="86"/>
      <c r="I54" s="86"/>
      <c r="J54" s="86"/>
      <c r="K54" s="7">
        <f t="shared" si="45"/>
        <v>4000</v>
      </c>
      <c r="L54" s="23">
        <f>K54*$L$8</f>
        <v>100</v>
      </c>
      <c r="M54" s="3" t="s">
        <v>16</v>
      </c>
      <c r="N54" s="86"/>
      <c r="O54" s="7">
        <f>IF($W$6=FALSE,0,IF(C54=FALSE,0,1000))</f>
        <v>1000</v>
      </c>
      <c r="P54" s="86"/>
      <c r="Q54" s="86"/>
      <c r="R54" s="86"/>
      <c r="S54" s="7">
        <f>IF($W$6=FALSE,0,IF(C54=FALSE,0,1000))</f>
        <v>1000</v>
      </c>
      <c r="T54" s="7">
        <f t="shared" si="46"/>
        <v>2000</v>
      </c>
      <c r="U54" s="23">
        <f>T54*$L$5</f>
        <v>60000</v>
      </c>
      <c r="V54" s="23">
        <f t="shared" si="58"/>
        <v>60100</v>
      </c>
      <c r="W54" s="7">
        <f t="shared" ref="W54:W65" si="64">IF($W$7=FALSE,0,IF(C54=FALSE,0,40000))</f>
        <v>40000</v>
      </c>
      <c r="X54" s="86"/>
      <c r="Y54" s="86"/>
      <c r="Z54" s="86"/>
      <c r="AA54" s="23">
        <f t="shared" si="47"/>
        <v>40000</v>
      </c>
      <c r="AB54" s="23">
        <f t="shared" si="48"/>
        <v>100100</v>
      </c>
      <c r="AC54" s="200" t="str">
        <f>$A$25</f>
        <v>韓國</v>
      </c>
      <c r="AD54" s="27">
        <f t="shared" si="49"/>
        <v>100</v>
      </c>
      <c r="AE54" s="27">
        <f t="shared" si="50"/>
        <v>60000</v>
      </c>
      <c r="AF54" s="27">
        <f t="shared" si="51"/>
        <v>40000</v>
      </c>
      <c r="AG54" s="32"/>
      <c r="AH54" s="32"/>
      <c r="AI54" s="200" t="str">
        <f>$A$25</f>
        <v>韓國</v>
      </c>
      <c r="AJ54" s="11" t="str">
        <f t="shared" si="52"/>
        <v>發明</v>
      </c>
      <c r="AK54" s="3" t="str">
        <f t="shared" si="59"/>
        <v>KRW</v>
      </c>
      <c r="AL54" s="7">
        <f>IF($W$5=FALSE,0,IF(C54=FALSE,0,HLOOKUP(選項!$M$2,'P(M)年費表'!$AH$2:$BG$24,10)))</f>
        <v>10628000</v>
      </c>
      <c r="AM54" s="87"/>
      <c r="AN54" s="7"/>
      <c r="AO54" s="7">
        <f t="shared" si="53"/>
        <v>10628000</v>
      </c>
      <c r="AP54" s="22">
        <f>AO54*$L$8</f>
        <v>265700</v>
      </c>
      <c r="AQ54" s="3" t="str">
        <f t="shared" si="60"/>
        <v>USD</v>
      </c>
      <c r="AR54" s="7">
        <f>IF($W$6=FALSE,0,IF(C54=FALSE,0,HLOOKUP(選項!$M$2,'P(M)年費表'!$AH$29:$BG$51,10)))</f>
        <v>3210</v>
      </c>
      <c r="AS54" s="7"/>
      <c r="AT54" s="7"/>
      <c r="AU54" s="7">
        <f t="shared" si="54"/>
        <v>3210</v>
      </c>
      <c r="AV54" s="22">
        <f>AU54*$L$5</f>
        <v>96300</v>
      </c>
      <c r="AW54" s="22">
        <f t="shared" si="55"/>
        <v>362000</v>
      </c>
      <c r="AX54" s="7">
        <f>IF($W$7=FALSE,0,IF(C54=FALSE,0,HLOOKUP(選項!$M$2,'P(M)年費表'!$AH$56:$BG$78,10)))</f>
        <v>85000</v>
      </c>
      <c r="AY54" s="22">
        <f t="shared" si="56"/>
        <v>85000</v>
      </c>
      <c r="AZ54" s="22">
        <f t="shared" si="57"/>
        <v>447000</v>
      </c>
      <c r="BA54" s="200" t="str">
        <f>$A$25</f>
        <v>韓國</v>
      </c>
      <c r="BB54" s="27">
        <f t="shared" si="61"/>
        <v>265700</v>
      </c>
      <c r="BC54" s="27">
        <f t="shared" si="62"/>
        <v>96300</v>
      </c>
      <c r="BD54" s="27">
        <f t="shared" si="63"/>
        <v>85000</v>
      </c>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row>
    <row r="55" spans="1:82" x14ac:dyDescent="0.25">
      <c r="A55" s="195"/>
      <c r="B55" s="11" t="str">
        <f t="shared" si="43"/>
        <v>新型</v>
      </c>
      <c r="C55" s="11" t="b">
        <f t="shared" si="43"/>
        <v>0</v>
      </c>
      <c r="D55" s="11"/>
      <c r="E55" s="139" t="str">
        <f t="shared" si="44"/>
        <v>不申請</v>
      </c>
      <c r="F55" s="3" t="s">
        <v>19</v>
      </c>
      <c r="G55" s="7">
        <f>IF($W$5=FALSE,0,IF(C55=FALSE,0,4000))</f>
        <v>0</v>
      </c>
      <c r="H55" s="86"/>
      <c r="I55" s="86"/>
      <c r="J55" s="86"/>
      <c r="K55" s="7">
        <f t="shared" si="45"/>
        <v>0</v>
      </c>
      <c r="L55" s="23">
        <f>K55*$L$8</f>
        <v>0</v>
      </c>
      <c r="M55" s="3" t="s">
        <v>16</v>
      </c>
      <c r="N55" s="86"/>
      <c r="O55" s="7">
        <f>IF($W$6=FALSE,0,IF(C55=FALSE,0,1000))</f>
        <v>0</v>
      </c>
      <c r="P55" s="86"/>
      <c r="Q55" s="86"/>
      <c r="R55" s="86"/>
      <c r="S55" s="7">
        <f>IF($W$6=FALSE,0,IF(C55=FALSE,0,1000))</f>
        <v>0</v>
      </c>
      <c r="T55" s="7">
        <f t="shared" si="46"/>
        <v>0</v>
      </c>
      <c r="U55" s="23">
        <f>T55*$L$5</f>
        <v>0</v>
      </c>
      <c r="V55" s="23">
        <f t="shared" si="58"/>
        <v>0</v>
      </c>
      <c r="W55" s="7">
        <f t="shared" si="64"/>
        <v>0</v>
      </c>
      <c r="X55" s="86"/>
      <c r="Y55" s="86"/>
      <c r="Z55" s="86"/>
      <c r="AA55" s="23">
        <f t="shared" si="47"/>
        <v>0</v>
      </c>
      <c r="AB55" s="23">
        <f t="shared" si="48"/>
        <v>0</v>
      </c>
      <c r="AC55" s="195"/>
      <c r="AD55" s="27">
        <f t="shared" si="49"/>
        <v>0</v>
      </c>
      <c r="AE55" s="27">
        <f t="shared" si="50"/>
        <v>0</v>
      </c>
      <c r="AF55" s="27">
        <f t="shared" si="51"/>
        <v>0</v>
      </c>
      <c r="AG55" s="32"/>
      <c r="AH55" s="32"/>
      <c r="AI55" s="195"/>
      <c r="AJ55" s="11" t="str">
        <f t="shared" si="52"/>
        <v>新型</v>
      </c>
      <c r="AK55" s="3" t="str">
        <f t="shared" si="59"/>
        <v>KRW</v>
      </c>
      <c r="AL55" s="7">
        <f>IF($W$5=FALSE,0,IF(C55=FALSE,0,HLOOKUP(選項!$M$2,'P(M)年費表'!$AH$2:$BG$24,11)))</f>
        <v>0</v>
      </c>
      <c r="AM55" s="87"/>
      <c r="AN55" s="7"/>
      <c r="AO55" s="7">
        <f t="shared" si="53"/>
        <v>0</v>
      </c>
      <c r="AP55" s="22">
        <f>AO55*$L$8</f>
        <v>0</v>
      </c>
      <c r="AQ55" s="3" t="str">
        <f t="shared" si="60"/>
        <v>USD</v>
      </c>
      <c r="AR55" s="7">
        <f>IF($W$6=FALSE,0,IF(C55=FALSE,0,HLOOKUP(選項!$M$2,'P(M)年費表'!$AH$29:$BG$51,11)))</f>
        <v>0</v>
      </c>
      <c r="AS55" s="7"/>
      <c r="AT55" s="7"/>
      <c r="AU55" s="7">
        <f t="shared" si="54"/>
        <v>0</v>
      </c>
      <c r="AV55" s="22">
        <f>AU55*$L$5</f>
        <v>0</v>
      </c>
      <c r="AW55" s="22">
        <f t="shared" si="55"/>
        <v>0</v>
      </c>
      <c r="AX55" s="7">
        <f>IF($W$7=FALSE,0,IF(C55=FALSE,0,HLOOKUP(選項!$M$2,'P(M)年費表'!$AH$56:$BG$78,11)))</f>
        <v>0</v>
      </c>
      <c r="AY55" s="22">
        <f t="shared" si="56"/>
        <v>0</v>
      </c>
      <c r="AZ55" s="22">
        <f t="shared" si="57"/>
        <v>0</v>
      </c>
      <c r="BA55" s="195"/>
      <c r="BB55" s="27">
        <f t="shared" si="61"/>
        <v>0</v>
      </c>
      <c r="BC55" s="27">
        <f t="shared" si="62"/>
        <v>0</v>
      </c>
      <c r="BD55" s="27">
        <f t="shared" si="63"/>
        <v>0</v>
      </c>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row>
    <row r="56" spans="1:82" x14ac:dyDescent="0.25">
      <c r="A56" s="3" t="s">
        <v>42</v>
      </c>
      <c r="B56" s="11" t="str">
        <f t="shared" si="43"/>
        <v>發明</v>
      </c>
      <c r="C56" s="11" t="b">
        <f t="shared" si="43"/>
        <v>1</v>
      </c>
      <c r="D56" s="11"/>
      <c r="E56" s="139" t="str">
        <f t="shared" si="44"/>
        <v>同語言轉換案</v>
      </c>
      <c r="F56" s="3" t="s">
        <v>43</v>
      </c>
      <c r="G56" s="86"/>
      <c r="H56" s="86"/>
      <c r="I56" s="86"/>
      <c r="J56" s="86"/>
      <c r="K56" s="7">
        <f>IF($U$8=FALSE,0,SUM(G56:J56))</f>
        <v>0</v>
      </c>
      <c r="L56" s="23">
        <f>K56*$N$9</f>
        <v>0</v>
      </c>
      <c r="M56" s="3" t="s">
        <v>43</v>
      </c>
      <c r="N56" s="86"/>
      <c r="O56" s="7">
        <f>IF($W$6=FALSE,0,IF(C56=FALSE,0,2000))</f>
        <v>2000</v>
      </c>
      <c r="P56" s="86"/>
      <c r="Q56" s="86"/>
      <c r="R56" s="86"/>
      <c r="S56" s="86"/>
      <c r="T56" s="7">
        <f>IF($U$8=FALSE,0,SUM(N56:S56))</f>
        <v>2000</v>
      </c>
      <c r="U56" s="23">
        <f>T56*$N$9</f>
        <v>44000</v>
      </c>
      <c r="V56" s="23">
        <f>L56+U56</f>
        <v>44000</v>
      </c>
      <c r="W56" s="7">
        <f>IF($W$7=FALSE,0,IF(C56=FALSE,0,40000))</f>
        <v>40000</v>
      </c>
      <c r="X56" s="86"/>
      <c r="Y56" s="86"/>
      <c r="Z56" s="86"/>
      <c r="AA56" s="23">
        <f>IF($U$8=FALSE,0,SUM(W56:Z56))</f>
        <v>40000</v>
      </c>
      <c r="AB56" s="23">
        <f>V56+AA56</f>
        <v>84000</v>
      </c>
      <c r="AC56" s="14" t="str">
        <f>$A$27</f>
        <v>加拿大</v>
      </c>
      <c r="AD56" s="27">
        <f>L56</f>
        <v>0</v>
      </c>
      <c r="AE56" s="27">
        <f>U56</f>
        <v>44000</v>
      </c>
      <c r="AF56" s="27">
        <f>AA56</f>
        <v>40000</v>
      </c>
      <c r="AG56" s="32"/>
      <c r="AH56" s="32"/>
      <c r="AI56" s="14" t="str">
        <f>$A$27</f>
        <v>加拿大</v>
      </c>
      <c r="AJ56" s="11" t="str">
        <f>B56</f>
        <v>發明</v>
      </c>
      <c r="AK56" s="3" t="str">
        <f>F56</f>
        <v>CAD</v>
      </c>
      <c r="AL56" s="7">
        <f>IF($W$5=FALSE,0,IF(C56=FALSE,0,HLOOKUP(選項!$M$2,'P(M)年費表'!$AH$2:$BG$24,12)))</f>
        <v>2671.1900000000005</v>
      </c>
      <c r="AM56" s="87"/>
      <c r="AN56" s="7"/>
      <c r="AO56" s="7">
        <f>IF($U$7=FALSE,0,SUM(AL56:AN56))</f>
        <v>2671.1900000000005</v>
      </c>
      <c r="AP56" s="22">
        <f>AO56*$N$9</f>
        <v>58766.180000000008</v>
      </c>
      <c r="AQ56" s="3" t="str">
        <f>M56</f>
        <v>CAD</v>
      </c>
      <c r="AR56" s="7">
        <f>IF($W$6=FALSE,0,IF(C56=FALSE,0,HLOOKUP(選項!$M$2,'P(M)年費表'!$AH$29:$BG$51,12)))</f>
        <v>4050</v>
      </c>
      <c r="AS56" s="7"/>
      <c r="AT56" s="7"/>
      <c r="AU56" s="7">
        <f>IF($U$7=FALSE,0,SUM(AR56:AT56))</f>
        <v>4050</v>
      </c>
      <c r="AV56" s="22">
        <f>AU56*$N$9</f>
        <v>89100</v>
      </c>
      <c r="AW56" s="22">
        <f>AP56+AV56</f>
        <v>147866.18</v>
      </c>
      <c r="AX56" s="7">
        <f>IF($W$7=FALSE,0,IF(C56=FALSE,0,HLOOKUP(選項!$M$2,'P(M)年費表'!$AH$56:$BG$78,12)))</f>
        <v>90000</v>
      </c>
      <c r="AY56" s="22">
        <f>IF($U$7=FALSE,0,SUM(AX56:AX56))</f>
        <v>90000</v>
      </c>
      <c r="AZ56" s="22">
        <f>AW56+AY56</f>
        <v>237866.18</v>
      </c>
      <c r="BA56" s="14" t="str">
        <f>$A$27</f>
        <v>加拿大</v>
      </c>
      <c r="BB56" s="27">
        <f>AP56</f>
        <v>58766.180000000008</v>
      </c>
      <c r="BC56" s="27">
        <f>AV56</f>
        <v>89100</v>
      </c>
      <c r="BD56" s="27">
        <f>AY56</f>
        <v>90000</v>
      </c>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row>
    <row r="57" spans="1:82" x14ac:dyDescent="0.25">
      <c r="A57" s="3" t="s">
        <v>8</v>
      </c>
      <c r="B57" s="11" t="str">
        <f t="shared" si="43"/>
        <v>發明</v>
      </c>
      <c r="C57" s="11" t="b">
        <f t="shared" si="43"/>
        <v>1</v>
      </c>
      <c r="D57" s="11"/>
      <c r="E57" s="139" t="str">
        <f t="shared" si="44"/>
        <v>同語言轉換案</v>
      </c>
      <c r="F57" s="3" t="s">
        <v>20</v>
      </c>
      <c r="G57" s="86"/>
      <c r="H57" s="86"/>
      <c r="I57" s="86"/>
      <c r="J57" s="86"/>
      <c r="K57" s="7">
        <f t="shared" si="45"/>
        <v>0</v>
      </c>
      <c r="L57" s="23">
        <f>K57*$N$6</f>
        <v>0</v>
      </c>
      <c r="M57" s="3" t="s">
        <v>20</v>
      </c>
      <c r="N57" s="7">
        <f>IF($W$6=FALSE,0,IF(C57=FALSE,0,400))</f>
        <v>400</v>
      </c>
      <c r="O57" s="7">
        <f>IF($W$6=FALSE,0,IF(C57=FALSE,0,1500))</f>
        <v>1500</v>
      </c>
      <c r="P57" s="86"/>
      <c r="Q57" s="86"/>
      <c r="R57" s="86"/>
      <c r="S57" s="86"/>
      <c r="T57" s="7">
        <f t="shared" si="46"/>
        <v>1900</v>
      </c>
      <c r="U57" s="23">
        <f>T57*$N$6</f>
        <v>44650</v>
      </c>
      <c r="V57" s="23">
        <f t="shared" si="58"/>
        <v>44650</v>
      </c>
      <c r="W57" s="7">
        <f t="shared" si="64"/>
        <v>40000</v>
      </c>
      <c r="X57" s="86"/>
      <c r="Y57" s="86"/>
      <c r="Z57" s="86"/>
      <c r="AA57" s="23">
        <f t="shared" si="47"/>
        <v>40000</v>
      </c>
      <c r="AB57" s="23">
        <f t="shared" si="48"/>
        <v>84650</v>
      </c>
      <c r="AC57" s="14" t="str">
        <f>$A$28</f>
        <v>新加坡</v>
      </c>
      <c r="AD57" s="27">
        <f t="shared" si="49"/>
        <v>0</v>
      </c>
      <c r="AE57" s="27">
        <f t="shared" si="50"/>
        <v>44650</v>
      </c>
      <c r="AF57" s="27">
        <f t="shared" si="51"/>
        <v>40000</v>
      </c>
      <c r="AG57" s="32"/>
      <c r="AH57" s="32"/>
      <c r="AI57" s="14" t="str">
        <f>$A$28</f>
        <v>新加坡</v>
      </c>
      <c r="AJ57" s="11" t="str">
        <f t="shared" si="52"/>
        <v>發明</v>
      </c>
      <c r="AK57" s="3" t="str">
        <f t="shared" si="59"/>
        <v>SGD</v>
      </c>
      <c r="AL57" s="7">
        <f>IF($W$5=FALSE,0,IF(C57=FALSE,0,HLOOKUP(選項!$M$2,'P(M)年費表'!$AH$2:$BG$24,13)))</f>
        <v>9865</v>
      </c>
      <c r="AM57" s="87"/>
      <c r="AN57" s="7"/>
      <c r="AO57" s="7">
        <f t="shared" si="53"/>
        <v>9865</v>
      </c>
      <c r="AP57" s="22">
        <f>AO57*$N$6</f>
        <v>231827.5</v>
      </c>
      <c r="AQ57" s="3" t="str">
        <f t="shared" si="60"/>
        <v>SGD</v>
      </c>
      <c r="AR57" s="7">
        <f>IF($W$6=FALSE,0,IF(C57=FALSE,0,HLOOKUP(選項!$M$2,'P(M)年費表'!$AH$29:$BG$51,13)))</f>
        <v>5400</v>
      </c>
      <c r="AS57" s="7"/>
      <c r="AT57" s="7"/>
      <c r="AU57" s="7">
        <f t="shared" si="54"/>
        <v>5400</v>
      </c>
      <c r="AV57" s="22">
        <f>AU57*$N$6</f>
        <v>126900</v>
      </c>
      <c r="AW57" s="22">
        <f t="shared" si="55"/>
        <v>358727.5</v>
      </c>
      <c r="AX57" s="7">
        <f>IF($W$7=FALSE,0,IF(C57=FALSE,0,HLOOKUP(選項!$M$2,'P(M)年費表'!$AH$56:$BG$78,13)))</f>
        <v>80000</v>
      </c>
      <c r="AY57" s="22">
        <f t="shared" si="56"/>
        <v>80000</v>
      </c>
      <c r="AZ57" s="22">
        <f t="shared" si="57"/>
        <v>438727.5</v>
      </c>
      <c r="BA57" s="14" t="str">
        <f>$A$28</f>
        <v>新加坡</v>
      </c>
      <c r="BB57" s="27">
        <f t="shared" si="61"/>
        <v>231827.5</v>
      </c>
      <c r="BC57" s="27">
        <f t="shared" si="62"/>
        <v>126900</v>
      </c>
      <c r="BD57" s="27">
        <f t="shared" si="63"/>
        <v>80000</v>
      </c>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row>
    <row r="58" spans="1:82" x14ac:dyDescent="0.25">
      <c r="A58" s="194" t="s">
        <v>11</v>
      </c>
      <c r="B58" s="11" t="str">
        <f t="shared" si="43"/>
        <v>發明</v>
      </c>
      <c r="C58" s="11" t="b">
        <f t="shared" si="43"/>
        <v>1</v>
      </c>
      <c r="D58" s="11"/>
      <c r="E58" s="139" t="str">
        <f t="shared" si="44"/>
        <v>同語言轉換案</v>
      </c>
      <c r="F58" s="3" t="s">
        <v>23</v>
      </c>
      <c r="G58" s="86"/>
      <c r="H58" s="86"/>
      <c r="I58" s="86"/>
      <c r="J58" s="86"/>
      <c r="K58" s="7">
        <f>IF($U$8=FALSE,0,SUM(G58:J58))</f>
        <v>0</v>
      </c>
      <c r="L58" s="23">
        <f>K58*$N$8</f>
        <v>0</v>
      </c>
      <c r="M58" s="3" t="s">
        <v>23</v>
      </c>
      <c r="N58" s="7">
        <f>IF($W$6=FALSE,0,IF(C58=FALSE,0,212))</f>
        <v>212</v>
      </c>
      <c r="O58" s="7">
        <f>IF($W$6=FALSE,0,IF(C58=FALSE,0,3500))</f>
        <v>3500</v>
      </c>
      <c r="P58" s="86"/>
      <c r="Q58" s="86"/>
      <c r="R58" s="86"/>
      <c r="S58" s="86"/>
      <c r="T58" s="7">
        <f>IF($U$8=FALSE,0,SUM(N58:S58))</f>
        <v>3712</v>
      </c>
      <c r="U58" s="23">
        <f>T58*$N$8</f>
        <v>27468.800000000003</v>
      </c>
      <c r="V58" s="23">
        <f>L58+U58</f>
        <v>27468.800000000003</v>
      </c>
      <c r="W58" s="7">
        <f>IF($W$7=FALSE,0,IF(C58=FALSE,0,40000))</f>
        <v>40000</v>
      </c>
      <c r="X58" s="86"/>
      <c r="Y58" s="86"/>
      <c r="Z58" s="86"/>
      <c r="AA58" s="23">
        <f>IF($U$8=FALSE,0,SUM(W58:Z58))</f>
        <v>40000</v>
      </c>
      <c r="AB58" s="23">
        <f>V58+AA58</f>
        <v>67468.800000000003</v>
      </c>
      <c r="AC58" s="200" t="str">
        <f>$A$29</f>
        <v>馬來西亞</v>
      </c>
      <c r="AD58" s="27">
        <f>L58</f>
        <v>0</v>
      </c>
      <c r="AE58" s="27">
        <f>U58</f>
        <v>27468.800000000003</v>
      </c>
      <c r="AF58" s="27">
        <f>AA58</f>
        <v>40000</v>
      </c>
      <c r="AG58" s="32"/>
      <c r="AH58" s="32"/>
      <c r="AI58" s="200" t="str">
        <f>$A$29</f>
        <v>馬來西亞</v>
      </c>
      <c r="AJ58" s="11" t="str">
        <f>B58</f>
        <v>發明</v>
      </c>
      <c r="AK58" s="3" t="str">
        <f>F58</f>
        <v>MYR</v>
      </c>
      <c r="AL58" s="7">
        <f>IF($W$5=FALSE,0,IF(C58=FALSE,0,HLOOKUP(選項!$M$2,'P(M)年費表'!$AH$2:$BG$24,14)))</f>
        <v>24150</v>
      </c>
      <c r="AM58" s="87"/>
      <c r="AN58" s="7"/>
      <c r="AO58" s="7">
        <f>IF($U$7=FALSE,0,SUM(AL58:AN58))</f>
        <v>24150</v>
      </c>
      <c r="AP58" s="22">
        <f>AO58*$N$8</f>
        <v>178710</v>
      </c>
      <c r="AQ58" s="3" t="str">
        <f>M58</f>
        <v>MYR</v>
      </c>
      <c r="AR58" s="7">
        <f>IF($W$6=FALSE,0,IF(C58=FALSE,0,HLOOKUP(選項!$M$2,'P(M)年費表'!$AH$29:$BG$51,14)))</f>
        <v>5435</v>
      </c>
      <c r="AS58" s="7"/>
      <c r="AT58" s="7"/>
      <c r="AU58" s="7">
        <f>IF($U$7=FALSE,0,SUM(AR58:AT58))</f>
        <v>5435</v>
      </c>
      <c r="AV58" s="22">
        <f>AU58*$N$8</f>
        <v>40219</v>
      </c>
      <c r="AW58" s="22">
        <f>AP58+AV58</f>
        <v>218929</v>
      </c>
      <c r="AX58" s="7">
        <f>IF($W$7=FALSE,0,IF(C58=FALSE,0,HLOOKUP(選項!$M$2,'P(M)年費表'!$AH$56:$BG$78,14)))</f>
        <v>95000</v>
      </c>
      <c r="AY58" s="22">
        <f>IF($U$7=FALSE,0,SUM(AX58:AX58))</f>
        <v>95000</v>
      </c>
      <c r="AZ58" s="22">
        <f>AW58+AY58</f>
        <v>313929</v>
      </c>
      <c r="BA58" s="200" t="str">
        <f>$A$29</f>
        <v>馬來西亞</v>
      </c>
      <c r="BB58" s="27">
        <f>AP58</f>
        <v>178710</v>
      </c>
      <c r="BC58" s="27">
        <f>AV58</f>
        <v>40219</v>
      </c>
      <c r="BD58" s="27">
        <f>AY58</f>
        <v>95000</v>
      </c>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row>
    <row r="59" spans="1:82" x14ac:dyDescent="0.25">
      <c r="A59" s="195"/>
      <c r="B59" s="11" t="str">
        <f t="shared" si="43"/>
        <v>新型</v>
      </c>
      <c r="C59" s="11" t="b">
        <f t="shared" si="43"/>
        <v>0</v>
      </c>
      <c r="D59" s="11"/>
      <c r="E59" s="139" t="str">
        <f t="shared" si="44"/>
        <v>不申請</v>
      </c>
      <c r="F59" s="3" t="s">
        <v>23</v>
      </c>
      <c r="G59" s="86"/>
      <c r="H59" s="86"/>
      <c r="I59" s="86"/>
      <c r="J59" s="86"/>
      <c r="K59" s="7">
        <f>IF($U$8=FALSE,0,SUM(G59:J59))</f>
        <v>0</v>
      </c>
      <c r="L59" s="23">
        <f>K59*$N$8</f>
        <v>0</v>
      </c>
      <c r="M59" s="3" t="s">
        <v>23</v>
      </c>
      <c r="N59" s="7">
        <f>IF($W$6=FALSE,0,IF(C59=FALSE,0,212))</f>
        <v>0</v>
      </c>
      <c r="O59" s="7">
        <f>IF($W$6=FALSE,0,IF(C59=FALSE,0,3500))</f>
        <v>0</v>
      </c>
      <c r="P59" s="86"/>
      <c r="Q59" s="86"/>
      <c r="R59" s="86"/>
      <c r="S59" s="86"/>
      <c r="T59" s="7">
        <f>IF($U$8=FALSE,0,SUM(N59:S59))</f>
        <v>0</v>
      </c>
      <c r="U59" s="23">
        <f>T59*$N$8</f>
        <v>0</v>
      </c>
      <c r="V59" s="23">
        <f>L59+U59</f>
        <v>0</v>
      </c>
      <c r="W59" s="7">
        <f>IF($W$7=FALSE,0,IF(C59=FALSE,0,40000))</f>
        <v>0</v>
      </c>
      <c r="X59" s="86"/>
      <c r="Y59" s="86"/>
      <c r="Z59" s="86"/>
      <c r="AA59" s="23">
        <f>IF($U$8=FALSE,0,SUM(W59:Z59))</f>
        <v>0</v>
      </c>
      <c r="AB59" s="23">
        <f>V59+AA59</f>
        <v>0</v>
      </c>
      <c r="AC59" s="195"/>
      <c r="AD59" s="27">
        <f>L59</f>
        <v>0</v>
      </c>
      <c r="AE59" s="27">
        <f>U59</f>
        <v>0</v>
      </c>
      <c r="AF59" s="27">
        <f>AA59</f>
        <v>0</v>
      </c>
      <c r="AG59" s="32"/>
      <c r="AH59" s="32"/>
      <c r="AI59" s="195"/>
      <c r="AJ59" s="11" t="str">
        <f>B59</f>
        <v>新型</v>
      </c>
      <c r="AK59" s="3" t="str">
        <f>F59</f>
        <v>MYR</v>
      </c>
      <c r="AL59" s="7">
        <f>IF($W$5=FALSE,0,IF(C59=FALSE,0,HLOOKUP(選項!$M$2,'P(M)年費表'!$AH$2:$BG$24,15)))</f>
        <v>0</v>
      </c>
      <c r="AM59" s="87"/>
      <c r="AN59" s="7"/>
      <c r="AO59" s="7">
        <f>IF($U$7=FALSE,0,SUM(AL59:AN59))</f>
        <v>0</v>
      </c>
      <c r="AP59" s="22">
        <f>AO59*$N$8</f>
        <v>0</v>
      </c>
      <c r="AQ59" s="3" t="str">
        <f>M59</f>
        <v>MYR</v>
      </c>
      <c r="AR59" s="7">
        <f>IF($W$6=FALSE,0,IF(C59=FALSE,0,HLOOKUP(選項!$M$2,'P(M)年費表'!$AH$29:$BG$51,15)))</f>
        <v>0</v>
      </c>
      <c r="AS59" s="7"/>
      <c r="AT59" s="7"/>
      <c r="AU59" s="7">
        <f>IF($U$7=FALSE,0,SUM(AR59:AT59))</f>
        <v>0</v>
      </c>
      <c r="AV59" s="22">
        <f>AU59*$N$8</f>
        <v>0</v>
      </c>
      <c r="AW59" s="22">
        <f>AP59+AV59</f>
        <v>0</v>
      </c>
      <c r="AX59" s="7">
        <f>IF($W$7=FALSE,0,IF(C59=FALSE,0,HLOOKUP(選項!$M$2,'P(M)年費表'!$AH$56:$BG$78,15)))</f>
        <v>0</v>
      </c>
      <c r="AY59" s="22">
        <f>IF($U$7=FALSE,0,SUM(AX59:AX59))</f>
        <v>0</v>
      </c>
      <c r="AZ59" s="22">
        <f>AW59+AY59</f>
        <v>0</v>
      </c>
      <c r="BA59" s="195"/>
      <c r="BB59" s="27">
        <f>AP59</f>
        <v>0</v>
      </c>
      <c r="BC59" s="27">
        <f>AV59</f>
        <v>0</v>
      </c>
      <c r="BD59" s="27">
        <f>AY59</f>
        <v>0</v>
      </c>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row>
    <row r="60" spans="1:82" x14ac:dyDescent="0.25">
      <c r="A60" s="53" t="s">
        <v>146</v>
      </c>
      <c r="B60" s="11" t="str">
        <f t="shared" si="43"/>
        <v>發明</v>
      </c>
      <c r="C60" s="11" t="b">
        <f t="shared" si="43"/>
        <v>0</v>
      </c>
      <c r="D60" s="11"/>
      <c r="E60" s="139" t="str">
        <f t="shared" si="44"/>
        <v>不申請</v>
      </c>
      <c r="F60" s="3" t="s">
        <v>16</v>
      </c>
      <c r="G60" s="86"/>
      <c r="H60" s="86"/>
      <c r="I60" s="86"/>
      <c r="J60" s="86"/>
      <c r="K60" s="7">
        <f t="shared" si="45"/>
        <v>0</v>
      </c>
      <c r="L60" s="23">
        <f>K60*$L$5</f>
        <v>0</v>
      </c>
      <c r="M60" s="3" t="s">
        <v>16</v>
      </c>
      <c r="N60" s="7">
        <f>IF($W$6=FALSE,0,IF(C60=FALSE,0,150))</f>
        <v>0</v>
      </c>
      <c r="O60" s="7">
        <f>IF($W$6=FALSE,0,IF(C60=FALSE,0,1000))</f>
        <v>0</v>
      </c>
      <c r="P60" s="86"/>
      <c r="Q60" s="86"/>
      <c r="R60" s="86"/>
      <c r="S60" s="86"/>
      <c r="T60" s="7">
        <f t="shared" si="46"/>
        <v>0</v>
      </c>
      <c r="U60" s="23">
        <f>T60*$L$5</f>
        <v>0</v>
      </c>
      <c r="V60" s="23">
        <f t="shared" si="58"/>
        <v>0</v>
      </c>
      <c r="W60" s="7">
        <f t="shared" si="64"/>
        <v>0</v>
      </c>
      <c r="X60" s="86"/>
      <c r="Y60" s="86"/>
      <c r="Z60" s="86"/>
      <c r="AA60" s="23">
        <f t="shared" si="47"/>
        <v>0</v>
      </c>
      <c r="AB60" s="23">
        <f t="shared" si="48"/>
        <v>0</v>
      </c>
      <c r="AC60" s="14" t="str">
        <f>$A$31</f>
        <v>菲律賓</v>
      </c>
      <c r="AD60" s="27">
        <f t="shared" si="49"/>
        <v>0</v>
      </c>
      <c r="AE60" s="27">
        <f t="shared" si="50"/>
        <v>0</v>
      </c>
      <c r="AF60" s="27">
        <f t="shared" si="51"/>
        <v>0</v>
      </c>
      <c r="AG60" s="32"/>
      <c r="AH60" s="32"/>
      <c r="AI60" s="14" t="str">
        <f>$A$31</f>
        <v>菲律賓</v>
      </c>
      <c r="AJ60" s="11" t="str">
        <f t="shared" si="52"/>
        <v>發明</v>
      </c>
      <c r="AK60" s="3" t="str">
        <f t="shared" si="59"/>
        <v>USD</v>
      </c>
      <c r="AL60" s="7">
        <f>IF($W$5=FALSE,0,IF(C60=FALSE,0,HLOOKUP(選項!$M$2,'P(M)年費表'!$AH$2:$BG$24,16)))</f>
        <v>0</v>
      </c>
      <c r="AM60" s="87"/>
      <c r="AN60" s="7"/>
      <c r="AO60" s="7">
        <f t="shared" si="53"/>
        <v>0</v>
      </c>
      <c r="AP60" s="22">
        <f>AO60*$L$5</f>
        <v>0</v>
      </c>
      <c r="AQ60" s="3" t="str">
        <f t="shared" si="60"/>
        <v>USD</v>
      </c>
      <c r="AR60" s="7">
        <f>IF($W$6=FALSE,0,IF(C60=FALSE,0,HLOOKUP(選項!$M$2,'P(M)年費表'!$AH$29:$BG$51,16)))</f>
        <v>0</v>
      </c>
      <c r="AS60" s="7"/>
      <c r="AT60" s="7"/>
      <c r="AU60" s="7">
        <f t="shared" si="54"/>
        <v>0</v>
      </c>
      <c r="AV60" s="22">
        <f>AU60*$L$5</f>
        <v>0</v>
      </c>
      <c r="AW60" s="22">
        <f t="shared" si="55"/>
        <v>0</v>
      </c>
      <c r="AX60" s="7">
        <f>IF($W$7=FALSE,0,IF(C60=FALSE,0,HLOOKUP(選項!$M$2,'P(M)年費表'!$AH$56:$BG$78,16)))</f>
        <v>0</v>
      </c>
      <c r="AY60" s="22">
        <f t="shared" si="56"/>
        <v>0</v>
      </c>
      <c r="AZ60" s="22">
        <f t="shared" si="57"/>
        <v>0</v>
      </c>
      <c r="BA60" s="14" t="str">
        <f>$A$31</f>
        <v>菲律賓</v>
      </c>
      <c r="BB60" s="27">
        <f t="shared" si="61"/>
        <v>0</v>
      </c>
      <c r="BC60" s="27">
        <f t="shared" si="62"/>
        <v>0</v>
      </c>
      <c r="BD60" s="27">
        <f t="shared" si="63"/>
        <v>0</v>
      </c>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row>
    <row r="61" spans="1:82" x14ac:dyDescent="0.25">
      <c r="A61" s="194" t="s">
        <v>131</v>
      </c>
      <c r="B61" s="11" t="str">
        <f t="shared" si="43"/>
        <v>發明</v>
      </c>
      <c r="C61" s="11" t="b">
        <f t="shared" si="43"/>
        <v>0</v>
      </c>
      <c r="D61" s="11"/>
      <c r="E61" s="139" t="str">
        <f t="shared" si="44"/>
        <v>不申請</v>
      </c>
      <c r="F61" s="3" t="s">
        <v>16</v>
      </c>
      <c r="G61" s="86"/>
      <c r="H61" s="86"/>
      <c r="I61" s="86"/>
      <c r="J61" s="86"/>
      <c r="K61" s="7">
        <f>IF($U$8=FALSE,0,SUM(G61:J61))</f>
        <v>0</v>
      </c>
      <c r="L61" s="23">
        <f>K61*$L$5</f>
        <v>0</v>
      </c>
      <c r="M61" s="3" t="s">
        <v>16</v>
      </c>
      <c r="N61" s="7">
        <f>IF($W$6=FALSE,0,IF(C61=FALSE,0,100))</f>
        <v>0</v>
      </c>
      <c r="O61" s="7">
        <f>IF($W$6=FALSE,0,IF(C61=FALSE,0,1000))</f>
        <v>0</v>
      </c>
      <c r="P61" s="86"/>
      <c r="Q61" s="86"/>
      <c r="R61" s="86"/>
      <c r="S61" s="86"/>
      <c r="T61" s="7">
        <f>IF($U$8=FALSE,0,SUM(N61:S61))</f>
        <v>0</v>
      </c>
      <c r="U61" s="23">
        <f>T61*$L$5</f>
        <v>0</v>
      </c>
      <c r="V61" s="23">
        <f>L61+U61</f>
        <v>0</v>
      </c>
      <c r="W61" s="7">
        <f>IF($W$7=FALSE,0,IF(C61=FALSE,0,40000))</f>
        <v>0</v>
      </c>
      <c r="X61" s="86"/>
      <c r="Y61" s="86"/>
      <c r="Z61" s="86"/>
      <c r="AA61" s="23">
        <f>IF($U$8=FALSE,0,SUM(W61:Z61))</f>
        <v>0</v>
      </c>
      <c r="AB61" s="23">
        <f>V61+AA61</f>
        <v>0</v>
      </c>
      <c r="AC61" s="200" t="str">
        <f>$A$32</f>
        <v>印尼</v>
      </c>
      <c r="AD61" s="27">
        <f>L61</f>
        <v>0</v>
      </c>
      <c r="AE61" s="27">
        <f>U61</f>
        <v>0</v>
      </c>
      <c r="AF61" s="27">
        <f>AA61</f>
        <v>0</v>
      </c>
      <c r="AG61" s="32"/>
      <c r="AH61" s="32"/>
      <c r="AI61" s="200" t="str">
        <f>$A$32</f>
        <v>印尼</v>
      </c>
      <c r="AJ61" s="11" t="str">
        <f>B61</f>
        <v>發明</v>
      </c>
      <c r="AK61" s="3" t="s">
        <v>16</v>
      </c>
      <c r="AL61" s="7">
        <f>IF($W$5=FALSE,0,IF(C61=FALSE,0,HLOOKUP(選項!$M$2,'P(M)年費表'!$AH$2:$BG$24,17)))</f>
        <v>0</v>
      </c>
      <c r="AM61" s="87"/>
      <c r="AN61" s="7"/>
      <c r="AO61" s="7">
        <f>IF($U$7=FALSE,0,SUM(AL61:AN61))</f>
        <v>0</v>
      </c>
      <c r="AP61" s="22">
        <f>AO61*$L$5</f>
        <v>0</v>
      </c>
      <c r="AQ61" s="3" t="s">
        <v>16</v>
      </c>
      <c r="AR61" s="7">
        <f>IF($W$6=FALSE,0,IF(C61=FALSE,0,HLOOKUP(選項!$M$2,'P(M)年費表'!$AH$29:$BG$51,17)))</f>
        <v>0</v>
      </c>
      <c r="AS61" s="7"/>
      <c r="AT61" s="7"/>
      <c r="AU61" s="7">
        <f>IF($U$7=FALSE,0,SUM(AR61:AT61))</f>
        <v>0</v>
      </c>
      <c r="AV61" s="22">
        <f>AU61*$L$5</f>
        <v>0</v>
      </c>
      <c r="AW61" s="22">
        <f>AP61+AV61</f>
        <v>0</v>
      </c>
      <c r="AX61" s="7">
        <f>IF($W$7=FALSE,0,IF(C61=FALSE,0,HLOOKUP(選項!$M$2,'P(M)年費表'!$AH$56:$BG$78,17)))</f>
        <v>0</v>
      </c>
      <c r="AY61" s="22">
        <f>IF($U$7=FALSE,0,SUM(AX61:AX61))</f>
        <v>0</v>
      </c>
      <c r="AZ61" s="22">
        <f>AW61+AY61</f>
        <v>0</v>
      </c>
      <c r="BA61" s="200" t="str">
        <f>$A$32</f>
        <v>印尼</v>
      </c>
      <c r="BB61" s="27">
        <f>AP61</f>
        <v>0</v>
      </c>
      <c r="BC61" s="27">
        <f>AV61</f>
        <v>0</v>
      </c>
      <c r="BD61" s="27">
        <f>AY61</f>
        <v>0</v>
      </c>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row>
    <row r="62" spans="1:82" x14ac:dyDescent="0.25">
      <c r="A62" s="195"/>
      <c r="B62" s="11" t="str">
        <f t="shared" si="43"/>
        <v>新型</v>
      </c>
      <c r="C62" s="11" t="b">
        <f t="shared" si="43"/>
        <v>0</v>
      </c>
      <c r="D62" s="11"/>
      <c r="E62" s="139" t="str">
        <f t="shared" si="44"/>
        <v>不申請</v>
      </c>
      <c r="F62" s="3" t="s">
        <v>16</v>
      </c>
      <c r="G62" s="86"/>
      <c r="H62" s="86"/>
      <c r="I62" s="86"/>
      <c r="J62" s="86"/>
      <c r="K62" s="7">
        <f>IF($U$8=FALSE,0,SUM(G62:J62))</f>
        <v>0</v>
      </c>
      <c r="L62" s="23">
        <f>K62*$L$5</f>
        <v>0</v>
      </c>
      <c r="M62" s="3" t="s">
        <v>16</v>
      </c>
      <c r="N62" s="7">
        <f>IF($W$6=FALSE,0,IF(C62=FALSE,0,100))</f>
        <v>0</v>
      </c>
      <c r="O62" s="7">
        <f>IF($W$6=FALSE,0,IF(C62=FALSE,0,1000))</f>
        <v>0</v>
      </c>
      <c r="P62" s="86"/>
      <c r="Q62" s="86"/>
      <c r="R62" s="86"/>
      <c r="S62" s="86"/>
      <c r="T62" s="7">
        <f>IF($U$8=FALSE,0,SUM(N62:S62))</f>
        <v>0</v>
      </c>
      <c r="U62" s="23">
        <f>T62*$L$5</f>
        <v>0</v>
      </c>
      <c r="V62" s="23">
        <f>L62+U62</f>
        <v>0</v>
      </c>
      <c r="W62" s="7">
        <f>IF($W$7=FALSE,0,IF(C62=FALSE,0,40000))</f>
        <v>0</v>
      </c>
      <c r="X62" s="86"/>
      <c r="Y62" s="86"/>
      <c r="Z62" s="86"/>
      <c r="AA62" s="23">
        <f>IF($U$8=FALSE,0,SUM(W62:Z62))</f>
        <v>0</v>
      </c>
      <c r="AB62" s="23">
        <f>V62+AA62</f>
        <v>0</v>
      </c>
      <c r="AC62" s="195"/>
      <c r="AD62" s="27">
        <f>L62</f>
        <v>0</v>
      </c>
      <c r="AE62" s="27">
        <f>U62</f>
        <v>0</v>
      </c>
      <c r="AF62" s="27">
        <f>AA62</f>
        <v>0</v>
      </c>
      <c r="AG62" s="32"/>
      <c r="AH62" s="32"/>
      <c r="AI62" s="195"/>
      <c r="AJ62" s="11" t="str">
        <f>B62</f>
        <v>新型</v>
      </c>
      <c r="AK62" s="3" t="s">
        <v>16</v>
      </c>
      <c r="AL62" s="7">
        <f>IF($W$5=FALSE,0,IF(C62=FALSE,0,HLOOKUP(選項!$M$2,'P(M)年費表'!$AH$2:$BG$24,18)))</f>
        <v>0</v>
      </c>
      <c r="AM62" s="87"/>
      <c r="AN62" s="7"/>
      <c r="AO62" s="7">
        <f>IF($U$7=FALSE,0,SUM(AL62:AN62))</f>
        <v>0</v>
      </c>
      <c r="AP62" s="22">
        <f>AO62*$L$5</f>
        <v>0</v>
      </c>
      <c r="AQ62" s="3" t="s">
        <v>16</v>
      </c>
      <c r="AR62" s="7">
        <f>IF($W$6=FALSE,0,IF(C62=FALSE,0,HLOOKUP(選項!$M$2,'P(M)年費表'!$AH$29:$BG$51,18)))</f>
        <v>0</v>
      </c>
      <c r="AS62" s="7"/>
      <c r="AT62" s="7"/>
      <c r="AU62" s="7">
        <f>IF($U$7=FALSE,0,SUM(AR62:AT62))</f>
        <v>0</v>
      </c>
      <c r="AV62" s="22">
        <f>AU62*$L$5</f>
        <v>0</v>
      </c>
      <c r="AW62" s="22">
        <f>AP62+AV62</f>
        <v>0</v>
      </c>
      <c r="AX62" s="7">
        <f>IF($W$7=FALSE,0,IF(C62=FALSE,0,HLOOKUP(選項!$M$2,'P(M)年費表'!$AH$56:$BG$78,18)))</f>
        <v>0</v>
      </c>
      <c r="AY62" s="22">
        <f>IF($U$7=FALSE,0,SUM(AX62:AX62))</f>
        <v>0</v>
      </c>
      <c r="AZ62" s="22">
        <f>AW62+AY62</f>
        <v>0</v>
      </c>
      <c r="BA62" s="195"/>
      <c r="BB62" s="27">
        <f>AP62</f>
        <v>0</v>
      </c>
      <c r="BC62" s="27">
        <f>AV62</f>
        <v>0</v>
      </c>
      <c r="BD62" s="27">
        <f>AY62</f>
        <v>0</v>
      </c>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row>
    <row r="63" spans="1:82" x14ac:dyDescent="0.25">
      <c r="A63" s="194" t="s">
        <v>9</v>
      </c>
      <c r="B63" s="11" t="str">
        <f t="shared" si="43"/>
        <v>發明</v>
      </c>
      <c r="C63" s="11" t="b">
        <f t="shared" si="43"/>
        <v>0</v>
      </c>
      <c r="D63" s="11"/>
      <c r="E63" s="139" t="str">
        <f t="shared" si="44"/>
        <v>不申請</v>
      </c>
      <c r="F63" s="3" t="s">
        <v>21</v>
      </c>
      <c r="G63" s="86"/>
      <c r="H63" s="86"/>
      <c r="I63" s="86"/>
      <c r="J63" s="86"/>
      <c r="K63" s="7">
        <f t="shared" si="45"/>
        <v>0</v>
      </c>
      <c r="L63" s="23">
        <f>K63*$N$7</f>
        <v>0</v>
      </c>
      <c r="M63" s="3" t="s">
        <v>16</v>
      </c>
      <c r="N63" s="86"/>
      <c r="O63" s="7">
        <f>IF($W$6=FALSE,0,IF(C63=FALSE,0,110+1000))</f>
        <v>0</v>
      </c>
      <c r="P63" s="86"/>
      <c r="Q63" s="86"/>
      <c r="R63" s="86"/>
      <c r="S63" s="86"/>
      <c r="T63" s="7">
        <f t="shared" si="46"/>
        <v>0</v>
      </c>
      <c r="U63" s="23">
        <f>T63*$L$5</f>
        <v>0</v>
      </c>
      <c r="V63" s="23">
        <f t="shared" si="58"/>
        <v>0</v>
      </c>
      <c r="W63" s="7">
        <f t="shared" si="64"/>
        <v>0</v>
      </c>
      <c r="X63" s="86"/>
      <c r="Y63" s="86"/>
      <c r="Z63" s="86"/>
      <c r="AA63" s="23">
        <f t="shared" si="47"/>
        <v>0</v>
      </c>
      <c r="AB63" s="23">
        <f t="shared" si="48"/>
        <v>0</v>
      </c>
      <c r="AC63" s="200" t="str">
        <f>$A$34</f>
        <v>越南</v>
      </c>
      <c r="AD63" s="27">
        <f t="shared" si="49"/>
        <v>0</v>
      </c>
      <c r="AE63" s="27">
        <f t="shared" si="50"/>
        <v>0</v>
      </c>
      <c r="AF63" s="27">
        <f t="shared" si="51"/>
        <v>0</v>
      </c>
      <c r="AG63" s="32"/>
      <c r="AH63" s="32"/>
      <c r="AI63" s="200" t="str">
        <f>$A$34</f>
        <v>越南</v>
      </c>
      <c r="AJ63" s="11" t="str">
        <f t="shared" si="52"/>
        <v>發明</v>
      </c>
      <c r="AK63" s="3" t="str">
        <f t="shared" si="59"/>
        <v>VND</v>
      </c>
      <c r="AL63" s="7">
        <f>IF($W$5=FALSE,0,IF(C63=FALSE,0,HLOOKUP(選項!$M$2,'P(M)年費表'!$AH$2:$BG$24,19)))</f>
        <v>0</v>
      </c>
      <c r="AM63" s="87"/>
      <c r="AN63" s="7"/>
      <c r="AO63" s="7">
        <f t="shared" si="53"/>
        <v>0</v>
      </c>
      <c r="AP63" s="22">
        <f>AO63*$N$7</f>
        <v>0</v>
      </c>
      <c r="AQ63" s="3" t="str">
        <f t="shared" si="60"/>
        <v>USD</v>
      </c>
      <c r="AR63" s="7">
        <f>IF($W$6=FALSE,0,IF(C63=FALSE,0,HLOOKUP(選項!$M$2,'P(M)年費表'!$AH$29:$BG$51,19)))</f>
        <v>0</v>
      </c>
      <c r="AS63" s="7"/>
      <c r="AT63" s="7"/>
      <c r="AU63" s="7">
        <f t="shared" si="54"/>
        <v>0</v>
      </c>
      <c r="AV63" s="22">
        <f>AU63*$L$5</f>
        <v>0</v>
      </c>
      <c r="AW63" s="22">
        <f t="shared" si="55"/>
        <v>0</v>
      </c>
      <c r="AX63" s="7">
        <f>IF($W$7=FALSE,0,IF(C63=FALSE,0,HLOOKUP(選項!$M$2,'P(M)年費表'!$AH$56:$BG$78,19)))</f>
        <v>0</v>
      </c>
      <c r="AY63" s="22">
        <f t="shared" si="56"/>
        <v>0</v>
      </c>
      <c r="AZ63" s="22">
        <f t="shared" si="57"/>
        <v>0</v>
      </c>
      <c r="BA63" s="200" t="str">
        <f>$A$34</f>
        <v>越南</v>
      </c>
      <c r="BB63" s="27">
        <f t="shared" si="61"/>
        <v>0</v>
      </c>
      <c r="BC63" s="27">
        <f t="shared" si="62"/>
        <v>0</v>
      </c>
      <c r="BD63" s="27">
        <f t="shared" si="63"/>
        <v>0</v>
      </c>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row>
    <row r="64" spans="1:82" x14ac:dyDescent="0.25">
      <c r="A64" s="195"/>
      <c r="B64" s="11" t="str">
        <f t="shared" si="43"/>
        <v>新型</v>
      </c>
      <c r="C64" s="11" t="b">
        <f t="shared" si="43"/>
        <v>0</v>
      </c>
      <c r="D64" s="11"/>
      <c r="E64" s="139" t="str">
        <f t="shared" si="44"/>
        <v>不申請</v>
      </c>
      <c r="F64" s="3" t="s">
        <v>21</v>
      </c>
      <c r="G64" s="86"/>
      <c r="H64" s="86"/>
      <c r="I64" s="86"/>
      <c r="J64" s="86"/>
      <c r="K64" s="7">
        <f t="shared" si="45"/>
        <v>0</v>
      </c>
      <c r="L64" s="23">
        <f>K64*$N$7</f>
        <v>0</v>
      </c>
      <c r="M64" s="3" t="s">
        <v>16</v>
      </c>
      <c r="N64" s="86"/>
      <c r="O64" s="7">
        <f>IF($W$6=FALSE,0,IF(C64=FALSE,0,110+1000))</f>
        <v>0</v>
      </c>
      <c r="P64" s="86"/>
      <c r="Q64" s="86"/>
      <c r="R64" s="86"/>
      <c r="S64" s="86"/>
      <c r="T64" s="7">
        <f t="shared" si="46"/>
        <v>0</v>
      </c>
      <c r="U64" s="23">
        <f>T64*$L$5</f>
        <v>0</v>
      </c>
      <c r="V64" s="23">
        <f t="shared" si="58"/>
        <v>0</v>
      </c>
      <c r="W64" s="7">
        <f t="shared" si="64"/>
        <v>0</v>
      </c>
      <c r="X64" s="86"/>
      <c r="Y64" s="86"/>
      <c r="Z64" s="86"/>
      <c r="AA64" s="23">
        <f t="shared" si="47"/>
        <v>0</v>
      </c>
      <c r="AB64" s="23">
        <f t="shared" si="48"/>
        <v>0</v>
      </c>
      <c r="AC64" s="195"/>
      <c r="AD64" s="27">
        <f t="shared" si="49"/>
        <v>0</v>
      </c>
      <c r="AE64" s="27">
        <f t="shared" si="50"/>
        <v>0</v>
      </c>
      <c r="AF64" s="27">
        <f t="shared" si="51"/>
        <v>0</v>
      </c>
      <c r="AG64" s="32"/>
      <c r="AH64" s="32"/>
      <c r="AI64" s="195"/>
      <c r="AJ64" s="11" t="str">
        <f t="shared" si="52"/>
        <v>新型</v>
      </c>
      <c r="AK64" s="3" t="str">
        <f t="shared" si="59"/>
        <v>VND</v>
      </c>
      <c r="AL64" s="7">
        <f>IF($W$5=FALSE,0,IF(C64=FALSE,0,HLOOKUP(選項!$M$2,'P(M)年費表'!$AH$2:$BG$24,20)))</f>
        <v>0</v>
      </c>
      <c r="AM64" s="87"/>
      <c r="AN64" s="7"/>
      <c r="AO64" s="7">
        <f t="shared" si="53"/>
        <v>0</v>
      </c>
      <c r="AP64" s="22">
        <f>AO64*$N$7</f>
        <v>0</v>
      </c>
      <c r="AQ64" s="3" t="str">
        <f t="shared" si="60"/>
        <v>USD</v>
      </c>
      <c r="AR64" s="7">
        <f>IF($W$6=FALSE,0,IF(C64=FALSE,0,HLOOKUP(選項!$M$2,'P(M)年費表'!$AH$29:$BG$51,20)))</f>
        <v>0</v>
      </c>
      <c r="AS64" s="7"/>
      <c r="AT64" s="7"/>
      <c r="AU64" s="7">
        <f t="shared" si="54"/>
        <v>0</v>
      </c>
      <c r="AV64" s="22">
        <f>AU64*$L$5</f>
        <v>0</v>
      </c>
      <c r="AW64" s="22">
        <f t="shared" si="55"/>
        <v>0</v>
      </c>
      <c r="AX64" s="7">
        <f>IF($W$7=FALSE,0,IF(C64=FALSE,0,HLOOKUP(選項!$M$2,'P(M)年費表'!$AH$56:$BG$78,20)))</f>
        <v>0</v>
      </c>
      <c r="AY64" s="22">
        <f t="shared" si="56"/>
        <v>0</v>
      </c>
      <c r="AZ64" s="22">
        <f t="shared" si="57"/>
        <v>0</v>
      </c>
      <c r="BA64" s="195"/>
      <c r="BB64" s="27">
        <f t="shared" si="61"/>
        <v>0</v>
      </c>
      <c r="BC64" s="27">
        <f t="shared" si="62"/>
        <v>0</v>
      </c>
      <c r="BD64" s="27">
        <f t="shared" si="63"/>
        <v>0</v>
      </c>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row>
    <row r="65" spans="1:122" x14ac:dyDescent="0.25">
      <c r="A65" s="194" t="s">
        <v>10</v>
      </c>
      <c r="B65" s="11" t="str">
        <f t="shared" si="43"/>
        <v>發明</v>
      </c>
      <c r="C65" s="11" t="b">
        <f t="shared" si="43"/>
        <v>0</v>
      </c>
      <c r="D65" s="11"/>
      <c r="E65" s="139" t="str">
        <f t="shared" si="44"/>
        <v>不申請</v>
      </c>
      <c r="F65" s="3" t="s">
        <v>22</v>
      </c>
      <c r="G65" s="7">
        <f>IF($W$5=FALSE,0,IF(C65=FALSE,0,60))</f>
        <v>0</v>
      </c>
      <c r="H65" s="86"/>
      <c r="I65" s="86"/>
      <c r="J65" s="86"/>
      <c r="K65" s="7">
        <f t="shared" si="45"/>
        <v>0</v>
      </c>
      <c r="L65" s="23">
        <f>K65*$L$9</f>
        <v>0</v>
      </c>
      <c r="M65" s="3" t="s">
        <v>22</v>
      </c>
      <c r="N65" s="86"/>
      <c r="O65" s="7">
        <f>IF($W$6=FALSE,0,IF(C65=FALSE,0,24000))</f>
        <v>0</v>
      </c>
      <c r="P65" s="86"/>
      <c r="Q65" s="86"/>
      <c r="R65" s="86"/>
      <c r="S65" s="86"/>
      <c r="T65" s="7">
        <f t="shared" si="46"/>
        <v>0</v>
      </c>
      <c r="U65" s="23">
        <f>T65*$L$9</f>
        <v>0</v>
      </c>
      <c r="V65" s="23">
        <f t="shared" si="58"/>
        <v>0</v>
      </c>
      <c r="W65" s="7">
        <f t="shared" si="64"/>
        <v>0</v>
      </c>
      <c r="X65" s="86"/>
      <c r="Y65" s="86"/>
      <c r="Z65" s="86"/>
      <c r="AA65" s="23">
        <f t="shared" si="47"/>
        <v>0</v>
      </c>
      <c r="AB65" s="23">
        <f t="shared" si="48"/>
        <v>0</v>
      </c>
      <c r="AC65" s="200" t="str">
        <f>$A$36</f>
        <v>泰國</v>
      </c>
      <c r="AD65" s="27">
        <f t="shared" si="49"/>
        <v>0</v>
      </c>
      <c r="AE65" s="27">
        <f t="shared" si="50"/>
        <v>0</v>
      </c>
      <c r="AF65" s="27">
        <f t="shared" si="51"/>
        <v>0</v>
      </c>
      <c r="AG65" s="32"/>
      <c r="AH65" s="32"/>
      <c r="AI65" s="200" t="str">
        <f>$A$36</f>
        <v>泰國</v>
      </c>
      <c r="AJ65" s="11" t="str">
        <f t="shared" si="52"/>
        <v>發明</v>
      </c>
      <c r="AK65" s="3" t="str">
        <f t="shared" si="59"/>
        <v>THB</v>
      </c>
      <c r="AL65" s="7">
        <f>IF($W$5=FALSE,0,IF(C65=FALSE,0,HLOOKUP(選項!$M$2,'P(M)年費表'!$AH$2:$BG$24,21)))</f>
        <v>0</v>
      </c>
      <c r="AM65" s="87"/>
      <c r="AN65" s="7"/>
      <c r="AO65" s="7">
        <f t="shared" si="53"/>
        <v>0</v>
      </c>
      <c r="AP65" s="22">
        <f>AO65*$L$9</f>
        <v>0</v>
      </c>
      <c r="AQ65" s="3" t="str">
        <f t="shared" si="60"/>
        <v>THB</v>
      </c>
      <c r="AR65" s="7">
        <f>IF($W$6=FALSE,0,IF(C65=FALSE,0,HLOOKUP(選項!$M$2,'P(M)年費表'!$AH$29:$BG$51,21)))</f>
        <v>0</v>
      </c>
      <c r="AS65" s="7"/>
      <c r="AT65" s="7"/>
      <c r="AU65" s="7">
        <f t="shared" si="54"/>
        <v>0</v>
      </c>
      <c r="AV65" s="22">
        <f>AU65*$L$9</f>
        <v>0</v>
      </c>
      <c r="AW65" s="22">
        <f t="shared" si="55"/>
        <v>0</v>
      </c>
      <c r="AX65" s="7">
        <f>IF($W$7=FALSE,0,IF(C65=FALSE,0,HLOOKUP(選項!$M$2,'P(M)年費表'!$AH$56:$BG$78,21)))</f>
        <v>0</v>
      </c>
      <c r="AY65" s="22">
        <f t="shared" si="56"/>
        <v>0</v>
      </c>
      <c r="AZ65" s="22">
        <f t="shared" si="57"/>
        <v>0</v>
      </c>
      <c r="BA65" s="200" t="str">
        <f>$A$36</f>
        <v>泰國</v>
      </c>
      <c r="BB65" s="27">
        <f t="shared" si="61"/>
        <v>0</v>
      </c>
      <c r="BC65" s="27">
        <f t="shared" si="62"/>
        <v>0</v>
      </c>
      <c r="BD65" s="27">
        <f t="shared" si="63"/>
        <v>0</v>
      </c>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row>
    <row r="66" spans="1:122" x14ac:dyDescent="0.25">
      <c r="A66" s="195"/>
      <c r="B66" s="11" t="str">
        <f t="shared" si="43"/>
        <v>新型</v>
      </c>
      <c r="C66" s="11" t="b">
        <f t="shared" si="43"/>
        <v>0</v>
      </c>
      <c r="D66" s="11"/>
      <c r="E66" s="139" t="str">
        <f t="shared" si="44"/>
        <v>不申請</v>
      </c>
      <c r="F66" s="3" t="s">
        <v>22</v>
      </c>
      <c r="G66" s="86"/>
      <c r="H66" s="86"/>
      <c r="I66" s="86"/>
      <c r="J66" s="86"/>
      <c r="K66" s="7">
        <f t="shared" si="45"/>
        <v>0</v>
      </c>
      <c r="L66" s="23">
        <f>K66*$L$9</f>
        <v>0</v>
      </c>
      <c r="M66" s="3" t="s">
        <v>22</v>
      </c>
      <c r="N66" s="86"/>
      <c r="O66" s="86"/>
      <c r="P66" s="86"/>
      <c r="Q66" s="86"/>
      <c r="R66" s="86"/>
      <c r="S66" s="86"/>
      <c r="T66" s="7">
        <f t="shared" si="46"/>
        <v>0</v>
      </c>
      <c r="U66" s="23">
        <f>T66*$L$9</f>
        <v>0</v>
      </c>
      <c r="V66" s="23">
        <f t="shared" si="58"/>
        <v>0</v>
      </c>
      <c r="W66" s="86"/>
      <c r="X66" s="86"/>
      <c r="Y66" s="86"/>
      <c r="Z66" s="86"/>
      <c r="AA66" s="23">
        <f t="shared" si="47"/>
        <v>0</v>
      </c>
      <c r="AB66" s="23">
        <f t="shared" si="48"/>
        <v>0</v>
      </c>
      <c r="AC66" s="195"/>
      <c r="AD66" s="27">
        <f t="shared" si="49"/>
        <v>0</v>
      </c>
      <c r="AE66" s="27">
        <f t="shared" si="50"/>
        <v>0</v>
      </c>
      <c r="AF66" s="27">
        <f t="shared" si="51"/>
        <v>0</v>
      </c>
      <c r="AG66" s="32"/>
      <c r="AH66" s="32"/>
      <c r="AI66" s="195"/>
      <c r="AJ66" s="11" t="str">
        <f t="shared" si="52"/>
        <v>新型</v>
      </c>
      <c r="AK66" s="3" t="str">
        <f t="shared" si="59"/>
        <v>THB</v>
      </c>
      <c r="AL66" s="7">
        <f>IF($W$5=FALSE,0,IF(C66=FALSE,0,HLOOKUP(選項!$M$2,'P(M)年費表'!$AH$2:$BG$24,22)))</f>
        <v>0</v>
      </c>
      <c r="AM66" s="87"/>
      <c r="AN66" s="7"/>
      <c r="AO66" s="7">
        <f t="shared" si="53"/>
        <v>0</v>
      </c>
      <c r="AP66" s="22">
        <f>AO66*$L$9</f>
        <v>0</v>
      </c>
      <c r="AQ66" s="3" t="str">
        <f t="shared" si="60"/>
        <v>THB</v>
      </c>
      <c r="AR66" s="7">
        <f>IF($W$6=FALSE,0,IF(C66=FALSE,0,HLOOKUP(選項!$M$2,'P(M)年費表'!$AH$29:$BG$51,22)))</f>
        <v>0</v>
      </c>
      <c r="AS66" s="7"/>
      <c r="AT66" s="7"/>
      <c r="AU66" s="7">
        <f t="shared" si="54"/>
        <v>0</v>
      </c>
      <c r="AV66" s="22">
        <f>AU66*$L$9</f>
        <v>0</v>
      </c>
      <c r="AW66" s="22">
        <f t="shared" si="55"/>
        <v>0</v>
      </c>
      <c r="AX66" s="7">
        <f>IF($W$7=FALSE,0,IF(C66=FALSE,0,HLOOKUP(選項!$M$2,'P(M)年費表'!$AH$56:$BG$78,22)))</f>
        <v>0</v>
      </c>
      <c r="AY66" s="22">
        <f t="shared" si="56"/>
        <v>0</v>
      </c>
      <c r="AZ66" s="22">
        <f t="shared" si="57"/>
        <v>0</v>
      </c>
      <c r="BA66" s="195"/>
      <c r="BB66" s="27">
        <f t="shared" si="61"/>
        <v>0</v>
      </c>
      <c r="BC66" s="27">
        <f t="shared" si="62"/>
        <v>0</v>
      </c>
      <c r="BD66" s="27">
        <f t="shared" si="63"/>
        <v>0</v>
      </c>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row>
    <row r="67" spans="1:122" ht="19.5" x14ac:dyDescent="0.25">
      <c r="A67" s="5"/>
      <c r="B67" s="5"/>
      <c r="C67" s="5"/>
      <c r="D67" s="5"/>
      <c r="E67" s="134"/>
      <c r="F67" s="5"/>
      <c r="G67" s="5"/>
      <c r="H67" s="5"/>
      <c r="I67" s="5"/>
      <c r="J67" s="5"/>
      <c r="K67" s="8" t="s">
        <v>50</v>
      </c>
      <c r="L67" s="24">
        <f>SUM(L46:L66)</f>
        <v>86850</v>
      </c>
      <c r="M67" s="5"/>
      <c r="N67" s="5"/>
      <c r="O67" s="5"/>
      <c r="P67" s="5"/>
      <c r="Q67" s="5"/>
      <c r="R67" s="5"/>
      <c r="S67" s="5"/>
      <c r="T67" s="8" t="s">
        <v>50</v>
      </c>
      <c r="U67" s="24">
        <f>SUM(U46:U66)</f>
        <v>334614.8</v>
      </c>
      <c r="V67" s="24">
        <f>SUM(V46:V66)</f>
        <v>421464.8</v>
      </c>
      <c r="W67" s="5"/>
      <c r="X67" s="5"/>
      <c r="Y67" s="5"/>
      <c r="Z67" s="7"/>
      <c r="AA67" s="24">
        <f>SUM(AA46:AA66)</f>
        <v>330000</v>
      </c>
      <c r="AB67" s="24">
        <f>SUM(AB46:AB66)</f>
        <v>751464.8</v>
      </c>
      <c r="AC67" s="3"/>
      <c r="AD67" s="27">
        <f t="shared" si="49"/>
        <v>86850</v>
      </c>
      <c r="AE67" s="27">
        <f t="shared" si="50"/>
        <v>334614.8</v>
      </c>
      <c r="AF67" s="27">
        <f t="shared" si="51"/>
        <v>330000</v>
      </c>
      <c r="AG67" s="32"/>
      <c r="AH67" s="32"/>
      <c r="AI67" s="3"/>
      <c r="AJ67" s="3"/>
      <c r="AK67" s="5"/>
      <c r="AL67" s="5"/>
      <c r="AM67" s="5"/>
      <c r="AN67" s="5"/>
      <c r="AO67" s="8" t="s">
        <v>50</v>
      </c>
      <c r="AP67" s="20">
        <f>SUM(AP46:AP66)</f>
        <v>2706880.8800000004</v>
      </c>
      <c r="AQ67" s="5"/>
      <c r="AR67" s="5"/>
      <c r="AS67" s="5"/>
      <c r="AT67" s="5"/>
      <c r="AU67" s="8" t="s">
        <v>50</v>
      </c>
      <c r="AV67" s="20">
        <f>SUM(AV46:AV66)</f>
        <v>646481.80000000005</v>
      </c>
      <c r="AW67" s="20">
        <f>SUM(AW46:AW66)</f>
        <v>3353362.68</v>
      </c>
      <c r="AX67" s="5"/>
      <c r="AY67" s="20">
        <f>SUM(AY46:AY66)</f>
        <v>819000</v>
      </c>
      <c r="AZ67" s="20">
        <f>SUM(AZ46:AZ66)</f>
        <v>4172362.68</v>
      </c>
      <c r="BA67" s="3"/>
      <c r="BB67" s="19">
        <f>SUM(BB46:BB66)</f>
        <v>2706880.8800000004</v>
      </c>
      <c r="BC67" s="19">
        <f>SUM(BC46:BC66)</f>
        <v>646481.80000000005</v>
      </c>
      <c r="BD67" s="19">
        <f>SUM(BD46:BD66)</f>
        <v>819000</v>
      </c>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row>
    <row r="68" spans="1:122" ht="19.5" x14ac:dyDescent="0.25">
      <c r="E68" s="135"/>
      <c r="K68" s="78"/>
      <c r="L68" s="79"/>
      <c r="T68" s="78"/>
      <c r="U68" s="79"/>
      <c r="V68" s="79"/>
      <c r="Z68" s="80"/>
      <c r="AA68" s="79"/>
      <c r="AB68" s="79"/>
      <c r="AC68" s="81"/>
      <c r="AD68" s="80"/>
      <c r="AE68" s="80"/>
      <c r="AF68" s="80"/>
      <c r="AG68" s="71"/>
      <c r="AH68" s="83"/>
      <c r="AI68" s="9"/>
      <c r="AJ68" s="81"/>
      <c r="AL68" s="81" t="s">
        <v>309</v>
      </c>
      <c r="AO68" s="78"/>
      <c r="AP68" s="79"/>
      <c r="AR68" s="81" t="s">
        <v>309</v>
      </c>
      <c r="AU68" s="78"/>
      <c r="AV68" s="79"/>
      <c r="AW68" s="79"/>
      <c r="AX68" s="81" t="s">
        <v>309</v>
      </c>
      <c r="AY68" s="79"/>
      <c r="AZ68" s="79"/>
      <c r="BA68" s="81"/>
      <c r="BB68" s="79"/>
      <c r="BC68" s="79"/>
      <c r="BD68" s="79"/>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row>
    <row r="69" spans="1:122" ht="19.5" x14ac:dyDescent="0.25">
      <c r="E69" s="135"/>
      <c r="K69" s="78"/>
      <c r="L69" s="79"/>
      <c r="T69" s="78"/>
      <c r="U69" s="79"/>
      <c r="V69" s="79"/>
      <c r="Z69" s="80"/>
      <c r="AA69" s="79"/>
      <c r="AB69" s="79"/>
      <c r="AC69" s="81"/>
      <c r="AD69" s="80"/>
      <c r="AE69" s="80"/>
      <c r="AF69" s="80"/>
      <c r="AG69" s="71"/>
      <c r="AH69" s="83"/>
      <c r="AI69" s="81"/>
      <c r="AJ69" s="81"/>
      <c r="AL69" s="144" t="s">
        <v>308</v>
      </c>
      <c r="AO69" s="78"/>
      <c r="AP69" s="79"/>
      <c r="AU69" s="78"/>
      <c r="AV69" s="79"/>
      <c r="AW69" s="79"/>
      <c r="AY69" s="79"/>
      <c r="AZ69" s="79"/>
      <c r="BA69" s="81"/>
      <c r="BB69" s="79"/>
      <c r="BC69" s="79"/>
      <c r="BD69" s="79"/>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row>
    <row r="70" spans="1:122" ht="19.5" x14ac:dyDescent="0.25">
      <c r="E70" s="135"/>
      <c r="K70" s="78"/>
      <c r="L70" s="79"/>
      <c r="T70" s="78"/>
      <c r="U70" s="79"/>
      <c r="V70" s="79"/>
      <c r="Z70" s="80"/>
      <c r="AA70" s="79"/>
      <c r="AB70" s="79"/>
      <c r="AC70" s="81"/>
      <c r="AD70" s="80"/>
      <c r="AE70" s="80"/>
      <c r="AF70" s="80"/>
      <c r="AG70" s="71"/>
      <c r="AH70" s="83"/>
      <c r="AI70" s="81"/>
      <c r="AJ70" s="81"/>
      <c r="AO70" s="78"/>
      <c r="AP70" s="79"/>
      <c r="AU70" s="78"/>
      <c r="AV70" s="79"/>
      <c r="AW70" s="79"/>
      <c r="AY70" s="79"/>
      <c r="AZ70" s="79"/>
      <c r="BA70" s="81"/>
      <c r="BB70" s="79"/>
      <c r="BC70" s="79"/>
      <c r="BD70" s="79"/>
      <c r="BF70" s="81"/>
      <c r="BG70" s="79"/>
      <c r="BH70" s="79"/>
      <c r="BI70" s="79"/>
      <c r="BJ70" s="79"/>
      <c r="BK70" s="79"/>
      <c r="BL70" s="79"/>
      <c r="BM70" s="79"/>
      <c r="BN70" s="79"/>
      <c r="BO70" s="79"/>
      <c r="BQ70" s="79"/>
      <c r="BR70" s="79"/>
      <c r="BT70" s="79"/>
      <c r="BU70" s="79"/>
      <c r="BV70" s="79"/>
      <c r="BW70" s="79"/>
      <c r="BY70" s="79"/>
      <c r="BZ70" s="79"/>
      <c r="CB70" s="82"/>
      <c r="CC70" s="82"/>
    </row>
    <row r="71" spans="1:122" x14ac:dyDescent="0.25">
      <c r="A71" s="9" t="s">
        <v>48</v>
      </c>
    </row>
    <row r="72" spans="1:122" s="44" customFormat="1" x14ac:dyDescent="0.25">
      <c r="A72" s="41" t="s">
        <v>117</v>
      </c>
      <c r="B72" s="45"/>
      <c r="C72" s="45"/>
      <c r="D72" s="45"/>
      <c r="E72" s="136"/>
      <c r="F72" s="45"/>
      <c r="G72" s="45"/>
      <c r="H72" s="45"/>
      <c r="I72" s="45"/>
      <c r="J72" s="45"/>
      <c r="K72" s="45"/>
      <c r="L72" s="45"/>
      <c r="M72" s="45"/>
      <c r="N72" s="45"/>
      <c r="O72" s="45"/>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row>
    <row r="73" spans="1:122" s="44" customFormat="1" x14ac:dyDescent="0.25">
      <c r="A73" s="41" t="s">
        <v>118</v>
      </c>
      <c r="B73" s="45"/>
      <c r="C73" s="45"/>
      <c r="D73" s="45"/>
      <c r="E73" s="136"/>
      <c r="F73" s="45"/>
      <c r="G73" s="47"/>
      <c r="H73" s="45"/>
      <c r="I73" s="45"/>
      <c r="J73" s="45"/>
      <c r="K73" s="45"/>
      <c r="L73" s="45"/>
      <c r="M73" s="45"/>
      <c r="N73" s="45"/>
      <c r="O73" s="45"/>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row>
    <row r="74" spans="1:122" s="44" customFormat="1" x14ac:dyDescent="0.25">
      <c r="A74" s="52" t="s">
        <v>136</v>
      </c>
      <c r="B74" s="45"/>
      <c r="C74" s="45"/>
      <c r="D74" s="45"/>
      <c r="E74" s="136"/>
      <c r="F74" s="45"/>
      <c r="G74" s="47"/>
      <c r="H74" s="45"/>
      <c r="I74" s="45"/>
      <c r="J74" s="45"/>
      <c r="K74" s="45"/>
      <c r="L74" s="45"/>
      <c r="M74" s="45"/>
      <c r="N74" s="45"/>
      <c r="O74" s="45"/>
      <c r="P74" s="38"/>
      <c r="Q74" s="38"/>
      <c r="R74" s="4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row>
    <row r="75" spans="1:122" s="44" customFormat="1" x14ac:dyDescent="0.25">
      <c r="A75" s="52" t="s">
        <v>137</v>
      </c>
      <c r="B75" s="45"/>
      <c r="C75" s="45"/>
      <c r="D75" s="45"/>
      <c r="E75" s="136"/>
      <c r="F75" s="45"/>
      <c r="G75" s="47"/>
      <c r="H75" s="45"/>
      <c r="I75" s="45"/>
      <c r="J75" s="45"/>
      <c r="K75" s="45"/>
      <c r="L75" s="45"/>
      <c r="M75" s="45"/>
      <c r="N75" s="45"/>
      <c r="O75" s="45"/>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row>
    <row r="76" spans="1:122" s="44" customFormat="1" x14ac:dyDescent="0.25">
      <c r="A76" s="52" t="s">
        <v>138</v>
      </c>
      <c r="B76" s="45"/>
      <c r="C76" s="45"/>
      <c r="D76" s="45"/>
      <c r="E76" s="136"/>
      <c r="F76" s="45"/>
      <c r="G76" s="47"/>
      <c r="H76" s="45"/>
      <c r="I76" s="45"/>
      <c r="J76" s="45"/>
      <c r="K76" s="45"/>
      <c r="L76" s="45"/>
      <c r="M76" s="45"/>
      <c r="N76" s="45"/>
      <c r="O76" s="45"/>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row>
    <row r="77" spans="1:122" s="44" customFormat="1" x14ac:dyDescent="0.25">
      <c r="A77" s="41" t="s">
        <v>119</v>
      </c>
      <c r="B77" s="45"/>
      <c r="C77" s="45"/>
      <c r="D77" s="45"/>
      <c r="E77" s="136"/>
      <c r="F77" s="45"/>
      <c r="G77" s="45"/>
      <c r="H77" s="45"/>
      <c r="I77" s="45"/>
      <c r="J77" s="45"/>
      <c r="K77" s="45"/>
      <c r="L77" s="45"/>
      <c r="M77" s="45"/>
      <c r="N77" s="45"/>
      <c r="O77" s="45"/>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row>
    <row r="78" spans="1:122" s="44" customFormat="1" x14ac:dyDescent="0.25">
      <c r="A78" s="41" t="s">
        <v>140</v>
      </c>
      <c r="B78" s="45"/>
      <c r="C78" s="45"/>
      <c r="D78" s="45"/>
      <c r="E78" s="136"/>
      <c r="F78" s="45"/>
      <c r="G78" s="45"/>
      <c r="H78" s="45"/>
      <c r="I78" s="45"/>
      <c r="J78" s="45"/>
      <c r="K78" s="45"/>
      <c r="L78" s="45"/>
      <c r="M78" s="45"/>
      <c r="N78" s="45"/>
      <c r="O78" s="45"/>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row>
    <row r="79" spans="1:122" s="44" customFormat="1" x14ac:dyDescent="0.25">
      <c r="A79" s="52" t="s">
        <v>139</v>
      </c>
      <c r="B79" s="45"/>
      <c r="C79" s="45"/>
      <c r="D79" s="45"/>
      <c r="E79" s="136"/>
      <c r="F79" s="45"/>
      <c r="G79" s="45"/>
      <c r="H79" s="45"/>
      <c r="I79" s="45"/>
      <c r="J79" s="45"/>
      <c r="K79" s="45"/>
      <c r="L79" s="45"/>
      <c r="M79" s="45"/>
      <c r="N79" s="45"/>
      <c r="O79" s="45"/>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row>
    <row r="80" spans="1:122" s="44" customFormat="1" ht="15.75" x14ac:dyDescent="0.25">
      <c r="A80" s="41" t="s">
        <v>129</v>
      </c>
      <c r="B80" s="45"/>
      <c r="C80" s="45"/>
      <c r="D80" s="45"/>
      <c r="E80" s="136"/>
      <c r="F80" s="45"/>
      <c r="G80" s="45"/>
      <c r="H80" s="45"/>
      <c r="I80" s="45"/>
      <c r="J80" s="45"/>
      <c r="K80" s="45"/>
      <c r="L80" s="45"/>
      <c r="M80" s="45"/>
      <c r="N80" s="45"/>
      <c r="O80" s="45"/>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row>
    <row r="81" spans="1:122" s="44" customFormat="1" x14ac:dyDescent="0.25">
      <c r="A81" s="41" t="s">
        <v>120</v>
      </c>
      <c r="B81" s="45"/>
      <c r="C81" s="45"/>
      <c r="D81" s="45"/>
      <c r="E81" s="136"/>
      <c r="F81" s="45"/>
      <c r="G81" s="45"/>
      <c r="H81" s="45"/>
      <c r="I81" s="45"/>
      <c r="J81" s="45"/>
      <c r="K81" s="45"/>
      <c r="L81" s="45"/>
      <c r="M81" s="45"/>
      <c r="N81" s="45"/>
      <c r="O81" s="45"/>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row>
    <row r="82" spans="1:122" s="44" customFormat="1" x14ac:dyDescent="0.25">
      <c r="A82" s="41" t="s">
        <v>121</v>
      </c>
      <c r="B82" s="45"/>
      <c r="C82" s="45"/>
      <c r="D82" s="45"/>
      <c r="E82" s="136"/>
      <c r="F82" s="45"/>
      <c r="G82" s="45"/>
      <c r="H82" s="45"/>
      <c r="I82" s="45"/>
      <c r="J82" s="45"/>
      <c r="K82" s="45"/>
      <c r="L82" s="45"/>
      <c r="M82" s="45"/>
      <c r="N82" s="45"/>
      <c r="O82" s="45"/>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row>
    <row r="83" spans="1:122" s="44" customFormat="1" x14ac:dyDescent="0.25">
      <c r="A83" s="41" t="s">
        <v>122</v>
      </c>
      <c r="B83" s="45"/>
      <c r="C83" s="45"/>
      <c r="D83" s="45"/>
      <c r="E83" s="136"/>
      <c r="F83" s="45"/>
      <c r="G83" s="45"/>
      <c r="H83" s="45"/>
      <c r="I83" s="45"/>
      <c r="J83" s="45"/>
      <c r="K83" s="45"/>
      <c r="L83" s="45"/>
      <c r="M83" s="45"/>
      <c r="N83" s="45"/>
      <c r="O83" s="45"/>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row>
    <row r="84" spans="1:122" s="44" customFormat="1" x14ac:dyDescent="0.25">
      <c r="A84" s="41" t="s">
        <v>134</v>
      </c>
      <c r="B84" s="45"/>
      <c r="C84" s="45"/>
      <c r="D84" s="45"/>
      <c r="E84" s="136"/>
      <c r="F84" s="45"/>
      <c r="G84" s="45"/>
      <c r="H84" s="45"/>
      <c r="I84" s="45"/>
      <c r="J84" s="45"/>
      <c r="K84" s="45"/>
      <c r="L84" s="45"/>
      <c r="M84" s="45"/>
      <c r="N84" s="45"/>
      <c r="O84" s="45"/>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row>
    <row r="85" spans="1:122" s="44" customFormat="1" x14ac:dyDescent="0.25">
      <c r="A85" s="41" t="s">
        <v>123</v>
      </c>
      <c r="B85" s="45"/>
      <c r="C85" s="45"/>
      <c r="D85" s="45"/>
      <c r="E85" s="136"/>
      <c r="F85" s="45"/>
      <c r="G85" s="45"/>
      <c r="H85" s="45"/>
      <c r="I85" s="45"/>
      <c r="J85" s="45"/>
      <c r="K85" s="45"/>
      <c r="L85" s="45"/>
      <c r="M85" s="45"/>
      <c r="N85" s="45"/>
      <c r="O85" s="45"/>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row>
    <row r="86" spans="1:122" s="44" customFormat="1" x14ac:dyDescent="0.25">
      <c r="A86" s="41" t="s">
        <v>124</v>
      </c>
      <c r="B86" s="45"/>
      <c r="C86" s="45"/>
      <c r="D86" s="45"/>
      <c r="E86" s="136"/>
      <c r="F86" s="45"/>
      <c r="G86" s="45"/>
      <c r="H86" s="45"/>
      <c r="I86" s="45"/>
      <c r="J86" s="45"/>
      <c r="K86" s="45"/>
      <c r="L86" s="45"/>
      <c r="M86" s="45"/>
      <c r="N86" s="45"/>
      <c r="O86" s="45"/>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row>
    <row r="87" spans="1:122" s="44" customFormat="1" x14ac:dyDescent="0.25">
      <c r="A87" s="41" t="s">
        <v>135</v>
      </c>
      <c r="B87" s="45"/>
      <c r="C87" s="45"/>
      <c r="D87" s="45"/>
      <c r="E87" s="136"/>
      <c r="F87" s="45"/>
      <c r="G87" s="45"/>
      <c r="H87" s="45"/>
      <c r="I87" s="45"/>
      <c r="J87" s="45"/>
      <c r="K87" s="45"/>
      <c r="L87" s="45"/>
      <c r="M87" s="45"/>
      <c r="N87" s="45"/>
      <c r="O87" s="45"/>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row>
    <row r="88" spans="1:122" s="44" customFormat="1" x14ac:dyDescent="0.25">
      <c r="A88" s="46" t="s">
        <v>125</v>
      </c>
      <c r="B88" s="45"/>
      <c r="C88" s="45"/>
      <c r="D88" s="45"/>
      <c r="E88" s="136"/>
      <c r="F88" s="45"/>
      <c r="G88" s="45"/>
      <c r="H88" s="45"/>
      <c r="I88" s="45"/>
      <c r="J88" s="45"/>
      <c r="K88" s="45"/>
      <c r="L88" s="45"/>
      <c r="M88" s="45"/>
      <c r="N88" s="45"/>
      <c r="O88" s="45"/>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row>
    <row r="89" spans="1:122" s="44" customFormat="1" x14ac:dyDescent="0.25">
      <c r="A89" s="41" t="s">
        <v>126</v>
      </c>
      <c r="B89" s="45"/>
      <c r="C89" s="45"/>
      <c r="D89" s="45"/>
      <c r="E89" s="136"/>
      <c r="F89" s="45"/>
      <c r="G89" s="45"/>
      <c r="H89" s="45"/>
      <c r="I89" s="45"/>
      <c r="J89" s="45"/>
      <c r="K89" s="45"/>
      <c r="L89" s="45"/>
      <c r="M89" s="45"/>
      <c r="N89" s="45"/>
      <c r="O89" s="45"/>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row>
    <row r="90" spans="1:122" s="44" customFormat="1" x14ac:dyDescent="0.25">
      <c r="A90" s="49" t="s">
        <v>127</v>
      </c>
      <c r="B90" s="45"/>
      <c r="C90" s="45"/>
      <c r="D90" s="45"/>
      <c r="E90" s="136"/>
      <c r="F90" s="45"/>
      <c r="G90" s="45"/>
      <c r="H90" s="45"/>
      <c r="I90" s="45"/>
      <c r="J90" s="50" t="s">
        <v>128</v>
      </c>
      <c r="K90" s="51"/>
      <c r="L90" s="45"/>
      <c r="M90" s="45"/>
      <c r="N90" s="45"/>
      <c r="O90" s="45"/>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row>
    <row r="91" spans="1:122" s="44" customFormat="1" x14ac:dyDescent="0.25">
      <c r="A91" s="49" t="s">
        <v>130</v>
      </c>
      <c r="B91" s="45"/>
      <c r="C91" s="45"/>
      <c r="D91" s="45"/>
      <c r="E91" s="136"/>
      <c r="F91" s="45"/>
      <c r="G91" s="45"/>
      <c r="H91" s="45"/>
      <c r="I91" s="45"/>
      <c r="J91" s="50" t="s">
        <v>128</v>
      </c>
      <c r="K91" s="51"/>
      <c r="L91" s="45"/>
      <c r="M91" s="45"/>
      <c r="N91" s="45"/>
      <c r="O91" s="45"/>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row>
    <row r="92" spans="1:122" x14ac:dyDescent="0.25">
      <c r="A92" s="9"/>
      <c r="F92" s="17"/>
    </row>
    <row r="93" spans="1:122" x14ac:dyDescent="0.25">
      <c r="A93" s="9"/>
    </row>
  </sheetData>
  <mergeCells count="170">
    <mergeCell ref="CB14:CC14"/>
    <mergeCell ref="CB15:CB16"/>
    <mergeCell ref="CC15:CC16"/>
    <mergeCell ref="BY14:BZ14"/>
    <mergeCell ref="BY15:BY16"/>
    <mergeCell ref="BZ15:BZ16"/>
    <mergeCell ref="BO15:BO16"/>
    <mergeCell ref="BF14:BO14"/>
    <mergeCell ref="BT14:BW14"/>
    <mergeCell ref="BQ14:BR14"/>
    <mergeCell ref="BQ15:BQ16"/>
    <mergeCell ref="BR15:BR16"/>
    <mergeCell ref="BW15:BW16"/>
    <mergeCell ref="BT15:BT16"/>
    <mergeCell ref="BU15:BU16"/>
    <mergeCell ref="BV15:BV16"/>
    <mergeCell ref="BF15:BF16"/>
    <mergeCell ref="BG15:BG16"/>
    <mergeCell ref="BH15:BH16"/>
    <mergeCell ref="BJ15:BJ16"/>
    <mergeCell ref="BK15:BK16"/>
    <mergeCell ref="BN15:BN16"/>
    <mergeCell ref="BL15:BL16"/>
    <mergeCell ref="BM15:BM16"/>
    <mergeCell ref="W15:Z15"/>
    <mergeCell ref="AG15:AG16"/>
    <mergeCell ref="AI15:AI16"/>
    <mergeCell ref="AJ15:AJ16"/>
    <mergeCell ref="A36:A37"/>
    <mergeCell ref="A23:A24"/>
    <mergeCell ref="C44:C45"/>
    <mergeCell ref="AI25:AI26"/>
    <mergeCell ref="AI34:AI35"/>
    <mergeCell ref="D17:D18"/>
    <mergeCell ref="AG32:AG33"/>
    <mergeCell ref="AD44:AD45"/>
    <mergeCell ref="AE44:AE45"/>
    <mergeCell ref="AF44:AF45"/>
    <mergeCell ref="AG44:AG45"/>
    <mergeCell ref="AD43:AF43"/>
    <mergeCell ref="AI43:BA43"/>
    <mergeCell ref="AH19:AH20"/>
    <mergeCell ref="AH23:AH24"/>
    <mergeCell ref="AH25:AH26"/>
    <mergeCell ref="AH34:AH35"/>
    <mergeCell ref="AH36:AH37"/>
    <mergeCell ref="AH29:AH30"/>
    <mergeCell ref="AH32:AH33"/>
    <mergeCell ref="AC36:AC37"/>
    <mergeCell ref="AC29:AC30"/>
    <mergeCell ref="A17:A18"/>
    <mergeCell ref="A19:A20"/>
    <mergeCell ref="BA29:BA30"/>
    <mergeCell ref="AI17:AI18"/>
    <mergeCell ref="AI19:AI20"/>
    <mergeCell ref="A25:A26"/>
    <mergeCell ref="A34:A35"/>
    <mergeCell ref="AC17:AC18"/>
    <mergeCell ref="AC19:AC20"/>
    <mergeCell ref="AC23:AC24"/>
    <mergeCell ref="AC25:AC26"/>
    <mergeCell ref="A32:A33"/>
    <mergeCell ref="AC32:AC33"/>
    <mergeCell ref="AI32:AI33"/>
    <mergeCell ref="BA32:BA33"/>
    <mergeCell ref="A29:A30"/>
    <mergeCell ref="AH17:AH18"/>
    <mergeCell ref="D19:D37"/>
    <mergeCell ref="AF15:AF16"/>
    <mergeCell ref="AD15:AD16"/>
    <mergeCell ref="AE15:AE16"/>
    <mergeCell ref="AQ15:AV15"/>
    <mergeCell ref="AI14:BA14"/>
    <mergeCell ref="AK15:AP15"/>
    <mergeCell ref="BA15:BA16"/>
    <mergeCell ref="BA36:BA37"/>
    <mergeCell ref="AG34:AG35"/>
    <mergeCell ref="AG36:AG37"/>
    <mergeCell ref="AG17:AG18"/>
    <mergeCell ref="AG19:AG20"/>
    <mergeCell ref="AG23:AG24"/>
    <mergeCell ref="BA17:BA18"/>
    <mergeCell ref="BA19:BA20"/>
    <mergeCell ref="BA23:BA24"/>
    <mergeCell ref="BA25:BA26"/>
    <mergeCell ref="BA34:BA35"/>
    <mergeCell ref="AI23:AI24"/>
    <mergeCell ref="AG25:AG26"/>
    <mergeCell ref="AG29:AG30"/>
    <mergeCell ref="BI15:BI16"/>
    <mergeCell ref="A4:B4"/>
    <mergeCell ref="K4:N4"/>
    <mergeCell ref="A15:A16"/>
    <mergeCell ref="E15:E16"/>
    <mergeCell ref="M15:U15"/>
    <mergeCell ref="B15:B16"/>
    <mergeCell ref="F15:L15"/>
    <mergeCell ref="V4:W4"/>
    <mergeCell ref="A14:AB14"/>
    <mergeCell ref="T4:U4"/>
    <mergeCell ref="C15:C16"/>
    <mergeCell ref="D15:D16"/>
    <mergeCell ref="AY15:AY16"/>
    <mergeCell ref="AZ15:AZ16"/>
    <mergeCell ref="AH15:AH16"/>
    <mergeCell ref="AC15:AC16"/>
    <mergeCell ref="AA15:AA16"/>
    <mergeCell ref="AB15:AB16"/>
    <mergeCell ref="BB14:BD14"/>
    <mergeCell ref="BB15:BB16"/>
    <mergeCell ref="BC15:BC16"/>
    <mergeCell ref="BD15:BD16"/>
    <mergeCell ref="AD14:AF14"/>
    <mergeCell ref="BB43:BD43"/>
    <mergeCell ref="AC34:AC35"/>
    <mergeCell ref="AI36:AI37"/>
    <mergeCell ref="AI29:AI30"/>
    <mergeCell ref="A44:A45"/>
    <mergeCell ref="B44:B45"/>
    <mergeCell ref="E44:E45"/>
    <mergeCell ref="F44:L44"/>
    <mergeCell ref="M44:U44"/>
    <mergeCell ref="W44:Z44"/>
    <mergeCell ref="AA44:AA45"/>
    <mergeCell ref="AB44:AB45"/>
    <mergeCell ref="AC44:AC45"/>
    <mergeCell ref="BD44:BD45"/>
    <mergeCell ref="AY44:AY45"/>
    <mergeCell ref="AZ44:AZ45"/>
    <mergeCell ref="BA44:BA45"/>
    <mergeCell ref="BB44:BB45"/>
    <mergeCell ref="BC44:BC45"/>
    <mergeCell ref="AH44:AH45"/>
    <mergeCell ref="AI44:AI45"/>
    <mergeCell ref="AJ44:AJ45"/>
    <mergeCell ref="AK44:AP44"/>
    <mergeCell ref="AQ44:AV44"/>
    <mergeCell ref="A63:A64"/>
    <mergeCell ref="AC63:AC64"/>
    <mergeCell ref="AI63:AI64"/>
    <mergeCell ref="BA63:BA64"/>
    <mergeCell ref="A65:A66"/>
    <mergeCell ref="AC65:AC66"/>
    <mergeCell ref="AI65:AI66"/>
    <mergeCell ref="BA65:BA66"/>
    <mergeCell ref="A52:A53"/>
    <mergeCell ref="AC52:AC53"/>
    <mergeCell ref="AI52:AI53"/>
    <mergeCell ref="BA52:BA53"/>
    <mergeCell ref="A54:A55"/>
    <mergeCell ref="AC54:AC55"/>
    <mergeCell ref="AI54:AI55"/>
    <mergeCell ref="BA54:BA55"/>
    <mergeCell ref="A43:AB43"/>
    <mergeCell ref="A58:A59"/>
    <mergeCell ref="AC58:AC59"/>
    <mergeCell ref="AI58:AI59"/>
    <mergeCell ref="BA58:BA59"/>
    <mergeCell ref="A61:A62"/>
    <mergeCell ref="AC61:AC62"/>
    <mergeCell ref="AI61:AI62"/>
    <mergeCell ref="BA61:BA62"/>
    <mergeCell ref="A46:A47"/>
    <mergeCell ref="AC46:AC47"/>
    <mergeCell ref="AI46:AI47"/>
    <mergeCell ref="BA46:BA47"/>
    <mergeCell ref="A48:A49"/>
    <mergeCell ref="AC48:AC49"/>
    <mergeCell ref="AI48:AI49"/>
    <mergeCell ref="BA48:BA49"/>
  </mergeCells>
  <phoneticPr fontId="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FBAF-938D-40CE-97DC-EABC734E4DBF}">
  <sheetPr codeName="工作表3"/>
  <dimension ref="A1:BG79"/>
  <sheetViews>
    <sheetView topLeftCell="A16" zoomScale="85" zoomScaleNormal="85" workbookViewId="0">
      <selection activeCell="K2" sqref="K2"/>
    </sheetView>
  </sheetViews>
  <sheetFormatPr defaultRowHeight="16.5" x14ac:dyDescent="0.25"/>
  <cols>
    <col min="4" max="4" width="9" style="99"/>
    <col min="5" max="7" width="10" style="99" bestFit="1" customWidth="1"/>
    <col min="8" max="23" width="11.125" style="99" bestFit="1" customWidth="1"/>
    <col min="24" max="28" width="9" style="99"/>
    <col min="29" max="29" width="13" customWidth="1"/>
    <col min="35" max="35" width="10" bestFit="1" customWidth="1"/>
    <col min="36" max="42" width="11.125" bestFit="1" customWidth="1"/>
    <col min="43" max="50" width="12.25" bestFit="1" customWidth="1"/>
    <col min="51" max="59" width="11.125" bestFit="1" customWidth="1"/>
  </cols>
  <sheetData>
    <row r="1" spans="1:59" s="76" customFormat="1" x14ac:dyDescent="0.25">
      <c r="A1" s="191" t="s">
        <v>196</v>
      </c>
      <c r="B1" s="192"/>
      <c r="C1" s="193"/>
      <c r="D1" s="100" t="s">
        <v>197</v>
      </c>
      <c r="E1" s="101"/>
      <c r="F1" s="101"/>
      <c r="G1" s="101"/>
      <c r="H1" s="101"/>
      <c r="I1" s="101"/>
      <c r="J1" s="101"/>
      <c r="K1" s="101"/>
      <c r="L1" s="101"/>
      <c r="M1" s="101"/>
      <c r="N1" s="101"/>
      <c r="O1" s="101"/>
      <c r="P1" s="101"/>
      <c r="Q1" s="101"/>
      <c r="R1" s="101"/>
      <c r="S1" s="101"/>
      <c r="T1" s="101"/>
      <c r="U1" s="101"/>
      <c r="V1" s="101"/>
      <c r="W1" s="101"/>
      <c r="X1" s="101"/>
      <c r="Y1" s="101"/>
      <c r="Z1" s="101"/>
      <c r="AA1" s="101"/>
      <c r="AB1" s="101"/>
      <c r="AC1" s="74"/>
      <c r="AD1" s="74"/>
      <c r="AE1" s="191" t="s">
        <v>198</v>
      </c>
      <c r="AF1" s="192"/>
      <c r="AG1" s="193"/>
      <c r="AH1" s="77" t="s">
        <v>195</v>
      </c>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x14ac:dyDescent="0.25">
      <c r="A2" s="4" t="s">
        <v>114</v>
      </c>
      <c r="B2" s="4" t="s">
        <v>194</v>
      </c>
      <c r="C2" s="4" t="s">
        <v>13</v>
      </c>
      <c r="D2" s="102">
        <v>1</v>
      </c>
      <c r="E2" s="102">
        <v>2</v>
      </c>
      <c r="F2" s="102">
        <v>3</v>
      </c>
      <c r="G2" s="102">
        <v>4</v>
      </c>
      <c r="H2" s="102">
        <v>5</v>
      </c>
      <c r="I2" s="102">
        <v>6</v>
      </c>
      <c r="J2" s="102">
        <v>7</v>
      </c>
      <c r="K2" s="102">
        <v>8</v>
      </c>
      <c r="L2" s="102">
        <v>9</v>
      </c>
      <c r="M2" s="102">
        <v>10</v>
      </c>
      <c r="N2" s="102">
        <v>11</v>
      </c>
      <c r="O2" s="102">
        <v>12</v>
      </c>
      <c r="P2" s="102">
        <v>13</v>
      </c>
      <c r="Q2" s="102">
        <v>14</v>
      </c>
      <c r="R2" s="102">
        <v>15</v>
      </c>
      <c r="S2" s="102">
        <v>16</v>
      </c>
      <c r="T2" s="102">
        <v>17</v>
      </c>
      <c r="U2" s="102">
        <v>18</v>
      </c>
      <c r="V2" s="102">
        <v>19</v>
      </c>
      <c r="W2" s="102">
        <v>20</v>
      </c>
      <c r="X2" s="102">
        <v>21</v>
      </c>
      <c r="Y2" s="102">
        <v>22</v>
      </c>
      <c r="Z2" s="102">
        <v>23</v>
      </c>
      <c r="AA2" s="102">
        <v>24</v>
      </c>
      <c r="AB2" s="102">
        <v>25</v>
      </c>
      <c r="AC2" s="4" t="s">
        <v>193</v>
      </c>
      <c r="AD2" s="4"/>
      <c r="AE2" s="4" t="s">
        <v>114</v>
      </c>
      <c r="AF2" s="4" t="s">
        <v>194</v>
      </c>
      <c r="AG2" s="4" t="s">
        <v>13</v>
      </c>
      <c r="AH2" s="4">
        <v>1</v>
      </c>
      <c r="AI2" s="4">
        <v>2</v>
      </c>
      <c r="AJ2" s="4">
        <v>3</v>
      </c>
      <c r="AK2" s="4">
        <v>4</v>
      </c>
      <c r="AL2" s="4">
        <v>5</v>
      </c>
      <c r="AM2" s="4">
        <v>6</v>
      </c>
      <c r="AN2" s="4">
        <v>7</v>
      </c>
      <c r="AO2" s="4">
        <v>8</v>
      </c>
      <c r="AP2" s="4">
        <v>9</v>
      </c>
      <c r="AQ2" s="4">
        <v>10</v>
      </c>
      <c r="AR2" s="4">
        <v>11</v>
      </c>
      <c r="AS2" s="4">
        <v>12</v>
      </c>
      <c r="AT2" s="4">
        <v>13</v>
      </c>
      <c r="AU2" s="4">
        <v>14</v>
      </c>
      <c r="AV2" s="4">
        <v>15</v>
      </c>
      <c r="AW2" s="4">
        <v>16</v>
      </c>
      <c r="AX2" s="4">
        <v>17</v>
      </c>
      <c r="AY2" s="4">
        <v>18</v>
      </c>
      <c r="AZ2" s="4">
        <v>19</v>
      </c>
      <c r="BA2" s="4">
        <v>20</v>
      </c>
      <c r="BB2" s="4">
        <v>21</v>
      </c>
      <c r="BC2" s="4">
        <v>22</v>
      </c>
      <c r="BD2" s="4">
        <v>23</v>
      </c>
      <c r="BE2" s="4">
        <v>24</v>
      </c>
      <c r="BF2" s="4">
        <v>25</v>
      </c>
      <c r="BG2" s="4" t="s">
        <v>222</v>
      </c>
    </row>
    <row r="3" spans="1:59" x14ac:dyDescent="0.25">
      <c r="A3" s="194" t="s">
        <v>2</v>
      </c>
      <c r="B3" s="11" t="str">
        <f>'P(M)'!B17</f>
        <v>發明</v>
      </c>
      <c r="C3" s="3" t="s">
        <v>14</v>
      </c>
      <c r="D3" s="97"/>
      <c r="E3" s="97">
        <f>IF('發明(新型)案成本估算'!$B$11="大企業",2500,1700)</f>
        <v>1700</v>
      </c>
      <c r="F3" s="97">
        <f>IF('發明(新型)案成本估算'!$B$11="大企業",2500,1700)</f>
        <v>1700</v>
      </c>
      <c r="G3" s="97">
        <f>IF('發明(新型)案成本估算'!$B$11="大企業",5000,3800)</f>
        <v>3800</v>
      </c>
      <c r="H3" s="97">
        <f>IF('發明(新型)案成本估算'!$B$11="大企業",5000,3800)</f>
        <v>3800</v>
      </c>
      <c r="I3" s="97">
        <f>IF('發明(新型)案成本估算'!$B$11="大企業",5000,3800)</f>
        <v>3800</v>
      </c>
      <c r="J3" s="97">
        <v>8000</v>
      </c>
      <c r="K3" s="97">
        <v>8000</v>
      </c>
      <c r="L3" s="97">
        <v>8000</v>
      </c>
      <c r="M3" s="97">
        <v>16000</v>
      </c>
      <c r="N3" s="97">
        <v>16000</v>
      </c>
      <c r="O3" s="97">
        <v>16000</v>
      </c>
      <c r="P3" s="97">
        <v>16000</v>
      </c>
      <c r="Q3" s="97">
        <v>16000</v>
      </c>
      <c r="R3" s="97">
        <v>16000</v>
      </c>
      <c r="S3" s="97">
        <v>16000</v>
      </c>
      <c r="T3" s="97">
        <v>16000</v>
      </c>
      <c r="U3" s="97">
        <v>16000</v>
      </c>
      <c r="V3" s="97">
        <v>16000</v>
      </c>
      <c r="W3" s="97">
        <v>16000</v>
      </c>
      <c r="X3" s="97"/>
      <c r="Y3" s="97"/>
      <c r="Z3" s="97"/>
      <c r="AA3" s="97"/>
      <c r="AB3" s="97"/>
      <c r="AC3" s="75">
        <f>SUM(D3:AB3)</f>
        <v>214800</v>
      </c>
      <c r="AD3" s="11"/>
      <c r="AE3" s="194" t="s">
        <v>2</v>
      </c>
      <c r="AF3" s="11" t="str">
        <f>B3</f>
        <v>發明</v>
      </c>
      <c r="AG3" s="14" t="str">
        <f t="shared" ref="AG3:AG23" si="0">C3</f>
        <v>NTD</v>
      </c>
      <c r="AH3" s="11">
        <f>D3</f>
        <v>0</v>
      </c>
      <c r="AI3" s="75">
        <f t="shared" ref="AI3:BA3" si="1">AH3+E3</f>
        <v>1700</v>
      </c>
      <c r="AJ3" s="75">
        <f t="shared" si="1"/>
        <v>3400</v>
      </c>
      <c r="AK3" s="75">
        <f t="shared" si="1"/>
        <v>7200</v>
      </c>
      <c r="AL3" s="75">
        <f t="shared" si="1"/>
        <v>11000</v>
      </c>
      <c r="AM3" s="75">
        <f t="shared" si="1"/>
        <v>14800</v>
      </c>
      <c r="AN3" s="75">
        <f t="shared" si="1"/>
        <v>22800</v>
      </c>
      <c r="AO3" s="75">
        <f t="shared" si="1"/>
        <v>30800</v>
      </c>
      <c r="AP3" s="75">
        <f t="shared" si="1"/>
        <v>38800</v>
      </c>
      <c r="AQ3" s="75">
        <f t="shared" si="1"/>
        <v>54800</v>
      </c>
      <c r="AR3" s="75">
        <f t="shared" si="1"/>
        <v>70800</v>
      </c>
      <c r="AS3" s="75">
        <f t="shared" si="1"/>
        <v>86800</v>
      </c>
      <c r="AT3" s="75">
        <f t="shared" si="1"/>
        <v>102800</v>
      </c>
      <c r="AU3" s="75">
        <f t="shared" si="1"/>
        <v>118800</v>
      </c>
      <c r="AV3" s="75">
        <f t="shared" si="1"/>
        <v>134800</v>
      </c>
      <c r="AW3" s="75">
        <f t="shared" si="1"/>
        <v>150800</v>
      </c>
      <c r="AX3" s="75">
        <f t="shared" si="1"/>
        <v>166800</v>
      </c>
      <c r="AY3" s="75">
        <f t="shared" si="1"/>
        <v>182800</v>
      </c>
      <c r="AZ3" s="75">
        <f t="shared" si="1"/>
        <v>198800</v>
      </c>
      <c r="BA3" s="75">
        <f t="shared" si="1"/>
        <v>214800</v>
      </c>
      <c r="BB3" s="75">
        <f t="shared" ref="BB3:BF23" si="2">BA3+X3</f>
        <v>214800</v>
      </c>
      <c r="BC3" s="75">
        <f t="shared" si="2"/>
        <v>214800</v>
      </c>
      <c r="BD3" s="75">
        <f t="shared" si="2"/>
        <v>214800</v>
      </c>
      <c r="BE3" s="75">
        <f t="shared" si="2"/>
        <v>214800</v>
      </c>
      <c r="BF3" s="75">
        <f t="shared" si="2"/>
        <v>214800</v>
      </c>
      <c r="BG3" s="75">
        <f>BF3</f>
        <v>214800</v>
      </c>
    </row>
    <row r="4" spans="1:59" x14ac:dyDescent="0.25">
      <c r="A4" s="195"/>
      <c r="B4" s="11" t="str">
        <f>'P(M)'!B18</f>
        <v>新型</v>
      </c>
      <c r="C4" s="3" t="s">
        <v>14</v>
      </c>
      <c r="D4" s="97"/>
      <c r="E4" s="97">
        <f>IF('發明(新型)案成本估算'!$B$11="大企業",2500,1700)</f>
        <v>1700</v>
      </c>
      <c r="F4" s="97">
        <f>IF('發明(新型)案成本估算'!$B$11="大企業",2500,1700)</f>
        <v>1700</v>
      </c>
      <c r="G4" s="97">
        <f>IF('發明(新型)案成本估算'!$B$11="大企業",4000,2800)</f>
        <v>2800</v>
      </c>
      <c r="H4" s="97">
        <f>IF('發明(新型)案成本估算'!$B$11="大企業",4000,2800)</f>
        <v>2800</v>
      </c>
      <c r="I4" s="97">
        <f>IF('發明(新型)案成本估算'!$B$11="大企業",4000,2800)</f>
        <v>2800</v>
      </c>
      <c r="J4" s="97">
        <v>8000</v>
      </c>
      <c r="K4" s="97">
        <v>8000</v>
      </c>
      <c r="L4" s="97">
        <v>8000</v>
      </c>
      <c r="M4" s="97">
        <v>8000</v>
      </c>
      <c r="N4" s="97"/>
      <c r="O4" s="97"/>
      <c r="P4" s="97"/>
      <c r="Q4" s="97"/>
      <c r="R4" s="97"/>
      <c r="S4" s="97"/>
      <c r="T4" s="97"/>
      <c r="U4" s="97"/>
      <c r="V4" s="97"/>
      <c r="W4" s="97"/>
      <c r="X4" s="97"/>
      <c r="Y4" s="97"/>
      <c r="Z4" s="97"/>
      <c r="AA4" s="97"/>
      <c r="AB4" s="97"/>
      <c r="AC4" s="75">
        <f t="shared" ref="AC4:AC24" si="3">SUM(D4:AB4)</f>
        <v>43800</v>
      </c>
      <c r="AD4" s="11"/>
      <c r="AE4" s="195"/>
      <c r="AF4" s="11" t="str">
        <f t="shared" ref="AF4:AF23" si="4">B4</f>
        <v>新型</v>
      </c>
      <c r="AG4" s="14" t="str">
        <f t="shared" si="0"/>
        <v>NTD</v>
      </c>
      <c r="AH4" s="11">
        <f>D4</f>
        <v>0</v>
      </c>
      <c r="AI4" s="75">
        <f t="shared" ref="AI4:AR5" si="5">AH4+E4</f>
        <v>1700</v>
      </c>
      <c r="AJ4" s="75">
        <f t="shared" si="5"/>
        <v>3400</v>
      </c>
      <c r="AK4" s="75">
        <f t="shared" si="5"/>
        <v>6200</v>
      </c>
      <c r="AL4" s="75">
        <f t="shared" si="5"/>
        <v>9000</v>
      </c>
      <c r="AM4" s="75">
        <f t="shared" si="5"/>
        <v>11800</v>
      </c>
      <c r="AN4" s="75">
        <f t="shared" si="5"/>
        <v>19800</v>
      </c>
      <c r="AO4" s="75">
        <f t="shared" si="5"/>
        <v>27800</v>
      </c>
      <c r="AP4" s="75">
        <f t="shared" si="5"/>
        <v>35800</v>
      </c>
      <c r="AQ4" s="75">
        <f t="shared" si="5"/>
        <v>43800</v>
      </c>
      <c r="AR4" s="75">
        <f t="shared" si="5"/>
        <v>43800</v>
      </c>
      <c r="AS4" s="75">
        <f t="shared" ref="AS4:BA5" si="6">AR4+O4</f>
        <v>43800</v>
      </c>
      <c r="AT4" s="75">
        <f t="shared" si="6"/>
        <v>43800</v>
      </c>
      <c r="AU4" s="75">
        <f t="shared" si="6"/>
        <v>43800</v>
      </c>
      <c r="AV4" s="75">
        <f t="shared" si="6"/>
        <v>43800</v>
      </c>
      <c r="AW4" s="75">
        <f t="shared" si="6"/>
        <v>43800</v>
      </c>
      <c r="AX4" s="75">
        <f t="shared" si="6"/>
        <v>43800</v>
      </c>
      <c r="AY4" s="75">
        <f t="shared" si="6"/>
        <v>43800</v>
      </c>
      <c r="AZ4" s="75">
        <f t="shared" si="6"/>
        <v>43800</v>
      </c>
      <c r="BA4" s="75">
        <f t="shared" si="6"/>
        <v>43800</v>
      </c>
      <c r="BB4" s="75">
        <f t="shared" si="2"/>
        <v>43800</v>
      </c>
      <c r="BC4" s="75">
        <f t="shared" si="2"/>
        <v>43800</v>
      </c>
      <c r="BD4" s="75">
        <f t="shared" si="2"/>
        <v>43800</v>
      </c>
      <c r="BE4" s="75">
        <f t="shared" si="2"/>
        <v>43800</v>
      </c>
      <c r="BF4" s="75">
        <f t="shared" si="2"/>
        <v>43800</v>
      </c>
      <c r="BG4" s="75">
        <f t="shared" ref="BG4:BG23" si="7">BF4</f>
        <v>43800</v>
      </c>
    </row>
    <row r="5" spans="1:59" x14ac:dyDescent="0.25">
      <c r="A5" s="194" t="s">
        <v>3</v>
      </c>
      <c r="B5" s="11" t="str">
        <f>'P(M)'!B19</f>
        <v>發明</v>
      </c>
      <c r="C5" s="3" t="s">
        <v>15</v>
      </c>
      <c r="D5" s="97"/>
      <c r="E5" s="125">
        <v>900</v>
      </c>
      <c r="F5" s="125">
        <v>900</v>
      </c>
      <c r="G5" s="125">
        <v>1200</v>
      </c>
      <c r="H5" s="125">
        <v>1200</v>
      </c>
      <c r="I5" s="125">
        <v>1200</v>
      </c>
      <c r="J5" s="125">
        <v>2000</v>
      </c>
      <c r="K5" s="125">
        <v>2000</v>
      </c>
      <c r="L5" s="125">
        <v>2000</v>
      </c>
      <c r="M5" s="125">
        <v>4000</v>
      </c>
      <c r="N5" s="125">
        <v>4000</v>
      </c>
      <c r="O5" s="125">
        <v>4000</v>
      </c>
      <c r="P5" s="125">
        <v>6000</v>
      </c>
      <c r="Q5" s="125">
        <v>6000</v>
      </c>
      <c r="R5" s="125">
        <v>6000</v>
      </c>
      <c r="S5" s="125">
        <v>8000</v>
      </c>
      <c r="T5" s="125">
        <v>8000</v>
      </c>
      <c r="U5" s="125">
        <v>8000</v>
      </c>
      <c r="V5" s="125">
        <v>8000</v>
      </c>
      <c r="W5" s="125">
        <v>8000</v>
      </c>
      <c r="X5" s="97"/>
      <c r="Y5" s="97"/>
      <c r="Z5" s="97"/>
      <c r="AA5" s="97"/>
      <c r="AB5" s="97"/>
      <c r="AC5" s="75">
        <f t="shared" si="3"/>
        <v>81400</v>
      </c>
      <c r="AD5" s="11"/>
      <c r="AE5" s="194" t="s">
        <v>3</v>
      </c>
      <c r="AF5" s="11" t="str">
        <f t="shared" si="4"/>
        <v>發明</v>
      </c>
      <c r="AG5" s="14" t="str">
        <f t="shared" si="0"/>
        <v>CNY</v>
      </c>
      <c r="AH5" s="11">
        <f>D5</f>
        <v>0</v>
      </c>
      <c r="AI5" s="75">
        <f t="shared" si="5"/>
        <v>900</v>
      </c>
      <c r="AJ5" s="75">
        <f t="shared" si="5"/>
        <v>1800</v>
      </c>
      <c r="AK5" s="75">
        <f t="shared" si="5"/>
        <v>3000</v>
      </c>
      <c r="AL5" s="75">
        <f t="shared" si="5"/>
        <v>4200</v>
      </c>
      <c r="AM5" s="75">
        <f t="shared" si="5"/>
        <v>5400</v>
      </c>
      <c r="AN5" s="75">
        <f t="shared" si="5"/>
        <v>7400</v>
      </c>
      <c r="AO5" s="75">
        <f t="shared" si="5"/>
        <v>9400</v>
      </c>
      <c r="AP5" s="75">
        <f t="shared" si="5"/>
        <v>11400</v>
      </c>
      <c r="AQ5" s="75">
        <f t="shared" si="5"/>
        <v>15400</v>
      </c>
      <c r="AR5" s="75">
        <f t="shared" si="5"/>
        <v>19400</v>
      </c>
      <c r="AS5" s="75">
        <f t="shared" si="6"/>
        <v>23400</v>
      </c>
      <c r="AT5" s="75">
        <f t="shared" si="6"/>
        <v>29400</v>
      </c>
      <c r="AU5" s="75">
        <f t="shared" si="6"/>
        <v>35400</v>
      </c>
      <c r="AV5" s="75">
        <f t="shared" si="6"/>
        <v>41400</v>
      </c>
      <c r="AW5" s="75">
        <f t="shared" si="6"/>
        <v>49400</v>
      </c>
      <c r="AX5" s="75">
        <f t="shared" si="6"/>
        <v>57400</v>
      </c>
      <c r="AY5" s="75">
        <f t="shared" si="6"/>
        <v>65400</v>
      </c>
      <c r="AZ5" s="75">
        <f t="shared" si="6"/>
        <v>73400</v>
      </c>
      <c r="BA5" s="75">
        <f t="shared" si="6"/>
        <v>81400</v>
      </c>
      <c r="BB5" s="75">
        <f>BA5+X5</f>
        <v>81400</v>
      </c>
      <c r="BC5" s="75">
        <f>BB5+Y5</f>
        <v>81400</v>
      </c>
      <c r="BD5" s="75">
        <f>BC5+Z5</f>
        <v>81400</v>
      </c>
      <c r="BE5" s="75">
        <f>BD5+AA5</f>
        <v>81400</v>
      </c>
      <c r="BF5" s="75">
        <f>BE5+AB5</f>
        <v>81400</v>
      </c>
      <c r="BG5" s="75">
        <f>BF5</f>
        <v>81400</v>
      </c>
    </row>
    <row r="6" spans="1:59" x14ac:dyDescent="0.25">
      <c r="A6" s="195"/>
      <c r="B6" s="11" t="str">
        <f>'P(M)'!B20</f>
        <v>新型</v>
      </c>
      <c r="C6" s="3" t="s">
        <v>15</v>
      </c>
      <c r="D6" s="97"/>
      <c r="E6" s="97">
        <v>600</v>
      </c>
      <c r="F6" s="97">
        <v>600</v>
      </c>
      <c r="G6" s="97">
        <v>900</v>
      </c>
      <c r="H6" s="97">
        <v>900</v>
      </c>
      <c r="I6" s="97">
        <v>1200</v>
      </c>
      <c r="J6" s="97">
        <v>1200</v>
      </c>
      <c r="K6" s="97">
        <v>1200</v>
      </c>
      <c r="L6" s="97">
        <v>2000</v>
      </c>
      <c r="M6" s="97">
        <v>2000</v>
      </c>
      <c r="N6" s="97"/>
      <c r="O6" s="97"/>
      <c r="P6" s="97"/>
      <c r="Q6" s="97"/>
      <c r="R6" s="97"/>
      <c r="S6" s="97"/>
      <c r="T6" s="97"/>
      <c r="U6" s="97"/>
      <c r="V6" s="97"/>
      <c r="W6" s="97"/>
      <c r="X6" s="97"/>
      <c r="Y6" s="97"/>
      <c r="Z6" s="97"/>
      <c r="AA6" s="97"/>
      <c r="AB6" s="97"/>
      <c r="AC6" s="75">
        <f t="shared" si="3"/>
        <v>10600</v>
      </c>
      <c r="AD6" s="11"/>
      <c r="AE6" s="195"/>
      <c r="AF6" s="11" t="str">
        <f t="shared" si="4"/>
        <v>新型</v>
      </c>
      <c r="AG6" s="14" t="str">
        <f t="shared" si="0"/>
        <v>CNY</v>
      </c>
      <c r="AH6" s="11">
        <f t="shared" ref="AH6:AH23" si="8">D6</f>
        <v>0</v>
      </c>
      <c r="AI6" s="75">
        <f t="shared" ref="AI6:AI23" si="9">AH6+E6</f>
        <v>600</v>
      </c>
      <c r="AJ6" s="75">
        <f t="shared" ref="AJ6:AJ23" si="10">AI6+F6</f>
        <v>1200</v>
      </c>
      <c r="AK6" s="75">
        <f t="shared" ref="AK6:AK23" si="11">AJ6+G6</f>
        <v>2100</v>
      </c>
      <c r="AL6" s="75">
        <f t="shared" ref="AL6:AL23" si="12">AK6+H6</f>
        <v>3000</v>
      </c>
      <c r="AM6" s="75">
        <f t="shared" ref="AM6:AM23" si="13">AL6+I6</f>
        <v>4200</v>
      </c>
      <c r="AN6" s="75">
        <f t="shared" ref="AN6:AN23" si="14">AM6+J6</f>
        <v>5400</v>
      </c>
      <c r="AO6" s="75">
        <f t="shared" ref="AO6:AO23" si="15">AN6+K6</f>
        <v>6600</v>
      </c>
      <c r="AP6" s="75">
        <f t="shared" ref="AP6:AP23" si="16">AO6+L6</f>
        <v>8600</v>
      </c>
      <c r="AQ6" s="75">
        <f t="shared" ref="AQ6:AQ23" si="17">AP6+M6</f>
        <v>10600</v>
      </c>
      <c r="AR6" s="75">
        <f t="shared" ref="AR6:AR23" si="18">AQ6+N6</f>
        <v>10600</v>
      </c>
      <c r="AS6" s="75">
        <f t="shared" ref="AS6:AS23" si="19">AR6+O6</f>
        <v>10600</v>
      </c>
      <c r="AT6" s="75">
        <f t="shared" ref="AT6:AT23" si="20">AS6+P6</f>
        <v>10600</v>
      </c>
      <c r="AU6" s="75">
        <f t="shared" ref="AU6:AU23" si="21">AT6+Q6</f>
        <v>10600</v>
      </c>
      <c r="AV6" s="75">
        <f t="shared" ref="AV6:AV23" si="22">AU6+R6</f>
        <v>10600</v>
      </c>
      <c r="AW6" s="75">
        <f t="shared" ref="AW6:AW23" si="23">AV6+S6</f>
        <v>10600</v>
      </c>
      <c r="AX6" s="75">
        <f t="shared" ref="AX6:AX23" si="24">AW6+T6</f>
        <v>10600</v>
      </c>
      <c r="AY6" s="75">
        <f t="shared" ref="AY6:AY23" si="25">AX6+U6</f>
        <v>10600</v>
      </c>
      <c r="AZ6" s="75">
        <f t="shared" ref="AZ6:AZ23" si="26">AY6+V6</f>
        <v>10600</v>
      </c>
      <c r="BA6" s="75">
        <f t="shared" ref="BA6:BA23" si="27">AZ6+W6</f>
        <v>10600</v>
      </c>
      <c r="BB6" s="75">
        <f t="shared" si="2"/>
        <v>10600</v>
      </c>
      <c r="BC6" s="75">
        <f t="shared" si="2"/>
        <v>10600</v>
      </c>
      <c r="BD6" s="75">
        <f t="shared" si="2"/>
        <v>10600</v>
      </c>
      <c r="BE6" s="75">
        <f t="shared" si="2"/>
        <v>10600</v>
      </c>
      <c r="BF6" s="75">
        <f t="shared" si="2"/>
        <v>10600</v>
      </c>
      <c r="BG6" s="75">
        <f t="shared" si="7"/>
        <v>10600</v>
      </c>
    </row>
    <row r="7" spans="1:59" x14ac:dyDescent="0.25">
      <c r="A7" s="3" t="s">
        <v>4</v>
      </c>
      <c r="B7" s="11" t="str">
        <f>'P(M)'!B21</f>
        <v>發明</v>
      </c>
      <c r="C7" s="3" t="s">
        <v>16</v>
      </c>
      <c r="D7" s="97"/>
      <c r="E7" s="97"/>
      <c r="F7" s="97"/>
      <c r="G7" s="97">
        <f>IF('發明(新型)案成本估算'!$B$10="500人以上",2150,2150*40%)</f>
        <v>860</v>
      </c>
      <c r="H7" s="97"/>
      <c r="I7" s="97"/>
      <c r="J7" s="97"/>
      <c r="K7" s="97">
        <f>IF('發明(新型)案成本估算'!$B$10="500人以上",4040,4040*40%)</f>
        <v>1616</v>
      </c>
      <c r="L7" s="97"/>
      <c r="M7" s="97"/>
      <c r="N7" s="97"/>
      <c r="O7" s="97">
        <f>IF('發明(新型)案成本估算'!$B$10="500人以上",8280,8280*40%)</f>
        <v>3312</v>
      </c>
      <c r="P7" s="97"/>
      <c r="Q7" s="97"/>
      <c r="R7" s="97"/>
      <c r="S7" s="97"/>
      <c r="T7" s="97"/>
      <c r="U7" s="97"/>
      <c r="V7" s="97"/>
      <c r="W7" s="97"/>
      <c r="X7" s="97"/>
      <c r="Y7" s="97"/>
      <c r="Z7" s="97"/>
      <c r="AA7" s="97"/>
      <c r="AB7" s="97"/>
      <c r="AC7" s="75">
        <f t="shared" si="3"/>
        <v>5788</v>
      </c>
      <c r="AD7" s="11"/>
      <c r="AE7" s="3" t="s">
        <v>4</v>
      </c>
      <c r="AF7" s="11" t="str">
        <f t="shared" si="4"/>
        <v>發明</v>
      </c>
      <c r="AG7" s="14" t="str">
        <f t="shared" si="0"/>
        <v>USD</v>
      </c>
      <c r="AH7" s="11">
        <f t="shared" si="8"/>
        <v>0</v>
      </c>
      <c r="AI7" s="75">
        <f t="shared" si="9"/>
        <v>0</v>
      </c>
      <c r="AJ7" s="75">
        <f t="shared" si="10"/>
        <v>0</v>
      </c>
      <c r="AK7" s="75">
        <f t="shared" si="11"/>
        <v>860</v>
      </c>
      <c r="AL7" s="75">
        <f t="shared" si="12"/>
        <v>860</v>
      </c>
      <c r="AM7" s="75">
        <f t="shared" si="13"/>
        <v>860</v>
      </c>
      <c r="AN7" s="75">
        <f t="shared" si="14"/>
        <v>860</v>
      </c>
      <c r="AO7" s="75">
        <f t="shared" si="15"/>
        <v>2476</v>
      </c>
      <c r="AP7" s="75">
        <f t="shared" si="16"/>
        <v>2476</v>
      </c>
      <c r="AQ7" s="75">
        <f t="shared" si="17"/>
        <v>2476</v>
      </c>
      <c r="AR7" s="75">
        <f t="shared" si="18"/>
        <v>2476</v>
      </c>
      <c r="AS7" s="75">
        <f t="shared" si="19"/>
        <v>5788</v>
      </c>
      <c r="AT7" s="75">
        <f t="shared" si="20"/>
        <v>5788</v>
      </c>
      <c r="AU7" s="75">
        <f t="shared" si="21"/>
        <v>5788</v>
      </c>
      <c r="AV7" s="75">
        <f t="shared" si="22"/>
        <v>5788</v>
      </c>
      <c r="AW7" s="75">
        <f t="shared" si="23"/>
        <v>5788</v>
      </c>
      <c r="AX7" s="75">
        <f t="shared" si="24"/>
        <v>5788</v>
      </c>
      <c r="AY7" s="75">
        <f t="shared" si="25"/>
        <v>5788</v>
      </c>
      <c r="AZ7" s="75">
        <f t="shared" si="26"/>
        <v>5788</v>
      </c>
      <c r="BA7" s="75">
        <f t="shared" si="27"/>
        <v>5788</v>
      </c>
      <c r="BB7" s="75">
        <f t="shared" si="2"/>
        <v>5788</v>
      </c>
      <c r="BC7" s="75">
        <f t="shared" si="2"/>
        <v>5788</v>
      </c>
      <c r="BD7" s="75">
        <f t="shared" si="2"/>
        <v>5788</v>
      </c>
      <c r="BE7" s="75">
        <f t="shared" si="2"/>
        <v>5788</v>
      </c>
      <c r="BF7" s="75">
        <f t="shared" si="2"/>
        <v>5788</v>
      </c>
      <c r="BG7" s="75">
        <f t="shared" si="7"/>
        <v>5788</v>
      </c>
    </row>
    <row r="8" spans="1:59" x14ac:dyDescent="0.25">
      <c r="A8" s="3" t="s">
        <v>5</v>
      </c>
      <c r="B8" s="11" t="str">
        <f>'P(M)'!B22</f>
        <v>發明</v>
      </c>
      <c r="C8" s="3" t="s">
        <v>16</v>
      </c>
      <c r="D8" s="103"/>
      <c r="E8" s="103">
        <v>47.84</v>
      </c>
      <c r="F8" s="103">
        <v>135.96</v>
      </c>
      <c r="G8" s="103">
        <v>135.96</v>
      </c>
      <c r="H8" s="103">
        <v>274.79000000000002</v>
      </c>
      <c r="I8" s="103">
        <v>414.45</v>
      </c>
      <c r="J8" s="103">
        <v>544.03</v>
      </c>
      <c r="K8" s="103">
        <v>711.38</v>
      </c>
      <c r="L8" s="103">
        <v>883.78</v>
      </c>
      <c r="M8" s="103">
        <v>1063.72</v>
      </c>
      <c r="N8" s="103">
        <v>1281.46</v>
      </c>
      <c r="O8" s="103">
        <v>1551.36</v>
      </c>
      <c r="P8" s="103">
        <v>1860.88</v>
      </c>
      <c r="Q8" s="103">
        <v>2170.4299999999998</v>
      </c>
      <c r="R8" s="103">
        <v>2521.42</v>
      </c>
      <c r="S8" s="103">
        <v>2910.18</v>
      </c>
      <c r="T8" s="103">
        <v>3284.51</v>
      </c>
      <c r="U8" s="103">
        <v>3671.43</v>
      </c>
      <c r="V8" s="103">
        <v>4058.34</v>
      </c>
      <c r="W8" s="103">
        <v>4443.42</v>
      </c>
      <c r="X8" s="97"/>
      <c r="Y8" s="97"/>
      <c r="Z8" s="97"/>
      <c r="AA8" s="97"/>
      <c r="AB8" s="97"/>
      <c r="AC8" s="75">
        <f t="shared" si="3"/>
        <v>31965.340000000004</v>
      </c>
      <c r="AD8" s="11"/>
      <c r="AE8" s="3" t="s">
        <v>5</v>
      </c>
      <c r="AF8" s="11" t="str">
        <f t="shared" si="4"/>
        <v>發明</v>
      </c>
      <c r="AG8" s="14" t="str">
        <f t="shared" si="0"/>
        <v>USD</v>
      </c>
      <c r="AH8" s="11">
        <f t="shared" si="8"/>
        <v>0</v>
      </c>
      <c r="AI8" s="75">
        <f t="shared" si="9"/>
        <v>47.84</v>
      </c>
      <c r="AJ8" s="75">
        <f t="shared" si="10"/>
        <v>183.8</v>
      </c>
      <c r="AK8" s="75">
        <f t="shared" si="11"/>
        <v>319.76</v>
      </c>
      <c r="AL8" s="75">
        <f t="shared" si="12"/>
        <v>594.54999999999995</v>
      </c>
      <c r="AM8" s="75">
        <f t="shared" si="13"/>
        <v>1009</v>
      </c>
      <c r="AN8" s="75">
        <f t="shared" si="14"/>
        <v>1553.03</v>
      </c>
      <c r="AO8" s="75">
        <f t="shared" si="15"/>
        <v>2264.41</v>
      </c>
      <c r="AP8" s="75">
        <f t="shared" si="16"/>
        <v>3148.1899999999996</v>
      </c>
      <c r="AQ8" s="75">
        <f t="shared" si="17"/>
        <v>4211.91</v>
      </c>
      <c r="AR8" s="75">
        <f t="shared" si="18"/>
        <v>5493.37</v>
      </c>
      <c r="AS8" s="75">
        <f t="shared" si="19"/>
        <v>7044.73</v>
      </c>
      <c r="AT8" s="75">
        <f t="shared" si="20"/>
        <v>8905.61</v>
      </c>
      <c r="AU8" s="75">
        <f t="shared" si="21"/>
        <v>11076.04</v>
      </c>
      <c r="AV8" s="75">
        <f t="shared" si="22"/>
        <v>13597.460000000001</v>
      </c>
      <c r="AW8" s="75">
        <f t="shared" si="23"/>
        <v>16507.64</v>
      </c>
      <c r="AX8" s="75">
        <f t="shared" si="24"/>
        <v>19792.150000000001</v>
      </c>
      <c r="AY8" s="75">
        <f t="shared" si="25"/>
        <v>23463.58</v>
      </c>
      <c r="AZ8" s="75">
        <f t="shared" si="26"/>
        <v>27521.920000000002</v>
      </c>
      <c r="BA8" s="75">
        <f t="shared" si="27"/>
        <v>31965.340000000004</v>
      </c>
      <c r="BB8" s="75">
        <f t="shared" si="2"/>
        <v>31965.340000000004</v>
      </c>
      <c r="BC8" s="75">
        <f t="shared" si="2"/>
        <v>31965.340000000004</v>
      </c>
      <c r="BD8" s="75">
        <f t="shared" si="2"/>
        <v>31965.340000000004</v>
      </c>
      <c r="BE8" s="75">
        <f t="shared" si="2"/>
        <v>31965.340000000004</v>
      </c>
      <c r="BF8" s="75">
        <f t="shared" si="2"/>
        <v>31965.340000000004</v>
      </c>
      <c r="BG8" s="75">
        <f t="shared" si="7"/>
        <v>31965.340000000004</v>
      </c>
    </row>
    <row r="9" spans="1:59" x14ac:dyDescent="0.25">
      <c r="A9" s="194" t="s">
        <v>6</v>
      </c>
      <c r="B9" s="11" t="str">
        <f>'P(M)'!B23</f>
        <v>發明</v>
      </c>
      <c r="C9" s="3" t="s">
        <v>18</v>
      </c>
      <c r="D9" s="97"/>
      <c r="E9" s="97"/>
      <c r="F9" s="97"/>
      <c r="G9" s="97">
        <f>IF('發明(新型)案成本估算'!$B$7&gt;0,10300+800*'發明(新型)案成本估算'!$B$7,0)</f>
        <v>18300</v>
      </c>
      <c r="H9" s="97">
        <f>IF('發明(新型)案成本估算'!$B$7&gt;0,10300+800*'發明(新型)案成本估算'!$B$7,0)</f>
        <v>18300</v>
      </c>
      <c r="I9" s="97">
        <f>IF('發明(新型)案成本估算'!$B$7&gt;0,10300+800*'發明(新型)案成本估算'!$B$7,0)</f>
        <v>18300</v>
      </c>
      <c r="J9" s="97">
        <f>IF('發明(新型)案成本估算'!$B$7&gt;0,24800+1900*'發明(新型)案成本估算'!$B$7,0)</f>
        <v>43800</v>
      </c>
      <c r="K9" s="97">
        <f>IF('發明(新型)案成本估算'!$B$7&gt;0,24800+1900*'發明(新型)案成本估算'!$B$7,0)</f>
        <v>43800</v>
      </c>
      <c r="L9" s="97">
        <f>IF('發明(新型)案成本估算'!$B$7&gt;0,24800+1900*'發明(新型)案成本估算'!$B$7,0)</f>
        <v>43800</v>
      </c>
      <c r="M9" s="97">
        <f>IF('發明(新型)案成本估算'!$B$7&gt;0,59400+4600*'發明(新型)案成本估算'!$B$7,0)</f>
        <v>105400</v>
      </c>
      <c r="N9" s="97">
        <f>IF('發明(新型)案成本估算'!$B$7&gt;0,59400+4600*'發明(新型)案成本估算'!$B$7,0)</f>
        <v>105400</v>
      </c>
      <c r="O9" s="97">
        <f>IF('發明(新型)案成本估算'!$B$7&gt;0,59400+4600*'發明(新型)案成本估算'!$B$7,0)</f>
        <v>105400</v>
      </c>
      <c r="P9" s="97">
        <f>IF('發明(新型)案成本估算'!$B$7&gt;0,59400+4600*'發明(新型)案成本估算'!$B$7,0)</f>
        <v>105400</v>
      </c>
      <c r="Q9" s="97">
        <f>IF('發明(新型)案成本估算'!$B$7&gt;0,59400+4600*'發明(新型)案成本估算'!$B$7,0)</f>
        <v>105400</v>
      </c>
      <c r="R9" s="97">
        <f>IF('發明(新型)案成本估算'!$B$7&gt;0,59400+4600*'發明(新型)案成本估算'!$B$7,0)</f>
        <v>105400</v>
      </c>
      <c r="S9" s="97">
        <f>IF('發明(新型)案成本估算'!$B$7&gt;0,59400+4600*'發明(新型)案成本估算'!$B$7,0)</f>
        <v>105400</v>
      </c>
      <c r="T9" s="97">
        <f>IF('發明(新型)案成本估算'!$B$7&gt;0,59400+4600*'發明(新型)案成本估算'!$B$7,0)</f>
        <v>105400</v>
      </c>
      <c r="U9" s="97">
        <f>IF('發明(新型)案成本估算'!$B$7&gt;0,59400+4600*'發明(新型)案成本估算'!$B$7,0)</f>
        <v>105400</v>
      </c>
      <c r="V9" s="97">
        <f>IF('發明(新型)案成本估算'!$B$7&gt;0,59400+4600*'發明(新型)案成本估算'!$B$7,0)</f>
        <v>105400</v>
      </c>
      <c r="W9" s="97">
        <f>IF('發明(新型)案成本估算'!$B$7&gt;0,59400+4600*'發明(新型)案成本估算'!$B$7,0)</f>
        <v>105400</v>
      </c>
      <c r="X9" s="97"/>
      <c r="Y9" s="97"/>
      <c r="Z9" s="97"/>
      <c r="AA9" s="97"/>
      <c r="AB9" s="97"/>
      <c r="AC9" s="75">
        <f t="shared" si="3"/>
        <v>1345700</v>
      </c>
      <c r="AD9" s="11"/>
      <c r="AE9" s="194" t="s">
        <v>6</v>
      </c>
      <c r="AF9" s="11" t="str">
        <f t="shared" si="4"/>
        <v>發明</v>
      </c>
      <c r="AG9" s="14" t="str">
        <f t="shared" si="0"/>
        <v>JPY</v>
      </c>
      <c r="AH9" s="11">
        <f t="shared" si="8"/>
        <v>0</v>
      </c>
      <c r="AI9" s="75">
        <f t="shared" si="9"/>
        <v>0</v>
      </c>
      <c r="AJ9" s="75">
        <f t="shared" si="10"/>
        <v>0</v>
      </c>
      <c r="AK9" s="75">
        <f t="shared" si="11"/>
        <v>18300</v>
      </c>
      <c r="AL9" s="75">
        <f t="shared" si="12"/>
        <v>36600</v>
      </c>
      <c r="AM9" s="75">
        <f t="shared" si="13"/>
        <v>54900</v>
      </c>
      <c r="AN9" s="75">
        <f t="shared" si="14"/>
        <v>98700</v>
      </c>
      <c r="AO9" s="75">
        <f t="shared" si="15"/>
        <v>142500</v>
      </c>
      <c r="AP9" s="75">
        <f t="shared" si="16"/>
        <v>186300</v>
      </c>
      <c r="AQ9" s="75">
        <f t="shared" si="17"/>
        <v>291700</v>
      </c>
      <c r="AR9" s="75">
        <f t="shared" si="18"/>
        <v>397100</v>
      </c>
      <c r="AS9" s="75">
        <f t="shared" si="19"/>
        <v>502500</v>
      </c>
      <c r="AT9" s="75">
        <f t="shared" si="20"/>
        <v>607900</v>
      </c>
      <c r="AU9" s="75">
        <f t="shared" si="21"/>
        <v>713300</v>
      </c>
      <c r="AV9" s="75">
        <f t="shared" si="22"/>
        <v>818700</v>
      </c>
      <c r="AW9" s="75">
        <f t="shared" si="23"/>
        <v>924100</v>
      </c>
      <c r="AX9" s="75">
        <f t="shared" si="24"/>
        <v>1029500</v>
      </c>
      <c r="AY9" s="75">
        <f t="shared" si="25"/>
        <v>1134900</v>
      </c>
      <c r="AZ9" s="75">
        <f t="shared" si="26"/>
        <v>1240300</v>
      </c>
      <c r="BA9" s="75">
        <f t="shared" si="27"/>
        <v>1345700</v>
      </c>
      <c r="BB9" s="75">
        <f t="shared" si="2"/>
        <v>1345700</v>
      </c>
      <c r="BC9" s="75">
        <f t="shared" si="2"/>
        <v>1345700</v>
      </c>
      <c r="BD9" s="75">
        <f t="shared" si="2"/>
        <v>1345700</v>
      </c>
      <c r="BE9" s="75">
        <f t="shared" si="2"/>
        <v>1345700</v>
      </c>
      <c r="BF9" s="75">
        <f t="shared" si="2"/>
        <v>1345700</v>
      </c>
      <c r="BG9" s="75">
        <f t="shared" si="7"/>
        <v>1345700</v>
      </c>
    </row>
    <row r="10" spans="1:59" x14ac:dyDescent="0.25">
      <c r="A10" s="195"/>
      <c r="B10" s="11" t="str">
        <f>'P(M)'!B24</f>
        <v>新型</v>
      </c>
      <c r="C10" s="3" t="s">
        <v>18</v>
      </c>
      <c r="D10" s="97"/>
      <c r="E10" s="97"/>
      <c r="F10" s="97"/>
      <c r="G10" s="97">
        <f>IF('發明(新型)案成本估算'!$B$7&gt;0,6300+300*'發明(新型)案成本估算'!$B$7,0)</f>
        <v>9300</v>
      </c>
      <c r="H10" s="97">
        <f>IF('發明(新型)案成本估算'!$B$7&gt;0,6300+300*'發明(新型)案成本估算'!$B$7,0)</f>
        <v>9300</v>
      </c>
      <c r="I10" s="97">
        <f>IF('發明(新型)案成本估算'!$B$7&gt;0,6300+300*'發明(新型)案成本估算'!$B$7,0)</f>
        <v>9300</v>
      </c>
      <c r="J10" s="97">
        <f>IF('發明(新型)案成本估算'!$B$7&gt;0,18100+900*'發明(新型)案成本估算'!$B$7,0)</f>
        <v>27100</v>
      </c>
      <c r="K10" s="97">
        <f>IF('發明(新型)案成本估算'!$B$7&gt;0,18100+900*'發明(新型)案成本估算'!$B$7,0)</f>
        <v>27100</v>
      </c>
      <c r="L10" s="97">
        <f>IF('發明(新型)案成本估算'!$B$7&gt;0,18100+900*'發明(新型)案成本估算'!$B$7,0)</f>
        <v>27100</v>
      </c>
      <c r="M10" s="97">
        <f>IF('發明(新型)案成本估算'!$B$7&gt;0,18100+900*'發明(新型)案成本估算'!$B$7,0)</f>
        <v>27100</v>
      </c>
      <c r="N10" s="97"/>
      <c r="O10" s="97"/>
      <c r="P10" s="97"/>
      <c r="Q10" s="97"/>
      <c r="R10" s="97"/>
      <c r="S10" s="97"/>
      <c r="T10" s="97"/>
      <c r="U10" s="97"/>
      <c r="V10" s="97"/>
      <c r="W10" s="97"/>
      <c r="X10" s="97"/>
      <c r="Y10" s="97"/>
      <c r="Z10" s="97"/>
      <c r="AA10" s="97"/>
      <c r="AB10" s="97"/>
      <c r="AC10" s="75">
        <f t="shared" si="3"/>
        <v>136300</v>
      </c>
      <c r="AD10" s="11"/>
      <c r="AE10" s="195"/>
      <c r="AF10" s="11" t="str">
        <f t="shared" si="4"/>
        <v>新型</v>
      </c>
      <c r="AG10" s="14" t="str">
        <f t="shared" si="0"/>
        <v>JPY</v>
      </c>
      <c r="AH10" s="11">
        <f t="shared" si="8"/>
        <v>0</v>
      </c>
      <c r="AI10" s="75">
        <f t="shared" si="9"/>
        <v>0</v>
      </c>
      <c r="AJ10" s="75">
        <f t="shared" si="10"/>
        <v>0</v>
      </c>
      <c r="AK10" s="75">
        <f t="shared" si="11"/>
        <v>9300</v>
      </c>
      <c r="AL10" s="75">
        <f t="shared" si="12"/>
        <v>18600</v>
      </c>
      <c r="AM10" s="75">
        <f t="shared" si="13"/>
        <v>27900</v>
      </c>
      <c r="AN10" s="75">
        <f t="shared" si="14"/>
        <v>55000</v>
      </c>
      <c r="AO10" s="75">
        <f t="shared" si="15"/>
        <v>82100</v>
      </c>
      <c r="AP10" s="75">
        <f t="shared" si="16"/>
        <v>109200</v>
      </c>
      <c r="AQ10" s="75">
        <f t="shared" si="17"/>
        <v>136300</v>
      </c>
      <c r="AR10" s="75">
        <f t="shared" si="18"/>
        <v>136300</v>
      </c>
      <c r="AS10" s="75">
        <f t="shared" si="19"/>
        <v>136300</v>
      </c>
      <c r="AT10" s="75">
        <f t="shared" si="20"/>
        <v>136300</v>
      </c>
      <c r="AU10" s="75">
        <f t="shared" si="21"/>
        <v>136300</v>
      </c>
      <c r="AV10" s="75">
        <f t="shared" si="22"/>
        <v>136300</v>
      </c>
      <c r="AW10" s="75">
        <f t="shared" si="23"/>
        <v>136300</v>
      </c>
      <c r="AX10" s="75">
        <f t="shared" si="24"/>
        <v>136300</v>
      </c>
      <c r="AY10" s="75">
        <f t="shared" si="25"/>
        <v>136300</v>
      </c>
      <c r="AZ10" s="75">
        <f t="shared" si="26"/>
        <v>136300</v>
      </c>
      <c r="BA10" s="75">
        <f t="shared" si="27"/>
        <v>136300</v>
      </c>
      <c r="BB10" s="75">
        <f t="shared" si="2"/>
        <v>136300</v>
      </c>
      <c r="BC10" s="75">
        <f t="shared" si="2"/>
        <v>136300</v>
      </c>
      <c r="BD10" s="75">
        <f t="shared" si="2"/>
        <v>136300</v>
      </c>
      <c r="BE10" s="75">
        <f t="shared" si="2"/>
        <v>136300</v>
      </c>
      <c r="BF10" s="75">
        <f t="shared" si="2"/>
        <v>136300</v>
      </c>
      <c r="BG10" s="75">
        <f t="shared" si="7"/>
        <v>136300</v>
      </c>
    </row>
    <row r="11" spans="1:59" x14ac:dyDescent="0.25">
      <c r="A11" s="194" t="s">
        <v>7</v>
      </c>
      <c r="B11" s="11" t="str">
        <f>'P(M)'!B25</f>
        <v>發明</v>
      </c>
      <c r="C11" s="3" t="s">
        <v>19</v>
      </c>
      <c r="D11" s="97"/>
      <c r="E11" s="97"/>
      <c r="F11" s="97"/>
      <c r="G11" s="97">
        <f>IF('發明(新型)案成本估算'!$B$7&gt;0,36000+20000*'發明(新型)案成本估算'!$B$7,0)</f>
        <v>236000</v>
      </c>
      <c r="H11" s="97">
        <f>IF('發明(新型)案成本估算'!$B$7&gt;0,36000+20000*'發明(新型)案成本估算'!$B$7,0)</f>
        <v>236000</v>
      </c>
      <c r="I11" s="97">
        <f>IF('發明(新型)案成本估算'!$B$7&gt;0,36000+20000*'發明(新型)案成本估算'!$B$7,0)</f>
        <v>236000</v>
      </c>
      <c r="J11" s="97">
        <f>IF('發明(新型)案成本估算'!$B$7&gt;0,90000+34000*'發明(新型)案成本估算'!$B$7,0)</f>
        <v>430000</v>
      </c>
      <c r="K11" s="97">
        <f>IF('發明(新型)案成本估算'!$B$7&gt;0,90000+34000*'發明(新型)案成本估算'!$B$7,0)</f>
        <v>430000</v>
      </c>
      <c r="L11" s="97">
        <f>IF('發明(新型)案成本估算'!$B$7&gt;0,90000+34000*'發明(新型)案成本估算'!$B$7,0)</f>
        <v>430000</v>
      </c>
      <c r="M11" s="97">
        <f>IF('發明(新型)案成本估算'!$B$7&gt;0,216000+49000*'發明(新型)案成本估算'!$B$7,0)</f>
        <v>706000</v>
      </c>
      <c r="N11" s="97">
        <f>IF('發明(新型)案成本估算'!$B$7&gt;0,216000+49000*'發明(新型)案成本估算'!$B$7,0)</f>
        <v>706000</v>
      </c>
      <c r="O11" s="97">
        <f>IF('發明(新型)案成本估算'!$B$7&gt;0,216000+49000*'發明(新型)案成本估算'!$B$7,0)</f>
        <v>706000</v>
      </c>
      <c r="P11" s="97">
        <f>IF('發明(新型)案成本估算'!$B$7&gt;0,324000+49000*'發明(新型)案成本估算'!$B$7,0)</f>
        <v>814000</v>
      </c>
      <c r="Q11" s="97">
        <f>IF('發明(新型)案成本估算'!$B$7&gt;0,324000+49000*'發明(新型)案成本估算'!$B$7,0)</f>
        <v>814000</v>
      </c>
      <c r="R11" s="97">
        <f>IF('發明(新型)案成本估算'!$B$7&gt;0,324000+49000*'發明(新型)案成本估算'!$B$7,0)</f>
        <v>814000</v>
      </c>
      <c r="S11" s="97">
        <f>IF('發明(新型)案成本估算'!$B$7&gt;0,324000+49000*'發明(新型)案成本估算'!$B$7,0)</f>
        <v>814000</v>
      </c>
      <c r="T11" s="97">
        <f>IF('發明(新型)案成本估算'!$B$7&gt;0,324000+49000*'發明(新型)案成本估算'!$B$7,0)</f>
        <v>814000</v>
      </c>
      <c r="U11" s="97">
        <f>IF('發明(新型)案成本估算'!$B$7&gt;0,324000+49000*'發明(新型)案成本估算'!$B$7,0)</f>
        <v>814000</v>
      </c>
      <c r="V11" s="97">
        <f>IF('發明(新型)案成本估算'!$B$7&gt;0,324000+49000*'發明(新型)案成本估算'!$B$7,0)</f>
        <v>814000</v>
      </c>
      <c r="W11" s="97">
        <f>IF('發明(新型)案成本估算'!$B$7&gt;0,324000+49000*'發明(新型)案成本估算'!$B$7,0)</f>
        <v>814000</v>
      </c>
      <c r="X11" s="97"/>
      <c r="Y11" s="97"/>
      <c r="Z11" s="97"/>
      <c r="AA11" s="97"/>
      <c r="AB11" s="97"/>
      <c r="AC11" s="75">
        <f t="shared" si="3"/>
        <v>10628000</v>
      </c>
      <c r="AD11" s="11"/>
      <c r="AE11" s="194" t="s">
        <v>7</v>
      </c>
      <c r="AF11" s="11" t="str">
        <f t="shared" si="4"/>
        <v>發明</v>
      </c>
      <c r="AG11" s="14" t="str">
        <f t="shared" si="0"/>
        <v>KRW</v>
      </c>
      <c r="AH11" s="11">
        <f t="shared" si="8"/>
        <v>0</v>
      </c>
      <c r="AI11" s="75">
        <f t="shared" si="9"/>
        <v>0</v>
      </c>
      <c r="AJ11" s="75">
        <f t="shared" si="10"/>
        <v>0</v>
      </c>
      <c r="AK11" s="75">
        <f t="shared" si="11"/>
        <v>236000</v>
      </c>
      <c r="AL11" s="75">
        <f t="shared" si="12"/>
        <v>472000</v>
      </c>
      <c r="AM11" s="75">
        <f t="shared" si="13"/>
        <v>708000</v>
      </c>
      <c r="AN11" s="75">
        <f t="shared" si="14"/>
        <v>1138000</v>
      </c>
      <c r="AO11" s="75">
        <f t="shared" si="15"/>
        <v>1568000</v>
      </c>
      <c r="AP11" s="75">
        <f t="shared" si="16"/>
        <v>1998000</v>
      </c>
      <c r="AQ11" s="75">
        <f t="shared" si="17"/>
        <v>2704000</v>
      </c>
      <c r="AR11" s="75">
        <f t="shared" si="18"/>
        <v>3410000</v>
      </c>
      <c r="AS11" s="75">
        <f t="shared" si="19"/>
        <v>4116000</v>
      </c>
      <c r="AT11" s="75">
        <f t="shared" si="20"/>
        <v>4930000</v>
      </c>
      <c r="AU11" s="75">
        <f t="shared" si="21"/>
        <v>5744000</v>
      </c>
      <c r="AV11" s="75">
        <f t="shared" si="22"/>
        <v>6558000</v>
      </c>
      <c r="AW11" s="75">
        <f t="shared" si="23"/>
        <v>7372000</v>
      </c>
      <c r="AX11" s="75">
        <f t="shared" si="24"/>
        <v>8186000</v>
      </c>
      <c r="AY11" s="75">
        <f t="shared" si="25"/>
        <v>9000000</v>
      </c>
      <c r="AZ11" s="75">
        <f t="shared" si="26"/>
        <v>9814000</v>
      </c>
      <c r="BA11" s="75">
        <f t="shared" si="27"/>
        <v>10628000</v>
      </c>
      <c r="BB11" s="75">
        <f t="shared" si="2"/>
        <v>10628000</v>
      </c>
      <c r="BC11" s="75">
        <f t="shared" si="2"/>
        <v>10628000</v>
      </c>
      <c r="BD11" s="75">
        <f t="shared" si="2"/>
        <v>10628000</v>
      </c>
      <c r="BE11" s="75">
        <f t="shared" si="2"/>
        <v>10628000</v>
      </c>
      <c r="BF11" s="75">
        <f t="shared" si="2"/>
        <v>10628000</v>
      </c>
      <c r="BG11" s="75">
        <f t="shared" si="7"/>
        <v>10628000</v>
      </c>
    </row>
    <row r="12" spans="1:59" x14ac:dyDescent="0.25">
      <c r="A12" s="195"/>
      <c r="B12" s="11" t="str">
        <f>'P(M)'!B26</f>
        <v>新型</v>
      </c>
      <c r="C12" s="3" t="s">
        <v>19</v>
      </c>
      <c r="D12" s="97"/>
      <c r="E12" s="97"/>
      <c r="F12" s="97"/>
      <c r="G12" s="97">
        <f>IF('發明(新型)案成本估算'!$B$7&gt;0,25000+9000*'發明(新型)案成本估算'!$B$7,0)</f>
        <v>115000</v>
      </c>
      <c r="H12" s="97">
        <f>IF('發明(新型)案成本估算'!$B$7&gt;0,25000+9000*'發明(新型)案成本估算'!$B$7,0)</f>
        <v>115000</v>
      </c>
      <c r="I12" s="97">
        <f>IF('發明(新型)案成本估算'!$B$7&gt;0,25000+9000*'發明(新型)案成本估算'!$B$7,0)</f>
        <v>115000</v>
      </c>
      <c r="J12" s="97">
        <f>IF('發明(新型)案成本估算'!$B$7&gt;0,60000+14000*'發明(新型)案成本估算'!$B$7,0)</f>
        <v>200000</v>
      </c>
      <c r="K12" s="97">
        <f>IF('發明(新型)案成本估算'!$B$7&gt;0,60000+14000*'發明(新型)案成本估算'!$B$7,0)</f>
        <v>200000</v>
      </c>
      <c r="L12" s="97">
        <f>IF('發明(新型)案成本估算'!$B$7&gt;0,60000+14000*'發明(新型)案成本估算'!$B$7,0)</f>
        <v>200000</v>
      </c>
      <c r="M12" s="97">
        <f>IF('發明(新型)案成本估算'!$B$7&gt;0,160000+20000*'發明(新型)案成本估算'!$B$7,0)</f>
        <v>360000</v>
      </c>
      <c r="N12" s="97">
        <f>IF('發明(新型)案成本估算'!$B$7&gt;0,160000+20000*'發明(新型)案成本估算'!$B$7,0)</f>
        <v>360000</v>
      </c>
      <c r="O12" s="97">
        <f>IF('發明(新型)案成本估算'!$B$7&gt;0,160000+20000*'發明(新型)案成本估算'!$B$7,0)</f>
        <v>360000</v>
      </c>
      <c r="P12" s="97">
        <f>IF('發明(新型)案成本估算'!$B$7&gt;0,240000+20000*'發明(新型)案成本估算'!$B$7,0)</f>
        <v>440000</v>
      </c>
      <c r="Q12" s="97">
        <f>IF('發明(新型)案成本估算'!$B$7&gt;0,240000+20000*'發明(新型)案成本估算'!$B$7,0)</f>
        <v>440000</v>
      </c>
      <c r="R12" s="97">
        <f>IF('發明(新型)案成本估算'!$B$7&gt;0,240000+20000*'發明(新型)案成本估算'!$B$7,0)</f>
        <v>440000</v>
      </c>
      <c r="S12" s="97"/>
      <c r="T12" s="97"/>
      <c r="U12" s="97"/>
      <c r="V12" s="97"/>
      <c r="W12" s="97"/>
      <c r="X12" s="97"/>
      <c r="Y12" s="97"/>
      <c r="Z12" s="97"/>
      <c r="AA12" s="97"/>
      <c r="AB12" s="97"/>
      <c r="AC12" s="75">
        <f t="shared" si="3"/>
        <v>3345000</v>
      </c>
      <c r="AD12" s="11"/>
      <c r="AE12" s="195"/>
      <c r="AF12" s="11" t="str">
        <f t="shared" si="4"/>
        <v>新型</v>
      </c>
      <c r="AG12" s="14" t="str">
        <f t="shared" si="0"/>
        <v>KRW</v>
      </c>
      <c r="AH12" s="11">
        <f t="shared" si="8"/>
        <v>0</v>
      </c>
      <c r="AI12" s="75">
        <f t="shared" si="9"/>
        <v>0</v>
      </c>
      <c r="AJ12" s="75">
        <f t="shared" si="10"/>
        <v>0</v>
      </c>
      <c r="AK12" s="75">
        <f t="shared" si="11"/>
        <v>115000</v>
      </c>
      <c r="AL12" s="75">
        <f t="shared" si="12"/>
        <v>230000</v>
      </c>
      <c r="AM12" s="75">
        <f t="shared" si="13"/>
        <v>345000</v>
      </c>
      <c r="AN12" s="75">
        <f t="shared" si="14"/>
        <v>545000</v>
      </c>
      <c r="AO12" s="75">
        <f t="shared" si="15"/>
        <v>745000</v>
      </c>
      <c r="AP12" s="75">
        <f t="shared" si="16"/>
        <v>945000</v>
      </c>
      <c r="AQ12" s="75">
        <f t="shared" si="17"/>
        <v>1305000</v>
      </c>
      <c r="AR12" s="75">
        <f t="shared" si="18"/>
        <v>1665000</v>
      </c>
      <c r="AS12" s="75">
        <f t="shared" si="19"/>
        <v>2025000</v>
      </c>
      <c r="AT12" s="75">
        <f t="shared" si="20"/>
        <v>2465000</v>
      </c>
      <c r="AU12" s="75">
        <f t="shared" si="21"/>
        <v>2905000</v>
      </c>
      <c r="AV12" s="75">
        <f t="shared" si="22"/>
        <v>3345000</v>
      </c>
      <c r="AW12" s="75">
        <f t="shared" si="23"/>
        <v>3345000</v>
      </c>
      <c r="AX12" s="75">
        <f t="shared" si="24"/>
        <v>3345000</v>
      </c>
      <c r="AY12" s="75">
        <f t="shared" si="25"/>
        <v>3345000</v>
      </c>
      <c r="AZ12" s="75">
        <f t="shared" si="26"/>
        <v>3345000</v>
      </c>
      <c r="BA12" s="75">
        <f t="shared" si="27"/>
        <v>3345000</v>
      </c>
      <c r="BB12" s="75">
        <f t="shared" si="2"/>
        <v>3345000</v>
      </c>
      <c r="BC12" s="75">
        <f t="shared" si="2"/>
        <v>3345000</v>
      </c>
      <c r="BD12" s="75">
        <f t="shared" si="2"/>
        <v>3345000</v>
      </c>
      <c r="BE12" s="75">
        <f t="shared" si="2"/>
        <v>3345000</v>
      </c>
      <c r="BF12" s="75">
        <f t="shared" si="2"/>
        <v>3345000</v>
      </c>
      <c r="BG12" s="75">
        <f t="shared" si="7"/>
        <v>3345000</v>
      </c>
    </row>
    <row r="13" spans="1:59" x14ac:dyDescent="0.25">
      <c r="A13" s="3" t="s">
        <v>42</v>
      </c>
      <c r="B13" s="11" t="str">
        <f>'P(M)'!B27</f>
        <v>發明</v>
      </c>
      <c r="C13" s="3" t="s">
        <v>43</v>
      </c>
      <c r="D13" s="97"/>
      <c r="E13" s="97">
        <f>IF('發明(新型)案成本估算'!$B$10="少於100人",58.68,130.5)</f>
        <v>58.68</v>
      </c>
      <c r="F13" s="97">
        <f>IF('發明(新型)案成本估算'!$B$10="少於100人",58.68,130.5)</f>
        <v>58.68</v>
      </c>
      <c r="G13" s="97">
        <f>IF('發明(新型)案成本估算'!$B$10="少於100人",58.68,130.5)</f>
        <v>58.68</v>
      </c>
      <c r="H13" s="97">
        <f>IF('發明(新型)案成本估算'!$B$10="少於100人",104.4,289.19)</f>
        <v>104.4</v>
      </c>
      <c r="I13" s="97">
        <f>IF('發明(新型)案成本估算'!$B$10="少於100人",104.4,289.19)</f>
        <v>104.4</v>
      </c>
      <c r="J13" s="97">
        <f>IF('發明(新型)案成本估算'!$B$10="少於100人",104.4,289.19)</f>
        <v>104.4</v>
      </c>
      <c r="K13" s="97">
        <f>IF('發明(新型)案成本估算'!$B$10="少於100人",104.4,289.19)</f>
        <v>104.4</v>
      </c>
      <c r="L13" s="97">
        <f>IF('發明(新型)案成本估算'!$B$10="少於100人",104.4,289.19)</f>
        <v>104.4</v>
      </c>
      <c r="M13" s="97">
        <f>IF('發明(新型)案成本估算'!$B$10="少於100人",130.5,362.27)</f>
        <v>130.5</v>
      </c>
      <c r="N13" s="97">
        <f>IF('發明(新型)案成本估算'!$B$10="少於100人",130.5,362.27)</f>
        <v>130.5</v>
      </c>
      <c r="O13" s="97">
        <f>IF('發明(新型)案成本估算'!$B$10="少於100人",130.5,362.27)</f>
        <v>130.5</v>
      </c>
      <c r="P13" s="97">
        <f>IF('發明(新型)案成本估算'!$B$10="少於100人",130.5,362.27)</f>
        <v>130.5</v>
      </c>
      <c r="Q13" s="97">
        <f>IF('發明(新型)案成本估算'!$B$10="少於100人",130.5,362.27)</f>
        <v>130.5</v>
      </c>
      <c r="R13" s="97">
        <f>IF('發明(新型)案成本估算'!$B$10="少於100人",264.13,651.46)</f>
        <v>264.13</v>
      </c>
      <c r="S13" s="97">
        <f>IF('發明(新型)案成本估算'!$B$10="少於100人",264.13,651.46)</f>
        <v>264.13</v>
      </c>
      <c r="T13" s="97">
        <f>IF('發明(新型)案成本估算'!$B$10="少於100人",264.13,651.46)</f>
        <v>264.13</v>
      </c>
      <c r="U13" s="97">
        <f>IF('發明(新型)案成本估算'!$B$10="少於100人",264.13,651.46)</f>
        <v>264.13</v>
      </c>
      <c r="V13" s="97">
        <f>IF('發明(新型)案成本估算'!$B$10="少於100人",264.13,651.46)</f>
        <v>264.13</v>
      </c>
      <c r="W13" s="97"/>
      <c r="X13" s="97"/>
      <c r="Y13" s="97"/>
      <c r="Z13" s="97"/>
      <c r="AA13" s="97"/>
      <c r="AB13" s="97"/>
      <c r="AC13" s="75">
        <f>SUM(D13:AB13)</f>
        <v>2671.1900000000005</v>
      </c>
      <c r="AD13" s="11"/>
      <c r="AE13" s="3" t="s">
        <v>42</v>
      </c>
      <c r="AF13" s="11" t="str">
        <f>B13</f>
        <v>發明</v>
      </c>
      <c r="AG13" s="14" t="str">
        <f>C13</f>
        <v>CAD</v>
      </c>
      <c r="AH13" s="11">
        <f>D13</f>
        <v>0</v>
      </c>
      <c r="AI13" s="75">
        <f t="shared" ref="AI13:BF13" si="28">AH13+E13</f>
        <v>58.68</v>
      </c>
      <c r="AJ13" s="75">
        <f t="shared" si="28"/>
        <v>117.36</v>
      </c>
      <c r="AK13" s="75">
        <f t="shared" si="28"/>
        <v>176.04</v>
      </c>
      <c r="AL13" s="75">
        <f t="shared" si="28"/>
        <v>280.44</v>
      </c>
      <c r="AM13" s="75">
        <f t="shared" si="28"/>
        <v>384.84000000000003</v>
      </c>
      <c r="AN13" s="75">
        <f t="shared" si="28"/>
        <v>489.24</v>
      </c>
      <c r="AO13" s="75">
        <f t="shared" si="28"/>
        <v>593.64</v>
      </c>
      <c r="AP13" s="75">
        <f t="shared" si="28"/>
        <v>698.04</v>
      </c>
      <c r="AQ13" s="75">
        <f t="shared" si="28"/>
        <v>828.54</v>
      </c>
      <c r="AR13" s="75">
        <f t="shared" si="28"/>
        <v>959.04</v>
      </c>
      <c r="AS13" s="75">
        <f t="shared" si="28"/>
        <v>1089.54</v>
      </c>
      <c r="AT13" s="75">
        <f t="shared" si="28"/>
        <v>1220.04</v>
      </c>
      <c r="AU13" s="75">
        <f t="shared" si="28"/>
        <v>1350.54</v>
      </c>
      <c r="AV13" s="75">
        <f t="shared" si="28"/>
        <v>1614.67</v>
      </c>
      <c r="AW13" s="75">
        <f t="shared" si="28"/>
        <v>1878.8000000000002</v>
      </c>
      <c r="AX13" s="75">
        <f t="shared" si="28"/>
        <v>2142.9300000000003</v>
      </c>
      <c r="AY13" s="75">
        <f t="shared" si="28"/>
        <v>2407.0600000000004</v>
      </c>
      <c r="AZ13" s="75">
        <f t="shared" si="28"/>
        <v>2671.1900000000005</v>
      </c>
      <c r="BA13" s="75">
        <f t="shared" si="28"/>
        <v>2671.1900000000005</v>
      </c>
      <c r="BB13" s="75">
        <f t="shared" si="28"/>
        <v>2671.1900000000005</v>
      </c>
      <c r="BC13" s="75">
        <f t="shared" si="28"/>
        <v>2671.1900000000005</v>
      </c>
      <c r="BD13" s="75">
        <f t="shared" si="28"/>
        <v>2671.1900000000005</v>
      </c>
      <c r="BE13" s="75">
        <f t="shared" si="28"/>
        <v>2671.1900000000005</v>
      </c>
      <c r="BF13" s="75">
        <f t="shared" si="28"/>
        <v>2671.1900000000005</v>
      </c>
      <c r="BG13" s="75">
        <f>BF13</f>
        <v>2671.1900000000005</v>
      </c>
    </row>
    <row r="14" spans="1:59" x14ac:dyDescent="0.25">
      <c r="A14" s="3" t="s">
        <v>8</v>
      </c>
      <c r="B14" s="11" t="str">
        <f>'P(M)'!B28</f>
        <v>發明</v>
      </c>
      <c r="C14" s="3" t="s">
        <v>20</v>
      </c>
      <c r="D14" s="97"/>
      <c r="E14" s="97"/>
      <c r="F14" s="97"/>
      <c r="G14" s="97"/>
      <c r="H14" s="97">
        <v>165</v>
      </c>
      <c r="I14" s="97">
        <v>165</v>
      </c>
      <c r="J14" s="97">
        <v>165</v>
      </c>
      <c r="K14" s="97">
        <v>430</v>
      </c>
      <c r="L14" s="97">
        <v>430</v>
      </c>
      <c r="M14" s="97">
        <v>430</v>
      </c>
      <c r="N14" s="97">
        <v>600</v>
      </c>
      <c r="O14" s="97">
        <v>600</v>
      </c>
      <c r="P14" s="97">
        <v>600</v>
      </c>
      <c r="Q14" s="97">
        <v>775</v>
      </c>
      <c r="R14" s="97">
        <v>775</v>
      </c>
      <c r="S14" s="97">
        <v>775</v>
      </c>
      <c r="T14" s="97">
        <v>945</v>
      </c>
      <c r="U14" s="97">
        <v>945</v>
      </c>
      <c r="V14" s="97">
        <v>945</v>
      </c>
      <c r="W14" s="97">
        <v>1120</v>
      </c>
      <c r="X14" s="97"/>
      <c r="Y14" s="97"/>
      <c r="Z14" s="97"/>
      <c r="AA14" s="97"/>
      <c r="AB14" s="97"/>
      <c r="AC14" s="75">
        <f t="shared" si="3"/>
        <v>9865</v>
      </c>
      <c r="AD14" s="11"/>
      <c r="AE14" s="3" t="s">
        <v>8</v>
      </c>
      <c r="AF14" s="11" t="str">
        <f t="shared" si="4"/>
        <v>發明</v>
      </c>
      <c r="AG14" s="14" t="str">
        <f t="shared" si="0"/>
        <v>SGD</v>
      </c>
      <c r="AH14" s="11">
        <f t="shared" si="8"/>
        <v>0</v>
      </c>
      <c r="AI14" s="75">
        <f t="shared" si="9"/>
        <v>0</v>
      </c>
      <c r="AJ14" s="75">
        <f t="shared" si="10"/>
        <v>0</v>
      </c>
      <c r="AK14" s="75">
        <f t="shared" si="11"/>
        <v>0</v>
      </c>
      <c r="AL14" s="75">
        <f t="shared" si="12"/>
        <v>165</v>
      </c>
      <c r="AM14" s="75">
        <f t="shared" si="13"/>
        <v>330</v>
      </c>
      <c r="AN14" s="75">
        <f t="shared" si="14"/>
        <v>495</v>
      </c>
      <c r="AO14" s="75">
        <f t="shared" si="15"/>
        <v>925</v>
      </c>
      <c r="AP14" s="75">
        <f t="shared" si="16"/>
        <v>1355</v>
      </c>
      <c r="AQ14" s="75">
        <f t="shared" si="17"/>
        <v>1785</v>
      </c>
      <c r="AR14" s="75">
        <f t="shared" si="18"/>
        <v>2385</v>
      </c>
      <c r="AS14" s="75">
        <f t="shared" si="19"/>
        <v>2985</v>
      </c>
      <c r="AT14" s="75">
        <f t="shared" si="20"/>
        <v>3585</v>
      </c>
      <c r="AU14" s="75">
        <f t="shared" si="21"/>
        <v>4360</v>
      </c>
      <c r="AV14" s="75">
        <f t="shared" si="22"/>
        <v>5135</v>
      </c>
      <c r="AW14" s="75">
        <f t="shared" si="23"/>
        <v>5910</v>
      </c>
      <c r="AX14" s="75">
        <f t="shared" si="24"/>
        <v>6855</v>
      </c>
      <c r="AY14" s="75">
        <f t="shared" si="25"/>
        <v>7800</v>
      </c>
      <c r="AZ14" s="75">
        <f t="shared" si="26"/>
        <v>8745</v>
      </c>
      <c r="BA14" s="75">
        <f t="shared" si="27"/>
        <v>9865</v>
      </c>
      <c r="BB14" s="75">
        <f t="shared" si="2"/>
        <v>9865</v>
      </c>
      <c r="BC14" s="75">
        <f t="shared" si="2"/>
        <v>9865</v>
      </c>
      <c r="BD14" s="75">
        <f t="shared" si="2"/>
        <v>9865</v>
      </c>
      <c r="BE14" s="75">
        <f t="shared" si="2"/>
        <v>9865</v>
      </c>
      <c r="BF14" s="75">
        <f t="shared" si="2"/>
        <v>9865</v>
      </c>
      <c r="BG14" s="75">
        <f t="shared" si="7"/>
        <v>9865</v>
      </c>
    </row>
    <row r="15" spans="1:59" x14ac:dyDescent="0.25">
      <c r="A15" s="194" t="s">
        <v>11</v>
      </c>
      <c r="B15" s="11" t="str">
        <f>'P(M)'!B29</f>
        <v>發明</v>
      </c>
      <c r="C15" s="3" t="s">
        <v>23</v>
      </c>
      <c r="D15" s="97"/>
      <c r="E15" s="97">
        <v>290</v>
      </c>
      <c r="F15" s="97">
        <v>360</v>
      </c>
      <c r="G15" s="97">
        <v>440</v>
      </c>
      <c r="H15" s="97">
        <v>530</v>
      </c>
      <c r="I15" s="97">
        <v>630</v>
      </c>
      <c r="J15" s="97">
        <v>730</v>
      </c>
      <c r="K15" s="97">
        <v>830</v>
      </c>
      <c r="L15" s="97">
        <v>910</v>
      </c>
      <c r="M15" s="97">
        <v>990</v>
      </c>
      <c r="N15" s="97">
        <v>1020</v>
      </c>
      <c r="O15" s="97">
        <v>1140</v>
      </c>
      <c r="P15" s="97">
        <v>1280</v>
      </c>
      <c r="Q15" s="97">
        <v>1450</v>
      </c>
      <c r="R15" s="97">
        <v>1550</v>
      </c>
      <c r="S15" s="97">
        <v>1900</v>
      </c>
      <c r="T15" s="97">
        <v>2100</v>
      </c>
      <c r="U15" s="97">
        <v>2400</v>
      </c>
      <c r="V15" s="97">
        <v>2700</v>
      </c>
      <c r="W15" s="97">
        <v>2900</v>
      </c>
      <c r="X15" s="97"/>
      <c r="Y15" s="97"/>
      <c r="Z15" s="97"/>
      <c r="AA15" s="97"/>
      <c r="AB15" s="97"/>
      <c r="AC15" s="75">
        <f>SUM(D15:AB15)</f>
        <v>24150</v>
      </c>
      <c r="AD15" s="11"/>
      <c r="AE15" s="194" t="s">
        <v>11</v>
      </c>
      <c r="AF15" s="11" t="str">
        <f t="shared" ref="AF15:AH16" si="29">B15</f>
        <v>發明</v>
      </c>
      <c r="AG15" s="14" t="str">
        <f t="shared" si="29"/>
        <v>MYR</v>
      </c>
      <c r="AH15" s="11">
        <f t="shared" si="29"/>
        <v>0</v>
      </c>
      <c r="AI15" s="75">
        <f t="shared" ref="AI15:AR16" si="30">AH15+E15</f>
        <v>290</v>
      </c>
      <c r="AJ15" s="75">
        <f t="shared" si="30"/>
        <v>650</v>
      </c>
      <c r="AK15" s="75">
        <f t="shared" si="30"/>
        <v>1090</v>
      </c>
      <c r="AL15" s="75">
        <f t="shared" si="30"/>
        <v>1620</v>
      </c>
      <c r="AM15" s="75">
        <f t="shared" si="30"/>
        <v>2250</v>
      </c>
      <c r="AN15" s="75">
        <f t="shared" si="30"/>
        <v>2980</v>
      </c>
      <c r="AO15" s="75">
        <f t="shared" si="30"/>
        <v>3810</v>
      </c>
      <c r="AP15" s="75">
        <f t="shared" si="30"/>
        <v>4720</v>
      </c>
      <c r="AQ15" s="75">
        <f t="shared" si="30"/>
        <v>5710</v>
      </c>
      <c r="AR15" s="75">
        <f t="shared" si="30"/>
        <v>6730</v>
      </c>
      <c r="AS15" s="75">
        <f t="shared" si="19"/>
        <v>7870</v>
      </c>
      <c r="AT15" s="75">
        <f t="shared" si="20"/>
        <v>9150</v>
      </c>
      <c r="AU15" s="75">
        <f t="shared" si="21"/>
        <v>10600</v>
      </c>
      <c r="AV15" s="75">
        <f t="shared" si="22"/>
        <v>12150</v>
      </c>
      <c r="AW15" s="75">
        <f t="shared" si="23"/>
        <v>14050</v>
      </c>
      <c r="AX15" s="75">
        <f t="shared" si="24"/>
        <v>16150</v>
      </c>
      <c r="AY15" s="75">
        <f t="shared" si="25"/>
        <v>18550</v>
      </c>
      <c r="AZ15" s="75">
        <f t="shared" si="26"/>
        <v>21250</v>
      </c>
      <c r="BA15" s="75">
        <f t="shared" si="27"/>
        <v>24150</v>
      </c>
      <c r="BB15" s="75">
        <f t="shared" si="2"/>
        <v>24150</v>
      </c>
      <c r="BC15" s="75">
        <f t="shared" si="2"/>
        <v>24150</v>
      </c>
      <c r="BD15" s="75">
        <f t="shared" si="2"/>
        <v>24150</v>
      </c>
      <c r="BE15" s="75">
        <f t="shared" si="2"/>
        <v>24150</v>
      </c>
      <c r="BF15" s="75">
        <f t="shared" si="2"/>
        <v>24150</v>
      </c>
      <c r="BG15" s="75">
        <f>BF15</f>
        <v>24150</v>
      </c>
    </row>
    <row r="16" spans="1:59" x14ac:dyDescent="0.25">
      <c r="A16" s="195"/>
      <c r="B16" s="11" t="str">
        <f>'P(M)'!B30</f>
        <v>新型</v>
      </c>
      <c r="C16" s="3" t="s">
        <v>23</v>
      </c>
      <c r="D16" s="97"/>
      <c r="E16" s="97">
        <v>0</v>
      </c>
      <c r="F16" s="97">
        <v>170</v>
      </c>
      <c r="G16" s="97">
        <v>240</v>
      </c>
      <c r="H16" s="97">
        <v>290</v>
      </c>
      <c r="I16" s="97">
        <v>350</v>
      </c>
      <c r="J16" s="97">
        <v>350</v>
      </c>
      <c r="K16" s="97">
        <v>420</v>
      </c>
      <c r="L16" s="97">
        <v>420</v>
      </c>
      <c r="M16" s="97">
        <v>480</v>
      </c>
      <c r="N16" s="97">
        <v>670</v>
      </c>
      <c r="O16" s="97">
        <v>940</v>
      </c>
      <c r="P16" s="97">
        <v>1090</v>
      </c>
      <c r="Q16" s="97">
        <v>1270</v>
      </c>
      <c r="R16" s="97">
        <v>1550</v>
      </c>
      <c r="S16" s="97">
        <v>1650</v>
      </c>
      <c r="T16" s="97">
        <v>1820</v>
      </c>
      <c r="U16" s="97">
        <v>1930</v>
      </c>
      <c r="V16" s="97">
        <v>2090</v>
      </c>
      <c r="W16" s="97">
        <v>2200</v>
      </c>
      <c r="X16" s="97"/>
      <c r="Y16" s="97"/>
      <c r="Z16" s="97"/>
      <c r="AA16" s="97"/>
      <c r="AB16" s="97"/>
      <c r="AC16" s="75">
        <f>SUM(D16:AB16)</f>
        <v>17930</v>
      </c>
      <c r="AD16" s="11"/>
      <c r="AE16" s="195"/>
      <c r="AF16" s="11" t="str">
        <f t="shared" si="29"/>
        <v>新型</v>
      </c>
      <c r="AG16" s="14" t="str">
        <f t="shared" si="29"/>
        <v>MYR</v>
      </c>
      <c r="AH16" s="11">
        <f t="shared" si="29"/>
        <v>0</v>
      </c>
      <c r="AI16" s="75">
        <f t="shared" si="30"/>
        <v>0</v>
      </c>
      <c r="AJ16" s="75">
        <f t="shared" si="30"/>
        <v>170</v>
      </c>
      <c r="AK16" s="75">
        <f t="shared" si="30"/>
        <v>410</v>
      </c>
      <c r="AL16" s="75">
        <f t="shared" si="30"/>
        <v>700</v>
      </c>
      <c r="AM16" s="75">
        <f t="shared" si="30"/>
        <v>1050</v>
      </c>
      <c r="AN16" s="75">
        <f t="shared" si="30"/>
        <v>1400</v>
      </c>
      <c r="AO16" s="75">
        <f t="shared" si="30"/>
        <v>1820</v>
      </c>
      <c r="AP16" s="75">
        <f t="shared" si="30"/>
        <v>2240</v>
      </c>
      <c r="AQ16" s="75">
        <f t="shared" si="30"/>
        <v>2720</v>
      </c>
      <c r="AR16" s="75">
        <f t="shared" si="30"/>
        <v>3390</v>
      </c>
      <c r="AS16" s="75">
        <f t="shared" si="19"/>
        <v>4330</v>
      </c>
      <c r="AT16" s="75">
        <f t="shared" si="20"/>
        <v>5420</v>
      </c>
      <c r="AU16" s="75">
        <f t="shared" si="21"/>
        <v>6690</v>
      </c>
      <c r="AV16" s="75">
        <f t="shared" si="22"/>
        <v>8240</v>
      </c>
      <c r="AW16" s="75">
        <f t="shared" si="23"/>
        <v>9890</v>
      </c>
      <c r="AX16" s="75">
        <f t="shared" si="24"/>
        <v>11710</v>
      </c>
      <c r="AY16" s="75">
        <f t="shared" si="25"/>
        <v>13640</v>
      </c>
      <c r="AZ16" s="75">
        <f t="shared" si="26"/>
        <v>15730</v>
      </c>
      <c r="BA16" s="75">
        <f t="shared" si="27"/>
        <v>17930</v>
      </c>
      <c r="BB16" s="75">
        <f t="shared" si="2"/>
        <v>17930</v>
      </c>
      <c r="BC16" s="75">
        <f t="shared" si="2"/>
        <v>17930</v>
      </c>
      <c r="BD16" s="75">
        <f t="shared" si="2"/>
        <v>17930</v>
      </c>
      <c r="BE16" s="75">
        <f t="shared" si="2"/>
        <v>17930</v>
      </c>
      <c r="BF16" s="75">
        <f t="shared" si="2"/>
        <v>17930</v>
      </c>
      <c r="BG16" s="75">
        <f>BF16</f>
        <v>17930</v>
      </c>
    </row>
    <row r="17" spans="1:59" x14ac:dyDescent="0.25">
      <c r="A17" s="53" t="s">
        <v>146</v>
      </c>
      <c r="B17" s="11" t="str">
        <f>'P(M)'!B31</f>
        <v>發明</v>
      </c>
      <c r="C17" s="3" t="s">
        <v>16</v>
      </c>
      <c r="D17" s="97"/>
      <c r="E17" s="97"/>
      <c r="F17" s="97"/>
      <c r="G17" s="97"/>
      <c r="H17" s="97">
        <f>IF('發明(新型)案成本估算'!$B$7&gt;5,73+10*('發明(新型)案成本估算'!$B$7-5),73)</f>
        <v>123</v>
      </c>
      <c r="I17" s="97">
        <f>IF('發明(新型)案成本估算'!$B$7&gt;5,97+10*('發明(新型)案成本估算'!$B$7-5),97)</f>
        <v>147</v>
      </c>
      <c r="J17" s="97">
        <f>IF('發明(新型)案成本估算'!$B$7&gt;5,122+10*('發明(新型)案成本估算'!$B$7-5),122)</f>
        <v>172</v>
      </c>
      <c r="K17" s="97">
        <f>IF('發明(新型)案成本估算'!$B$7&gt;5,146+10*('發明(新型)案成本估算'!$B$7-5),146)</f>
        <v>196</v>
      </c>
      <c r="L17" s="97">
        <f>IF('發明(新型)案成本估算'!$B$7&gt;5,194+10*('發明(新型)案成本估算'!$B$7-5),194)</f>
        <v>244</v>
      </c>
      <c r="M17" s="97">
        <f>IF('發明(新型)案成本估算'!$B$7&gt;5,243+10*('發明(新型)案成本估算'!$B$7-5),243)</f>
        <v>293</v>
      </c>
      <c r="N17" s="97">
        <f>IF('發明(新型)案成本估算'!$B$7&gt;5,313+10*('發明(新型)案成本估算'!$B$7-5),313)</f>
        <v>363</v>
      </c>
      <c r="O17" s="97">
        <f>IF('發明(新型)案成本估算'!$B$7&gt;5,388+10*('發明(新型)案成本估算'!$B$7-5),388)</f>
        <v>438</v>
      </c>
      <c r="P17" s="97">
        <f>IF('發明(新型)案成本估算'!$B$7&gt;5,458+10*('發明(新型)案成本估算'!$B$7-5),458)</f>
        <v>508</v>
      </c>
      <c r="Q17" s="97">
        <f>IF('發明(新型)案成本估算'!$B$7&gt;5,558+10*('發明(新型)案成本估算'!$B$7-5),558)</f>
        <v>608</v>
      </c>
      <c r="R17" s="97">
        <f>IF('發明(新型)案成本估算'!$B$7&gt;5,655+10*('發明(新型)案成本估算'!$B$7-5),655)</f>
        <v>705</v>
      </c>
      <c r="S17" s="97">
        <f>IF('發明(新型)案成本估算'!$B$7&gt;5,749+10*('發明(新型)案成本估算'!$B$7-5),749)</f>
        <v>799</v>
      </c>
      <c r="T17" s="97">
        <f>IF('發明(新型)案成本估算'!$B$7&gt;5,846+10*('發明(新型)案成本估算'!$B$7-5),846)</f>
        <v>896</v>
      </c>
      <c r="U17" s="97">
        <f>IF('發明(新型)案成本估算'!$B$7&gt;5,1016+10*('發明(新型)案成本估算'!$B$7-5),1016)</f>
        <v>1066</v>
      </c>
      <c r="V17" s="97">
        <f>IF('發明(新型)案成本估算'!$B$7&gt;5,1221+10*('發明(新型)案成本估算'!$B$7-5),1221)</f>
        <v>1271</v>
      </c>
      <c r="W17" s="97">
        <f>IF('發明(新型)案成本估算'!$B$7&gt;5,1463+10*('發明(新型)案成本估算'!$B$7-5),1463)</f>
        <v>1513</v>
      </c>
      <c r="X17" s="97"/>
      <c r="Y17" s="97"/>
      <c r="Z17" s="97"/>
      <c r="AA17" s="97"/>
      <c r="AB17" s="97"/>
      <c r="AC17" s="75">
        <f t="shared" si="3"/>
        <v>9342</v>
      </c>
      <c r="AD17" s="11"/>
      <c r="AE17" s="53" t="s">
        <v>146</v>
      </c>
      <c r="AF17" s="11" t="str">
        <f t="shared" si="4"/>
        <v>發明</v>
      </c>
      <c r="AG17" s="14" t="str">
        <f t="shared" si="0"/>
        <v>USD</v>
      </c>
      <c r="AH17" s="11">
        <f t="shared" si="8"/>
        <v>0</v>
      </c>
      <c r="AI17" s="75">
        <f t="shared" si="9"/>
        <v>0</v>
      </c>
      <c r="AJ17" s="75">
        <f t="shared" si="10"/>
        <v>0</v>
      </c>
      <c r="AK17" s="75">
        <f t="shared" si="11"/>
        <v>0</v>
      </c>
      <c r="AL17" s="75">
        <f t="shared" si="12"/>
        <v>123</v>
      </c>
      <c r="AM17" s="75">
        <f t="shared" si="13"/>
        <v>270</v>
      </c>
      <c r="AN17" s="75">
        <f t="shared" si="14"/>
        <v>442</v>
      </c>
      <c r="AO17" s="75">
        <f t="shared" si="15"/>
        <v>638</v>
      </c>
      <c r="AP17" s="75">
        <f t="shared" si="16"/>
        <v>882</v>
      </c>
      <c r="AQ17" s="75">
        <f t="shared" si="17"/>
        <v>1175</v>
      </c>
      <c r="AR17" s="75">
        <f t="shared" si="18"/>
        <v>1538</v>
      </c>
      <c r="AS17" s="75">
        <f t="shared" si="19"/>
        <v>1976</v>
      </c>
      <c r="AT17" s="75">
        <f t="shared" si="20"/>
        <v>2484</v>
      </c>
      <c r="AU17" s="75">
        <f t="shared" si="21"/>
        <v>3092</v>
      </c>
      <c r="AV17" s="75">
        <f t="shared" si="22"/>
        <v>3797</v>
      </c>
      <c r="AW17" s="75">
        <f t="shared" si="23"/>
        <v>4596</v>
      </c>
      <c r="AX17" s="75">
        <f t="shared" si="24"/>
        <v>5492</v>
      </c>
      <c r="AY17" s="75">
        <f t="shared" si="25"/>
        <v>6558</v>
      </c>
      <c r="AZ17" s="75">
        <f t="shared" si="26"/>
        <v>7829</v>
      </c>
      <c r="BA17" s="75">
        <f t="shared" si="27"/>
        <v>9342</v>
      </c>
      <c r="BB17" s="75">
        <f t="shared" si="2"/>
        <v>9342</v>
      </c>
      <c r="BC17" s="75">
        <f t="shared" si="2"/>
        <v>9342</v>
      </c>
      <c r="BD17" s="75">
        <f t="shared" si="2"/>
        <v>9342</v>
      </c>
      <c r="BE17" s="75">
        <f t="shared" si="2"/>
        <v>9342</v>
      </c>
      <c r="BF17" s="75">
        <f t="shared" si="2"/>
        <v>9342</v>
      </c>
      <c r="BG17" s="75">
        <f t="shared" si="7"/>
        <v>9342</v>
      </c>
    </row>
    <row r="18" spans="1:59" x14ac:dyDescent="0.25">
      <c r="A18" s="194" t="s">
        <v>131</v>
      </c>
      <c r="B18" s="11" t="str">
        <f>'P(M)'!B32</f>
        <v>發明</v>
      </c>
      <c r="C18" s="3" t="s">
        <v>16</v>
      </c>
      <c r="D18" s="97"/>
      <c r="E18" s="97">
        <f>IF('發明(新型)案成本估算'!$B$7&gt;0,100+7.5*'發明(新型)案成本估算'!$B$7,0)</f>
        <v>175</v>
      </c>
      <c r="F18" s="97">
        <f>IF('發明(新型)案成本估算'!$B$7&gt;0,100+7.5*'發明(新型)案成本估算'!$B$7,0)</f>
        <v>175</v>
      </c>
      <c r="G18" s="97">
        <f>IF('發明(新型)案成本估算'!$B$7&gt;0,125+10*'發明(新型)案成本估算'!$B$7,0)</f>
        <v>225</v>
      </c>
      <c r="H18" s="97">
        <f>IF('發明(新型)案成本估算'!$B$7&gt;0,125+10*'發明(新型)案成本估算'!$B$7,0)</f>
        <v>225</v>
      </c>
      <c r="I18" s="97">
        <f>IF('發明(新型)案成本估算'!$B$7&gt;0,175+17.5*'發明(新型)案成本估算'!$B$7,0)</f>
        <v>350</v>
      </c>
      <c r="J18" s="97">
        <f>IF('發明(新型)案成本估算'!$B$7&gt;0,225+22.5*'發明(新型)案成本估算'!$B$7,0)</f>
        <v>450</v>
      </c>
      <c r="K18" s="97">
        <f>IF('發明(新型)案成本估算'!$B$7&gt;0,225+22.5*'發明(新型)案成本估算'!$B$7,0)</f>
        <v>450</v>
      </c>
      <c r="L18" s="97">
        <f>IF('發明(新型)案成本估算'!$B$7&gt;0,300+30*'發明(新型)案成本估算'!$B$7,0)</f>
        <v>600</v>
      </c>
      <c r="M18" s="97">
        <f>IF('發明(新型)案成本估算'!$B$7&gt;0,400+30*'發明(新型)案成本估算'!$B$7,0)</f>
        <v>700</v>
      </c>
      <c r="N18" s="97">
        <f>IF('發明(新型)案成本估算'!$B$7&gt;0,650+50*'發明(新型)案成本估算'!$B$7,0)</f>
        <v>1150</v>
      </c>
      <c r="O18" s="97">
        <f>IF('發明(新型)案成本估算'!$B$7&gt;0,650+50*'發明(新型)案成本估算'!$B$7,0)</f>
        <v>1150</v>
      </c>
      <c r="P18" s="97">
        <f>IF('發明(新型)案成本估算'!$B$7&gt;0,650+50*'發明(新型)案成本估算'!$B$7,0)</f>
        <v>1150</v>
      </c>
      <c r="Q18" s="97">
        <f>IF('發明(新型)案成本估算'!$B$7&gt;0,650+50*'發明(新型)案成本估算'!$B$7,0)</f>
        <v>1150</v>
      </c>
      <c r="R18" s="97">
        <f>IF('發明(新型)案成本估算'!$B$7&gt;0,650+50*'發明(新型)案成本估算'!$B$7,0)</f>
        <v>1150</v>
      </c>
      <c r="S18" s="97">
        <f>IF('發明(新型)案成本估算'!$B$7&gt;0,650+50*'發明(新型)案成本估算'!$B$7,0)</f>
        <v>1150</v>
      </c>
      <c r="T18" s="97">
        <f>IF('發明(新型)案成本估算'!$B$7&gt;0,650+50*'發明(新型)案成本估算'!$B$7,0)</f>
        <v>1150</v>
      </c>
      <c r="U18" s="97">
        <f>IF('發明(新型)案成本估算'!$B$7&gt;0,650+50*'發明(新型)案成本估算'!$B$7,0)</f>
        <v>1150</v>
      </c>
      <c r="V18" s="97">
        <f>IF('發明(新型)案成本估算'!$B$7&gt;0,650+50*'發明(新型)案成本估算'!$B$7,0)</f>
        <v>1150</v>
      </c>
      <c r="W18" s="97">
        <f>IF('發明(新型)案成本估算'!$B$7&gt;0,650+50*'發明(新型)案成本估算'!$B$7,0)</f>
        <v>1150</v>
      </c>
      <c r="X18" s="97"/>
      <c r="Y18" s="97"/>
      <c r="Z18" s="97"/>
      <c r="AA18" s="97"/>
      <c r="AB18" s="97"/>
      <c r="AC18" s="75">
        <f>SUM(D18:AB18)</f>
        <v>14850</v>
      </c>
      <c r="AD18" s="11"/>
      <c r="AE18" s="194" t="s">
        <v>131</v>
      </c>
      <c r="AF18" s="11" t="str">
        <f t="shared" ref="AF18:AH19" si="31">B18</f>
        <v>發明</v>
      </c>
      <c r="AG18" s="14" t="str">
        <f t="shared" si="31"/>
        <v>USD</v>
      </c>
      <c r="AH18" s="11">
        <f t="shared" si="31"/>
        <v>0</v>
      </c>
      <c r="AI18" s="75">
        <f t="shared" ref="AI18:AR19" si="32">AH18+E18</f>
        <v>175</v>
      </c>
      <c r="AJ18" s="75">
        <f t="shared" si="32"/>
        <v>350</v>
      </c>
      <c r="AK18" s="75">
        <f t="shared" si="32"/>
        <v>575</v>
      </c>
      <c r="AL18" s="75">
        <f t="shared" si="32"/>
        <v>800</v>
      </c>
      <c r="AM18" s="75">
        <f t="shared" si="32"/>
        <v>1150</v>
      </c>
      <c r="AN18" s="75">
        <f t="shared" si="32"/>
        <v>1600</v>
      </c>
      <c r="AO18" s="75">
        <f t="shared" si="32"/>
        <v>2050</v>
      </c>
      <c r="AP18" s="75">
        <f t="shared" si="32"/>
        <v>2650</v>
      </c>
      <c r="AQ18" s="75">
        <f t="shared" si="32"/>
        <v>3350</v>
      </c>
      <c r="AR18" s="75">
        <f t="shared" si="32"/>
        <v>4500</v>
      </c>
      <c r="AS18" s="75">
        <f t="shared" si="19"/>
        <v>5650</v>
      </c>
      <c r="AT18" s="75">
        <f t="shared" si="20"/>
        <v>6800</v>
      </c>
      <c r="AU18" s="75">
        <f t="shared" si="21"/>
        <v>7950</v>
      </c>
      <c r="AV18" s="75">
        <f t="shared" si="22"/>
        <v>9100</v>
      </c>
      <c r="AW18" s="75">
        <f t="shared" si="23"/>
        <v>10250</v>
      </c>
      <c r="AX18" s="75">
        <f t="shared" si="24"/>
        <v>11400</v>
      </c>
      <c r="AY18" s="75">
        <f t="shared" si="25"/>
        <v>12550</v>
      </c>
      <c r="AZ18" s="75">
        <f t="shared" si="26"/>
        <v>13700</v>
      </c>
      <c r="BA18" s="75">
        <f t="shared" si="27"/>
        <v>14850</v>
      </c>
      <c r="BB18" s="75">
        <f t="shared" ref="BB18:BF19" si="33">BA18+X18</f>
        <v>14850</v>
      </c>
      <c r="BC18" s="75">
        <f t="shared" si="33"/>
        <v>14850</v>
      </c>
      <c r="BD18" s="75">
        <f t="shared" si="33"/>
        <v>14850</v>
      </c>
      <c r="BE18" s="75">
        <f t="shared" si="33"/>
        <v>14850</v>
      </c>
      <c r="BF18" s="75">
        <f t="shared" si="33"/>
        <v>14850</v>
      </c>
      <c r="BG18" s="75">
        <f>BF18</f>
        <v>14850</v>
      </c>
    </row>
    <row r="19" spans="1:59" x14ac:dyDescent="0.25">
      <c r="A19" s="195"/>
      <c r="B19" s="11" t="str">
        <f>'P(M)'!B33</f>
        <v>新型</v>
      </c>
      <c r="C19" s="3" t="s">
        <v>16</v>
      </c>
      <c r="D19" s="97"/>
      <c r="E19" s="97">
        <f>IF('發明(新型)案成本估算'!$B$7&gt;0,75+5*'發明(新型)案成本估算'!$B$7,0)</f>
        <v>125</v>
      </c>
      <c r="F19" s="97">
        <f>IF('發明(新型)案成本估算'!$B$7&gt;0,75+5*'發明(新型)案成本估算'!$B$7,0)</f>
        <v>125</v>
      </c>
      <c r="G19" s="97">
        <f>IF('發明(新型)案成本估算'!$B$7&gt;0,75+5*'發明(新型)案成本估算'!$B$7,0)</f>
        <v>125</v>
      </c>
      <c r="H19" s="97">
        <f>IF('發明(新型)案成本估算'!$B$7&gt;0,125+5*'發明(新型)案成本估算'!$B$7,0)</f>
        <v>175</v>
      </c>
      <c r="I19" s="97">
        <f>IF('發明(新型)案成本估算'!$B$7&gt;0,170+5*'發明(新型)案成本估算'!$B$7,0)</f>
        <v>220</v>
      </c>
      <c r="J19" s="97">
        <f>IF('發明(新型)案成本估算'!$B$7&gt;0,230+5*'發明(新型)案成本估算'!$B$7,0)</f>
        <v>280</v>
      </c>
      <c r="K19" s="97">
        <f>IF('發明(新型)案成本估算'!$B$7&gt;0,280+5*'發明(新型)案成本估算'!$B$7,0)</f>
        <v>330</v>
      </c>
      <c r="L19" s="97">
        <f>IF('發明(新型)案成本估算'!$B$7&gt;0,350+5*'發明(新型)案成本估算'!$B$7,0)</f>
        <v>400</v>
      </c>
      <c r="M19" s="97">
        <f>IF('發明(新型)案成本估算'!$B$7&gt;0,400+5*'發明(新型)案成本估算'!$B$7,0)</f>
        <v>450</v>
      </c>
      <c r="N19" s="97"/>
      <c r="O19" s="97"/>
      <c r="P19" s="97"/>
      <c r="Q19" s="97"/>
      <c r="R19" s="97"/>
      <c r="S19" s="97"/>
      <c r="T19" s="97"/>
      <c r="U19" s="97"/>
      <c r="V19" s="97"/>
      <c r="W19" s="97"/>
      <c r="X19" s="97"/>
      <c r="Y19" s="97"/>
      <c r="Z19" s="97"/>
      <c r="AA19" s="97"/>
      <c r="AB19" s="97"/>
      <c r="AC19" s="75">
        <f>SUM(D19:AB19)</f>
        <v>2230</v>
      </c>
      <c r="AD19" s="11"/>
      <c r="AE19" s="195"/>
      <c r="AF19" s="11" t="str">
        <f t="shared" si="31"/>
        <v>新型</v>
      </c>
      <c r="AG19" s="14" t="str">
        <f t="shared" si="31"/>
        <v>USD</v>
      </c>
      <c r="AH19" s="11">
        <f t="shared" si="31"/>
        <v>0</v>
      </c>
      <c r="AI19" s="75">
        <f t="shared" si="32"/>
        <v>125</v>
      </c>
      <c r="AJ19" s="75">
        <f t="shared" si="32"/>
        <v>250</v>
      </c>
      <c r="AK19" s="75">
        <f t="shared" si="32"/>
        <v>375</v>
      </c>
      <c r="AL19" s="75">
        <f t="shared" si="32"/>
        <v>550</v>
      </c>
      <c r="AM19" s="75">
        <f t="shared" si="32"/>
        <v>770</v>
      </c>
      <c r="AN19" s="75">
        <f t="shared" si="32"/>
        <v>1050</v>
      </c>
      <c r="AO19" s="75">
        <f t="shared" si="32"/>
        <v>1380</v>
      </c>
      <c r="AP19" s="75">
        <f t="shared" si="32"/>
        <v>1780</v>
      </c>
      <c r="AQ19" s="75">
        <f t="shared" si="32"/>
        <v>2230</v>
      </c>
      <c r="AR19" s="75">
        <f t="shared" si="32"/>
        <v>2230</v>
      </c>
      <c r="AS19" s="75">
        <f t="shared" si="19"/>
        <v>2230</v>
      </c>
      <c r="AT19" s="75">
        <f t="shared" si="20"/>
        <v>2230</v>
      </c>
      <c r="AU19" s="75">
        <f t="shared" si="21"/>
        <v>2230</v>
      </c>
      <c r="AV19" s="75">
        <f t="shared" si="22"/>
        <v>2230</v>
      </c>
      <c r="AW19" s="75">
        <f t="shared" si="23"/>
        <v>2230</v>
      </c>
      <c r="AX19" s="75">
        <f t="shared" si="24"/>
        <v>2230</v>
      </c>
      <c r="AY19" s="75">
        <f t="shared" si="25"/>
        <v>2230</v>
      </c>
      <c r="AZ19" s="75">
        <f t="shared" si="26"/>
        <v>2230</v>
      </c>
      <c r="BA19" s="75">
        <f t="shared" si="27"/>
        <v>2230</v>
      </c>
      <c r="BB19" s="75">
        <f t="shared" si="33"/>
        <v>2230</v>
      </c>
      <c r="BC19" s="75">
        <f t="shared" si="33"/>
        <v>2230</v>
      </c>
      <c r="BD19" s="75">
        <f t="shared" si="33"/>
        <v>2230</v>
      </c>
      <c r="BE19" s="75">
        <f t="shared" si="33"/>
        <v>2230</v>
      </c>
      <c r="BF19" s="75">
        <f t="shared" si="33"/>
        <v>2230</v>
      </c>
      <c r="BG19" s="75">
        <f>BF19</f>
        <v>2230</v>
      </c>
    </row>
    <row r="20" spans="1:59" x14ac:dyDescent="0.25">
      <c r="A20" s="194" t="s">
        <v>9</v>
      </c>
      <c r="B20" s="11" t="str">
        <f>'P(M)'!B34</f>
        <v>發明</v>
      </c>
      <c r="C20" s="3" t="s">
        <v>21</v>
      </c>
      <c r="D20" s="97"/>
      <c r="E20" s="97">
        <f>IF('發明(新型)案成本估算'!$B$8&gt;0,800000+400000*('發明(新型)案成本估算'!$B$8-1),0)</f>
        <v>1600000</v>
      </c>
      <c r="F20" s="97">
        <f>IF('發明(新型)案成本估算'!$B$8&gt;0,1000000+600000*('發明(新型)案成本估算'!$B$8-1),0)</f>
        <v>2200000</v>
      </c>
      <c r="G20" s="97">
        <f>IF('發明(新型)案成本估算'!$B$8&gt;0,1000000+600000*('發明(新型)案成本估算'!$B$8-1),0)</f>
        <v>2200000</v>
      </c>
      <c r="H20" s="97">
        <f>IF('發明(新型)案成本估算'!$B$8&gt;0,1300000+900000*('發明(新型)案成本估算'!$B$8-1),0)</f>
        <v>3100000</v>
      </c>
      <c r="I20" s="97">
        <f>IF('發明(新型)案成本估算'!$B$8&gt;0,1300000+900000*('發明(新型)案成本估算'!$B$8-1),0)</f>
        <v>3100000</v>
      </c>
      <c r="J20" s="97">
        <f>IF('發明(新型)案成本估算'!$B$8&gt;0,1700000+1300000*('發明(新型)案成本估算'!$B$8-1),0)</f>
        <v>4300000</v>
      </c>
      <c r="K20" s="97">
        <f>IF('發明(新型)案成本估算'!$B$8&gt;0,1700000+1300000*('發明(新型)案成本估算'!$B$8-1),0)</f>
        <v>4300000</v>
      </c>
      <c r="L20" s="97">
        <f>IF('發明(新型)案成本估算'!$B$8&gt;0,2300000+1900000*('發明(新型)案成本估算'!$B$8-1),0)</f>
        <v>6100000</v>
      </c>
      <c r="M20" s="97">
        <f>IF('發明(新型)案成本估算'!$B$8&gt;0,2300000+1900000*('發明(新型)案成本估算'!$B$8-1),0)</f>
        <v>6100000</v>
      </c>
      <c r="N20" s="97">
        <f>IF('發明(新型)案成本估算'!$B$8&gt;0,3000000+2600000*('發明(新型)案成本估算'!$B$8-1),0)</f>
        <v>8200000</v>
      </c>
      <c r="O20" s="97">
        <f>IF('發明(新型)案成本估算'!$B$8&gt;0,3000000+2600000*('發明(新型)案成本估算'!$B$8-1),0)</f>
        <v>8200000</v>
      </c>
      <c r="P20" s="97">
        <f>IF('發明(新型)案成本估算'!$B$8&gt;0,3000000+2600000*('發明(新型)案成本估算'!$B$8-1),0)</f>
        <v>8200000</v>
      </c>
      <c r="Q20" s="97">
        <f>IF('發明(新型)案成本估算'!$B$8&gt;0,3800000+3400000*('發明(新型)案成本估算'!$B$8-1),0)</f>
        <v>10600000</v>
      </c>
      <c r="R20" s="97">
        <f>IF('發明(新型)案成本估算'!$B$8&gt;0,3800000+3400000*('發明(新型)案成本估算'!$B$8-1),0)</f>
        <v>10600000</v>
      </c>
      <c r="S20" s="97">
        <f>IF('發明(新型)案成本估算'!$B$8&gt;0,3800000+3400000*('發明(新型)案成本估算'!$B$8-1),0)</f>
        <v>10600000</v>
      </c>
      <c r="T20" s="97">
        <f>IF('發明(新型)案成本估算'!$B$8&gt;0,4700000+4300000*('發明(新型)案成本估算'!$B$8-1),0)</f>
        <v>13300000</v>
      </c>
      <c r="U20" s="97">
        <f>IF('發明(新型)案成本估算'!$B$8&gt;0,4700000+4300000*('發明(新型)案成本估算'!$B$8-1),0)</f>
        <v>13300000</v>
      </c>
      <c r="V20" s="97">
        <f>IF('發明(新型)案成本估算'!$B$8&gt;0,4700000+4300000*('發明(新型)案成本估算'!$B$8-1),0)</f>
        <v>13300000</v>
      </c>
      <c r="W20" s="97">
        <f>IF('發明(新型)案成本估算'!$B$8&gt;0,4700000+4300000*('發明(新型)案成本估算'!$B$8-1),0)</f>
        <v>13300000</v>
      </c>
      <c r="X20" s="97"/>
      <c r="Y20" s="97"/>
      <c r="Z20" s="97"/>
      <c r="AA20" s="97"/>
      <c r="AB20" s="97"/>
      <c r="AC20" s="75">
        <f t="shared" si="3"/>
        <v>142600000</v>
      </c>
      <c r="AD20" s="11"/>
      <c r="AE20" s="194" t="s">
        <v>9</v>
      </c>
      <c r="AF20" s="11" t="str">
        <f t="shared" si="4"/>
        <v>發明</v>
      </c>
      <c r="AG20" s="14" t="str">
        <f t="shared" si="0"/>
        <v>VND</v>
      </c>
      <c r="AH20" s="11">
        <f t="shared" si="8"/>
        <v>0</v>
      </c>
      <c r="AI20" s="75">
        <f t="shared" si="9"/>
        <v>1600000</v>
      </c>
      <c r="AJ20" s="75">
        <f t="shared" si="10"/>
        <v>3800000</v>
      </c>
      <c r="AK20" s="75">
        <f t="shared" si="11"/>
        <v>6000000</v>
      </c>
      <c r="AL20" s="75">
        <f t="shared" si="12"/>
        <v>9100000</v>
      </c>
      <c r="AM20" s="75">
        <f t="shared" si="13"/>
        <v>12200000</v>
      </c>
      <c r="AN20" s="75">
        <f t="shared" si="14"/>
        <v>16500000</v>
      </c>
      <c r="AO20" s="75">
        <f t="shared" si="15"/>
        <v>20800000</v>
      </c>
      <c r="AP20" s="75">
        <f t="shared" si="16"/>
        <v>26900000</v>
      </c>
      <c r="AQ20" s="75">
        <f t="shared" si="17"/>
        <v>33000000</v>
      </c>
      <c r="AR20" s="75">
        <f t="shared" si="18"/>
        <v>41200000</v>
      </c>
      <c r="AS20" s="75">
        <f t="shared" si="19"/>
        <v>49400000</v>
      </c>
      <c r="AT20" s="75">
        <f t="shared" si="20"/>
        <v>57600000</v>
      </c>
      <c r="AU20" s="75">
        <f t="shared" si="21"/>
        <v>68200000</v>
      </c>
      <c r="AV20" s="75">
        <f t="shared" si="22"/>
        <v>78800000</v>
      </c>
      <c r="AW20" s="75">
        <f t="shared" si="23"/>
        <v>89400000</v>
      </c>
      <c r="AX20" s="75">
        <f t="shared" si="24"/>
        <v>102700000</v>
      </c>
      <c r="AY20" s="75">
        <f t="shared" si="25"/>
        <v>116000000</v>
      </c>
      <c r="AZ20" s="75">
        <f t="shared" si="26"/>
        <v>129300000</v>
      </c>
      <c r="BA20" s="75">
        <f t="shared" si="27"/>
        <v>142600000</v>
      </c>
      <c r="BB20" s="75">
        <f t="shared" si="2"/>
        <v>142600000</v>
      </c>
      <c r="BC20" s="75">
        <f t="shared" si="2"/>
        <v>142600000</v>
      </c>
      <c r="BD20" s="75">
        <f t="shared" si="2"/>
        <v>142600000</v>
      </c>
      <c r="BE20" s="75">
        <f t="shared" si="2"/>
        <v>142600000</v>
      </c>
      <c r="BF20" s="75">
        <f t="shared" si="2"/>
        <v>142600000</v>
      </c>
      <c r="BG20" s="75">
        <f t="shared" si="7"/>
        <v>142600000</v>
      </c>
    </row>
    <row r="21" spans="1:59" x14ac:dyDescent="0.25">
      <c r="A21" s="195"/>
      <c r="B21" s="11" t="str">
        <f>'P(M)'!B35</f>
        <v>新型</v>
      </c>
      <c r="C21" s="3" t="s">
        <v>21</v>
      </c>
      <c r="D21" s="97"/>
      <c r="E21" s="97">
        <f>IF('發明(新型)案成本估算'!$B$8&gt;0,800000+400000*('發明(新型)案成本估算'!$B$8-1),0)</f>
        <v>1600000</v>
      </c>
      <c r="F21" s="97">
        <f>IF('發明(新型)案成本估算'!$B$8&gt;0,1000000+600000*('發明(新型)案成本估算'!$B$8-1),0)</f>
        <v>2200000</v>
      </c>
      <c r="G21" s="97">
        <f>IF('發明(新型)案成本估算'!$B$8&gt;0,1000000+600000*('發明(新型)案成本估算'!$B$8-1),0)</f>
        <v>2200000</v>
      </c>
      <c r="H21" s="97">
        <f>IF('發明(新型)案成本估算'!$B$8&gt;0,1300000+900000*('發明(新型)案成本估算'!$B$8-1),0)</f>
        <v>3100000</v>
      </c>
      <c r="I21" s="97">
        <f>IF('發明(新型)案成本估算'!$B$8&gt;0,1300000+900000*('發明(新型)案成本估算'!$B$8-1),0)</f>
        <v>3100000</v>
      </c>
      <c r="J21" s="97">
        <f>IF('發明(新型)案成本估算'!$B$8&gt;0,1700000+1300000*('發明(新型)案成本估算'!$B$8-1),0)</f>
        <v>4300000</v>
      </c>
      <c r="K21" s="97">
        <f>IF('發明(新型)案成本估算'!$B$8&gt;0,1700000+1300000*('發明(新型)案成本估算'!$B$8-1),0)</f>
        <v>4300000</v>
      </c>
      <c r="L21" s="97">
        <f>IF('發明(新型)案成本估算'!$B$8&gt;0,2300000+1900000*('發明(新型)案成本估算'!$B$8-1),0)</f>
        <v>6100000</v>
      </c>
      <c r="M21" s="97">
        <f>IF('發明(新型)案成本估算'!$B$8&gt;0,2300000+1900000*('發明(新型)案成本估算'!$B$8-1),0)</f>
        <v>6100000</v>
      </c>
      <c r="N21" s="97"/>
      <c r="O21" s="97"/>
      <c r="P21" s="97"/>
      <c r="Q21" s="97"/>
      <c r="R21" s="97"/>
      <c r="S21" s="97"/>
      <c r="T21" s="97"/>
      <c r="U21" s="97"/>
      <c r="V21" s="97"/>
      <c r="W21" s="97"/>
      <c r="X21" s="97"/>
      <c r="Y21" s="97"/>
      <c r="Z21" s="97"/>
      <c r="AA21" s="97"/>
      <c r="AB21" s="97"/>
      <c r="AC21" s="75">
        <f t="shared" si="3"/>
        <v>33000000</v>
      </c>
      <c r="AD21" s="11"/>
      <c r="AE21" s="195"/>
      <c r="AF21" s="11" t="str">
        <f t="shared" si="4"/>
        <v>新型</v>
      </c>
      <c r="AG21" s="14" t="str">
        <f t="shared" si="0"/>
        <v>VND</v>
      </c>
      <c r="AH21" s="11">
        <f t="shared" si="8"/>
        <v>0</v>
      </c>
      <c r="AI21" s="75">
        <f t="shared" si="9"/>
        <v>1600000</v>
      </c>
      <c r="AJ21" s="75">
        <f t="shared" si="10"/>
        <v>3800000</v>
      </c>
      <c r="AK21" s="75">
        <f t="shared" si="11"/>
        <v>6000000</v>
      </c>
      <c r="AL21" s="75">
        <f t="shared" si="12"/>
        <v>9100000</v>
      </c>
      <c r="AM21" s="75">
        <f t="shared" si="13"/>
        <v>12200000</v>
      </c>
      <c r="AN21" s="75">
        <f t="shared" si="14"/>
        <v>16500000</v>
      </c>
      <c r="AO21" s="75">
        <f t="shared" si="15"/>
        <v>20800000</v>
      </c>
      <c r="AP21" s="75">
        <f t="shared" si="16"/>
        <v>26900000</v>
      </c>
      <c r="AQ21" s="75">
        <f t="shared" si="17"/>
        <v>33000000</v>
      </c>
      <c r="AR21" s="75">
        <f t="shared" si="18"/>
        <v>33000000</v>
      </c>
      <c r="AS21" s="75">
        <f t="shared" si="19"/>
        <v>33000000</v>
      </c>
      <c r="AT21" s="75">
        <f t="shared" si="20"/>
        <v>33000000</v>
      </c>
      <c r="AU21" s="75">
        <f t="shared" si="21"/>
        <v>33000000</v>
      </c>
      <c r="AV21" s="75">
        <f t="shared" si="22"/>
        <v>33000000</v>
      </c>
      <c r="AW21" s="75">
        <f t="shared" si="23"/>
        <v>33000000</v>
      </c>
      <c r="AX21" s="75">
        <f t="shared" si="24"/>
        <v>33000000</v>
      </c>
      <c r="AY21" s="75">
        <f t="shared" si="25"/>
        <v>33000000</v>
      </c>
      <c r="AZ21" s="75">
        <f t="shared" si="26"/>
        <v>33000000</v>
      </c>
      <c r="BA21" s="75">
        <f t="shared" si="27"/>
        <v>33000000</v>
      </c>
      <c r="BB21" s="75">
        <f t="shared" si="2"/>
        <v>33000000</v>
      </c>
      <c r="BC21" s="75">
        <f t="shared" si="2"/>
        <v>33000000</v>
      </c>
      <c r="BD21" s="75">
        <f t="shared" si="2"/>
        <v>33000000</v>
      </c>
      <c r="BE21" s="75">
        <f t="shared" si="2"/>
        <v>33000000</v>
      </c>
      <c r="BF21" s="75">
        <f t="shared" si="2"/>
        <v>33000000</v>
      </c>
      <c r="BG21" s="75">
        <f t="shared" si="7"/>
        <v>33000000</v>
      </c>
    </row>
    <row r="22" spans="1:59" x14ac:dyDescent="0.25">
      <c r="A22" s="194" t="s">
        <v>10</v>
      </c>
      <c r="B22" s="11" t="str">
        <f>'P(M)'!B36</f>
        <v>發明</v>
      </c>
      <c r="C22" s="3" t="s">
        <v>22</v>
      </c>
      <c r="D22" s="97"/>
      <c r="E22" s="97"/>
      <c r="F22" s="97"/>
      <c r="G22" s="97"/>
      <c r="H22" s="97">
        <v>1000</v>
      </c>
      <c r="I22" s="97">
        <v>1200</v>
      </c>
      <c r="J22" s="97">
        <v>1600</v>
      </c>
      <c r="K22" s="97">
        <v>2200</v>
      </c>
      <c r="L22" s="97">
        <v>3000</v>
      </c>
      <c r="M22" s="97">
        <v>4000</v>
      </c>
      <c r="N22" s="97">
        <v>5200</v>
      </c>
      <c r="O22" s="97">
        <v>6600</v>
      </c>
      <c r="P22" s="97">
        <v>8200</v>
      </c>
      <c r="Q22" s="97">
        <v>10000</v>
      </c>
      <c r="R22" s="97">
        <v>12000</v>
      </c>
      <c r="S22" s="97">
        <v>14200</v>
      </c>
      <c r="T22" s="97">
        <v>16600</v>
      </c>
      <c r="U22" s="97">
        <v>19200</v>
      </c>
      <c r="V22" s="97">
        <v>22000</v>
      </c>
      <c r="W22" s="97">
        <v>25000</v>
      </c>
      <c r="X22" s="97"/>
      <c r="Y22" s="97"/>
      <c r="Z22" s="97"/>
      <c r="AA22" s="97"/>
      <c r="AB22" s="97"/>
      <c r="AC22" s="75">
        <f t="shared" si="3"/>
        <v>152000</v>
      </c>
      <c r="AD22" s="11"/>
      <c r="AE22" s="194" t="s">
        <v>10</v>
      </c>
      <c r="AF22" s="11" t="str">
        <f t="shared" si="4"/>
        <v>發明</v>
      </c>
      <c r="AG22" s="14" t="str">
        <f t="shared" si="0"/>
        <v>THB</v>
      </c>
      <c r="AH22" s="11">
        <f t="shared" si="8"/>
        <v>0</v>
      </c>
      <c r="AI22" s="75">
        <f t="shared" si="9"/>
        <v>0</v>
      </c>
      <c r="AJ22" s="75">
        <f t="shared" si="10"/>
        <v>0</v>
      </c>
      <c r="AK22" s="75">
        <f t="shared" si="11"/>
        <v>0</v>
      </c>
      <c r="AL22" s="75">
        <f t="shared" si="12"/>
        <v>1000</v>
      </c>
      <c r="AM22" s="75">
        <f t="shared" si="13"/>
        <v>2200</v>
      </c>
      <c r="AN22" s="75">
        <f t="shared" si="14"/>
        <v>3800</v>
      </c>
      <c r="AO22" s="75">
        <f t="shared" si="15"/>
        <v>6000</v>
      </c>
      <c r="AP22" s="75">
        <f t="shared" si="16"/>
        <v>9000</v>
      </c>
      <c r="AQ22" s="75">
        <f t="shared" si="17"/>
        <v>13000</v>
      </c>
      <c r="AR22" s="75">
        <f t="shared" si="18"/>
        <v>18200</v>
      </c>
      <c r="AS22" s="75">
        <f t="shared" si="19"/>
        <v>24800</v>
      </c>
      <c r="AT22" s="75">
        <f t="shared" si="20"/>
        <v>33000</v>
      </c>
      <c r="AU22" s="75">
        <f t="shared" si="21"/>
        <v>43000</v>
      </c>
      <c r="AV22" s="75">
        <f t="shared" si="22"/>
        <v>55000</v>
      </c>
      <c r="AW22" s="75">
        <f t="shared" si="23"/>
        <v>69200</v>
      </c>
      <c r="AX22" s="75">
        <f t="shared" si="24"/>
        <v>85800</v>
      </c>
      <c r="AY22" s="75">
        <f t="shared" si="25"/>
        <v>105000</v>
      </c>
      <c r="AZ22" s="75">
        <f t="shared" si="26"/>
        <v>127000</v>
      </c>
      <c r="BA22" s="75">
        <f t="shared" si="27"/>
        <v>152000</v>
      </c>
      <c r="BB22" s="75">
        <f t="shared" si="2"/>
        <v>152000</v>
      </c>
      <c r="BC22" s="75">
        <f t="shared" si="2"/>
        <v>152000</v>
      </c>
      <c r="BD22" s="75">
        <f t="shared" si="2"/>
        <v>152000</v>
      </c>
      <c r="BE22" s="75">
        <f t="shared" si="2"/>
        <v>152000</v>
      </c>
      <c r="BF22" s="75">
        <f t="shared" si="2"/>
        <v>152000</v>
      </c>
      <c r="BG22" s="75">
        <f t="shared" si="7"/>
        <v>152000</v>
      </c>
    </row>
    <row r="23" spans="1:59" x14ac:dyDescent="0.25">
      <c r="A23" s="195"/>
      <c r="B23" s="11" t="str">
        <f>'P(M)'!B37</f>
        <v>新型</v>
      </c>
      <c r="C23" s="3" t="s">
        <v>22</v>
      </c>
      <c r="D23" s="97"/>
      <c r="E23" s="97"/>
      <c r="F23" s="97"/>
      <c r="G23" s="97"/>
      <c r="H23" s="97">
        <v>750</v>
      </c>
      <c r="I23" s="97">
        <v>1500</v>
      </c>
      <c r="J23" s="97">
        <v>6000</v>
      </c>
      <c r="K23" s="97"/>
      <c r="L23" s="97">
        <v>9000</v>
      </c>
      <c r="M23" s="97"/>
      <c r="N23" s="97"/>
      <c r="O23" s="97"/>
      <c r="P23" s="97"/>
      <c r="Q23" s="97"/>
      <c r="R23" s="97"/>
      <c r="S23" s="97"/>
      <c r="T23" s="97"/>
      <c r="U23" s="97"/>
      <c r="V23" s="97"/>
      <c r="W23" s="97"/>
      <c r="X23" s="97"/>
      <c r="Y23" s="97"/>
      <c r="Z23" s="97"/>
      <c r="AA23" s="97"/>
      <c r="AB23" s="97"/>
      <c r="AC23" s="75">
        <f t="shared" si="3"/>
        <v>17250</v>
      </c>
      <c r="AD23" s="11"/>
      <c r="AE23" s="195"/>
      <c r="AF23" s="11" t="str">
        <f t="shared" si="4"/>
        <v>新型</v>
      </c>
      <c r="AG23" s="14" t="str">
        <f t="shared" si="0"/>
        <v>THB</v>
      </c>
      <c r="AH23" s="11">
        <f t="shared" si="8"/>
        <v>0</v>
      </c>
      <c r="AI23" s="75">
        <f t="shared" si="9"/>
        <v>0</v>
      </c>
      <c r="AJ23" s="75">
        <f t="shared" si="10"/>
        <v>0</v>
      </c>
      <c r="AK23" s="75">
        <f t="shared" si="11"/>
        <v>0</v>
      </c>
      <c r="AL23" s="75">
        <f t="shared" si="12"/>
        <v>750</v>
      </c>
      <c r="AM23" s="75">
        <f t="shared" si="13"/>
        <v>2250</v>
      </c>
      <c r="AN23" s="75">
        <f t="shared" si="14"/>
        <v>8250</v>
      </c>
      <c r="AO23" s="75">
        <f t="shared" si="15"/>
        <v>8250</v>
      </c>
      <c r="AP23" s="75">
        <f t="shared" si="16"/>
        <v>17250</v>
      </c>
      <c r="AQ23" s="75">
        <f t="shared" si="17"/>
        <v>17250</v>
      </c>
      <c r="AR23" s="75">
        <f t="shared" si="18"/>
        <v>17250</v>
      </c>
      <c r="AS23" s="75">
        <f t="shared" si="19"/>
        <v>17250</v>
      </c>
      <c r="AT23" s="75">
        <f t="shared" si="20"/>
        <v>17250</v>
      </c>
      <c r="AU23" s="75">
        <f t="shared" si="21"/>
        <v>17250</v>
      </c>
      <c r="AV23" s="75">
        <f t="shared" si="22"/>
        <v>17250</v>
      </c>
      <c r="AW23" s="75">
        <f t="shared" si="23"/>
        <v>17250</v>
      </c>
      <c r="AX23" s="75">
        <f t="shared" si="24"/>
        <v>17250</v>
      </c>
      <c r="AY23" s="75">
        <f t="shared" si="25"/>
        <v>17250</v>
      </c>
      <c r="AZ23" s="75">
        <f t="shared" si="26"/>
        <v>17250</v>
      </c>
      <c r="BA23" s="75">
        <f t="shared" si="27"/>
        <v>17250</v>
      </c>
      <c r="BB23" s="75">
        <f t="shared" si="2"/>
        <v>17250</v>
      </c>
      <c r="BC23" s="75">
        <f t="shared" si="2"/>
        <v>17250</v>
      </c>
      <c r="BD23" s="75">
        <f t="shared" si="2"/>
        <v>17250</v>
      </c>
      <c r="BE23" s="75">
        <f t="shared" si="2"/>
        <v>17250</v>
      </c>
      <c r="BF23" s="75">
        <f t="shared" si="2"/>
        <v>17250</v>
      </c>
      <c r="BG23" s="75">
        <f t="shared" si="7"/>
        <v>17250</v>
      </c>
    </row>
    <row r="24" spans="1:59" x14ac:dyDescent="0.25">
      <c r="A24" s="5"/>
      <c r="B24" s="5"/>
      <c r="C24" s="5"/>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75">
        <f t="shared" si="3"/>
        <v>0</v>
      </c>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x14ac:dyDescent="0.25">
      <c r="A25" s="160" t="s">
        <v>342</v>
      </c>
    </row>
    <row r="28" spans="1:59" s="76" customFormat="1" x14ac:dyDescent="0.25">
      <c r="A28" s="191" t="s">
        <v>199</v>
      </c>
      <c r="B28" s="192"/>
      <c r="C28" s="193"/>
      <c r="D28" s="100" t="s">
        <v>197</v>
      </c>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74"/>
      <c r="AD28" s="74"/>
      <c r="AE28" s="191" t="s">
        <v>201</v>
      </c>
      <c r="AF28" s="192"/>
      <c r="AG28" s="193"/>
      <c r="AH28" s="77" t="s">
        <v>195</v>
      </c>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row>
    <row r="29" spans="1:59" x14ac:dyDescent="0.25">
      <c r="A29" s="4" t="s">
        <v>114</v>
      </c>
      <c r="B29" s="4" t="s">
        <v>194</v>
      </c>
      <c r="C29" s="4" t="s">
        <v>13</v>
      </c>
      <c r="D29" s="102">
        <v>1</v>
      </c>
      <c r="E29" s="102">
        <v>2</v>
      </c>
      <c r="F29" s="102">
        <v>3</v>
      </c>
      <c r="G29" s="102">
        <v>4</v>
      </c>
      <c r="H29" s="102">
        <v>5</v>
      </c>
      <c r="I29" s="102">
        <v>6</v>
      </c>
      <c r="J29" s="102">
        <v>7</v>
      </c>
      <c r="K29" s="102">
        <v>8</v>
      </c>
      <c r="L29" s="102">
        <v>9</v>
      </c>
      <c r="M29" s="102">
        <v>10</v>
      </c>
      <c r="N29" s="102">
        <v>11</v>
      </c>
      <c r="O29" s="102">
        <v>12</v>
      </c>
      <c r="P29" s="102">
        <v>13</v>
      </c>
      <c r="Q29" s="102">
        <v>14</v>
      </c>
      <c r="R29" s="102">
        <v>15</v>
      </c>
      <c r="S29" s="102">
        <v>16</v>
      </c>
      <c r="T29" s="102">
        <v>17</v>
      </c>
      <c r="U29" s="102">
        <v>18</v>
      </c>
      <c r="V29" s="102">
        <v>19</v>
      </c>
      <c r="W29" s="102">
        <v>20</v>
      </c>
      <c r="X29" s="102">
        <v>21</v>
      </c>
      <c r="Y29" s="102">
        <v>22</v>
      </c>
      <c r="Z29" s="102">
        <v>23</v>
      </c>
      <c r="AA29" s="102">
        <v>24</v>
      </c>
      <c r="AB29" s="102">
        <v>25</v>
      </c>
      <c r="AC29" s="4" t="s">
        <v>193</v>
      </c>
      <c r="AD29" s="4"/>
      <c r="AE29" s="4" t="s">
        <v>114</v>
      </c>
      <c r="AF29" s="4" t="s">
        <v>194</v>
      </c>
      <c r="AG29" s="4" t="s">
        <v>13</v>
      </c>
      <c r="AH29" s="4">
        <v>1</v>
      </c>
      <c r="AI29" s="4">
        <v>2</v>
      </c>
      <c r="AJ29" s="4">
        <v>3</v>
      </c>
      <c r="AK29" s="4">
        <v>4</v>
      </c>
      <c r="AL29" s="4">
        <v>5</v>
      </c>
      <c r="AM29" s="4">
        <v>6</v>
      </c>
      <c r="AN29" s="4">
        <v>7</v>
      </c>
      <c r="AO29" s="4">
        <v>8</v>
      </c>
      <c r="AP29" s="4">
        <v>9</v>
      </c>
      <c r="AQ29" s="4">
        <v>10</v>
      </c>
      <c r="AR29" s="4">
        <v>11</v>
      </c>
      <c r="AS29" s="4">
        <v>12</v>
      </c>
      <c r="AT29" s="4">
        <v>13</v>
      </c>
      <c r="AU29" s="4">
        <v>14</v>
      </c>
      <c r="AV29" s="4">
        <v>15</v>
      </c>
      <c r="AW29" s="4">
        <v>16</v>
      </c>
      <c r="AX29" s="4">
        <v>17</v>
      </c>
      <c r="AY29" s="4">
        <v>18</v>
      </c>
      <c r="AZ29" s="4">
        <v>19</v>
      </c>
      <c r="BA29" s="4">
        <v>20</v>
      </c>
      <c r="BB29" s="4">
        <v>21</v>
      </c>
      <c r="BC29" s="4">
        <v>22</v>
      </c>
      <c r="BD29" s="4">
        <v>23</v>
      </c>
      <c r="BE29" s="4">
        <v>24</v>
      </c>
      <c r="BF29" s="4">
        <v>25</v>
      </c>
      <c r="BG29" s="4" t="s">
        <v>222</v>
      </c>
    </row>
    <row r="30" spans="1:59" x14ac:dyDescent="0.25">
      <c r="A30" s="194" t="s">
        <v>2</v>
      </c>
      <c r="B30" s="11" t="str">
        <f>'P(M)'!B17</f>
        <v>發明</v>
      </c>
      <c r="C30" s="3" t="s">
        <v>14</v>
      </c>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75">
        <f>SUM(D30:AB30)</f>
        <v>0</v>
      </c>
      <c r="AD30" s="11"/>
      <c r="AE30" s="194" t="s">
        <v>2</v>
      </c>
      <c r="AF30" s="11" t="str">
        <f>B30</f>
        <v>發明</v>
      </c>
      <c r="AG30" s="14" t="str">
        <f t="shared" ref="AG30:AG50" si="34">C30</f>
        <v>NTD</v>
      </c>
      <c r="AH30" s="11">
        <f>D30</f>
        <v>0</v>
      </c>
      <c r="AI30" s="75">
        <f>AH30+E30</f>
        <v>0</v>
      </c>
      <c r="AJ30" s="75">
        <f t="shared" ref="AJ30:AJ50" si="35">AI30+F30</f>
        <v>0</v>
      </c>
      <c r="AK30" s="75">
        <f t="shared" ref="AK30:AK50" si="36">AJ30+G30</f>
        <v>0</v>
      </c>
      <c r="AL30" s="75">
        <f t="shared" ref="AL30:AL50" si="37">AK30+H30</f>
        <v>0</v>
      </c>
      <c r="AM30" s="75">
        <f t="shared" ref="AM30:AM50" si="38">AL30+I30</f>
        <v>0</v>
      </c>
      <c r="AN30" s="75">
        <f t="shared" ref="AN30:AN50" si="39">AM30+J30</f>
        <v>0</v>
      </c>
      <c r="AO30" s="75">
        <f t="shared" ref="AO30:AO50" si="40">AN30+K30</f>
        <v>0</v>
      </c>
      <c r="AP30" s="75">
        <f t="shared" ref="AP30:AP50" si="41">AO30+L30</f>
        <v>0</v>
      </c>
      <c r="AQ30" s="75">
        <f t="shared" ref="AQ30:AQ50" si="42">AP30+M30</f>
        <v>0</v>
      </c>
      <c r="AR30" s="75">
        <f t="shared" ref="AR30:AR50" si="43">AQ30+N30</f>
        <v>0</v>
      </c>
      <c r="AS30" s="75">
        <f t="shared" ref="AS30:AS50" si="44">AR30+O30</f>
        <v>0</v>
      </c>
      <c r="AT30" s="75">
        <f t="shared" ref="AT30:AT50" si="45">AS30+P30</f>
        <v>0</v>
      </c>
      <c r="AU30" s="75">
        <f t="shared" ref="AU30:AU50" si="46">AT30+Q30</f>
        <v>0</v>
      </c>
      <c r="AV30" s="75">
        <f t="shared" ref="AV30:AV50" si="47">AU30+R30</f>
        <v>0</v>
      </c>
      <c r="AW30" s="75">
        <f t="shared" ref="AW30:AW50" si="48">AV30+S30</f>
        <v>0</v>
      </c>
      <c r="AX30" s="75">
        <f t="shared" ref="AX30:AX50" si="49">AW30+T30</f>
        <v>0</v>
      </c>
      <c r="AY30" s="75">
        <f t="shared" ref="AY30:AY50" si="50">AX30+U30</f>
        <v>0</v>
      </c>
      <c r="AZ30" s="75">
        <f t="shared" ref="AZ30:AZ50" si="51">AY30+V30</f>
        <v>0</v>
      </c>
      <c r="BA30" s="75">
        <f t="shared" ref="BA30:BA50" si="52">AZ30+W30</f>
        <v>0</v>
      </c>
      <c r="BB30" s="75">
        <f t="shared" ref="BB30:BB50" si="53">BA30+X30</f>
        <v>0</v>
      </c>
      <c r="BC30" s="75">
        <f t="shared" ref="BC30:BC50" si="54">BB30+Y30</f>
        <v>0</v>
      </c>
      <c r="BD30" s="75">
        <f t="shared" ref="BD30:BD50" si="55">BC30+Z30</f>
        <v>0</v>
      </c>
      <c r="BE30" s="75">
        <f t="shared" ref="BE30:BE50" si="56">BD30+AA30</f>
        <v>0</v>
      </c>
      <c r="BF30" s="75">
        <f t="shared" ref="BF30:BF50" si="57">BE30+AB30</f>
        <v>0</v>
      </c>
      <c r="BG30" s="75">
        <f>BF30</f>
        <v>0</v>
      </c>
    </row>
    <row r="31" spans="1:59" x14ac:dyDescent="0.25">
      <c r="A31" s="195"/>
      <c r="B31" s="11" t="str">
        <f>'P(M)'!B18</f>
        <v>新型</v>
      </c>
      <c r="C31" s="3" t="s">
        <v>14</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75">
        <f t="shared" ref="AC31:AC51" si="58">SUM(D31:AB31)</f>
        <v>0</v>
      </c>
      <c r="AD31" s="11"/>
      <c r="AE31" s="195"/>
      <c r="AF31" s="11" t="str">
        <f t="shared" ref="AF31:AF50" si="59">B31</f>
        <v>新型</v>
      </c>
      <c r="AG31" s="14" t="str">
        <f t="shared" si="34"/>
        <v>NTD</v>
      </c>
      <c r="AH31" s="11">
        <f>D31</f>
        <v>0</v>
      </c>
      <c r="AI31" s="75">
        <f>AH31+E31</f>
        <v>0</v>
      </c>
      <c r="AJ31" s="75">
        <f t="shared" si="35"/>
        <v>0</v>
      </c>
      <c r="AK31" s="75">
        <f t="shared" si="36"/>
        <v>0</v>
      </c>
      <c r="AL31" s="75">
        <f t="shared" si="37"/>
        <v>0</v>
      </c>
      <c r="AM31" s="75">
        <f t="shared" si="38"/>
        <v>0</v>
      </c>
      <c r="AN31" s="75">
        <f t="shared" si="39"/>
        <v>0</v>
      </c>
      <c r="AO31" s="75">
        <f t="shared" si="40"/>
        <v>0</v>
      </c>
      <c r="AP31" s="75">
        <f t="shared" si="41"/>
        <v>0</v>
      </c>
      <c r="AQ31" s="75">
        <f t="shared" si="42"/>
        <v>0</v>
      </c>
      <c r="AR31" s="75">
        <f t="shared" si="43"/>
        <v>0</v>
      </c>
      <c r="AS31" s="75">
        <f t="shared" si="44"/>
        <v>0</v>
      </c>
      <c r="AT31" s="75">
        <f t="shared" si="45"/>
        <v>0</v>
      </c>
      <c r="AU31" s="75">
        <f t="shared" si="46"/>
        <v>0</v>
      </c>
      <c r="AV31" s="75">
        <f t="shared" si="47"/>
        <v>0</v>
      </c>
      <c r="AW31" s="75">
        <f t="shared" si="48"/>
        <v>0</v>
      </c>
      <c r="AX31" s="75">
        <f t="shared" si="49"/>
        <v>0</v>
      </c>
      <c r="AY31" s="75">
        <f t="shared" si="50"/>
        <v>0</v>
      </c>
      <c r="AZ31" s="75">
        <f t="shared" si="51"/>
        <v>0</v>
      </c>
      <c r="BA31" s="75">
        <f t="shared" si="52"/>
        <v>0</v>
      </c>
      <c r="BB31" s="75">
        <f t="shared" si="53"/>
        <v>0</v>
      </c>
      <c r="BC31" s="75">
        <f t="shared" si="54"/>
        <v>0</v>
      </c>
      <c r="BD31" s="75">
        <f t="shared" si="55"/>
        <v>0</v>
      </c>
      <c r="BE31" s="75">
        <f t="shared" si="56"/>
        <v>0</v>
      </c>
      <c r="BF31" s="75">
        <f t="shared" si="57"/>
        <v>0</v>
      </c>
      <c r="BG31" s="75">
        <f t="shared" ref="BG31:BG50" si="60">BF31</f>
        <v>0</v>
      </c>
    </row>
    <row r="32" spans="1:59" x14ac:dyDescent="0.25">
      <c r="A32" s="194" t="s">
        <v>3</v>
      </c>
      <c r="B32" s="11" t="str">
        <f>'P(M)'!B19</f>
        <v>發明</v>
      </c>
      <c r="C32" s="3" t="s">
        <v>15</v>
      </c>
      <c r="D32" s="97"/>
      <c r="E32" s="125">
        <v>200</v>
      </c>
      <c r="F32" s="125">
        <v>200</v>
      </c>
      <c r="G32" s="125">
        <v>200</v>
      </c>
      <c r="H32" s="125">
        <v>200</v>
      </c>
      <c r="I32" s="125">
        <v>200</v>
      </c>
      <c r="J32" s="125">
        <v>200</v>
      </c>
      <c r="K32" s="125">
        <v>200</v>
      </c>
      <c r="L32" s="125">
        <v>200</v>
      </c>
      <c r="M32" s="125">
        <v>200</v>
      </c>
      <c r="N32" s="125">
        <v>200</v>
      </c>
      <c r="O32" s="125">
        <v>200</v>
      </c>
      <c r="P32" s="125">
        <v>200</v>
      </c>
      <c r="Q32" s="125">
        <v>200</v>
      </c>
      <c r="R32" s="125">
        <v>200</v>
      </c>
      <c r="S32" s="125">
        <v>200</v>
      </c>
      <c r="T32" s="125">
        <v>200</v>
      </c>
      <c r="U32" s="125">
        <v>200</v>
      </c>
      <c r="V32" s="125">
        <v>200</v>
      </c>
      <c r="W32" s="125">
        <v>200</v>
      </c>
      <c r="X32" s="97"/>
      <c r="Y32" s="97"/>
      <c r="Z32" s="97"/>
      <c r="AA32" s="97"/>
      <c r="AB32" s="97"/>
      <c r="AC32" s="75">
        <f t="shared" si="58"/>
        <v>3800</v>
      </c>
      <c r="AD32" s="11"/>
      <c r="AE32" s="194" t="s">
        <v>3</v>
      </c>
      <c r="AF32" s="11" t="str">
        <f t="shared" si="59"/>
        <v>發明</v>
      </c>
      <c r="AG32" s="14" t="str">
        <f t="shared" si="34"/>
        <v>CNY</v>
      </c>
      <c r="AH32" s="11">
        <f t="shared" ref="AH32:AH50" si="61">D32</f>
        <v>0</v>
      </c>
      <c r="AI32" s="75">
        <f t="shared" ref="AI32:AI50" si="62">AH32+E32</f>
        <v>200</v>
      </c>
      <c r="AJ32" s="75">
        <f t="shared" si="35"/>
        <v>400</v>
      </c>
      <c r="AK32" s="75">
        <f t="shared" si="36"/>
        <v>600</v>
      </c>
      <c r="AL32" s="75">
        <f t="shared" si="37"/>
        <v>800</v>
      </c>
      <c r="AM32" s="75">
        <f t="shared" si="38"/>
        <v>1000</v>
      </c>
      <c r="AN32" s="75">
        <f t="shared" si="39"/>
        <v>1200</v>
      </c>
      <c r="AO32" s="75">
        <f t="shared" si="40"/>
        <v>1400</v>
      </c>
      <c r="AP32" s="75">
        <f t="shared" si="41"/>
        <v>1600</v>
      </c>
      <c r="AQ32" s="75">
        <f t="shared" si="42"/>
        <v>1800</v>
      </c>
      <c r="AR32" s="75">
        <f t="shared" si="43"/>
        <v>2000</v>
      </c>
      <c r="AS32" s="75">
        <f t="shared" si="44"/>
        <v>2200</v>
      </c>
      <c r="AT32" s="75">
        <f t="shared" si="45"/>
        <v>2400</v>
      </c>
      <c r="AU32" s="75">
        <f t="shared" si="46"/>
        <v>2600</v>
      </c>
      <c r="AV32" s="75">
        <f t="shared" si="47"/>
        <v>2800</v>
      </c>
      <c r="AW32" s="75">
        <f t="shared" si="48"/>
        <v>3000</v>
      </c>
      <c r="AX32" s="75">
        <f t="shared" si="49"/>
        <v>3200</v>
      </c>
      <c r="AY32" s="75">
        <f t="shared" si="50"/>
        <v>3400</v>
      </c>
      <c r="AZ32" s="75">
        <f t="shared" si="51"/>
        <v>3600</v>
      </c>
      <c r="BA32" s="75">
        <f t="shared" si="52"/>
        <v>3800</v>
      </c>
      <c r="BB32" s="75">
        <f t="shared" si="53"/>
        <v>3800</v>
      </c>
      <c r="BC32" s="75">
        <f t="shared" si="54"/>
        <v>3800</v>
      </c>
      <c r="BD32" s="75">
        <f t="shared" si="55"/>
        <v>3800</v>
      </c>
      <c r="BE32" s="75">
        <f t="shared" si="56"/>
        <v>3800</v>
      </c>
      <c r="BF32" s="75">
        <f t="shared" si="57"/>
        <v>3800</v>
      </c>
      <c r="BG32" s="75">
        <f t="shared" si="60"/>
        <v>3800</v>
      </c>
    </row>
    <row r="33" spans="1:59" x14ac:dyDescent="0.25">
      <c r="A33" s="195"/>
      <c r="B33" s="11" t="str">
        <f>'P(M)'!B20</f>
        <v>新型</v>
      </c>
      <c r="C33" s="3" t="s">
        <v>15</v>
      </c>
      <c r="D33" s="97"/>
      <c r="E33" s="97">
        <v>200</v>
      </c>
      <c r="F33" s="97">
        <v>200</v>
      </c>
      <c r="G33" s="97">
        <v>200</v>
      </c>
      <c r="H33" s="97">
        <v>200</v>
      </c>
      <c r="I33" s="97">
        <v>200</v>
      </c>
      <c r="J33" s="97">
        <v>200</v>
      </c>
      <c r="K33" s="97">
        <v>200</v>
      </c>
      <c r="L33" s="97">
        <v>200</v>
      </c>
      <c r="M33" s="97">
        <v>200</v>
      </c>
      <c r="N33" s="97"/>
      <c r="O33" s="97"/>
      <c r="P33" s="97"/>
      <c r="Q33" s="97"/>
      <c r="R33" s="97"/>
      <c r="S33" s="97"/>
      <c r="T33" s="97"/>
      <c r="U33" s="97"/>
      <c r="V33" s="97"/>
      <c r="W33" s="97"/>
      <c r="X33" s="97"/>
      <c r="Y33" s="97"/>
      <c r="Z33" s="97"/>
      <c r="AA33" s="97"/>
      <c r="AB33" s="97"/>
      <c r="AC33" s="75">
        <f t="shared" si="58"/>
        <v>1800</v>
      </c>
      <c r="AD33" s="11"/>
      <c r="AE33" s="195"/>
      <c r="AF33" s="11" t="str">
        <f t="shared" si="59"/>
        <v>新型</v>
      </c>
      <c r="AG33" s="14" t="str">
        <f t="shared" si="34"/>
        <v>CNY</v>
      </c>
      <c r="AH33" s="11">
        <f t="shared" si="61"/>
        <v>0</v>
      </c>
      <c r="AI33" s="75">
        <f t="shared" si="62"/>
        <v>200</v>
      </c>
      <c r="AJ33" s="75">
        <f t="shared" si="35"/>
        <v>400</v>
      </c>
      <c r="AK33" s="75">
        <f t="shared" si="36"/>
        <v>600</v>
      </c>
      <c r="AL33" s="75">
        <f t="shared" si="37"/>
        <v>800</v>
      </c>
      <c r="AM33" s="75">
        <f t="shared" si="38"/>
        <v>1000</v>
      </c>
      <c r="AN33" s="75">
        <f t="shared" si="39"/>
        <v>1200</v>
      </c>
      <c r="AO33" s="75">
        <f t="shared" si="40"/>
        <v>1400</v>
      </c>
      <c r="AP33" s="75">
        <f t="shared" si="41"/>
        <v>1600</v>
      </c>
      <c r="AQ33" s="75">
        <f t="shared" si="42"/>
        <v>1800</v>
      </c>
      <c r="AR33" s="75">
        <f t="shared" si="43"/>
        <v>1800</v>
      </c>
      <c r="AS33" s="75">
        <f t="shared" si="44"/>
        <v>1800</v>
      </c>
      <c r="AT33" s="75">
        <f t="shared" si="45"/>
        <v>1800</v>
      </c>
      <c r="AU33" s="75">
        <f t="shared" si="46"/>
        <v>1800</v>
      </c>
      <c r="AV33" s="75">
        <f t="shared" si="47"/>
        <v>1800</v>
      </c>
      <c r="AW33" s="75">
        <f t="shared" si="48"/>
        <v>1800</v>
      </c>
      <c r="AX33" s="75">
        <f t="shared" si="49"/>
        <v>1800</v>
      </c>
      <c r="AY33" s="75">
        <f t="shared" si="50"/>
        <v>1800</v>
      </c>
      <c r="AZ33" s="75">
        <f t="shared" si="51"/>
        <v>1800</v>
      </c>
      <c r="BA33" s="75">
        <f t="shared" si="52"/>
        <v>1800</v>
      </c>
      <c r="BB33" s="75">
        <f t="shared" si="53"/>
        <v>1800</v>
      </c>
      <c r="BC33" s="75">
        <f t="shared" si="54"/>
        <v>1800</v>
      </c>
      <c r="BD33" s="75">
        <f t="shared" si="55"/>
        <v>1800</v>
      </c>
      <c r="BE33" s="75">
        <f t="shared" si="56"/>
        <v>1800</v>
      </c>
      <c r="BF33" s="75">
        <f t="shared" si="57"/>
        <v>1800</v>
      </c>
      <c r="BG33" s="75">
        <f t="shared" si="60"/>
        <v>1800</v>
      </c>
    </row>
    <row r="34" spans="1:59" x14ac:dyDescent="0.25">
      <c r="A34" s="3" t="s">
        <v>4</v>
      </c>
      <c r="B34" s="11" t="str">
        <f>'P(M)'!B21</f>
        <v>發明</v>
      </c>
      <c r="C34" s="3" t="s">
        <v>16</v>
      </c>
      <c r="D34" s="97"/>
      <c r="E34" s="97"/>
      <c r="F34" s="97"/>
      <c r="G34" s="97">
        <v>126</v>
      </c>
      <c r="H34" s="97"/>
      <c r="I34" s="97"/>
      <c r="J34" s="97"/>
      <c r="K34" s="97">
        <v>126</v>
      </c>
      <c r="L34" s="97"/>
      <c r="M34" s="97"/>
      <c r="N34" s="97"/>
      <c r="O34" s="97">
        <v>126</v>
      </c>
      <c r="P34" s="97"/>
      <c r="Q34" s="97"/>
      <c r="R34" s="97"/>
      <c r="S34" s="97"/>
      <c r="T34" s="97"/>
      <c r="U34" s="97"/>
      <c r="V34" s="97"/>
      <c r="W34" s="97"/>
      <c r="X34" s="97"/>
      <c r="Y34" s="97"/>
      <c r="Z34" s="97"/>
      <c r="AA34" s="97"/>
      <c r="AB34" s="97"/>
      <c r="AC34" s="75">
        <f t="shared" si="58"/>
        <v>378</v>
      </c>
      <c r="AD34" s="11"/>
      <c r="AE34" s="3" t="s">
        <v>4</v>
      </c>
      <c r="AF34" s="11" t="str">
        <f t="shared" si="59"/>
        <v>發明</v>
      </c>
      <c r="AG34" s="14" t="str">
        <f t="shared" si="34"/>
        <v>USD</v>
      </c>
      <c r="AH34" s="11">
        <f t="shared" si="61"/>
        <v>0</v>
      </c>
      <c r="AI34" s="75">
        <f t="shared" si="62"/>
        <v>0</v>
      </c>
      <c r="AJ34" s="75">
        <f t="shared" si="35"/>
        <v>0</v>
      </c>
      <c r="AK34" s="75">
        <f t="shared" si="36"/>
        <v>126</v>
      </c>
      <c r="AL34" s="75">
        <f t="shared" si="37"/>
        <v>126</v>
      </c>
      <c r="AM34" s="75">
        <f t="shared" si="38"/>
        <v>126</v>
      </c>
      <c r="AN34" s="75">
        <f t="shared" si="39"/>
        <v>126</v>
      </c>
      <c r="AO34" s="75">
        <f t="shared" si="40"/>
        <v>252</v>
      </c>
      <c r="AP34" s="75">
        <f t="shared" si="41"/>
        <v>252</v>
      </c>
      <c r="AQ34" s="75">
        <f t="shared" si="42"/>
        <v>252</v>
      </c>
      <c r="AR34" s="75">
        <f t="shared" si="43"/>
        <v>252</v>
      </c>
      <c r="AS34" s="75">
        <f t="shared" si="44"/>
        <v>378</v>
      </c>
      <c r="AT34" s="75">
        <f t="shared" si="45"/>
        <v>378</v>
      </c>
      <c r="AU34" s="75">
        <f t="shared" si="46"/>
        <v>378</v>
      </c>
      <c r="AV34" s="75">
        <f t="shared" si="47"/>
        <v>378</v>
      </c>
      <c r="AW34" s="75">
        <f t="shared" si="48"/>
        <v>378</v>
      </c>
      <c r="AX34" s="75">
        <f t="shared" si="49"/>
        <v>378</v>
      </c>
      <c r="AY34" s="75">
        <f t="shared" si="50"/>
        <v>378</v>
      </c>
      <c r="AZ34" s="75">
        <f t="shared" si="51"/>
        <v>378</v>
      </c>
      <c r="BA34" s="75">
        <f t="shared" si="52"/>
        <v>378</v>
      </c>
      <c r="BB34" s="75">
        <f t="shared" si="53"/>
        <v>378</v>
      </c>
      <c r="BC34" s="75">
        <f t="shared" si="54"/>
        <v>378</v>
      </c>
      <c r="BD34" s="75">
        <f t="shared" si="55"/>
        <v>378</v>
      </c>
      <c r="BE34" s="75">
        <f t="shared" si="56"/>
        <v>378</v>
      </c>
      <c r="BF34" s="75">
        <f t="shared" si="57"/>
        <v>378</v>
      </c>
      <c r="BG34" s="75">
        <f t="shared" si="60"/>
        <v>378</v>
      </c>
    </row>
    <row r="35" spans="1:59" x14ac:dyDescent="0.25">
      <c r="A35" s="3" t="s">
        <v>5</v>
      </c>
      <c r="B35" s="11" t="str">
        <f>'P(M)'!B22</f>
        <v>發明</v>
      </c>
      <c r="C35" s="3" t="s">
        <v>16</v>
      </c>
      <c r="D35" s="103"/>
      <c r="E35" s="103">
        <v>157.28</v>
      </c>
      <c r="F35" s="103">
        <v>290.83999999999997</v>
      </c>
      <c r="G35" s="103">
        <v>290.83999999999997</v>
      </c>
      <c r="H35" s="103">
        <v>424.05</v>
      </c>
      <c r="I35" s="103">
        <v>424.05</v>
      </c>
      <c r="J35" s="103">
        <v>424.05</v>
      </c>
      <c r="K35" s="103">
        <v>424.05</v>
      </c>
      <c r="L35" s="103">
        <v>424.05</v>
      </c>
      <c r="M35" s="103">
        <v>424.05</v>
      </c>
      <c r="N35" s="103">
        <v>424.05</v>
      </c>
      <c r="O35" s="103">
        <v>424.05</v>
      </c>
      <c r="P35" s="103">
        <v>424.05</v>
      </c>
      <c r="Q35" s="103">
        <v>424.05</v>
      </c>
      <c r="R35" s="103">
        <v>424.05</v>
      </c>
      <c r="S35" s="103">
        <v>424.05</v>
      </c>
      <c r="T35" s="103">
        <v>424.05</v>
      </c>
      <c r="U35" s="103">
        <v>424.05</v>
      </c>
      <c r="V35" s="103">
        <v>424.05</v>
      </c>
      <c r="W35" s="103">
        <v>424.05</v>
      </c>
      <c r="X35" s="97"/>
      <c r="Y35" s="97"/>
      <c r="Z35" s="97"/>
      <c r="AA35" s="97"/>
      <c r="AB35" s="97"/>
      <c r="AC35" s="75">
        <f t="shared" si="58"/>
        <v>7523.760000000002</v>
      </c>
      <c r="AD35" s="11"/>
      <c r="AE35" s="3" t="s">
        <v>5</v>
      </c>
      <c r="AF35" s="11" t="str">
        <f t="shared" si="59"/>
        <v>發明</v>
      </c>
      <c r="AG35" s="14" t="str">
        <f t="shared" si="34"/>
        <v>USD</v>
      </c>
      <c r="AH35" s="11">
        <f t="shared" si="61"/>
        <v>0</v>
      </c>
      <c r="AI35" s="75">
        <f t="shared" si="62"/>
        <v>157.28</v>
      </c>
      <c r="AJ35" s="75">
        <f t="shared" si="35"/>
        <v>448.12</v>
      </c>
      <c r="AK35" s="75">
        <f t="shared" si="36"/>
        <v>738.96</v>
      </c>
      <c r="AL35" s="75">
        <f t="shared" si="37"/>
        <v>1163.01</v>
      </c>
      <c r="AM35" s="75">
        <f t="shared" si="38"/>
        <v>1587.06</v>
      </c>
      <c r="AN35" s="75">
        <f t="shared" si="39"/>
        <v>2011.11</v>
      </c>
      <c r="AO35" s="75">
        <f t="shared" si="40"/>
        <v>2435.16</v>
      </c>
      <c r="AP35" s="75">
        <f t="shared" si="41"/>
        <v>2859.21</v>
      </c>
      <c r="AQ35" s="75">
        <f t="shared" si="42"/>
        <v>3283.26</v>
      </c>
      <c r="AR35" s="75">
        <f t="shared" si="43"/>
        <v>3707.3100000000004</v>
      </c>
      <c r="AS35" s="75">
        <f t="shared" si="44"/>
        <v>4131.3600000000006</v>
      </c>
      <c r="AT35" s="75">
        <f t="shared" si="45"/>
        <v>4555.4100000000008</v>
      </c>
      <c r="AU35" s="75">
        <f t="shared" si="46"/>
        <v>4979.4600000000009</v>
      </c>
      <c r="AV35" s="75">
        <f t="shared" si="47"/>
        <v>5403.5100000000011</v>
      </c>
      <c r="AW35" s="75">
        <f t="shared" si="48"/>
        <v>5827.5600000000013</v>
      </c>
      <c r="AX35" s="75">
        <f t="shared" si="49"/>
        <v>6251.6100000000015</v>
      </c>
      <c r="AY35" s="75">
        <f t="shared" si="50"/>
        <v>6675.6600000000017</v>
      </c>
      <c r="AZ35" s="75">
        <f t="shared" si="51"/>
        <v>7099.7100000000019</v>
      </c>
      <c r="BA35" s="75">
        <f t="shared" si="52"/>
        <v>7523.760000000002</v>
      </c>
      <c r="BB35" s="75">
        <f t="shared" si="53"/>
        <v>7523.760000000002</v>
      </c>
      <c r="BC35" s="75">
        <f t="shared" si="54"/>
        <v>7523.760000000002</v>
      </c>
      <c r="BD35" s="75">
        <f t="shared" si="55"/>
        <v>7523.760000000002</v>
      </c>
      <c r="BE35" s="75">
        <f t="shared" si="56"/>
        <v>7523.760000000002</v>
      </c>
      <c r="BF35" s="75">
        <f t="shared" si="57"/>
        <v>7523.760000000002</v>
      </c>
      <c r="BG35" s="75">
        <f t="shared" si="60"/>
        <v>7523.760000000002</v>
      </c>
    </row>
    <row r="36" spans="1:59" x14ac:dyDescent="0.25">
      <c r="A36" s="194" t="s">
        <v>6</v>
      </c>
      <c r="B36" s="11" t="str">
        <f>'P(M)'!B23</f>
        <v>發明</v>
      </c>
      <c r="C36" s="3" t="s">
        <v>18</v>
      </c>
      <c r="D36" s="97"/>
      <c r="E36" s="97"/>
      <c r="F36" s="97"/>
      <c r="G36" s="97">
        <v>10000</v>
      </c>
      <c r="H36" s="97">
        <v>10000</v>
      </c>
      <c r="I36" s="97">
        <v>10000</v>
      </c>
      <c r="J36" s="97">
        <v>11000</v>
      </c>
      <c r="K36" s="97">
        <v>11000</v>
      </c>
      <c r="L36" s="97">
        <v>11000</v>
      </c>
      <c r="M36" s="97">
        <v>12000</v>
      </c>
      <c r="N36" s="97">
        <v>12000</v>
      </c>
      <c r="O36" s="97">
        <v>12000</v>
      </c>
      <c r="P36" s="97">
        <v>12000</v>
      </c>
      <c r="Q36" s="97">
        <v>12000</v>
      </c>
      <c r="R36" s="97">
        <v>12000</v>
      </c>
      <c r="S36" s="97">
        <v>12000</v>
      </c>
      <c r="T36" s="97">
        <v>12000</v>
      </c>
      <c r="U36" s="97">
        <v>12000</v>
      </c>
      <c r="V36" s="97">
        <v>12000</v>
      </c>
      <c r="W36" s="97">
        <v>12000</v>
      </c>
      <c r="X36" s="97"/>
      <c r="Y36" s="97"/>
      <c r="Z36" s="97"/>
      <c r="AA36" s="97"/>
      <c r="AB36" s="97"/>
      <c r="AC36" s="75">
        <f t="shared" si="58"/>
        <v>195000</v>
      </c>
      <c r="AD36" s="11"/>
      <c r="AE36" s="194" t="s">
        <v>6</v>
      </c>
      <c r="AF36" s="11" t="str">
        <f t="shared" si="59"/>
        <v>發明</v>
      </c>
      <c r="AG36" s="14" t="str">
        <f t="shared" si="34"/>
        <v>JPY</v>
      </c>
      <c r="AH36" s="11">
        <f t="shared" si="61"/>
        <v>0</v>
      </c>
      <c r="AI36" s="75">
        <f t="shared" si="62"/>
        <v>0</v>
      </c>
      <c r="AJ36" s="75">
        <f t="shared" si="35"/>
        <v>0</v>
      </c>
      <c r="AK36" s="75">
        <f t="shared" si="36"/>
        <v>10000</v>
      </c>
      <c r="AL36" s="75">
        <f t="shared" si="37"/>
        <v>20000</v>
      </c>
      <c r="AM36" s="75">
        <f t="shared" si="38"/>
        <v>30000</v>
      </c>
      <c r="AN36" s="75">
        <f t="shared" si="39"/>
        <v>41000</v>
      </c>
      <c r="AO36" s="75">
        <f t="shared" si="40"/>
        <v>52000</v>
      </c>
      <c r="AP36" s="75">
        <f t="shared" si="41"/>
        <v>63000</v>
      </c>
      <c r="AQ36" s="75">
        <f t="shared" si="42"/>
        <v>75000</v>
      </c>
      <c r="AR36" s="75">
        <f t="shared" si="43"/>
        <v>87000</v>
      </c>
      <c r="AS36" s="75">
        <f t="shared" si="44"/>
        <v>99000</v>
      </c>
      <c r="AT36" s="75">
        <f t="shared" si="45"/>
        <v>111000</v>
      </c>
      <c r="AU36" s="75">
        <f t="shared" si="46"/>
        <v>123000</v>
      </c>
      <c r="AV36" s="75">
        <f t="shared" si="47"/>
        <v>135000</v>
      </c>
      <c r="AW36" s="75">
        <f t="shared" si="48"/>
        <v>147000</v>
      </c>
      <c r="AX36" s="75">
        <f t="shared" si="49"/>
        <v>159000</v>
      </c>
      <c r="AY36" s="75">
        <f t="shared" si="50"/>
        <v>171000</v>
      </c>
      <c r="AZ36" s="75">
        <f t="shared" si="51"/>
        <v>183000</v>
      </c>
      <c r="BA36" s="75">
        <f t="shared" si="52"/>
        <v>195000</v>
      </c>
      <c r="BB36" s="75">
        <f t="shared" si="53"/>
        <v>195000</v>
      </c>
      <c r="BC36" s="75">
        <f t="shared" si="54"/>
        <v>195000</v>
      </c>
      <c r="BD36" s="75">
        <f t="shared" si="55"/>
        <v>195000</v>
      </c>
      <c r="BE36" s="75">
        <f t="shared" si="56"/>
        <v>195000</v>
      </c>
      <c r="BF36" s="75">
        <f t="shared" si="57"/>
        <v>195000</v>
      </c>
      <c r="BG36" s="75">
        <f t="shared" si="60"/>
        <v>195000</v>
      </c>
    </row>
    <row r="37" spans="1:59" x14ac:dyDescent="0.25">
      <c r="A37" s="195"/>
      <c r="B37" s="11" t="str">
        <f>'P(M)'!B24</f>
        <v>新型</v>
      </c>
      <c r="C37" s="3" t="s">
        <v>18</v>
      </c>
      <c r="D37" s="97"/>
      <c r="E37" s="97"/>
      <c r="F37" s="97"/>
      <c r="G37" s="97">
        <v>9000</v>
      </c>
      <c r="H37" s="97">
        <v>9000</v>
      </c>
      <c r="I37" s="97">
        <v>9000</v>
      </c>
      <c r="J37" s="97">
        <v>10000</v>
      </c>
      <c r="K37" s="97">
        <v>10000</v>
      </c>
      <c r="L37" s="97">
        <v>10000</v>
      </c>
      <c r="M37" s="97">
        <v>10000</v>
      </c>
      <c r="N37" s="97"/>
      <c r="O37" s="97"/>
      <c r="P37" s="97"/>
      <c r="Q37" s="97"/>
      <c r="R37" s="97"/>
      <c r="S37" s="97"/>
      <c r="T37" s="97"/>
      <c r="U37" s="97"/>
      <c r="V37" s="97"/>
      <c r="W37" s="97"/>
      <c r="X37" s="97"/>
      <c r="Y37" s="97"/>
      <c r="Z37" s="97"/>
      <c r="AA37" s="97"/>
      <c r="AB37" s="97"/>
      <c r="AC37" s="75">
        <f t="shared" si="58"/>
        <v>67000</v>
      </c>
      <c r="AD37" s="11"/>
      <c r="AE37" s="195"/>
      <c r="AF37" s="11" t="str">
        <f t="shared" si="59"/>
        <v>新型</v>
      </c>
      <c r="AG37" s="14" t="str">
        <f t="shared" si="34"/>
        <v>JPY</v>
      </c>
      <c r="AH37" s="11">
        <f t="shared" si="61"/>
        <v>0</v>
      </c>
      <c r="AI37" s="75">
        <f t="shared" si="62"/>
        <v>0</v>
      </c>
      <c r="AJ37" s="75">
        <f t="shared" si="35"/>
        <v>0</v>
      </c>
      <c r="AK37" s="75">
        <f t="shared" si="36"/>
        <v>9000</v>
      </c>
      <c r="AL37" s="75">
        <f t="shared" si="37"/>
        <v>18000</v>
      </c>
      <c r="AM37" s="75">
        <f t="shared" si="38"/>
        <v>27000</v>
      </c>
      <c r="AN37" s="75">
        <f t="shared" si="39"/>
        <v>37000</v>
      </c>
      <c r="AO37" s="75">
        <f t="shared" si="40"/>
        <v>47000</v>
      </c>
      <c r="AP37" s="75">
        <f t="shared" si="41"/>
        <v>57000</v>
      </c>
      <c r="AQ37" s="75">
        <f t="shared" si="42"/>
        <v>67000</v>
      </c>
      <c r="AR37" s="75">
        <f t="shared" si="43"/>
        <v>67000</v>
      </c>
      <c r="AS37" s="75">
        <f t="shared" si="44"/>
        <v>67000</v>
      </c>
      <c r="AT37" s="75">
        <f t="shared" si="45"/>
        <v>67000</v>
      </c>
      <c r="AU37" s="75">
        <f t="shared" si="46"/>
        <v>67000</v>
      </c>
      <c r="AV37" s="75">
        <f t="shared" si="47"/>
        <v>67000</v>
      </c>
      <c r="AW37" s="75">
        <f t="shared" si="48"/>
        <v>67000</v>
      </c>
      <c r="AX37" s="75">
        <f t="shared" si="49"/>
        <v>67000</v>
      </c>
      <c r="AY37" s="75">
        <f t="shared" si="50"/>
        <v>67000</v>
      </c>
      <c r="AZ37" s="75">
        <f t="shared" si="51"/>
        <v>67000</v>
      </c>
      <c r="BA37" s="75">
        <f t="shared" si="52"/>
        <v>67000</v>
      </c>
      <c r="BB37" s="75">
        <f t="shared" si="53"/>
        <v>67000</v>
      </c>
      <c r="BC37" s="75">
        <f t="shared" si="54"/>
        <v>67000</v>
      </c>
      <c r="BD37" s="75">
        <f t="shared" si="55"/>
        <v>67000</v>
      </c>
      <c r="BE37" s="75">
        <f t="shared" si="56"/>
        <v>67000</v>
      </c>
      <c r="BF37" s="75">
        <f t="shared" si="57"/>
        <v>67000</v>
      </c>
      <c r="BG37" s="75">
        <f t="shared" si="60"/>
        <v>67000</v>
      </c>
    </row>
    <row r="38" spans="1:59" x14ac:dyDescent="0.25">
      <c r="A38" s="194" t="s">
        <v>7</v>
      </c>
      <c r="B38" s="11" t="str">
        <f>'P(M)'!B25</f>
        <v>發明</v>
      </c>
      <c r="C38" s="3" t="s">
        <v>16</v>
      </c>
      <c r="D38" s="97"/>
      <c r="E38" s="97"/>
      <c r="F38" s="97"/>
      <c r="G38" s="97">
        <v>150</v>
      </c>
      <c r="H38" s="97">
        <v>150</v>
      </c>
      <c r="I38" s="97">
        <v>150</v>
      </c>
      <c r="J38" s="97">
        <v>170</v>
      </c>
      <c r="K38" s="97">
        <v>170</v>
      </c>
      <c r="L38" s="97">
        <v>170</v>
      </c>
      <c r="M38" s="97">
        <v>190</v>
      </c>
      <c r="N38" s="97">
        <v>190</v>
      </c>
      <c r="O38" s="97">
        <v>190</v>
      </c>
      <c r="P38" s="97">
        <v>210</v>
      </c>
      <c r="Q38" s="97">
        <v>210</v>
      </c>
      <c r="R38" s="97">
        <v>210</v>
      </c>
      <c r="S38" s="97">
        <v>210</v>
      </c>
      <c r="T38" s="97">
        <v>210</v>
      </c>
      <c r="U38" s="97">
        <v>210</v>
      </c>
      <c r="V38" s="97">
        <v>210</v>
      </c>
      <c r="W38" s="97">
        <v>210</v>
      </c>
      <c r="X38" s="97"/>
      <c r="Y38" s="97"/>
      <c r="Z38" s="97"/>
      <c r="AA38" s="97"/>
      <c r="AB38" s="97"/>
      <c r="AC38" s="75">
        <f t="shared" si="58"/>
        <v>3210</v>
      </c>
      <c r="AD38" s="11"/>
      <c r="AE38" s="194" t="s">
        <v>7</v>
      </c>
      <c r="AF38" s="11" t="str">
        <f t="shared" si="59"/>
        <v>發明</v>
      </c>
      <c r="AG38" s="14" t="str">
        <f t="shared" si="34"/>
        <v>USD</v>
      </c>
      <c r="AH38" s="11">
        <f t="shared" si="61"/>
        <v>0</v>
      </c>
      <c r="AI38" s="75">
        <f t="shared" si="62"/>
        <v>0</v>
      </c>
      <c r="AJ38" s="75">
        <f t="shared" si="35"/>
        <v>0</v>
      </c>
      <c r="AK38" s="75">
        <f t="shared" si="36"/>
        <v>150</v>
      </c>
      <c r="AL38" s="75">
        <f t="shared" si="37"/>
        <v>300</v>
      </c>
      <c r="AM38" s="75">
        <f t="shared" si="38"/>
        <v>450</v>
      </c>
      <c r="AN38" s="75">
        <f t="shared" si="39"/>
        <v>620</v>
      </c>
      <c r="AO38" s="75">
        <f t="shared" si="40"/>
        <v>790</v>
      </c>
      <c r="AP38" s="75">
        <f t="shared" si="41"/>
        <v>960</v>
      </c>
      <c r="AQ38" s="75">
        <f t="shared" si="42"/>
        <v>1150</v>
      </c>
      <c r="AR38" s="75">
        <f t="shared" si="43"/>
        <v>1340</v>
      </c>
      <c r="AS38" s="75">
        <f t="shared" si="44"/>
        <v>1530</v>
      </c>
      <c r="AT38" s="75">
        <f t="shared" si="45"/>
        <v>1740</v>
      </c>
      <c r="AU38" s="75">
        <f t="shared" si="46"/>
        <v>1950</v>
      </c>
      <c r="AV38" s="75">
        <f t="shared" si="47"/>
        <v>2160</v>
      </c>
      <c r="AW38" s="75">
        <f t="shared" si="48"/>
        <v>2370</v>
      </c>
      <c r="AX38" s="75">
        <f t="shared" si="49"/>
        <v>2580</v>
      </c>
      <c r="AY38" s="75">
        <f t="shared" si="50"/>
        <v>2790</v>
      </c>
      <c r="AZ38" s="75">
        <f t="shared" si="51"/>
        <v>3000</v>
      </c>
      <c r="BA38" s="75">
        <f t="shared" si="52"/>
        <v>3210</v>
      </c>
      <c r="BB38" s="75">
        <f t="shared" si="53"/>
        <v>3210</v>
      </c>
      <c r="BC38" s="75">
        <f t="shared" si="54"/>
        <v>3210</v>
      </c>
      <c r="BD38" s="75">
        <f t="shared" si="55"/>
        <v>3210</v>
      </c>
      <c r="BE38" s="75">
        <f t="shared" si="56"/>
        <v>3210</v>
      </c>
      <c r="BF38" s="75">
        <f t="shared" si="57"/>
        <v>3210</v>
      </c>
      <c r="BG38" s="75">
        <f t="shared" si="60"/>
        <v>3210</v>
      </c>
    </row>
    <row r="39" spans="1:59" x14ac:dyDescent="0.25">
      <c r="A39" s="195"/>
      <c r="B39" s="11" t="str">
        <f>'P(M)'!B26</f>
        <v>新型</v>
      </c>
      <c r="C39" s="3" t="s">
        <v>16</v>
      </c>
      <c r="D39" s="97"/>
      <c r="E39" s="97"/>
      <c r="F39" s="97"/>
      <c r="G39" s="97">
        <v>150</v>
      </c>
      <c r="H39" s="97">
        <v>150</v>
      </c>
      <c r="I39" s="97">
        <v>150</v>
      </c>
      <c r="J39" s="97">
        <v>170</v>
      </c>
      <c r="K39" s="97">
        <v>170</v>
      </c>
      <c r="L39" s="97">
        <v>170</v>
      </c>
      <c r="M39" s="97">
        <v>190</v>
      </c>
      <c r="N39" s="97">
        <v>190</v>
      </c>
      <c r="O39" s="97">
        <v>190</v>
      </c>
      <c r="P39" s="97">
        <v>210</v>
      </c>
      <c r="Q39" s="97">
        <v>210</v>
      </c>
      <c r="R39" s="97">
        <v>210</v>
      </c>
      <c r="S39" s="97"/>
      <c r="T39" s="97"/>
      <c r="U39" s="97"/>
      <c r="V39" s="97"/>
      <c r="W39" s="97"/>
      <c r="X39" s="97"/>
      <c r="Y39" s="97"/>
      <c r="Z39" s="97"/>
      <c r="AA39" s="97"/>
      <c r="AB39" s="97"/>
      <c r="AC39" s="75">
        <f t="shared" si="58"/>
        <v>2160</v>
      </c>
      <c r="AD39" s="11"/>
      <c r="AE39" s="195"/>
      <c r="AF39" s="11" t="str">
        <f t="shared" si="59"/>
        <v>新型</v>
      </c>
      <c r="AG39" s="14" t="str">
        <f t="shared" si="34"/>
        <v>USD</v>
      </c>
      <c r="AH39" s="11">
        <f t="shared" si="61"/>
        <v>0</v>
      </c>
      <c r="AI39" s="75">
        <f t="shared" si="62"/>
        <v>0</v>
      </c>
      <c r="AJ39" s="75">
        <f t="shared" si="35"/>
        <v>0</v>
      </c>
      <c r="AK39" s="75">
        <f t="shared" si="36"/>
        <v>150</v>
      </c>
      <c r="AL39" s="75">
        <f t="shared" si="37"/>
        <v>300</v>
      </c>
      <c r="AM39" s="75">
        <f t="shared" si="38"/>
        <v>450</v>
      </c>
      <c r="AN39" s="75">
        <f t="shared" si="39"/>
        <v>620</v>
      </c>
      <c r="AO39" s="75">
        <f t="shared" si="40"/>
        <v>790</v>
      </c>
      <c r="AP39" s="75">
        <f t="shared" si="41"/>
        <v>960</v>
      </c>
      <c r="AQ39" s="75">
        <f t="shared" si="42"/>
        <v>1150</v>
      </c>
      <c r="AR39" s="75">
        <f t="shared" si="43"/>
        <v>1340</v>
      </c>
      <c r="AS39" s="75">
        <f t="shared" si="44"/>
        <v>1530</v>
      </c>
      <c r="AT39" s="75">
        <f t="shared" si="45"/>
        <v>1740</v>
      </c>
      <c r="AU39" s="75">
        <f t="shared" si="46"/>
        <v>1950</v>
      </c>
      <c r="AV39" s="75">
        <f t="shared" si="47"/>
        <v>2160</v>
      </c>
      <c r="AW39" s="75">
        <f t="shared" si="48"/>
        <v>2160</v>
      </c>
      <c r="AX39" s="75">
        <f t="shared" si="49"/>
        <v>2160</v>
      </c>
      <c r="AY39" s="75">
        <f t="shared" si="50"/>
        <v>2160</v>
      </c>
      <c r="AZ39" s="75">
        <f t="shared" si="51"/>
        <v>2160</v>
      </c>
      <c r="BA39" s="75">
        <f t="shared" si="52"/>
        <v>2160</v>
      </c>
      <c r="BB39" s="75">
        <f t="shared" si="53"/>
        <v>2160</v>
      </c>
      <c r="BC39" s="75">
        <f t="shared" si="54"/>
        <v>2160</v>
      </c>
      <c r="BD39" s="75">
        <f t="shared" si="55"/>
        <v>2160</v>
      </c>
      <c r="BE39" s="75">
        <f t="shared" si="56"/>
        <v>2160</v>
      </c>
      <c r="BF39" s="75">
        <f t="shared" si="57"/>
        <v>2160</v>
      </c>
      <c r="BG39" s="75">
        <f t="shared" si="60"/>
        <v>2160</v>
      </c>
    </row>
    <row r="40" spans="1:59" x14ac:dyDescent="0.25">
      <c r="A40" s="3" t="s">
        <v>42</v>
      </c>
      <c r="B40" s="11" t="str">
        <f>'P(M)'!B27</f>
        <v>發明</v>
      </c>
      <c r="C40" s="3" t="s">
        <v>43</v>
      </c>
      <c r="D40" s="97"/>
      <c r="E40" s="97">
        <v>225</v>
      </c>
      <c r="F40" s="97">
        <v>225</v>
      </c>
      <c r="G40" s="97">
        <v>225</v>
      </c>
      <c r="H40" s="97">
        <v>225</v>
      </c>
      <c r="I40" s="97">
        <v>225</v>
      </c>
      <c r="J40" s="97">
        <v>225</v>
      </c>
      <c r="K40" s="97">
        <v>225</v>
      </c>
      <c r="L40" s="97">
        <v>225</v>
      </c>
      <c r="M40" s="97">
        <v>225</v>
      </c>
      <c r="N40" s="97">
        <v>225</v>
      </c>
      <c r="O40" s="97">
        <v>225</v>
      </c>
      <c r="P40" s="97">
        <v>225</v>
      </c>
      <c r="Q40" s="97">
        <v>225</v>
      </c>
      <c r="R40" s="97">
        <v>225</v>
      </c>
      <c r="S40" s="97">
        <v>225</v>
      </c>
      <c r="T40" s="97">
        <v>225</v>
      </c>
      <c r="U40" s="97">
        <v>225</v>
      </c>
      <c r="V40" s="97">
        <v>225</v>
      </c>
      <c r="W40" s="97"/>
      <c r="X40" s="97"/>
      <c r="Y40" s="97"/>
      <c r="Z40" s="97"/>
      <c r="AA40" s="97"/>
      <c r="AB40" s="97"/>
      <c r="AC40" s="75">
        <f>SUM(D40:AB40)</f>
        <v>4050</v>
      </c>
      <c r="AD40" s="11"/>
      <c r="AE40" s="3" t="s">
        <v>42</v>
      </c>
      <c r="AF40" s="11" t="str">
        <f>B40</f>
        <v>發明</v>
      </c>
      <c r="AG40" s="14" t="str">
        <f>C40</f>
        <v>CAD</v>
      </c>
      <c r="AH40" s="11">
        <f>D40</f>
        <v>0</v>
      </c>
      <c r="AI40" s="75">
        <f t="shared" ref="AI40:BF40" si="63">AH40+E40</f>
        <v>225</v>
      </c>
      <c r="AJ40" s="75">
        <f t="shared" si="63"/>
        <v>450</v>
      </c>
      <c r="AK40" s="75">
        <f t="shared" si="63"/>
        <v>675</v>
      </c>
      <c r="AL40" s="75">
        <f t="shared" si="63"/>
        <v>900</v>
      </c>
      <c r="AM40" s="75">
        <f t="shared" si="63"/>
        <v>1125</v>
      </c>
      <c r="AN40" s="75">
        <f t="shared" si="63"/>
        <v>1350</v>
      </c>
      <c r="AO40" s="75">
        <f t="shared" si="63"/>
        <v>1575</v>
      </c>
      <c r="AP40" s="75">
        <f t="shared" si="63"/>
        <v>1800</v>
      </c>
      <c r="AQ40" s="75">
        <f t="shared" si="63"/>
        <v>2025</v>
      </c>
      <c r="AR40" s="75">
        <f t="shared" si="63"/>
        <v>2250</v>
      </c>
      <c r="AS40" s="75">
        <f t="shared" si="63"/>
        <v>2475</v>
      </c>
      <c r="AT40" s="75">
        <f t="shared" si="63"/>
        <v>2700</v>
      </c>
      <c r="AU40" s="75">
        <f t="shared" si="63"/>
        <v>2925</v>
      </c>
      <c r="AV40" s="75">
        <f t="shared" si="63"/>
        <v>3150</v>
      </c>
      <c r="AW40" s="75">
        <f t="shared" si="63"/>
        <v>3375</v>
      </c>
      <c r="AX40" s="75">
        <f t="shared" si="63"/>
        <v>3600</v>
      </c>
      <c r="AY40" s="75">
        <f t="shared" si="63"/>
        <v>3825</v>
      </c>
      <c r="AZ40" s="75">
        <f t="shared" si="63"/>
        <v>4050</v>
      </c>
      <c r="BA40" s="75">
        <f t="shared" si="63"/>
        <v>4050</v>
      </c>
      <c r="BB40" s="75">
        <f t="shared" si="63"/>
        <v>4050</v>
      </c>
      <c r="BC40" s="75">
        <f t="shared" si="63"/>
        <v>4050</v>
      </c>
      <c r="BD40" s="75">
        <f t="shared" si="63"/>
        <v>4050</v>
      </c>
      <c r="BE40" s="75">
        <f t="shared" si="63"/>
        <v>4050</v>
      </c>
      <c r="BF40" s="75">
        <f t="shared" si="63"/>
        <v>4050</v>
      </c>
      <c r="BG40" s="75">
        <f>BF40</f>
        <v>4050</v>
      </c>
    </row>
    <row r="41" spans="1:59" x14ac:dyDescent="0.25">
      <c r="A41" s="3" t="s">
        <v>8</v>
      </c>
      <c r="B41" s="11" t="str">
        <f>'P(M)'!B28</f>
        <v>發明</v>
      </c>
      <c r="C41" s="3" t="s">
        <v>20</v>
      </c>
      <c r="D41" s="97"/>
      <c r="E41" s="97"/>
      <c r="F41" s="97"/>
      <c r="G41" s="97"/>
      <c r="H41" s="97">
        <v>250</v>
      </c>
      <c r="I41" s="97">
        <v>250</v>
      </c>
      <c r="J41" s="97">
        <v>250</v>
      </c>
      <c r="K41" s="97">
        <v>300</v>
      </c>
      <c r="L41" s="97">
        <v>300</v>
      </c>
      <c r="M41" s="97">
        <v>300</v>
      </c>
      <c r="N41" s="97">
        <v>350</v>
      </c>
      <c r="O41" s="97">
        <v>350</v>
      </c>
      <c r="P41" s="97">
        <v>350</v>
      </c>
      <c r="Q41" s="97">
        <v>350</v>
      </c>
      <c r="R41" s="97">
        <v>350</v>
      </c>
      <c r="S41" s="97">
        <v>350</v>
      </c>
      <c r="T41" s="97">
        <v>400</v>
      </c>
      <c r="U41" s="97">
        <v>400</v>
      </c>
      <c r="V41" s="97">
        <v>400</v>
      </c>
      <c r="W41" s="97">
        <v>450</v>
      </c>
      <c r="X41" s="97"/>
      <c r="Y41" s="97"/>
      <c r="Z41" s="97"/>
      <c r="AA41" s="97"/>
      <c r="AB41" s="97"/>
      <c r="AC41" s="75">
        <f t="shared" si="58"/>
        <v>5400</v>
      </c>
      <c r="AD41" s="11"/>
      <c r="AE41" s="3" t="s">
        <v>8</v>
      </c>
      <c r="AF41" s="11" t="str">
        <f t="shared" si="59"/>
        <v>發明</v>
      </c>
      <c r="AG41" s="14" t="str">
        <f t="shared" si="34"/>
        <v>SGD</v>
      </c>
      <c r="AH41" s="11">
        <f t="shared" si="61"/>
        <v>0</v>
      </c>
      <c r="AI41" s="75">
        <f t="shared" si="62"/>
        <v>0</v>
      </c>
      <c r="AJ41" s="75">
        <f t="shared" si="35"/>
        <v>0</v>
      </c>
      <c r="AK41" s="75">
        <f t="shared" si="36"/>
        <v>0</v>
      </c>
      <c r="AL41" s="75">
        <f t="shared" si="37"/>
        <v>250</v>
      </c>
      <c r="AM41" s="75">
        <f t="shared" si="38"/>
        <v>500</v>
      </c>
      <c r="AN41" s="75">
        <f t="shared" si="39"/>
        <v>750</v>
      </c>
      <c r="AO41" s="75">
        <f t="shared" si="40"/>
        <v>1050</v>
      </c>
      <c r="AP41" s="75">
        <f t="shared" si="41"/>
        <v>1350</v>
      </c>
      <c r="AQ41" s="75">
        <f t="shared" si="42"/>
        <v>1650</v>
      </c>
      <c r="AR41" s="75">
        <f t="shared" si="43"/>
        <v>2000</v>
      </c>
      <c r="AS41" s="75">
        <f t="shared" si="44"/>
        <v>2350</v>
      </c>
      <c r="AT41" s="75">
        <f t="shared" si="45"/>
        <v>2700</v>
      </c>
      <c r="AU41" s="75">
        <f t="shared" si="46"/>
        <v>3050</v>
      </c>
      <c r="AV41" s="75">
        <f t="shared" si="47"/>
        <v>3400</v>
      </c>
      <c r="AW41" s="75">
        <f t="shared" si="48"/>
        <v>3750</v>
      </c>
      <c r="AX41" s="75">
        <f t="shared" si="49"/>
        <v>4150</v>
      </c>
      <c r="AY41" s="75">
        <f t="shared" si="50"/>
        <v>4550</v>
      </c>
      <c r="AZ41" s="75">
        <f t="shared" si="51"/>
        <v>4950</v>
      </c>
      <c r="BA41" s="75">
        <f t="shared" si="52"/>
        <v>5400</v>
      </c>
      <c r="BB41" s="75">
        <f t="shared" si="53"/>
        <v>5400</v>
      </c>
      <c r="BC41" s="75">
        <f t="shared" si="54"/>
        <v>5400</v>
      </c>
      <c r="BD41" s="75">
        <f t="shared" si="55"/>
        <v>5400</v>
      </c>
      <c r="BE41" s="75">
        <f t="shared" si="56"/>
        <v>5400</v>
      </c>
      <c r="BF41" s="75">
        <f t="shared" si="57"/>
        <v>5400</v>
      </c>
      <c r="BG41" s="75">
        <f t="shared" si="60"/>
        <v>5400</v>
      </c>
    </row>
    <row r="42" spans="1:59" x14ac:dyDescent="0.25">
      <c r="A42" s="194" t="s">
        <v>11</v>
      </c>
      <c r="B42" s="11" t="str">
        <f>'P(M)'!B29</f>
        <v>發明</v>
      </c>
      <c r="C42" s="3" t="s">
        <v>23</v>
      </c>
      <c r="D42" s="97"/>
      <c r="E42" s="97">
        <v>265</v>
      </c>
      <c r="F42" s="97">
        <v>265</v>
      </c>
      <c r="G42" s="97">
        <v>265</v>
      </c>
      <c r="H42" s="97">
        <v>265</v>
      </c>
      <c r="I42" s="97">
        <v>265</v>
      </c>
      <c r="J42" s="97">
        <v>265</v>
      </c>
      <c r="K42" s="97">
        <v>265</v>
      </c>
      <c r="L42" s="97">
        <v>265</v>
      </c>
      <c r="M42" s="97">
        <v>265</v>
      </c>
      <c r="N42" s="97">
        <v>292</v>
      </c>
      <c r="O42" s="97">
        <v>292</v>
      </c>
      <c r="P42" s="97">
        <v>292</v>
      </c>
      <c r="Q42" s="97">
        <v>292</v>
      </c>
      <c r="R42" s="97">
        <v>292</v>
      </c>
      <c r="S42" s="97">
        <v>318</v>
      </c>
      <c r="T42" s="97">
        <v>318</v>
      </c>
      <c r="U42" s="97">
        <v>318</v>
      </c>
      <c r="V42" s="97">
        <v>318</v>
      </c>
      <c r="W42" s="97">
        <v>318</v>
      </c>
      <c r="X42" s="97"/>
      <c r="Y42" s="97"/>
      <c r="Z42" s="97"/>
      <c r="AA42" s="97"/>
      <c r="AB42" s="97"/>
      <c r="AC42" s="75">
        <f>SUM(D42:AB42)</f>
        <v>5435</v>
      </c>
      <c r="AD42" s="11"/>
      <c r="AE42" s="194" t="s">
        <v>11</v>
      </c>
      <c r="AF42" s="11" t="str">
        <f t="shared" ref="AF42:AH43" si="64">B42</f>
        <v>發明</v>
      </c>
      <c r="AG42" s="14" t="str">
        <f t="shared" si="64"/>
        <v>MYR</v>
      </c>
      <c r="AH42" s="11">
        <f t="shared" si="64"/>
        <v>0</v>
      </c>
      <c r="AI42" s="75">
        <f t="shared" ref="AI42:AR43" si="65">AH42+E42</f>
        <v>265</v>
      </c>
      <c r="AJ42" s="75">
        <f t="shared" si="65"/>
        <v>530</v>
      </c>
      <c r="AK42" s="75">
        <f t="shared" si="65"/>
        <v>795</v>
      </c>
      <c r="AL42" s="75">
        <f t="shared" si="65"/>
        <v>1060</v>
      </c>
      <c r="AM42" s="75">
        <f t="shared" si="65"/>
        <v>1325</v>
      </c>
      <c r="AN42" s="75">
        <f t="shared" si="65"/>
        <v>1590</v>
      </c>
      <c r="AO42" s="75">
        <f t="shared" si="65"/>
        <v>1855</v>
      </c>
      <c r="AP42" s="75">
        <f t="shared" si="65"/>
        <v>2120</v>
      </c>
      <c r="AQ42" s="75">
        <f t="shared" si="65"/>
        <v>2385</v>
      </c>
      <c r="AR42" s="75">
        <f t="shared" si="65"/>
        <v>2677</v>
      </c>
      <c r="AS42" s="75">
        <f t="shared" si="44"/>
        <v>2969</v>
      </c>
      <c r="AT42" s="75">
        <f t="shared" si="45"/>
        <v>3261</v>
      </c>
      <c r="AU42" s="75">
        <f t="shared" si="46"/>
        <v>3553</v>
      </c>
      <c r="AV42" s="75">
        <f t="shared" si="47"/>
        <v>3845</v>
      </c>
      <c r="AW42" s="75">
        <f t="shared" si="48"/>
        <v>4163</v>
      </c>
      <c r="AX42" s="75">
        <f t="shared" si="49"/>
        <v>4481</v>
      </c>
      <c r="AY42" s="75">
        <f t="shared" si="50"/>
        <v>4799</v>
      </c>
      <c r="AZ42" s="75">
        <f t="shared" si="51"/>
        <v>5117</v>
      </c>
      <c r="BA42" s="75">
        <f t="shared" si="52"/>
        <v>5435</v>
      </c>
      <c r="BB42" s="75">
        <f t="shared" si="53"/>
        <v>5435</v>
      </c>
      <c r="BC42" s="75">
        <f t="shared" si="54"/>
        <v>5435</v>
      </c>
      <c r="BD42" s="75">
        <f t="shared" si="55"/>
        <v>5435</v>
      </c>
      <c r="BE42" s="75">
        <f t="shared" si="56"/>
        <v>5435</v>
      </c>
      <c r="BF42" s="75">
        <f t="shared" si="57"/>
        <v>5435</v>
      </c>
      <c r="BG42" s="75">
        <f>BF42</f>
        <v>5435</v>
      </c>
    </row>
    <row r="43" spans="1:59" x14ac:dyDescent="0.25">
      <c r="A43" s="195"/>
      <c r="B43" s="11" t="str">
        <f>'P(M)'!B30</f>
        <v>新型</v>
      </c>
      <c r="C43" s="3" t="s">
        <v>23</v>
      </c>
      <c r="D43" s="97"/>
      <c r="E43" s="97"/>
      <c r="F43" s="97">
        <v>265</v>
      </c>
      <c r="G43" s="97">
        <v>265</v>
      </c>
      <c r="H43" s="97">
        <v>265</v>
      </c>
      <c r="I43" s="97">
        <v>265</v>
      </c>
      <c r="J43" s="97">
        <v>265</v>
      </c>
      <c r="K43" s="97">
        <v>265</v>
      </c>
      <c r="L43" s="97">
        <v>265</v>
      </c>
      <c r="M43" s="97">
        <v>265</v>
      </c>
      <c r="N43" s="97">
        <v>292</v>
      </c>
      <c r="O43" s="97">
        <v>292</v>
      </c>
      <c r="P43" s="97">
        <v>292</v>
      </c>
      <c r="Q43" s="97">
        <v>292</v>
      </c>
      <c r="R43" s="97">
        <v>292</v>
      </c>
      <c r="S43" s="97">
        <v>318</v>
      </c>
      <c r="T43" s="97">
        <v>318</v>
      </c>
      <c r="U43" s="97">
        <v>318</v>
      </c>
      <c r="V43" s="97">
        <v>318</v>
      </c>
      <c r="W43" s="97">
        <v>318</v>
      </c>
      <c r="X43" s="97"/>
      <c r="Y43" s="97"/>
      <c r="Z43" s="97"/>
      <c r="AA43" s="97"/>
      <c r="AB43" s="97"/>
      <c r="AC43" s="75">
        <f>SUM(D43:AB43)</f>
        <v>5170</v>
      </c>
      <c r="AD43" s="11"/>
      <c r="AE43" s="195"/>
      <c r="AF43" s="11" t="str">
        <f t="shared" si="64"/>
        <v>新型</v>
      </c>
      <c r="AG43" s="14" t="str">
        <f t="shared" si="64"/>
        <v>MYR</v>
      </c>
      <c r="AH43" s="11">
        <f t="shared" si="64"/>
        <v>0</v>
      </c>
      <c r="AI43" s="75">
        <f t="shared" si="65"/>
        <v>0</v>
      </c>
      <c r="AJ43" s="75">
        <f t="shared" si="65"/>
        <v>265</v>
      </c>
      <c r="AK43" s="75">
        <f t="shared" si="65"/>
        <v>530</v>
      </c>
      <c r="AL43" s="75">
        <f t="shared" si="65"/>
        <v>795</v>
      </c>
      <c r="AM43" s="75">
        <f t="shared" si="65"/>
        <v>1060</v>
      </c>
      <c r="AN43" s="75">
        <f t="shared" si="65"/>
        <v>1325</v>
      </c>
      <c r="AO43" s="75">
        <f t="shared" si="65"/>
        <v>1590</v>
      </c>
      <c r="AP43" s="75">
        <f t="shared" si="65"/>
        <v>1855</v>
      </c>
      <c r="AQ43" s="75">
        <f t="shared" si="65"/>
        <v>2120</v>
      </c>
      <c r="AR43" s="75">
        <f t="shared" si="65"/>
        <v>2412</v>
      </c>
      <c r="AS43" s="75">
        <f t="shared" si="44"/>
        <v>2704</v>
      </c>
      <c r="AT43" s="75">
        <f t="shared" si="45"/>
        <v>2996</v>
      </c>
      <c r="AU43" s="75">
        <f t="shared" si="46"/>
        <v>3288</v>
      </c>
      <c r="AV43" s="75">
        <f t="shared" si="47"/>
        <v>3580</v>
      </c>
      <c r="AW43" s="75">
        <f t="shared" si="48"/>
        <v>3898</v>
      </c>
      <c r="AX43" s="75">
        <f t="shared" si="49"/>
        <v>4216</v>
      </c>
      <c r="AY43" s="75">
        <f t="shared" si="50"/>
        <v>4534</v>
      </c>
      <c r="AZ43" s="75">
        <f t="shared" si="51"/>
        <v>4852</v>
      </c>
      <c r="BA43" s="75">
        <f t="shared" si="52"/>
        <v>5170</v>
      </c>
      <c r="BB43" s="75">
        <f t="shared" si="53"/>
        <v>5170</v>
      </c>
      <c r="BC43" s="75">
        <f t="shared" si="54"/>
        <v>5170</v>
      </c>
      <c r="BD43" s="75">
        <f t="shared" si="55"/>
        <v>5170</v>
      </c>
      <c r="BE43" s="75">
        <f t="shared" si="56"/>
        <v>5170</v>
      </c>
      <c r="BF43" s="75">
        <f t="shared" si="57"/>
        <v>5170</v>
      </c>
      <c r="BG43" s="75">
        <f>BF43</f>
        <v>5170</v>
      </c>
    </row>
    <row r="44" spans="1:59" x14ac:dyDescent="0.25">
      <c r="A44" s="53" t="s">
        <v>146</v>
      </c>
      <c r="B44" s="11" t="str">
        <f>'P(M)'!B31</f>
        <v>發明</v>
      </c>
      <c r="C44" s="3" t="s">
        <v>16</v>
      </c>
      <c r="D44" s="97"/>
      <c r="E44" s="97"/>
      <c r="F44" s="97"/>
      <c r="G44" s="97"/>
      <c r="H44" s="97">
        <v>80</v>
      </c>
      <c r="I44" s="97">
        <v>80</v>
      </c>
      <c r="J44" s="97">
        <v>80</v>
      </c>
      <c r="K44" s="97">
        <v>80</v>
      </c>
      <c r="L44" s="97">
        <v>80</v>
      </c>
      <c r="M44" s="97">
        <v>80</v>
      </c>
      <c r="N44" s="97">
        <v>80</v>
      </c>
      <c r="O44" s="97">
        <v>80</v>
      </c>
      <c r="P44" s="97">
        <v>80</v>
      </c>
      <c r="Q44" s="97">
        <v>80</v>
      </c>
      <c r="R44" s="97">
        <v>80</v>
      </c>
      <c r="S44" s="97">
        <v>80</v>
      </c>
      <c r="T44" s="97">
        <v>80</v>
      </c>
      <c r="U44" s="97">
        <v>80</v>
      </c>
      <c r="V44" s="97">
        <v>80</v>
      </c>
      <c r="W44" s="97">
        <v>80</v>
      </c>
      <c r="X44" s="97"/>
      <c r="Y44" s="97"/>
      <c r="Z44" s="97"/>
      <c r="AA44" s="97"/>
      <c r="AB44" s="97"/>
      <c r="AC44" s="75">
        <f t="shared" si="58"/>
        <v>1280</v>
      </c>
      <c r="AD44" s="11"/>
      <c r="AE44" s="53" t="s">
        <v>146</v>
      </c>
      <c r="AF44" s="11" t="str">
        <f t="shared" si="59"/>
        <v>發明</v>
      </c>
      <c r="AG44" s="14" t="str">
        <f t="shared" si="34"/>
        <v>USD</v>
      </c>
      <c r="AH44" s="11">
        <f t="shared" si="61"/>
        <v>0</v>
      </c>
      <c r="AI44" s="75">
        <f t="shared" si="62"/>
        <v>0</v>
      </c>
      <c r="AJ44" s="75">
        <f t="shared" si="35"/>
        <v>0</v>
      </c>
      <c r="AK44" s="75">
        <f t="shared" si="36"/>
        <v>0</v>
      </c>
      <c r="AL44" s="75">
        <f t="shared" si="37"/>
        <v>80</v>
      </c>
      <c r="AM44" s="75">
        <f t="shared" si="38"/>
        <v>160</v>
      </c>
      <c r="AN44" s="75">
        <f t="shared" si="39"/>
        <v>240</v>
      </c>
      <c r="AO44" s="75">
        <f t="shared" si="40"/>
        <v>320</v>
      </c>
      <c r="AP44" s="75">
        <f t="shared" si="41"/>
        <v>400</v>
      </c>
      <c r="AQ44" s="75">
        <f t="shared" si="42"/>
        <v>480</v>
      </c>
      <c r="AR44" s="75">
        <f t="shared" si="43"/>
        <v>560</v>
      </c>
      <c r="AS44" s="75">
        <f t="shared" si="44"/>
        <v>640</v>
      </c>
      <c r="AT44" s="75">
        <f t="shared" si="45"/>
        <v>720</v>
      </c>
      <c r="AU44" s="75">
        <f t="shared" si="46"/>
        <v>800</v>
      </c>
      <c r="AV44" s="75">
        <f t="shared" si="47"/>
        <v>880</v>
      </c>
      <c r="AW44" s="75">
        <f t="shared" si="48"/>
        <v>960</v>
      </c>
      <c r="AX44" s="75">
        <f t="shared" si="49"/>
        <v>1040</v>
      </c>
      <c r="AY44" s="75">
        <f t="shared" si="50"/>
        <v>1120</v>
      </c>
      <c r="AZ44" s="75">
        <f t="shared" si="51"/>
        <v>1200</v>
      </c>
      <c r="BA44" s="75">
        <f t="shared" si="52"/>
        <v>1280</v>
      </c>
      <c r="BB44" s="75">
        <f t="shared" si="53"/>
        <v>1280</v>
      </c>
      <c r="BC44" s="75">
        <f t="shared" si="54"/>
        <v>1280</v>
      </c>
      <c r="BD44" s="75">
        <f t="shared" si="55"/>
        <v>1280</v>
      </c>
      <c r="BE44" s="75">
        <f t="shared" si="56"/>
        <v>1280</v>
      </c>
      <c r="BF44" s="75">
        <f t="shared" si="57"/>
        <v>1280</v>
      </c>
      <c r="BG44" s="75">
        <f t="shared" si="60"/>
        <v>1280</v>
      </c>
    </row>
    <row r="45" spans="1:59" x14ac:dyDescent="0.25">
      <c r="A45" s="194" t="s">
        <v>131</v>
      </c>
      <c r="B45" s="11" t="str">
        <f>'P(M)'!B32</f>
        <v>發明</v>
      </c>
      <c r="C45" s="3" t="s">
        <v>16</v>
      </c>
      <c r="D45" s="97"/>
      <c r="E45" s="97">
        <v>170</v>
      </c>
      <c r="F45" s="97">
        <v>170</v>
      </c>
      <c r="G45" s="97">
        <v>170</v>
      </c>
      <c r="H45" s="97">
        <v>170</v>
      </c>
      <c r="I45" s="97">
        <v>170</v>
      </c>
      <c r="J45" s="97">
        <v>170</v>
      </c>
      <c r="K45" s="97">
        <v>170</v>
      </c>
      <c r="L45" s="97">
        <v>170</v>
      </c>
      <c r="M45" s="97">
        <v>170</v>
      </c>
      <c r="N45" s="97">
        <v>170</v>
      </c>
      <c r="O45" s="97">
        <v>170</v>
      </c>
      <c r="P45" s="97">
        <v>170</v>
      </c>
      <c r="Q45" s="97">
        <v>170</v>
      </c>
      <c r="R45" s="97">
        <v>170</v>
      </c>
      <c r="S45" s="97">
        <v>170</v>
      </c>
      <c r="T45" s="97">
        <v>170</v>
      </c>
      <c r="U45" s="97">
        <v>170</v>
      </c>
      <c r="V45" s="97">
        <v>170</v>
      </c>
      <c r="W45" s="97">
        <v>170</v>
      </c>
      <c r="X45" s="97"/>
      <c r="Y45" s="97"/>
      <c r="Z45" s="97"/>
      <c r="AA45" s="97"/>
      <c r="AB45" s="97"/>
      <c r="AC45" s="75">
        <f>SUM(D45:AB45)</f>
        <v>3230</v>
      </c>
      <c r="AD45" s="11"/>
      <c r="AE45" s="194" t="s">
        <v>131</v>
      </c>
      <c r="AF45" s="11" t="str">
        <f t="shared" ref="AF45:AH46" si="66">B45</f>
        <v>發明</v>
      </c>
      <c r="AG45" s="14" t="str">
        <f t="shared" si="66"/>
        <v>USD</v>
      </c>
      <c r="AH45" s="11">
        <f t="shared" si="66"/>
        <v>0</v>
      </c>
      <c r="AI45" s="75">
        <f t="shared" ref="AI45:AR46" si="67">AH45+E45</f>
        <v>170</v>
      </c>
      <c r="AJ45" s="75">
        <f t="shared" si="67"/>
        <v>340</v>
      </c>
      <c r="AK45" s="75">
        <f t="shared" si="67"/>
        <v>510</v>
      </c>
      <c r="AL45" s="75">
        <f t="shared" si="67"/>
        <v>680</v>
      </c>
      <c r="AM45" s="75">
        <f t="shared" si="67"/>
        <v>850</v>
      </c>
      <c r="AN45" s="75">
        <f t="shared" si="67"/>
        <v>1020</v>
      </c>
      <c r="AO45" s="75">
        <f t="shared" si="67"/>
        <v>1190</v>
      </c>
      <c r="AP45" s="75">
        <f t="shared" si="67"/>
        <v>1360</v>
      </c>
      <c r="AQ45" s="75">
        <f t="shared" si="67"/>
        <v>1530</v>
      </c>
      <c r="AR45" s="75">
        <f t="shared" si="67"/>
        <v>1700</v>
      </c>
      <c r="AS45" s="75">
        <f t="shared" si="44"/>
        <v>1870</v>
      </c>
      <c r="AT45" s="75">
        <f t="shared" si="45"/>
        <v>2040</v>
      </c>
      <c r="AU45" s="75">
        <f t="shared" si="46"/>
        <v>2210</v>
      </c>
      <c r="AV45" s="75">
        <f t="shared" si="47"/>
        <v>2380</v>
      </c>
      <c r="AW45" s="75">
        <f t="shared" si="48"/>
        <v>2550</v>
      </c>
      <c r="AX45" s="75">
        <f t="shared" si="49"/>
        <v>2720</v>
      </c>
      <c r="AY45" s="75">
        <f t="shared" si="50"/>
        <v>2890</v>
      </c>
      <c r="AZ45" s="75">
        <f t="shared" si="51"/>
        <v>3060</v>
      </c>
      <c r="BA45" s="75">
        <f t="shared" si="52"/>
        <v>3230</v>
      </c>
      <c r="BB45" s="75">
        <f t="shared" si="53"/>
        <v>3230</v>
      </c>
      <c r="BC45" s="75">
        <f t="shared" si="54"/>
        <v>3230</v>
      </c>
      <c r="BD45" s="75">
        <f t="shared" si="55"/>
        <v>3230</v>
      </c>
      <c r="BE45" s="75">
        <f t="shared" si="56"/>
        <v>3230</v>
      </c>
      <c r="BF45" s="75">
        <f t="shared" si="57"/>
        <v>3230</v>
      </c>
      <c r="BG45" s="75">
        <f>BF45</f>
        <v>3230</v>
      </c>
    </row>
    <row r="46" spans="1:59" x14ac:dyDescent="0.25">
      <c r="A46" s="195"/>
      <c r="B46" s="11" t="str">
        <f>'P(M)'!B33</f>
        <v>新型</v>
      </c>
      <c r="C46" s="3" t="s">
        <v>16</v>
      </c>
      <c r="D46" s="97"/>
      <c r="E46" s="97">
        <v>150</v>
      </c>
      <c r="F46" s="97">
        <v>150</v>
      </c>
      <c r="G46" s="97">
        <v>150</v>
      </c>
      <c r="H46" s="97">
        <v>150</v>
      </c>
      <c r="I46" s="97">
        <v>150</v>
      </c>
      <c r="J46" s="97">
        <v>150</v>
      </c>
      <c r="K46" s="97">
        <v>150</v>
      </c>
      <c r="L46" s="97">
        <v>150</v>
      </c>
      <c r="M46" s="97">
        <v>150</v>
      </c>
      <c r="N46" s="97"/>
      <c r="O46" s="97"/>
      <c r="P46" s="97"/>
      <c r="Q46" s="97"/>
      <c r="R46" s="97"/>
      <c r="S46" s="97"/>
      <c r="T46" s="97"/>
      <c r="U46" s="97"/>
      <c r="V46" s="97"/>
      <c r="W46" s="97"/>
      <c r="X46" s="97"/>
      <c r="Y46" s="97"/>
      <c r="Z46" s="97"/>
      <c r="AA46" s="97"/>
      <c r="AB46" s="97"/>
      <c r="AC46" s="75">
        <f>SUM(D46:AB46)</f>
        <v>1350</v>
      </c>
      <c r="AD46" s="11"/>
      <c r="AE46" s="195"/>
      <c r="AF46" s="11" t="str">
        <f t="shared" si="66"/>
        <v>新型</v>
      </c>
      <c r="AG46" s="14" t="str">
        <f t="shared" si="66"/>
        <v>USD</v>
      </c>
      <c r="AH46" s="11">
        <f t="shared" si="66"/>
        <v>0</v>
      </c>
      <c r="AI46" s="75">
        <f t="shared" si="67"/>
        <v>150</v>
      </c>
      <c r="AJ46" s="75">
        <f t="shared" si="67"/>
        <v>300</v>
      </c>
      <c r="AK46" s="75">
        <f t="shared" si="67"/>
        <v>450</v>
      </c>
      <c r="AL46" s="75">
        <f t="shared" si="67"/>
        <v>600</v>
      </c>
      <c r="AM46" s="75">
        <f t="shared" si="67"/>
        <v>750</v>
      </c>
      <c r="AN46" s="75">
        <f t="shared" si="67"/>
        <v>900</v>
      </c>
      <c r="AO46" s="75">
        <f t="shared" si="67"/>
        <v>1050</v>
      </c>
      <c r="AP46" s="75">
        <f t="shared" si="67"/>
        <v>1200</v>
      </c>
      <c r="AQ46" s="75">
        <f t="shared" si="67"/>
        <v>1350</v>
      </c>
      <c r="AR46" s="75">
        <f t="shared" si="67"/>
        <v>1350</v>
      </c>
      <c r="AS46" s="75">
        <f t="shared" si="44"/>
        <v>1350</v>
      </c>
      <c r="AT46" s="75">
        <f t="shared" si="45"/>
        <v>1350</v>
      </c>
      <c r="AU46" s="75">
        <f t="shared" si="46"/>
        <v>1350</v>
      </c>
      <c r="AV46" s="75">
        <f t="shared" si="47"/>
        <v>1350</v>
      </c>
      <c r="AW46" s="75">
        <f t="shared" si="48"/>
        <v>1350</v>
      </c>
      <c r="AX46" s="75">
        <f t="shared" si="49"/>
        <v>1350</v>
      </c>
      <c r="AY46" s="75">
        <f t="shared" si="50"/>
        <v>1350</v>
      </c>
      <c r="AZ46" s="75">
        <f t="shared" si="51"/>
        <v>1350</v>
      </c>
      <c r="BA46" s="75">
        <f t="shared" si="52"/>
        <v>1350</v>
      </c>
      <c r="BB46" s="75">
        <f t="shared" si="53"/>
        <v>1350</v>
      </c>
      <c r="BC46" s="75">
        <f t="shared" si="54"/>
        <v>1350</v>
      </c>
      <c r="BD46" s="75">
        <f t="shared" si="55"/>
        <v>1350</v>
      </c>
      <c r="BE46" s="75">
        <f t="shared" si="56"/>
        <v>1350</v>
      </c>
      <c r="BF46" s="75">
        <f t="shared" si="57"/>
        <v>1350</v>
      </c>
      <c r="BG46" s="75">
        <f>BF46</f>
        <v>1350</v>
      </c>
    </row>
    <row r="47" spans="1:59" x14ac:dyDescent="0.25">
      <c r="A47" s="194" t="s">
        <v>9</v>
      </c>
      <c r="B47" s="11" t="str">
        <f>'P(M)'!B34</f>
        <v>發明</v>
      </c>
      <c r="C47" s="3" t="s">
        <v>16</v>
      </c>
      <c r="D47" s="97"/>
      <c r="E47" s="97">
        <f>IF('發明(新型)案成本估算'!$B$8&gt;0,65+11*('發明(新型)案成本估算'!$B$8-1),0)</f>
        <v>87</v>
      </c>
      <c r="F47" s="97">
        <f>IF('發明(新型)案成本估算'!$B$8&gt;0,65+11*('發明(新型)案成本估算'!$B$8-1),0)</f>
        <v>87</v>
      </c>
      <c r="G47" s="97">
        <f>IF('發明(新型)案成本估算'!$B$8&gt;0,65+11*('發明(新型)案成本估算'!$B$8-1),0)</f>
        <v>87</v>
      </c>
      <c r="H47" s="97">
        <f>IF('發明(新型)案成本估算'!$B$8&gt;0,65+11*('發明(新型)案成本估算'!$B$8-1),0)</f>
        <v>87</v>
      </c>
      <c r="I47" s="97">
        <f>IF('發明(新型)案成本估算'!$B$8&gt;0,65+11*('發明(新型)案成本估算'!$B$8-1),0)</f>
        <v>87</v>
      </c>
      <c r="J47" s="97">
        <f>IF('發明(新型)案成本估算'!$B$8&gt;0,65+11*('發明(新型)案成本估算'!$B$8-1),0)</f>
        <v>87</v>
      </c>
      <c r="K47" s="97">
        <f>IF('發明(新型)案成本估算'!$B$8&gt;0,65+11*('發明(新型)案成本估算'!$B$8-1),0)</f>
        <v>87</v>
      </c>
      <c r="L47" s="97">
        <f>IF('發明(新型)案成本估算'!$B$8&gt;0,65+11*('發明(新型)案成本估算'!$B$8-1),0)</f>
        <v>87</v>
      </c>
      <c r="M47" s="97">
        <f>IF('發明(新型)案成本估算'!$B$8&gt;0,65+11*('發明(新型)案成本估算'!$B$8-1),0)</f>
        <v>87</v>
      </c>
      <c r="N47" s="97">
        <f>IF('發明(新型)案成本估算'!$B$8&gt;0,65+11*('發明(新型)案成本估算'!$B$8-1),0)</f>
        <v>87</v>
      </c>
      <c r="O47" s="97">
        <f>IF('發明(新型)案成本估算'!$B$8&gt;0,65+11*('發明(新型)案成本估算'!$B$8-1),0)</f>
        <v>87</v>
      </c>
      <c r="P47" s="97">
        <f>IF('發明(新型)案成本估算'!$B$8&gt;0,65+11*('發明(新型)案成本估算'!$B$8-1),0)</f>
        <v>87</v>
      </c>
      <c r="Q47" s="97">
        <f>IF('發明(新型)案成本估算'!$B$8&gt;0,65+11*('發明(新型)案成本估算'!$B$8-1),0)</f>
        <v>87</v>
      </c>
      <c r="R47" s="97">
        <f>IF('發明(新型)案成本估算'!$B$8&gt;0,65+11*('發明(新型)案成本估算'!$B$8-1),0)</f>
        <v>87</v>
      </c>
      <c r="S47" s="97">
        <f>IF('發明(新型)案成本估算'!$B$8&gt;0,65+11*('發明(新型)案成本估算'!$B$8-1),0)</f>
        <v>87</v>
      </c>
      <c r="T47" s="97">
        <f>IF('發明(新型)案成本估算'!$B$8&gt;0,65+11*('發明(新型)案成本估算'!$B$8-1),0)</f>
        <v>87</v>
      </c>
      <c r="U47" s="97">
        <f>IF('發明(新型)案成本估算'!$B$8&gt;0,65+11*('發明(新型)案成本估算'!$B$8-1),0)</f>
        <v>87</v>
      </c>
      <c r="V47" s="97">
        <f>IF('發明(新型)案成本估算'!$B$8&gt;0,65+11*('發明(新型)案成本估算'!$B$8-1),0)</f>
        <v>87</v>
      </c>
      <c r="W47" s="97">
        <f>IF('發明(新型)案成本估算'!$B$8&gt;0,65+11*('發明(新型)案成本估算'!$B$8-1),0)</f>
        <v>87</v>
      </c>
      <c r="X47" s="97"/>
      <c r="Y47" s="97"/>
      <c r="Z47" s="97"/>
      <c r="AA47" s="97"/>
      <c r="AB47" s="97"/>
      <c r="AC47" s="75">
        <f t="shared" si="58"/>
        <v>1653</v>
      </c>
      <c r="AD47" s="11"/>
      <c r="AE47" s="194" t="s">
        <v>9</v>
      </c>
      <c r="AF47" s="11" t="str">
        <f t="shared" si="59"/>
        <v>發明</v>
      </c>
      <c r="AG47" s="14" t="str">
        <f t="shared" si="34"/>
        <v>USD</v>
      </c>
      <c r="AH47" s="11">
        <f t="shared" si="61"/>
        <v>0</v>
      </c>
      <c r="AI47" s="75">
        <f t="shared" si="62"/>
        <v>87</v>
      </c>
      <c r="AJ47" s="75">
        <f t="shared" si="35"/>
        <v>174</v>
      </c>
      <c r="AK47" s="75">
        <f t="shared" si="36"/>
        <v>261</v>
      </c>
      <c r="AL47" s="75">
        <f t="shared" si="37"/>
        <v>348</v>
      </c>
      <c r="AM47" s="75">
        <f t="shared" si="38"/>
        <v>435</v>
      </c>
      <c r="AN47" s="75">
        <f t="shared" si="39"/>
        <v>522</v>
      </c>
      <c r="AO47" s="75">
        <f t="shared" si="40"/>
        <v>609</v>
      </c>
      <c r="AP47" s="75">
        <f t="shared" si="41"/>
        <v>696</v>
      </c>
      <c r="AQ47" s="75">
        <f t="shared" si="42"/>
        <v>783</v>
      </c>
      <c r="AR47" s="75">
        <f t="shared" si="43"/>
        <v>870</v>
      </c>
      <c r="AS47" s="75">
        <f t="shared" si="44"/>
        <v>957</v>
      </c>
      <c r="AT47" s="75">
        <f t="shared" si="45"/>
        <v>1044</v>
      </c>
      <c r="AU47" s="75">
        <f t="shared" si="46"/>
        <v>1131</v>
      </c>
      <c r="AV47" s="75">
        <f t="shared" si="47"/>
        <v>1218</v>
      </c>
      <c r="AW47" s="75">
        <f t="shared" si="48"/>
        <v>1305</v>
      </c>
      <c r="AX47" s="75">
        <f t="shared" si="49"/>
        <v>1392</v>
      </c>
      <c r="AY47" s="75">
        <f t="shared" si="50"/>
        <v>1479</v>
      </c>
      <c r="AZ47" s="75">
        <f t="shared" si="51"/>
        <v>1566</v>
      </c>
      <c r="BA47" s="75">
        <f t="shared" si="52"/>
        <v>1653</v>
      </c>
      <c r="BB47" s="75">
        <f t="shared" si="53"/>
        <v>1653</v>
      </c>
      <c r="BC47" s="75">
        <f t="shared" si="54"/>
        <v>1653</v>
      </c>
      <c r="BD47" s="75">
        <f t="shared" si="55"/>
        <v>1653</v>
      </c>
      <c r="BE47" s="75">
        <f t="shared" si="56"/>
        <v>1653</v>
      </c>
      <c r="BF47" s="75">
        <f t="shared" si="57"/>
        <v>1653</v>
      </c>
      <c r="BG47" s="75">
        <f t="shared" si="60"/>
        <v>1653</v>
      </c>
    </row>
    <row r="48" spans="1:59" x14ac:dyDescent="0.25">
      <c r="A48" s="195"/>
      <c r="B48" s="11" t="str">
        <f>'P(M)'!B35</f>
        <v>新型</v>
      </c>
      <c r="C48" s="3" t="s">
        <v>16</v>
      </c>
      <c r="D48" s="97"/>
      <c r="E48" s="97">
        <f>IF('發明(新型)案成本估算'!$B$8&gt;0,65+11*('發明(新型)案成本估算'!$B$8-1),0)</f>
        <v>87</v>
      </c>
      <c r="F48" s="97">
        <f>IF('發明(新型)案成本估算'!$B$8&gt;0,65+11*('發明(新型)案成本估算'!$B$8-1),0)</f>
        <v>87</v>
      </c>
      <c r="G48" s="97">
        <f>IF('發明(新型)案成本估算'!$B$8&gt;0,65+11*('發明(新型)案成本估算'!$B$8-1),0)</f>
        <v>87</v>
      </c>
      <c r="H48" s="97">
        <f>IF('發明(新型)案成本估算'!$B$8&gt;0,65+11*('發明(新型)案成本估算'!$B$8-1),0)</f>
        <v>87</v>
      </c>
      <c r="I48" s="97">
        <f>IF('發明(新型)案成本估算'!$B$8&gt;0,65+11*('發明(新型)案成本估算'!$B$8-1),0)</f>
        <v>87</v>
      </c>
      <c r="J48" s="97">
        <f>IF('發明(新型)案成本估算'!$B$8&gt;0,65+11*('發明(新型)案成本估算'!$B$8-1),0)</f>
        <v>87</v>
      </c>
      <c r="K48" s="97">
        <f>IF('發明(新型)案成本估算'!$B$8&gt;0,65+11*('發明(新型)案成本估算'!$B$8-1),0)</f>
        <v>87</v>
      </c>
      <c r="L48" s="97">
        <f>IF('發明(新型)案成本估算'!$B$8&gt;0,65+11*('發明(新型)案成本估算'!$B$8-1),0)</f>
        <v>87</v>
      </c>
      <c r="M48" s="97">
        <f>IF('發明(新型)案成本估算'!$B$8&gt;0,65+11*('發明(新型)案成本估算'!$B$8-1),0)</f>
        <v>87</v>
      </c>
      <c r="N48" s="97"/>
      <c r="O48" s="97"/>
      <c r="P48" s="97"/>
      <c r="Q48" s="97"/>
      <c r="R48" s="97"/>
      <c r="S48" s="97"/>
      <c r="T48" s="97"/>
      <c r="U48" s="97"/>
      <c r="V48" s="97"/>
      <c r="W48" s="97"/>
      <c r="X48" s="97"/>
      <c r="Y48" s="97"/>
      <c r="Z48" s="97"/>
      <c r="AA48" s="97"/>
      <c r="AB48" s="97"/>
      <c r="AC48" s="75">
        <f t="shared" si="58"/>
        <v>783</v>
      </c>
      <c r="AD48" s="11"/>
      <c r="AE48" s="195"/>
      <c r="AF48" s="11" t="str">
        <f t="shared" si="59"/>
        <v>新型</v>
      </c>
      <c r="AG48" s="14" t="str">
        <f t="shared" si="34"/>
        <v>USD</v>
      </c>
      <c r="AH48" s="11">
        <f t="shared" si="61"/>
        <v>0</v>
      </c>
      <c r="AI48" s="75">
        <f t="shared" si="62"/>
        <v>87</v>
      </c>
      <c r="AJ48" s="75">
        <f t="shared" si="35"/>
        <v>174</v>
      </c>
      <c r="AK48" s="75">
        <f t="shared" si="36"/>
        <v>261</v>
      </c>
      <c r="AL48" s="75">
        <f t="shared" si="37"/>
        <v>348</v>
      </c>
      <c r="AM48" s="75">
        <f t="shared" si="38"/>
        <v>435</v>
      </c>
      <c r="AN48" s="75">
        <f t="shared" si="39"/>
        <v>522</v>
      </c>
      <c r="AO48" s="75">
        <f t="shared" si="40"/>
        <v>609</v>
      </c>
      <c r="AP48" s="75">
        <f t="shared" si="41"/>
        <v>696</v>
      </c>
      <c r="AQ48" s="75">
        <f t="shared" si="42"/>
        <v>783</v>
      </c>
      <c r="AR48" s="75">
        <f t="shared" si="43"/>
        <v>783</v>
      </c>
      <c r="AS48" s="75">
        <f t="shared" si="44"/>
        <v>783</v>
      </c>
      <c r="AT48" s="75">
        <f t="shared" si="45"/>
        <v>783</v>
      </c>
      <c r="AU48" s="75">
        <f t="shared" si="46"/>
        <v>783</v>
      </c>
      <c r="AV48" s="75">
        <f t="shared" si="47"/>
        <v>783</v>
      </c>
      <c r="AW48" s="75">
        <f t="shared" si="48"/>
        <v>783</v>
      </c>
      <c r="AX48" s="75">
        <f t="shared" si="49"/>
        <v>783</v>
      </c>
      <c r="AY48" s="75">
        <f t="shared" si="50"/>
        <v>783</v>
      </c>
      <c r="AZ48" s="75">
        <f t="shared" si="51"/>
        <v>783</v>
      </c>
      <c r="BA48" s="75">
        <f t="shared" si="52"/>
        <v>783</v>
      </c>
      <c r="BB48" s="75">
        <f t="shared" si="53"/>
        <v>783</v>
      </c>
      <c r="BC48" s="75">
        <f t="shared" si="54"/>
        <v>783</v>
      </c>
      <c r="BD48" s="75">
        <f t="shared" si="55"/>
        <v>783</v>
      </c>
      <c r="BE48" s="75">
        <f t="shared" si="56"/>
        <v>783</v>
      </c>
      <c r="BF48" s="75">
        <f t="shared" si="57"/>
        <v>783</v>
      </c>
      <c r="BG48" s="75">
        <f t="shared" si="60"/>
        <v>783</v>
      </c>
    </row>
    <row r="49" spans="1:59" x14ac:dyDescent="0.25">
      <c r="A49" s="194" t="s">
        <v>10</v>
      </c>
      <c r="B49" s="11" t="str">
        <f>'P(M)'!B36</f>
        <v>發明</v>
      </c>
      <c r="C49" s="3" t="s">
        <v>22</v>
      </c>
      <c r="D49" s="97"/>
      <c r="E49" s="97"/>
      <c r="F49" s="97"/>
      <c r="G49" s="97"/>
      <c r="H49" s="97">
        <v>3200</v>
      </c>
      <c r="I49" s="97">
        <v>3200</v>
      </c>
      <c r="J49" s="97">
        <v>3200</v>
      </c>
      <c r="K49" s="97">
        <v>3200</v>
      </c>
      <c r="L49" s="97">
        <v>3200</v>
      </c>
      <c r="M49" s="97">
        <v>3200</v>
      </c>
      <c r="N49" s="97">
        <v>3200</v>
      </c>
      <c r="O49" s="97">
        <v>3200</v>
      </c>
      <c r="P49" s="97">
        <v>3200</v>
      </c>
      <c r="Q49" s="97">
        <v>3200</v>
      </c>
      <c r="R49" s="97">
        <v>3200</v>
      </c>
      <c r="S49" s="97">
        <v>3200</v>
      </c>
      <c r="T49" s="97">
        <v>3200</v>
      </c>
      <c r="U49" s="97">
        <v>3200</v>
      </c>
      <c r="V49" s="97">
        <v>3200</v>
      </c>
      <c r="W49" s="97">
        <v>3200</v>
      </c>
      <c r="X49" s="97"/>
      <c r="Y49" s="97"/>
      <c r="Z49" s="97"/>
      <c r="AA49" s="97"/>
      <c r="AB49" s="97"/>
      <c r="AC49" s="75">
        <f t="shared" si="58"/>
        <v>51200</v>
      </c>
      <c r="AD49" s="11"/>
      <c r="AE49" s="194" t="s">
        <v>10</v>
      </c>
      <c r="AF49" s="11" t="str">
        <f t="shared" si="59"/>
        <v>發明</v>
      </c>
      <c r="AG49" s="14" t="str">
        <f t="shared" si="34"/>
        <v>THB</v>
      </c>
      <c r="AH49" s="11">
        <f t="shared" si="61"/>
        <v>0</v>
      </c>
      <c r="AI49" s="75">
        <f t="shared" si="62"/>
        <v>0</v>
      </c>
      <c r="AJ49" s="75">
        <f t="shared" si="35"/>
        <v>0</v>
      </c>
      <c r="AK49" s="75">
        <f t="shared" si="36"/>
        <v>0</v>
      </c>
      <c r="AL49" s="75">
        <f t="shared" si="37"/>
        <v>3200</v>
      </c>
      <c r="AM49" s="75">
        <f t="shared" si="38"/>
        <v>6400</v>
      </c>
      <c r="AN49" s="75">
        <f t="shared" si="39"/>
        <v>9600</v>
      </c>
      <c r="AO49" s="75">
        <f t="shared" si="40"/>
        <v>12800</v>
      </c>
      <c r="AP49" s="75">
        <f t="shared" si="41"/>
        <v>16000</v>
      </c>
      <c r="AQ49" s="75">
        <f t="shared" si="42"/>
        <v>19200</v>
      </c>
      <c r="AR49" s="75">
        <f t="shared" si="43"/>
        <v>22400</v>
      </c>
      <c r="AS49" s="75">
        <f t="shared" si="44"/>
        <v>25600</v>
      </c>
      <c r="AT49" s="75">
        <f t="shared" si="45"/>
        <v>28800</v>
      </c>
      <c r="AU49" s="75">
        <f t="shared" si="46"/>
        <v>32000</v>
      </c>
      <c r="AV49" s="75">
        <f t="shared" si="47"/>
        <v>35200</v>
      </c>
      <c r="AW49" s="75">
        <f t="shared" si="48"/>
        <v>38400</v>
      </c>
      <c r="AX49" s="75">
        <f t="shared" si="49"/>
        <v>41600</v>
      </c>
      <c r="AY49" s="75">
        <f t="shared" si="50"/>
        <v>44800</v>
      </c>
      <c r="AZ49" s="75">
        <f t="shared" si="51"/>
        <v>48000</v>
      </c>
      <c r="BA49" s="75">
        <f t="shared" si="52"/>
        <v>51200</v>
      </c>
      <c r="BB49" s="75">
        <f t="shared" si="53"/>
        <v>51200</v>
      </c>
      <c r="BC49" s="75">
        <f t="shared" si="54"/>
        <v>51200</v>
      </c>
      <c r="BD49" s="75">
        <f t="shared" si="55"/>
        <v>51200</v>
      </c>
      <c r="BE49" s="75">
        <f t="shared" si="56"/>
        <v>51200</v>
      </c>
      <c r="BF49" s="75">
        <f t="shared" si="57"/>
        <v>51200</v>
      </c>
      <c r="BG49" s="75">
        <f t="shared" si="60"/>
        <v>51200</v>
      </c>
    </row>
    <row r="50" spans="1:59" x14ac:dyDescent="0.25">
      <c r="A50" s="195"/>
      <c r="B50" s="11" t="str">
        <f>'P(M)'!B37</f>
        <v>新型</v>
      </c>
      <c r="C50" s="3" t="s">
        <v>22</v>
      </c>
      <c r="D50" s="97"/>
      <c r="E50" s="97"/>
      <c r="F50" s="97"/>
      <c r="G50" s="97"/>
      <c r="H50" s="97">
        <v>3200</v>
      </c>
      <c r="I50" s="97">
        <v>3200</v>
      </c>
      <c r="J50" s="97">
        <v>4800</v>
      </c>
      <c r="K50" s="97"/>
      <c r="L50" s="97">
        <v>4800</v>
      </c>
      <c r="M50" s="97"/>
      <c r="N50" s="97"/>
      <c r="O50" s="97"/>
      <c r="P50" s="97"/>
      <c r="Q50" s="97"/>
      <c r="R50" s="97"/>
      <c r="S50" s="97"/>
      <c r="T50" s="97"/>
      <c r="U50" s="97"/>
      <c r="V50" s="97"/>
      <c r="W50" s="97"/>
      <c r="X50" s="97"/>
      <c r="Y50" s="97"/>
      <c r="Z50" s="97"/>
      <c r="AA50" s="97"/>
      <c r="AB50" s="97"/>
      <c r="AC50" s="75">
        <f t="shared" si="58"/>
        <v>16000</v>
      </c>
      <c r="AD50" s="11"/>
      <c r="AE50" s="195"/>
      <c r="AF50" s="11" t="str">
        <f t="shared" si="59"/>
        <v>新型</v>
      </c>
      <c r="AG50" s="14" t="str">
        <f t="shared" si="34"/>
        <v>THB</v>
      </c>
      <c r="AH50" s="11">
        <f t="shared" si="61"/>
        <v>0</v>
      </c>
      <c r="AI50" s="75">
        <f t="shared" si="62"/>
        <v>0</v>
      </c>
      <c r="AJ50" s="75">
        <f t="shared" si="35"/>
        <v>0</v>
      </c>
      <c r="AK50" s="75">
        <f t="shared" si="36"/>
        <v>0</v>
      </c>
      <c r="AL50" s="75">
        <f t="shared" si="37"/>
        <v>3200</v>
      </c>
      <c r="AM50" s="75">
        <f t="shared" si="38"/>
        <v>6400</v>
      </c>
      <c r="AN50" s="75">
        <f t="shared" si="39"/>
        <v>11200</v>
      </c>
      <c r="AO50" s="75">
        <f t="shared" si="40"/>
        <v>11200</v>
      </c>
      <c r="AP50" s="75">
        <f t="shared" si="41"/>
        <v>16000</v>
      </c>
      <c r="AQ50" s="75">
        <f t="shared" si="42"/>
        <v>16000</v>
      </c>
      <c r="AR50" s="75">
        <f t="shared" si="43"/>
        <v>16000</v>
      </c>
      <c r="AS50" s="75">
        <f t="shared" si="44"/>
        <v>16000</v>
      </c>
      <c r="AT50" s="75">
        <f t="shared" si="45"/>
        <v>16000</v>
      </c>
      <c r="AU50" s="75">
        <f t="shared" si="46"/>
        <v>16000</v>
      </c>
      <c r="AV50" s="75">
        <f t="shared" si="47"/>
        <v>16000</v>
      </c>
      <c r="AW50" s="75">
        <f t="shared" si="48"/>
        <v>16000</v>
      </c>
      <c r="AX50" s="75">
        <f t="shared" si="49"/>
        <v>16000</v>
      </c>
      <c r="AY50" s="75">
        <f t="shared" si="50"/>
        <v>16000</v>
      </c>
      <c r="AZ50" s="75">
        <f t="shared" si="51"/>
        <v>16000</v>
      </c>
      <c r="BA50" s="75">
        <f t="shared" si="52"/>
        <v>16000</v>
      </c>
      <c r="BB50" s="75">
        <f t="shared" si="53"/>
        <v>16000</v>
      </c>
      <c r="BC50" s="75">
        <f t="shared" si="54"/>
        <v>16000</v>
      </c>
      <c r="BD50" s="75">
        <f t="shared" si="55"/>
        <v>16000</v>
      </c>
      <c r="BE50" s="75">
        <f t="shared" si="56"/>
        <v>16000</v>
      </c>
      <c r="BF50" s="75">
        <f t="shared" si="57"/>
        <v>16000</v>
      </c>
      <c r="BG50" s="75">
        <f t="shared" si="60"/>
        <v>16000</v>
      </c>
    </row>
    <row r="51" spans="1:59" x14ac:dyDescent="0.25">
      <c r="A51" s="5"/>
      <c r="B51" s="5"/>
      <c r="C51" s="5"/>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75">
        <f t="shared" si="58"/>
        <v>0</v>
      </c>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x14ac:dyDescent="0.25">
      <c r="A52" s="160" t="s">
        <v>342</v>
      </c>
    </row>
    <row r="55" spans="1:59" s="76" customFormat="1" x14ac:dyDescent="0.25">
      <c r="A55" s="191" t="s">
        <v>200</v>
      </c>
      <c r="B55" s="192"/>
      <c r="C55" s="193"/>
      <c r="D55" s="100" t="s">
        <v>197</v>
      </c>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74"/>
      <c r="AD55" s="74"/>
      <c r="AE55" s="191" t="s">
        <v>202</v>
      </c>
      <c r="AF55" s="192"/>
      <c r="AG55" s="193"/>
      <c r="AH55" s="77" t="s">
        <v>195</v>
      </c>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row>
    <row r="56" spans="1:59" x14ac:dyDescent="0.25">
      <c r="A56" s="4" t="s">
        <v>114</v>
      </c>
      <c r="B56" s="4" t="s">
        <v>194</v>
      </c>
      <c r="C56" s="4" t="s">
        <v>13</v>
      </c>
      <c r="D56" s="102">
        <v>1</v>
      </c>
      <c r="E56" s="102">
        <v>2</v>
      </c>
      <c r="F56" s="102">
        <v>3</v>
      </c>
      <c r="G56" s="102">
        <v>4</v>
      </c>
      <c r="H56" s="102">
        <v>5</v>
      </c>
      <c r="I56" s="102">
        <v>6</v>
      </c>
      <c r="J56" s="102">
        <v>7</v>
      </c>
      <c r="K56" s="102">
        <v>8</v>
      </c>
      <c r="L56" s="102">
        <v>9</v>
      </c>
      <c r="M56" s="102">
        <v>10</v>
      </c>
      <c r="N56" s="102">
        <v>11</v>
      </c>
      <c r="O56" s="102">
        <v>12</v>
      </c>
      <c r="P56" s="102">
        <v>13</v>
      </c>
      <c r="Q56" s="102">
        <v>14</v>
      </c>
      <c r="R56" s="102">
        <v>15</v>
      </c>
      <c r="S56" s="102">
        <v>16</v>
      </c>
      <c r="T56" s="102">
        <v>17</v>
      </c>
      <c r="U56" s="102">
        <v>18</v>
      </c>
      <c r="V56" s="102">
        <v>19</v>
      </c>
      <c r="W56" s="102">
        <v>20</v>
      </c>
      <c r="X56" s="102">
        <v>21</v>
      </c>
      <c r="Y56" s="102">
        <v>22</v>
      </c>
      <c r="Z56" s="102">
        <v>23</v>
      </c>
      <c r="AA56" s="102">
        <v>24</v>
      </c>
      <c r="AB56" s="102">
        <v>25</v>
      </c>
      <c r="AC56" s="4" t="s">
        <v>193</v>
      </c>
      <c r="AD56" s="4"/>
      <c r="AE56" s="4" t="s">
        <v>114</v>
      </c>
      <c r="AF56" s="4" t="s">
        <v>194</v>
      </c>
      <c r="AG56" s="4" t="s">
        <v>13</v>
      </c>
      <c r="AH56" s="4">
        <v>1</v>
      </c>
      <c r="AI56" s="4">
        <v>2</v>
      </c>
      <c r="AJ56" s="4">
        <v>3</v>
      </c>
      <c r="AK56" s="4">
        <v>4</v>
      </c>
      <c r="AL56" s="4">
        <v>5</v>
      </c>
      <c r="AM56" s="4">
        <v>6</v>
      </c>
      <c r="AN56" s="4">
        <v>7</v>
      </c>
      <c r="AO56" s="4">
        <v>8</v>
      </c>
      <c r="AP56" s="4">
        <v>9</v>
      </c>
      <c r="AQ56" s="4">
        <v>10</v>
      </c>
      <c r="AR56" s="4">
        <v>11</v>
      </c>
      <c r="AS56" s="4">
        <v>12</v>
      </c>
      <c r="AT56" s="4">
        <v>13</v>
      </c>
      <c r="AU56" s="4">
        <v>14</v>
      </c>
      <c r="AV56" s="4">
        <v>15</v>
      </c>
      <c r="AW56" s="4">
        <v>16</v>
      </c>
      <c r="AX56" s="4">
        <v>17</v>
      </c>
      <c r="AY56" s="4">
        <v>18</v>
      </c>
      <c r="AZ56" s="4">
        <v>19</v>
      </c>
      <c r="BA56" s="4">
        <v>20</v>
      </c>
      <c r="BB56" s="4">
        <v>21</v>
      </c>
      <c r="BC56" s="4">
        <v>22</v>
      </c>
      <c r="BD56" s="4">
        <v>23</v>
      </c>
      <c r="BE56" s="4">
        <v>24</v>
      </c>
      <c r="BF56" s="4">
        <v>25</v>
      </c>
      <c r="BG56" s="4" t="s">
        <v>222</v>
      </c>
    </row>
    <row r="57" spans="1:59" x14ac:dyDescent="0.25">
      <c r="A57" s="194" t="s">
        <v>2</v>
      </c>
      <c r="B57" s="11" t="str">
        <f>'P(M)'!B17</f>
        <v>發明</v>
      </c>
      <c r="C57" s="3" t="s">
        <v>14</v>
      </c>
      <c r="D57" s="97"/>
      <c r="E57" s="97">
        <v>3000</v>
      </c>
      <c r="F57" s="97">
        <v>3000</v>
      </c>
      <c r="G57" s="97">
        <v>3000</v>
      </c>
      <c r="H57" s="97">
        <v>3000</v>
      </c>
      <c r="I57" s="97">
        <v>3000</v>
      </c>
      <c r="J57" s="97">
        <v>3000</v>
      </c>
      <c r="K57" s="97">
        <v>3000</v>
      </c>
      <c r="L57" s="97">
        <v>3000</v>
      </c>
      <c r="M57" s="97">
        <v>3000</v>
      </c>
      <c r="N57" s="97">
        <v>3000</v>
      </c>
      <c r="O57" s="97">
        <v>3000</v>
      </c>
      <c r="P57" s="97">
        <v>3000</v>
      </c>
      <c r="Q57" s="97">
        <v>3000</v>
      </c>
      <c r="R57" s="97">
        <v>3000</v>
      </c>
      <c r="S57" s="97">
        <v>3000</v>
      </c>
      <c r="T57" s="97">
        <v>3000</v>
      </c>
      <c r="U57" s="97">
        <v>3000</v>
      </c>
      <c r="V57" s="97">
        <v>3000</v>
      </c>
      <c r="W57" s="97">
        <v>3000</v>
      </c>
      <c r="X57" s="97"/>
      <c r="Y57" s="97"/>
      <c r="Z57" s="97"/>
      <c r="AA57" s="97"/>
      <c r="AB57" s="97"/>
      <c r="AC57" s="75">
        <f>SUM(D57:AB57)</f>
        <v>57000</v>
      </c>
      <c r="AD57" s="11"/>
      <c r="AE57" s="194" t="s">
        <v>2</v>
      </c>
      <c r="AF57" s="11" t="str">
        <f>B57</f>
        <v>發明</v>
      </c>
      <c r="AG57" s="14" t="str">
        <f>C57</f>
        <v>NTD</v>
      </c>
      <c r="AH57" s="11">
        <f>D57</f>
        <v>0</v>
      </c>
      <c r="AI57" s="75">
        <f>AH57+E57</f>
        <v>3000</v>
      </c>
      <c r="AJ57" s="75">
        <f t="shared" ref="AJ57:AJ77" si="68">AI57+F57</f>
        <v>6000</v>
      </c>
      <c r="AK57" s="75">
        <f t="shared" ref="AK57:AK77" si="69">AJ57+G57</f>
        <v>9000</v>
      </c>
      <c r="AL57" s="75">
        <f t="shared" ref="AL57:AL77" si="70">AK57+H57</f>
        <v>12000</v>
      </c>
      <c r="AM57" s="75">
        <f t="shared" ref="AM57:AM77" si="71">AL57+I57</f>
        <v>15000</v>
      </c>
      <c r="AN57" s="75">
        <f t="shared" ref="AN57:AN77" si="72">AM57+J57</f>
        <v>18000</v>
      </c>
      <c r="AO57" s="75">
        <f t="shared" ref="AO57:AO77" si="73">AN57+K57</f>
        <v>21000</v>
      </c>
      <c r="AP57" s="75">
        <f t="shared" ref="AP57:AP77" si="74">AO57+L57</f>
        <v>24000</v>
      </c>
      <c r="AQ57" s="75">
        <f t="shared" ref="AQ57:AQ77" si="75">AP57+M57</f>
        <v>27000</v>
      </c>
      <c r="AR57" s="75">
        <f t="shared" ref="AR57:AR77" si="76">AQ57+N57</f>
        <v>30000</v>
      </c>
      <c r="AS57" s="75">
        <f t="shared" ref="AS57:AS77" si="77">AR57+O57</f>
        <v>33000</v>
      </c>
      <c r="AT57" s="75">
        <f t="shared" ref="AT57:AT77" si="78">AS57+P57</f>
        <v>36000</v>
      </c>
      <c r="AU57" s="75">
        <f t="shared" ref="AU57:AU77" si="79">AT57+Q57</f>
        <v>39000</v>
      </c>
      <c r="AV57" s="75">
        <f t="shared" ref="AV57:AV77" si="80">AU57+R57</f>
        <v>42000</v>
      </c>
      <c r="AW57" s="75">
        <f t="shared" ref="AW57:AW77" si="81">AV57+S57</f>
        <v>45000</v>
      </c>
      <c r="AX57" s="75">
        <f t="shared" ref="AX57:AX77" si="82">AW57+T57</f>
        <v>48000</v>
      </c>
      <c r="AY57" s="75">
        <f t="shared" ref="AY57:AY77" si="83">AX57+U57</f>
        <v>51000</v>
      </c>
      <c r="AZ57" s="75">
        <f t="shared" ref="AZ57:AZ77" si="84">AY57+V57</f>
        <v>54000</v>
      </c>
      <c r="BA57" s="75">
        <f t="shared" ref="BA57:BA77" si="85">AZ57+W57</f>
        <v>57000</v>
      </c>
      <c r="BB57" s="75">
        <f t="shared" ref="BB57:BB77" si="86">BA57+X57</f>
        <v>57000</v>
      </c>
      <c r="BC57" s="75">
        <f t="shared" ref="BC57:BC77" si="87">BB57+Y57</f>
        <v>57000</v>
      </c>
      <c r="BD57" s="75">
        <f t="shared" ref="BD57:BD77" si="88">BC57+Z57</f>
        <v>57000</v>
      </c>
      <c r="BE57" s="75">
        <f t="shared" ref="BE57:BE77" si="89">BD57+AA57</f>
        <v>57000</v>
      </c>
      <c r="BF57" s="75">
        <f t="shared" ref="BF57:BF77" si="90">BE57+AB57</f>
        <v>57000</v>
      </c>
      <c r="BG57" s="75">
        <f>BF57</f>
        <v>57000</v>
      </c>
    </row>
    <row r="58" spans="1:59" x14ac:dyDescent="0.25">
      <c r="A58" s="195"/>
      <c r="B58" s="11" t="str">
        <f>'P(M)'!B18</f>
        <v>新型</v>
      </c>
      <c r="C58" s="3" t="s">
        <v>14</v>
      </c>
      <c r="D58" s="97"/>
      <c r="E58" s="97">
        <v>3000</v>
      </c>
      <c r="F58" s="97">
        <v>3000</v>
      </c>
      <c r="G58" s="97">
        <v>3000</v>
      </c>
      <c r="H58" s="97">
        <v>3000</v>
      </c>
      <c r="I58" s="97">
        <v>3000</v>
      </c>
      <c r="J58" s="97">
        <v>3000</v>
      </c>
      <c r="K58" s="97">
        <v>3000</v>
      </c>
      <c r="L58" s="97">
        <v>3000</v>
      </c>
      <c r="M58" s="97">
        <v>3000</v>
      </c>
      <c r="N58" s="97"/>
      <c r="O58" s="97"/>
      <c r="P58" s="97"/>
      <c r="Q58" s="97"/>
      <c r="R58" s="97"/>
      <c r="S58" s="97"/>
      <c r="T58" s="97"/>
      <c r="U58" s="97"/>
      <c r="V58" s="97"/>
      <c r="W58" s="97"/>
      <c r="X58" s="97"/>
      <c r="Y58" s="97"/>
      <c r="Z58" s="97"/>
      <c r="AA58" s="97"/>
      <c r="AB58" s="97"/>
      <c r="AC58" s="75">
        <f t="shared" ref="AC58:AC78" si="91">SUM(D58:AB58)</f>
        <v>27000</v>
      </c>
      <c r="AD58" s="11"/>
      <c r="AE58" s="195"/>
      <c r="AF58" s="11" t="str">
        <f t="shared" ref="AF58:AF77" si="92">B58</f>
        <v>新型</v>
      </c>
      <c r="AG58" s="14" t="str">
        <f t="shared" ref="AG58:AG77" si="93">C58</f>
        <v>NTD</v>
      </c>
      <c r="AH58" s="11">
        <f>D58</f>
        <v>0</v>
      </c>
      <c r="AI58" s="75">
        <f>AH58+E58</f>
        <v>3000</v>
      </c>
      <c r="AJ58" s="75">
        <f t="shared" si="68"/>
        <v>6000</v>
      </c>
      <c r="AK58" s="75">
        <f t="shared" si="69"/>
        <v>9000</v>
      </c>
      <c r="AL58" s="75">
        <f t="shared" si="70"/>
        <v>12000</v>
      </c>
      <c r="AM58" s="75">
        <f t="shared" si="71"/>
        <v>15000</v>
      </c>
      <c r="AN58" s="75">
        <f t="shared" si="72"/>
        <v>18000</v>
      </c>
      <c r="AO58" s="75">
        <f t="shared" si="73"/>
        <v>21000</v>
      </c>
      <c r="AP58" s="75">
        <f t="shared" si="74"/>
        <v>24000</v>
      </c>
      <c r="AQ58" s="75">
        <f t="shared" si="75"/>
        <v>27000</v>
      </c>
      <c r="AR58" s="75">
        <f t="shared" si="76"/>
        <v>27000</v>
      </c>
      <c r="AS58" s="75">
        <f t="shared" si="77"/>
        <v>27000</v>
      </c>
      <c r="AT58" s="75">
        <f t="shared" si="78"/>
        <v>27000</v>
      </c>
      <c r="AU58" s="75">
        <f t="shared" si="79"/>
        <v>27000</v>
      </c>
      <c r="AV58" s="75">
        <f t="shared" si="80"/>
        <v>27000</v>
      </c>
      <c r="AW58" s="75">
        <f t="shared" si="81"/>
        <v>27000</v>
      </c>
      <c r="AX58" s="75">
        <f t="shared" si="82"/>
        <v>27000</v>
      </c>
      <c r="AY58" s="75">
        <f t="shared" si="83"/>
        <v>27000</v>
      </c>
      <c r="AZ58" s="75">
        <f t="shared" si="84"/>
        <v>27000</v>
      </c>
      <c r="BA58" s="75">
        <f t="shared" si="85"/>
        <v>27000</v>
      </c>
      <c r="BB58" s="75">
        <f t="shared" si="86"/>
        <v>27000</v>
      </c>
      <c r="BC58" s="75">
        <f t="shared" si="87"/>
        <v>27000</v>
      </c>
      <c r="BD58" s="75">
        <f t="shared" si="88"/>
        <v>27000</v>
      </c>
      <c r="BE58" s="75">
        <f t="shared" si="89"/>
        <v>27000</v>
      </c>
      <c r="BF58" s="75">
        <f t="shared" si="90"/>
        <v>27000</v>
      </c>
      <c r="BG58" s="75">
        <f t="shared" ref="BG58:BG77" si="94">BF58</f>
        <v>27000</v>
      </c>
    </row>
    <row r="59" spans="1:59" x14ac:dyDescent="0.25">
      <c r="A59" s="194" t="s">
        <v>3</v>
      </c>
      <c r="B59" s="11" t="str">
        <f>'P(M)'!B19</f>
        <v>發明</v>
      </c>
      <c r="C59" s="3" t="s">
        <v>14</v>
      </c>
      <c r="D59" s="97"/>
      <c r="E59" s="125">
        <v>3000</v>
      </c>
      <c r="F59" s="125">
        <v>3000</v>
      </c>
      <c r="G59" s="125">
        <v>3000</v>
      </c>
      <c r="H59" s="125">
        <v>3000</v>
      </c>
      <c r="I59" s="125">
        <v>3000</v>
      </c>
      <c r="J59" s="125">
        <v>3000</v>
      </c>
      <c r="K59" s="125">
        <v>3000</v>
      </c>
      <c r="L59" s="125">
        <v>3000</v>
      </c>
      <c r="M59" s="125">
        <v>3000</v>
      </c>
      <c r="N59" s="125">
        <v>3000</v>
      </c>
      <c r="O59" s="125">
        <v>3000</v>
      </c>
      <c r="P59" s="125">
        <v>3000</v>
      </c>
      <c r="Q59" s="125">
        <v>3000</v>
      </c>
      <c r="R59" s="125">
        <v>3000</v>
      </c>
      <c r="S59" s="125">
        <v>3000</v>
      </c>
      <c r="T59" s="125">
        <v>3000</v>
      </c>
      <c r="U59" s="125">
        <v>3000</v>
      </c>
      <c r="V59" s="125">
        <v>3000</v>
      </c>
      <c r="W59" s="125">
        <v>3000</v>
      </c>
      <c r="X59" s="97"/>
      <c r="Y59" s="97"/>
      <c r="Z59" s="97"/>
      <c r="AA59" s="97"/>
      <c r="AB59" s="97"/>
      <c r="AC59" s="75">
        <f t="shared" si="91"/>
        <v>57000</v>
      </c>
      <c r="AD59" s="11"/>
      <c r="AE59" s="194" t="s">
        <v>3</v>
      </c>
      <c r="AF59" s="11" t="str">
        <f t="shared" si="92"/>
        <v>發明</v>
      </c>
      <c r="AG59" s="14" t="str">
        <f t="shared" si="93"/>
        <v>NTD</v>
      </c>
      <c r="AH59" s="11">
        <f t="shared" ref="AH59:AH77" si="95">D59</f>
        <v>0</v>
      </c>
      <c r="AI59" s="75">
        <f t="shared" ref="AI59:AI77" si="96">AH59+E59</f>
        <v>3000</v>
      </c>
      <c r="AJ59" s="75">
        <f t="shared" si="68"/>
        <v>6000</v>
      </c>
      <c r="AK59" s="75">
        <f t="shared" si="69"/>
        <v>9000</v>
      </c>
      <c r="AL59" s="75">
        <f t="shared" si="70"/>
        <v>12000</v>
      </c>
      <c r="AM59" s="75">
        <f t="shared" si="71"/>
        <v>15000</v>
      </c>
      <c r="AN59" s="75">
        <f t="shared" si="72"/>
        <v>18000</v>
      </c>
      <c r="AO59" s="75">
        <f t="shared" si="73"/>
        <v>21000</v>
      </c>
      <c r="AP59" s="75">
        <f t="shared" si="74"/>
        <v>24000</v>
      </c>
      <c r="AQ59" s="75">
        <f t="shared" si="75"/>
        <v>27000</v>
      </c>
      <c r="AR59" s="75">
        <f t="shared" si="76"/>
        <v>30000</v>
      </c>
      <c r="AS59" s="75">
        <f t="shared" si="77"/>
        <v>33000</v>
      </c>
      <c r="AT59" s="75">
        <f t="shared" si="78"/>
        <v>36000</v>
      </c>
      <c r="AU59" s="75">
        <f t="shared" si="79"/>
        <v>39000</v>
      </c>
      <c r="AV59" s="75">
        <f t="shared" si="80"/>
        <v>42000</v>
      </c>
      <c r="AW59" s="75">
        <f t="shared" si="81"/>
        <v>45000</v>
      </c>
      <c r="AX59" s="75">
        <f t="shared" si="82"/>
        <v>48000</v>
      </c>
      <c r="AY59" s="75">
        <f t="shared" si="83"/>
        <v>51000</v>
      </c>
      <c r="AZ59" s="75">
        <f t="shared" si="84"/>
        <v>54000</v>
      </c>
      <c r="BA59" s="75">
        <f t="shared" si="85"/>
        <v>57000</v>
      </c>
      <c r="BB59" s="75">
        <f t="shared" si="86"/>
        <v>57000</v>
      </c>
      <c r="BC59" s="75">
        <f t="shared" si="87"/>
        <v>57000</v>
      </c>
      <c r="BD59" s="75">
        <f t="shared" si="88"/>
        <v>57000</v>
      </c>
      <c r="BE59" s="75">
        <f t="shared" si="89"/>
        <v>57000</v>
      </c>
      <c r="BF59" s="75">
        <f t="shared" si="90"/>
        <v>57000</v>
      </c>
      <c r="BG59" s="75">
        <f t="shared" si="94"/>
        <v>57000</v>
      </c>
    </row>
    <row r="60" spans="1:59" x14ac:dyDescent="0.25">
      <c r="A60" s="195"/>
      <c r="B60" s="11" t="str">
        <f>'P(M)'!B20</f>
        <v>新型</v>
      </c>
      <c r="C60" s="3" t="s">
        <v>14</v>
      </c>
      <c r="D60" s="97"/>
      <c r="E60" s="97">
        <v>3000</v>
      </c>
      <c r="F60" s="97">
        <v>3000</v>
      </c>
      <c r="G60" s="97">
        <v>3000</v>
      </c>
      <c r="H60" s="97">
        <v>3000</v>
      </c>
      <c r="I60" s="97">
        <v>3000</v>
      </c>
      <c r="J60" s="97">
        <v>3000</v>
      </c>
      <c r="K60" s="97">
        <v>3000</v>
      </c>
      <c r="L60" s="97">
        <v>3000</v>
      </c>
      <c r="M60" s="97">
        <v>3000</v>
      </c>
      <c r="N60" s="97"/>
      <c r="O60" s="97"/>
      <c r="P60" s="97"/>
      <c r="Q60" s="97"/>
      <c r="R60" s="97"/>
      <c r="S60" s="97"/>
      <c r="T60" s="97"/>
      <c r="U60" s="97"/>
      <c r="V60" s="97"/>
      <c r="W60" s="97"/>
      <c r="X60" s="97"/>
      <c r="Y60" s="97"/>
      <c r="Z60" s="97"/>
      <c r="AA60" s="97"/>
      <c r="AB60" s="97"/>
      <c r="AC60" s="75">
        <f t="shared" si="91"/>
        <v>27000</v>
      </c>
      <c r="AD60" s="11"/>
      <c r="AE60" s="195"/>
      <c r="AF60" s="11" t="str">
        <f t="shared" si="92"/>
        <v>新型</v>
      </c>
      <c r="AG60" s="14" t="str">
        <f t="shared" si="93"/>
        <v>NTD</v>
      </c>
      <c r="AH60" s="11">
        <f t="shared" si="95"/>
        <v>0</v>
      </c>
      <c r="AI60" s="75">
        <f t="shared" si="96"/>
        <v>3000</v>
      </c>
      <c r="AJ60" s="75">
        <f t="shared" si="68"/>
        <v>6000</v>
      </c>
      <c r="AK60" s="75">
        <f t="shared" si="69"/>
        <v>9000</v>
      </c>
      <c r="AL60" s="75">
        <f t="shared" si="70"/>
        <v>12000</v>
      </c>
      <c r="AM60" s="75">
        <f t="shared" si="71"/>
        <v>15000</v>
      </c>
      <c r="AN60" s="75">
        <f t="shared" si="72"/>
        <v>18000</v>
      </c>
      <c r="AO60" s="75">
        <f t="shared" si="73"/>
        <v>21000</v>
      </c>
      <c r="AP60" s="75">
        <f t="shared" si="74"/>
        <v>24000</v>
      </c>
      <c r="AQ60" s="75">
        <f t="shared" si="75"/>
        <v>27000</v>
      </c>
      <c r="AR60" s="75">
        <f t="shared" si="76"/>
        <v>27000</v>
      </c>
      <c r="AS60" s="75">
        <f t="shared" si="77"/>
        <v>27000</v>
      </c>
      <c r="AT60" s="75">
        <f t="shared" si="78"/>
        <v>27000</v>
      </c>
      <c r="AU60" s="75">
        <f t="shared" si="79"/>
        <v>27000</v>
      </c>
      <c r="AV60" s="75">
        <f t="shared" si="80"/>
        <v>27000</v>
      </c>
      <c r="AW60" s="75">
        <f t="shared" si="81"/>
        <v>27000</v>
      </c>
      <c r="AX60" s="75">
        <f t="shared" si="82"/>
        <v>27000</v>
      </c>
      <c r="AY60" s="75">
        <f t="shared" si="83"/>
        <v>27000</v>
      </c>
      <c r="AZ60" s="75">
        <f t="shared" si="84"/>
        <v>27000</v>
      </c>
      <c r="BA60" s="75">
        <f t="shared" si="85"/>
        <v>27000</v>
      </c>
      <c r="BB60" s="75">
        <f t="shared" si="86"/>
        <v>27000</v>
      </c>
      <c r="BC60" s="75">
        <f t="shared" si="87"/>
        <v>27000</v>
      </c>
      <c r="BD60" s="75">
        <f t="shared" si="88"/>
        <v>27000</v>
      </c>
      <c r="BE60" s="75">
        <f t="shared" si="89"/>
        <v>27000</v>
      </c>
      <c r="BF60" s="75">
        <f t="shared" si="90"/>
        <v>27000</v>
      </c>
      <c r="BG60" s="75">
        <f t="shared" si="94"/>
        <v>27000</v>
      </c>
    </row>
    <row r="61" spans="1:59" x14ac:dyDescent="0.25">
      <c r="A61" s="3" t="s">
        <v>4</v>
      </c>
      <c r="B61" s="11" t="str">
        <f>'P(M)'!B21</f>
        <v>發明</v>
      </c>
      <c r="C61" s="3" t="s">
        <v>14</v>
      </c>
      <c r="D61" s="97"/>
      <c r="E61" s="97"/>
      <c r="F61" s="97"/>
      <c r="G61" s="97">
        <v>5000</v>
      </c>
      <c r="H61" s="97"/>
      <c r="I61" s="97"/>
      <c r="J61" s="97"/>
      <c r="K61" s="97">
        <v>5000</v>
      </c>
      <c r="L61" s="97"/>
      <c r="M61" s="97"/>
      <c r="N61" s="97"/>
      <c r="O61" s="97">
        <v>5000</v>
      </c>
      <c r="P61" s="97"/>
      <c r="Q61" s="97"/>
      <c r="R61" s="97"/>
      <c r="S61" s="97"/>
      <c r="T61" s="97"/>
      <c r="U61" s="97"/>
      <c r="V61" s="97"/>
      <c r="W61" s="97"/>
      <c r="X61" s="97"/>
      <c r="Y61" s="97"/>
      <c r="Z61" s="97"/>
      <c r="AA61" s="97"/>
      <c r="AB61" s="97"/>
      <c r="AC61" s="75">
        <f t="shared" si="91"/>
        <v>15000</v>
      </c>
      <c r="AD61" s="11"/>
      <c r="AE61" s="3" t="s">
        <v>4</v>
      </c>
      <c r="AF61" s="11" t="str">
        <f t="shared" si="92"/>
        <v>發明</v>
      </c>
      <c r="AG61" s="14" t="str">
        <f t="shared" si="93"/>
        <v>NTD</v>
      </c>
      <c r="AH61" s="11">
        <f t="shared" si="95"/>
        <v>0</v>
      </c>
      <c r="AI61" s="75">
        <f t="shared" si="96"/>
        <v>0</v>
      </c>
      <c r="AJ61" s="75">
        <f t="shared" si="68"/>
        <v>0</v>
      </c>
      <c r="AK61" s="75">
        <f t="shared" ref="AK61:AT61" si="97">AJ61+G61</f>
        <v>5000</v>
      </c>
      <c r="AL61" s="75">
        <f t="shared" si="97"/>
        <v>5000</v>
      </c>
      <c r="AM61" s="75">
        <f t="shared" si="97"/>
        <v>5000</v>
      </c>
      <c r="AN61" s="75">
        <f t="shared" si="97"/>
        <v>5000</v>
      </c>
      <c r="AO61" s="75">
        <f t="shared" si="97"/>
        <v>10000</v>
      </c>
      <c r="AP61" s="75">
        <f t="shared" si="97"/>
        <v>10000</v>
      </c>
      <c r="AQ61" s="75">
        <f t="shared" si="97"/>
        <v>10000</v>
      </c>
      <c r="AR61" s="75">
        <f t="shared" si="97"/>
        <v>10000</v>
      </c>
      <c r="AS61" s="75">
        <f t="shared" si="97"/>
        <v>15000</v>
      </c>
      <c r="AT61" s="75">
        <f t="shared" si="97"/>
        <v>15000</v>
      </c>
      <c r="AU61" s="75">
        <f t="shared" si="79"/>
        <v>15000</v>
      </c>
      <c r="AV61" s="75">
        <f t="shared" si="80"/>
        <v>15000</v>
      </c>
      <c r="AW61" s="75">
        <f t="shared" si="81"/>
        <v>15000</v>
      </c>
      <c r="AX61" s="75">
        <f t="shared" si="82"/>
        <v>15000</v>
      </c>
      <c r="AY61" s="75">
        <f t="shared" si="83"/>
        <v>15000</v>
      </c>
      <c r="AZ61" s="75">
        <f t="shared" si="84"/>
        <v>15000</v>
      </c>
      <c r="BA61" s="75">
        <f t="shared" si="85"/>
        <v>15000</v>
      </c>
      <c r="BB61" s="75">
        <f t="shared" si="86"/>
        <v>15000</v>
      </c>
      <c r="BC61" s="75">
        <f t="shared" si="87"/>
        <v>15000</v>
      </c>
      <c r="BD61" s="75">
        <f t="shared" si="88"/>
        <v>15000</v>
      </c>
      <c r="BE61" s="75">
        <f t="shared" si="89"/>
        <v>15000</v>
      </c>
      <c r="BF61" s="75">
        <f t="shared" si="90"/>
        <v>15000</v>
      </c>
      <c r="BG61" s="75">
        <f t="shared" si="94"/>
        <v>15000</v>
      </c>
    </row>
    <row r="62" spans="1:59" x14ac:dyDescent="0.25">
      <c r="A62" s="3" t="s">
        <v>5</v>
      </c>
      <c r="B62" s="11" t="str">
        <f>'P(M)'!B22</f>
        <v>發明</v>
      </c>
      <c r="C62" s="3" t="s">
        <v>14</v>
      </c>
      <c r="D62" s="97"/>
      <c r="E62" s="103"/>
      <c r="F62" s="103"/>
      <c r="G62" s="103">
        <f>5000*3</f>
        <v>15000</v>
      </c>
      <c r="H62" s="103">
        <f t="shared" ref="H62:W62" si="98">5000*3</f>
        <v>15000</v>
      </c>
      <c r="I62" s="103">
        <f t="shared" si="98"/>
        <v>15000</v>
      </c>
      <c r="J62" s="103">
        <f t="shared" si="98"/>
        <v>15000</v>
      </c>
      <c r="K62" s="103">
        <f t="shared" si="98"/>
        <v>15000</v>
      </c>
      <c r="L62" s="103">
        <f t="shared" si="98"/>
        <v>15000</v>
      </c>
      <c r="M62" s="103">
        <f t="shared" si="98"/>
        <v>15000</v>
      </c>
      <c r="N62" s="103">
        <f t="shared" si="98"/>
        <v>15000</v>
      </c>
      <c r="O62" s="103">
        <f t="shared" si="98"/>
        <v>15000</v>
      </c>
      <c r="P62" s="103">
        <f t="shared" si="98"/>
        <v>15000</v>
      </c>
      <c r="Q62" s="103">
        <f t="shared" si="98"/>
        <v>15000</v>
      </c>
      <c r="R62" s="103">
        <f t="shared" si="98"/>
        <v>15000</v>
      </c>
      <c r="S62" s="103">
        <f t="shared" si="98"/>
        <v>15000</v>
      </c>
      <c r="T62" s="103">
        <f t="shared" si="98"/>
        <v>15000</v>
      </c>
      <c r="U62" s="103">
        <f t="shared" si="98"/>
        <v>15000</v>
      </c>
      <c r="V62" s="103">
        <f t="shared" si="98"/>
        <v>15000</v>
      </c>
      <c r="W62" s="103">
        <f t="shared" si="98"/>
        <v>15000</v>
      </c>
      <c r="X62" s="97"/>
      <c r="Y62" s="97"/>
      <c r="Z62" s="97"/>
      <c r="AA62" s="97"/>
      <c r="AB62" s="97"/>
      <c r="AC62" s="75">
        <f t="shared" si="91"/>
        <v>255000</v>
      </c>
      <c r="AD62" s="11"/>
      <c r="AE62" s="3" t="s">
        <v>5</v>
      </c>
      <c r="AF62" s="11" t="str">
        <f t="shared" si="92"/>
        <v>發明</v>
      </c>
      <c r="AG62" s="14" t="str">
        <f t="shared" si="93"/>
        <v>NTD</v>
      </c>
      <c r="AH62" s="11">
        <f t="shared" si="95"/>
        <v>0</v>
      </c>
      <c r="AI62" s="75">
        <f t="shared" si="96"/>
        <v>0</v>
      </c>
      <c r="AJ62" s="75">
        <f t="shared" si="68"/>
        <v>0</v>
      </c>
      <c r="AK62" s="75">
        <f t="shared" si="69"/>
        <v>15000</v>
      </c>
      <c r="AL62" s="75">
        <f t="shared" si="70"/>
        <v>30000</v>
      </c>
      <c r="AM62" s="75">
        <f t="shared" si="71"/>
        <v>45000</v>
      </c>
      <c r="AN62" s="75">
        <f t="shared" si="72"/>
        <v>60000</v>
      </c>
      <c r="AO62" s="75">
        <f t="shared" si="73"/>
        <v>75000</v>
      </c>
      <c r="AP62" s="75">
        <f t="shared" si="74"/>
        <v>90000</v>
      </c>
      <c r="AQ62" s="75">
        <f t="shared" si="75"/>
        <v>105000</v>
      </c>
      <c r="AR62" s="75">
        <f t="shared" si="76"/>
        <v>120000</v>
      </c>
      <c r="AS62" s="75">
        <f t="shared" si="77"/>
        <v>135000</v>
      </c>
      <c r="AT62" s="75">
        <f t="shared" si="78"/>
        <v>150000</v>
      </c>
      <c r="AU62" s="75">
        <f t="shared" si="79"/>
        <v>165000</v>
      </c>
      <c r="AV62" s="75">
        <f t="shared" si="80"/>
        <v>180000</v>
      </c>
      <c r="AW62" s="75">
        <f t="shared" si="81"/>
        <v>195000</v>
      </c>
      <c r="AX62" s="75">
        <f t="shared" si="82"/>
        <v>210000</v>
      </c>
      <c r="AY62" s="75">
        <f t="shared" si="83"/>
        <v>225000</v>
      </c>
      <c r="AZ62" s="75">
        <f t="shared" si="84"/>
        <v>240000</v>
      </c>
      <c r="BA62" s="75">
        <f t="shared" si="85"/>
        <v>255000</v>
      </c>
      <c r="BB62" s="75">
        <f t="shared" si="86"/>
        <v>255000</v>
      </c>
      <c r="BC62" s="75">
        <f t="shared" si="87"/>
        <v>255000</v>
      </c>
      <c r="BD62" s="75">
        <f t="shared" si="88"/>
        <v>255000</v>
      </c>
      <c r="BE62" s="75">
        <f t="shared" si="89"/>
        <v>255000</v>
      </c>
      <c r="BF62" s="75">
        <f t="shared" si="90"/>
        <v>255000</v>
      </c>
      <c r="BG62" s="75">
        <f t="shared" si="94"/>
        <v>255000</v>
      </c>
    </row>
    <row r="63" spans="1:59" x14ac:dyDescent="0.25">
      <c r="A63" s="194" t="s">
        <v>6</v>
      </c>
      <c r="B63" s="11" t="str">
        <f>'P(M)'!B23</f>
        <v>發明</v>
      </c>
      <c r="C63" s="3" t="s">
        <v>14</v>
      </c>
      <c r="D63" s="97"/>
      <c r="E63" s="97"/>
      <c r="F63" s="97"/>
      <c r="G63" s="97">
        <v>5000</v>
      </c>
      <c r="H63" s="97">
        <v>5000</v>
      </c>
      <c r="I63" s="97">
        <v>5000</v>
      </c>
      <c r="J63" s="97">
        <v>5000</v>
      </c>
      <c r="K63" s="97">
        <v>5000</v>
      </c>
      <c r="L63" s="97">
        <v>5000</v>
      </c>
      <c r="M63" s="97">
        <v>5000</v>
      </c>
      <c r="N63" s="97">
        <v>5000</v>
      </c>
      <c r="O63" s="97">
        <v>5000</v>
      </c>
      <c r="P63" s="97">
        <v>5000</v>
      </c>
      <c r="Q63" s="97">
        <v>5000</v>
      </c>
      <c r="R63" s="97">
        <v>5000</v>
      </c>
      <c r="S63" s="97">
        <v>5000</v>
      </c>
      <c r="T63" s="97">
        <v>5000</v>
      </c>
      <c r="U63" s="97">
        <v>5000</v>
      </c>
      <c r="V63" s="97">
        <v>5000</v>
      </c>
      <c r="W63" s="97">
        <v>5000</v>
      </c>
      <c r="X63" s="97"/>
      <c r="Y63" s="97"/>
      <c r="Z63" s="97"/>
      <c r="AA63" s="97"/>
      <c r="AB63" s="97"/>
      <c r="AC63" s="75">
        <f t="shared" si="91"/>
        <v>85000</v>
      </c>
      <c r="AD63" s="11"/>
      <c r="AE63" s="194" t="s">
        <v>6</v>
      </c>
      <c r="AF63" s="11" t="str">
        <f t="shared" si="92"/>
        <v>發明</v>
      </c>
      <c r="AG63" s="14" t="str">
        <f t="shared" si="93"/>
        <v>NTD</v>
      </c>
      <c r="AH63" s="11">
        <f t="shared" si="95"/>
        <v>0</v>
      </c>
      <c r="AI63" s="75">
        <f t="shared" si="96"/>
        <v>0</v>
      </c>
      <c r="AJ63" s="75">
        <f t="shared" si="68"/>
        <v>0</v>
      </c>
      <c r="AK63" s="75">
        <f t="shared" si="69"/>
        <v>5000</v>
      </c>
      <c r="AL63" s="75">
        <f t="shared" si="70"/>
        <v>10000</v>
      </c>
      <c r="AM63" s="75">
        <f t="shared" si="71"/>
        <v>15000</v>
      </c>
      <c r="AN63" s="75">
        <f t="shared" si="72"/>
        <v>20000</v>
      </c>
      <c r="AO63" s="75">
        <f t="shared" si="73"/>
        <v>25000</v>
      </c>
      <c r="AP63" s="75">
        <f t="shared" si="74"/>
        <v>30000</v>
      </c>
      <c r="AQ63" s="75">
        <f t="shared" si="75"/>
        <v>35000</v>
      </c>
      <c r="AR63" s="75">
        <f t="shared" si="76"/>
        <v>40000</v>
      </c>
      <c r="AS63" s="75">
        <f t="shared" si="77"/>
        <v>45000</v>
      </c>
      <c r="AT63" s="75">
        <f t="shared" si="78"/>
        <v>50000</v>
      </c>
      <c r="AU63" s="75">
        <f t="shared" si="79"/>
        <v>55000</v>
      </c>
      <c r="AV63" s="75">
        <f t="shared" si="80"/>
        <v>60000</v>
      </c>
      <c r="AW63" s="75">
        <f t="shared" si="81"/>
        <v>65000</v>
      </c>
      <c r="AX63" s="75">
        <f t="shared" si="82"/>
        <v>70000</v>
      </c>
      <c r="AY63" s="75">
        <f t="shared" si="83"/>
        <v>75000</v>
      </c>
      <c r="AZ63" s="75">
        <f t="shared" si="84"/>
        <v>80000</v>
      </c>
      <c r="BA63" s="75">
        <f t="shared" si="85"/>
        <v>85000</v>
      </c>
      <c r="BB63" s="75">
        <f t="shared" si="86"/>
        <v>85000</v>
      </c>
      <c r="BC63" s="75">
        <f t="shared" si="87"/>
        <v>85000</v>
      </c>
      <c r="BD63" s="75">
        <f t="shared" si="88"/>
        <v>85000</v>
      </c>
      <c r="BE63" s="75">
        <f t="shared" si="89"/>
        <v>85000</v>
      </c>
      <c r="BF63" s="75">
        <f t="shared" si="90"/>
        <v>85000</v>
      </c>
      <c r="BG63" s="75">
        <f t="shared" si="94"/>
        <v>85000</v>
      </c>
    </row>
    <row r="64" spans="1:59" x14ac:dyDescent="0.25">
      <c r="A64" s="195"/>
      <c r="B64" s="11" t="str">
        <f>'P(M)'!B24</f>
        <v>新型</v>
      </c>
      <c r="C64" s="3" t="s">
        <v>14</v>
      </c>
      <c r="D64" s="97"/>
      <c r="E64" s="97"/>
      <c r="F64" s="97"/>
      <c r="G64" s="97">
        <v>5000</v>
      </c>
      <c r="H64" s="97">
        <v>5000</v>
      </c>
      <c r="I64" s="97">
        <v>5000</v>
      </c>
      <c r="J64" s="97">
        <v>5000</v>
      </c>
      <c r="K64" s="97">
        <v>5000</v>
      </c>
      <c r="L64" s="97">
        <v>5000</v>
      </c>
      <c r="M64" s="97">
        <v>5000</v>
      </c>
      <c r="N64" s="97"/>
      <c r="O64" s="97"/>
      <c r="P64" s="97"/>
      <c r="Q64" s="97"/>
      <c r="R64" s="97"/>
      <c r="S64" s="97"/>
      <c r="T64" s="97"/>
      <c r="U64" s="97"/>
      <c r="V64" s="97"/>
      <c r="W64" s="97"/>
      <c r="X64" s="97"/>
      <c r="Y64" s="97"/>
      <c r="Z64" s="97"/>
      <c r="AA64" s="97"/>
      <c r="AB64" s="97"/>
      <c r="AC64" s="75">
        <f t="shared" si="91"/>
        <v>35000</v>
      </c>
      <c r="AD64" s="11"/>
      <c r="AE64" s="195"/>
      <c r="AF64" s="11" t="str">
        <f t="shared" si="92"/>
        <v>新型</v>
      </c>
      <c r="AG64" s="14" t="str">
        <f t="shared" si="93"/>
        <v>NTD</v>
      </c>
      <c r="AH64" s="11">
        <f t="shared" si="95"/>
        <v>0</v>
      </c>
      <c r="AI64" s="75">
        <f t="shared" si="96"/>
        <v>0</v>
      </c>
      <c r="AJ64" s="75">
        <f t="shared" si="68"/>
        <v>0</v>
      </c>
      <c r="AK64" s="75">
        <f t="shared" si="69"/>
        <v>5000</v>
      </c>
      <c r="AL64" s="75">
        <f t="shared" si="70"/>
        <v>10000</v>
      </c>
      <c r="AM64" s="75">
        <f t="shared" si="71"/>
        <v>15000</v>
      </c>
      <c r="AN64" s="75">
        <f t="shared" si="72"/>
        <v>20000</v>
      </c>
      <c r="AO64" s="75">
        <f t="shared" si="73"/>
        <v>25000</v>
      </c>
      <c r="AP64" s="75">
        <f t="shared" si="74"/>
        <v>30000</v>
      </c>
      <c r="AQ64" s="75">
        <f t="shared" si="75"/>
        <v>35000</v>
      </c>
      <c r="AR64" s="75">
        <f t="shared" si="76"/>
        <v>35000</v>
      </c>
      <c r="AS64" s="75">
        <f t="shared" si="77"/>
        <v>35000</v>
      </c>
      <c r="AT64" s="75">
        <f t="shared" si="78"/>
        <v>35000</v>
      </c>
      <c r="AU64" s="75">
        <f t="shared" si="79"/>
        <v>35000</v>
      </c>
      <c r="AV64" s="75">
        <f t="shared" si="80"/>
        <v>35000</v>
      </c>
      <c r="AW64" s="75">
        <f t="shared" si="81"/>
        <v>35000</v>
      </c>
      <c r="AX64" s="75">
        <f t="shared" si="82"/>
        <v>35000</v>
      </c>
      <c r="AY64" s="75">
        <f t="shared" si="83"/>
        <v>35000</v>
      </c>
      <c r="AZ64" s="75">
        <f t="shared" si="84"/>
        <v>35000</v>
      </c>
      <c r="BA64" s="75">
        <f t="shared" si="85"/>
        <v>35000</v>
      </c>
      <c r="BB64" s="75">
        <f t="shared" si="86"/>
        <v>35000</v>
      </c>
      <c r="BC64" s="75">
        <f t="shared" si="87"/>
        <v>35000</v>
      </c>
      <c r="BD64" s="75">
        <f t="shared" si="88"/>
        <v>35000</v>
      </c>
      <c r="BE64" s="75">
        <f t="shared" si="89"/>
        <v>35000</v>
      </c>
      <c r="BF64" s="75">
        <f t="shared" si="90"/>
        <v>35000</v>
      </c>
      <c r="BG64" s="75">
        <f t="shared" si="94"/>
        <v>35000</v>
      </c>
    </row>
    <row r="65" spans="1:59" x14ac:dyDescent="0.25">
      <c r="A65" s="194" t="s">
        <v>7</v>
      </c>
      <c r="B65" s="11" t="str">
        <f>'P(M)'!B25</f>
        <v>發明</v>
      </c>
      <c r="C65" s="3" t="s">
        <v>14</v>
      </c>
      <c r="D65" s="97"/>
      <c r="E65" s="97"/>
      <c r="F65" s="97"/>
      <c r="G65" s="97">
        <v>5000</v>
      </c>
      <c r="H65" s="97">
        <v>5000</v>
      </c>
      <c r="I65" s="97">
        <v>5000</v>
      </c>
      <c r="J65" s="97">
        <v>5000</v>
      </c>
      <c r="K65" s="97">
        <v>5000</v>
      </c>
      <c r="L65" s="97">
        <v>5000</v>
      </c>
      <c r="M65" s="97">
        <v>5000</v>
      </c>
      <c r="N65" s="97">
        <v>5000</v>
      </c>
      <c r="O65" s="97">
        <v>5000</v>
      </c>
      <c r="P65" s="97">
        <v>5000</v>
      </c>
      <c r="Q65" s="97">
        <v>5000</v>
      </c>
      <c r="R65" s="97">
        <v>5000</v>
      </c>
      <c r="S65" s="97">
        <v>5000</v>
      </c>
      <c r="T65" s="97">
        <v>5000</v>
      </c>
      <c r="U65" s="97">
        <v>5000</v>
      </c>
      <c r="V65" s="97">
        <v>5000</v>
      </c>
      <c r="W65" s="97">
        <v>5000</v>
      </c>
      <c r="X65" s="97"/>
      <c r="Y65" s="97"/>
      <c r="Z65" s="97"/>
      <c r="AA65" s="97"/>
      <c r="AB65" s="97"/>
      <c r="AC65" s="75">
        <f t="shared" si="91"/>
        <v>85000</v>
      </c>
      <c r="AD65" s="11"/>
      <c r="AE65" s="194" t="s">
        <v>7</v>
      </c>
      <c r="AF65" s="11" t="str">
        <f t="shared" si="92"/>
        <v>發明</v>
      </c>
      <c r="AG65" s="14" t="str">
        <f t="shared" si="93"/>
        <v>NTD</v>
      </c>
      <c r="AH65" s="11">
        <f t="shared" si="95"/>
        <v>0</v>
      </c>
      <c r="AI65" s="75">
        <f t="shared" si="96"/>
        <v>0</v>
      </c>
      <c r="AJ65" s="75">
        <f t="shared" si="68"/>
        <v>0</v>
      </c>
      <c r="AK65" s="75">
        <f t="shared" si="69"/>
        <v>5000</v>
      </c>
      <c r="AL65" s="75">
        <f t="shared" si="70"/>
        <v>10000</v>
      </c>
      <c r="AM65" s="75">
        <f t="shared" si="71"/>
        <v>15000</v>
      </c>
      <c r="AN65" s="75">
        <f t="shared" si="72"/>
        <v>20000</v>
      </c>
      <c r="AO65" s="75">
        <f t="shared" si="73"/>
        <v>25000</v>
      </c>
      <c r="AP65" s="75">
        <f t="shared" si="74"/>
        <v>30000</v>
      </c>
      <c r="AQ65" s="75">
        <f t="shared" si="75"/>
        <v>35000</v>
      </c>
      <c r="AR65" s="75">
        <f t="shared" si="76"/>
        <v>40000</v>
      </c>
      <c r="AS65" s="75">
        <f t="shared" si="77"/>
        <v>45000</v>
      </c>
      <c r="AT65" s="75">
        <f t="shared" si="78"/>
        <v>50000</v>
      </c>
      <c r="AU65" s="75">
        <f t="shared" si="79"/>
        <v>55000</v>
      </c>
      <c r="AV65" s="75">
        <f t="shared" si="80"/>
        <v>60000</v>
      </c>
      <c r="AW65" s="75">
        <f t="shared" si="81"/>
        <v>65000</v>
      </c>
      <c r="AX65" s="75">
        <f t="shared" si="82"/>
        <v>70000</v>
      </c>
      <c r="AY65" s="75">
        <f t="shared" si="83"/>
        <v>75000</v>
      </c>
      <c r="AZ65" s="75">
        <f t="shared" si="84"/>
        <v>80000</v>
      </c>
      <c r="BA65" s="75">
        <f t="shared" si="85"/>
        <v>85000</v>
      </c>
      <c r="BB65" s="75">
        <f t="shared" si="86"/>
        <v>85000</v>
      </c>
      <c r="BC65" s="75">
        <f t="shared" si="87"/>
        <v>85000</v>
      </c>
      <c r="BD65" s="75">
        <f t="shared" si="88"/>
        <v>85000</v>
      </c>
      <c r="BE65" s="75">
        <f t="shared" si="89"/>
        <v>85000</v>
      </c>
      <c r="BF65" s="75">
        <f t="shared" si="90"/>
        <v>85000</v>
      </c>
      <c r="BG65" s="75">
        <f t="shared" si="94"/>
        <v>85000</v>
      </c>
    </row>
    <row r="66" spans="1:59" x14ac:dyDescent="0.25">
      <c r="A66" s="195"/>
      <c r="B66" s="11" t="str">
        <f>'P(M)'!B26</f>
        <v>新型</v>
      </c>
      <c r="C66" s="3" t="s">
        <v>14</v>
      </c>
      <c r="D66" s="97"/>
      <c r="E66" s="97"/>
      <c r="F66" s="97"/>
      <c r="G66" s="97">
        <v>5000</v>
      </c>
      <c r="H66" s="97">
        <v>5000</v>
      </c>
      <c r="I66" s="97">
        <v>5000</v>
      </c>
      <c r="J66" s="97">
        <v>5000</v>
      </c>
      <c r="K66" s="97">
        <v>5000</v>
      </c>
      <c r="L66" s="97">
        <v>5000</v>
      </c>
      <c r="M66" s="97">
        <v>5000</v>
      </c>
      <c r="N66" s="97">
        <v>5000</v>
      </c>
      <c r="O66" s="97">
        <v>5000</v>
      </c>
      <c r="P66" s="97">
        <v>5000</v>
      </c>
      <c r="Q66" s="97">
        <v>5000</v>
      </c>
      <c r="R66" s="97">
        <v>5000</v>
      </c>
      <c r="S66" s="97"/>
      <c r="T66" s="97"/>
      <c r="U66" s="97"/>
      <c r="V66" s="97"/>
      <c r="W66" s="97"/>
      <c r="X66" s="97"/>
      <c r="Y66" s="97"/>
      <c r="Z66" s="97"/>
      <c r="AA66" s="97"/>
      <c r="AB66" s="97"/>
      <c r="AC66" s="75">
        <f t="shared" si="91"/>
        <v>60000</v>
      </c>
      <c r="AD66" s="11"/>
      <c r="AE66" s="195"/>
      <c r="AF66" s="11" t="str">
        <f t="shared" si="92"/>
        <v>新型</v>
      </c>
      <c r="AG66" s="14" t="str">
        <f t="shared" si="93"/>
        <v>NTD</v>
      </c>
      <c r="AH66" s="11">
        <f t="shared" si="95"/>
        <v>0</v>
      </c>
      <c r="AI66" s="75">
        <f t="shared" si="96"/>
        <v>0</v>
      </c>
      <c r="AJ66" s="75">
        <f t="shared" si="68"/>
        <v>0</v>
      </c>
      <c r="AK66" s="75">
        <f t="shared" si="69"/>
        <v>5000</v>
      </c>
      <c r="AL66" s="75">
        <f t="shared" si="70"/>
        <v>10000</v>
      </c>
      <c r="AM66" s="75">
        <f t="shared" si="71"/>
        <v>15000</v>
      </c>
      <c r="AN66" s="75">
        <f t="shared" si="72"/>
        <v>20000</v>
      </c>
      <c r="AO66" s="75">
        <f t="shared" si="73"/>
        <v>25000</v>
      </c>
      <c r="AP66" s="75">
        <f t="shared" si="74"/>
        <v>30000</v>
      </c>
      <c r="AQ66" s="75">
        <f t="shared" si="75"/>
        <v>35000</v>
      </c>
      <c r="AR66" s="75">
        <f t="shared" si="76"/>
        <v>40000</v>
      </c>
      <c r="AS66" s="75">
        <f t="shared" si="77"/>
        <v>45000</v>
      </c>
      <c r="AT66" s="75">
        <f t="shared" si="78"/>
        <v>50000</v>
      </c>
      <c r="AU66" s="75">
        <f t="shared" si="79"/>
        <v>55000</v>
      </c>
      <c r="AV66" s="75">
        <f t="shared" si="80"/>
        <v>60000</v>
      </c>
      <c r="AW66" s="75">
        <f t="shared" si="81"/>
        <v>60000</v>
      </c>
      <c r="AX66" s="75">
        <f t="shared" si="82"/>
        <v>60000</v>
      </c>
      <c r="AY66" s="75">
        <f t="shared" si="83"/>
        <v>60000</v>
      </c>
      <c r="AZ66" s="75">
        <f t="shared" si="84"/>
        <v>60000</v>
      </c>
      <c r="BA66" s="75">
        <f t="shared" si="85"/>
        <v>60000</v>
      </c>
      <c r="BB66" s="75">
        <f t="shared" si="86"/>
        <v>60000</v>
      </c>
      <c r="BC66" s="75">
        <f t="shared" si="87"/>
        <v>60000</v>
      </c>
      <c r="BD66" s="75">
        <f t="shared" si="88"/>
        <v>60000</v>
      </c>
      <c r="BE66" s="75">
        <f t="shared" si="89"/>
        <v>60000</v>
      </c>
      <c r="BF66" s="75">
        <f t="shared" si="90"/>
        <v>60000</v>
      </c>
      <c r="BG66" s="75">
        <f t="shared" si="94"/>
        <v>60000</v>
      </c>
    </row>
    <row r="67" spans="1:59" x14ac:dyDescent="0.25">
      <c r="A67" s="3" t="s">
        <v>42</v>
      </c>
      <c r="B67" s="11" t="str">
        <f>'P(M)'!B27</f>
        <v>發明</v>
      </c>
      <c r="C67" s="3" t="s">
        <v>14</v>
      </c>
      <c r="D67" s="97"/>
      <c r="E67" s="97">
        <v>5000</v>
      </c>
      <c r="F67" s="97">
        <v>5000</v>
      </c>
      <c r="G67" s="97">
        <v>5000</v>
      </c>
      <c r="H67" s="97">
        <v>5000</v>
      </c>
      <c r="I67" s="97">
        <v>5000</v>
      </c>
      <c r="J67" s="97">
        <v>5000</v>
      </c>
      <c r="K67" s="97">
        <v>5000</v>
      </c>
      <c r="L67" s="97">
        <v>5000</v>
      </c>
      <c r="M67" s="97">
        <v>5000</v>
      </c>
      <c r="N67" s="97">
        <v>5000</v>
      </c>
      <c r="O67" s="97">
        <v>5000</v>
      </c>
      <c r="P67" s="97">
        <v>5000</v>
      </c>
      <c r="Q67" s="97">
        <v>5000</v>
      </c>
      <c r="R67" s="97">
        <v>5000</v>
      </c>
      <c r="S67" s="97">
        <v>5000</v>
      </c>
      <c r="T67" s="97">
        <v>5000</v>
      </c>
      <c r="U67" s="97">
        <v>5000</v>
      </c>
      <c r="V67" s="97">
        <v>5000</v>
      </c>
      <c r="W67" s="97"/>
      <c r="X67" s="97"/>
      <c r="Y67" s="97"/>
      <c r="Z67" s="97"/>
      <c r="AA67" s="97"/>
      <c r="AB67" s="97"/>
      <c r="AC67" s="75">
        <f>SUM(D67:AB67)</f>
        <v>90000</v>
      </c>
      <c r="AD67" s="11"/>
      <c r="AE67" s="3" t="s">
        <v>42</v>
      </c>
      <c r="AF67" s="11" t="str">
        <f>B67</f>
        <v>發明</v>
      </c>
      <c r="AG67" s="14" t="str">
        <f>C67</f>
        <v>NTD</v>
      </c>
      <c r="AH67" s="11">
        <f>D67</f>
        <v>0</v>
      </c>
      <c r="AI67" s="75">
        <f t="shared" ref="AI67:BF67" si="99">AH67+E67</f>
        <v>5000</v>
      </c>
      <c r="AJ67" s="75">
        <f t="shared" si="99"/>
        <v>10000</v>
      </c>
      <c r="AK67" s="75">
        <f t="shared" si="99"/>
        <v>15000</v>
      </c>
      <c r="AL67" s="75">
        <f t="shared" si="99"/>
        <v>20000</v>
      </c>
      <c r="AM67" s="75">
        <f t="shared" si="99"/>
        <v>25000</v>
      </c>
      <c r="AN67" s="75">
        <f t="shared" si="99"/>
        <v>30000</v>
      </c>
      <c r="AO67" s="75">
        <f t="shared" si="99"/>
        <v>35000</v>
      </c>
      <c r="AP67" s="75">
        <f t="shared" si="99"/>
        <v>40000</v>
      </c>
      <c r="AQ67" s="75">
        <f t="shared" si="99"/>
        <v>45000</v>
      </c>
      <c r="AR67" s="75">
        <f t="shared" si="99"/>
        <v>50000</v>
      </c>
      <c r="AS67" s="75">
        <f t="shared" si="99"/>
        <v>55000</v>
      </c>
      <c r="AT67" s="75">
        <f t="shared" si="99"/>
        <v>60000</v>
      </c>
      <c r="AU67" s="75">
        <f t="shared" si="99"/>
        <v>65000</v>
      </c>
      <c r="AV67" s="75">
        <f t="shared" si="99"/>
        <v>70000</v>
      </c>
      <c r="AW67" s="75">
        <f t="shared" si="99"/>
        <v>75000</v>
      </c>
      <c r="AX67" s="75">
        <f t="shared" si="99"/>
        <v>80000</v>
      </c>
      <c r="AY67" s="75">
        <f t="shared" si="99"/>
        <v>85000</v>
      </c>
      <c r="AZ67" s="75">
        <f t="shared" si="99"/>
        <v>90000</v>
      </c>
      <c r="BA67" s="75">
        <f t="shared" si="99"/>
        <v>90000</v>
      </c>
      <c r="BB67" s="75">
        <f t="shared" si="99"/>
        <v>90000</v>
      </c>
      <c r="BC67" s="75">
        <f t="shared" si="99"/>
        <v>90000</v>
      </c>
      <c r="BD67" s="75">
        <f t="shared" si="99"/>
        <v>90000</v>
      </c>
      <c r="BE67" s="75">
        <f t="shared" si="99"/>
        <v>90000</v>
      </c>
      <c r="BF67" s="75">
        <f t="shared" si="99"/>
        <v>90000</v>
      </c>
      <c r="BG67" s="75">
        <f>BF67</f>
        <v>90000</v>
      </c>
    </row>
    <row r="68" spans="1:59" x14ac:dyDescent="0.25">
      <c r="A68" s="3" t="s">
        <v>8</v>
      </c>
      <c r="B68" s="11" t="str">
        <f>'P(M)'!B28</f>
        <v>發明</v>
      </c>
      <c r="C68" s="3" t="s">
        <v>14</v>
      </c>
      <c r="D68" s="97"/>
      <c r="E68" s="97"/>
      <c r="F68" s="97"/>
      <c r="G68" s="97"/>
      <c r="H68" s="97">
        <v>5000</v>
      </c>
      <c r="I68" s="97">
        <v>5000</v>
      </c>
      <c r="J68" s="97">
        <v>5000</v>
      </c>
      <c r="K68" s="97">
        <v>5000</v>
      </c>
      <c r="L68" s="97">
        <v>5000</v>
      </c>
      <c r="M68" s="97">
        <v>5000</v>
      </c>
      <c r="N68" s="97">
        <v>5000</v>
      </c>
      <c r="O68" s="97">
        <v>5000</v>
      </c>
      <c r="P68" s="97">
        <v>5000</v>
      </c>
      <c r="Q68" s="97">
        <v>5000</v>
      </c>
      <c r="R68" s="97">
        <v>5000</v>
      </c>
      <c r="S68" s="97">
        <v>5000</v>
      </c>
      <c r="T68" s="97">
        <v>5000</v>
      </c>
      <c r="U68" s="97">
        <v>5000</v>
      </c>
      <c r="V68" s="97">
        <v>5000</v>
      </c>
      <c r="W68" s="97">
        <v>5000</v>
      </c>
      <c r="X68" s="97"/>
      <c r="Y68" s="97"/>
      <c r="Z68" s="97"/>
      <c r="AA68" s="97"/>
      <c r="AB68" s="97"/>
      <c r="AC68" s="75">
        <f t="shared" si="91"/>
        <v>80000</v>
      </c>
      <c r="AD68" s="11"/>
      <c r="AE68" s="3" t="s">
        <v>8</v>
      </c>
      <c r="AF68" s="11" t="str">
        <f t="shared" si="92"/>
        <v>發明</v>
      </c>
      <c r="AG68" s="14" t="str">
        <f t="shared" si="93"/>
        <v>NTD</v>
      </c>
      <c r="AH68" s="11">
        <f t="shared" si="95"/>
        <v>0</v>
      </c>
      <c r="AI68" s="75">
        <f t="shared" si="96"/>
        <v>0</v>
      </c>
      <c r="AJ68" s="75">
        <f t="shared" si="68"/>
        <v>0</v>
      </c>
      <c r="AK68" s="75">
        <f t="shared" si="69"/>
        <v>0</v>
      </c>
      <c r="AL68" s="75">
        <f t="shared" si="70"/>
        <v>5000</v>
      </c>
      <c r="AM68" s="75">
        <f t="shared" si="71"/>
        <v>10000</v>
      </c>
      <c r="AN68" s="75">
        <f t="shared" si="72"/>
        <v>15000</v>
      </c>
      <c r="AO68" s="75">
        <f t="shared" si="73"/>
        <v>20000</v>
      </c>
      <c r="AP68" s="75">
        <f t="shared" si="74"/>
        <v>25000</v>
      </c>
      <c r="AQ68" s="75">
        <f t="shared" si="75"/>
        <v>30000</v>
      </c>
      <c r="AR68" s="75">
        <f t="shared" si="76"/>
        <v>35000</v>
      </c>
      <c r="AS68" s="75">
        <f t="shared" si="77"/>
        <v>40000</v>
      </c>
      <c r="AT68" s="75">
        <f t="shared" si="78"/>
        <v>45000</v>
      </c>
      <c r="AU68" s="75">
        <f t="shared" si="79"/>
        <v>50000</v>
      </c>
      <c r="AV68" s="75">
        <f t="shared" si="80"/>
        <v>55000</v>
      </c>
      <c r="AW68" s="75">
        <f t="shared" si="81"/>
        <v>60000</v>
      </c>
      <c r="AX68" s="75">
        <f t="shared" si="82"/>
        <v>65000</v>
      </c>
      <c r="AY68" s="75">
        <f t="shared" si="83"/>
        <v>70000</v>
      </c>
      <c r="AZ68" s="75">
        <f t="shared" si="84"/>
        <v>75000</v>
      </c>
      <c r="BA68" s="75">
        <f t="shared" si="85"/>
        <v>80000</v>
      </c>
      <c r="BB68" s="75">
        <f t="shared" si="86"/>
        <v>80000</v>
      </c>
      <c r="BC68" s="75">
        <f t="shared" si="87"/>
        <v>80000</v>
      </c>
      <c r="BD68" s="75">
        <f t="shared" si="88"/>
        <v>80000</v>
      </c>
      <c r="BE68" s="75">
        <f t="shared" si="89"/>
        <v>80000</v>
      </c>
      <c r="BF68" s="75">
        <f t="shared" si="90"/>
        <v>80000</v>
      </c>
      <c r="BG68" s="75">
        <f t="shared" si="94"/>
        <v>80000</v>
      </c>
    </row>
    <row r="69" spans="1:59" x14ac:dyDescent="0.25">
      <c r="A69" s="194" t="s">
        <v>11</v>
      </c>
      <c r="B69" s="11" t="str">
        <f>'P(M)'!B29</f>
        <v>發明</v>
      </c>
      <c r="C69" s="3" t="s">
        <v>14</v>
      </c>
      <c r="D69" s="97"/>
      <c r="E69" s="97">
        <v>5000</v>
      </c>
      <c r="F69" s="97">
        <v>5000</v>
      </c>
      <c r="G69" s="97">
        <v>5000</v>
      </c>
      <c r="H69" s="97">
        <v>5000</v>
      </c>
      <c r="I69" s="97">
        <v>5000</v>
      </c>
      <c r="J69" s="97">
        <v>5000</v>
      </c>
      <c r="K69" s="97">
        <v>5000</v>
      </c>
      <c r="L69" s="97">
        <v>5000</v>
      </c>
      <c r="M69" s="97">
        <v>5000</v>
      </c>
      <c r="N69" s="97">
        <v>5000</v>
      </c>
      <c r="O69" s="97">
        <v>5000</v>
      </c>
      <c r="P69" s="97">
        <v>5000</v>
      </c>
      <c r="Q69" s="97">
        <v>5000</v>
      </c>
      <c r="R69" s="97">
        <v>5000</v>
      </c>
      <c r="S69" s="97">
        <v>5000</v>
      </c>
      <c r="T69" s="97">
        <v>5000</v>
      </c>
      <c r="U69" s="97">
        <v>5000</v>
      </c>
      <c r="V69" s="97">
        <v>5000</v>
      </c>
      <c r="W69" s="97">
        <v>5000</v>
      </c>
      <c r="X69" s="97"/>
      <c r="Y69" s="97"/>
      <c r="Z69" s="97"/>
      <c r="AA69" s="97"/>
      <c r="AB69" s="97"/>
      <c r="AC69" s="75">
        <f>SUM(D69:AB69)</f>
        <v>95000</v>
      </c>
      <c r="AD69" s="11"/>
      <c r="AE69" s="194" t="s">
        <v>11</v>
      </c>
      <c r="AF69" s="11" t="str">
        <f t="shared" ref="AF69:AH70" si="100">B69</f>
        <v>發明</v>
      </c>
      <c r="AG69" s="14" t="str">
        <f t="shared" si="100"/>
        <v>NTD</v>
      </c>
      <c r="AH69" s="11">
        <f t="shared" si="100"/>
        <v>0</v>
      </c>
      <c r="AI69" s="75">
        <f t="shared" ref="AI69:AR70" si="101">AH69+E69</f>
        <v>5000</v>
      </c>
      <c r="AJ69" s="75">
        <f t="shared" si="101"/>
        <v>10000</v>
      </c>
      <c r="AK69" s="75">
        <f t="shared" si="101"/>
        <v>15000</v>
      </c>
      <c r="AL69" s="75">
        <f t="shared" si="101"/>
        <v>20000</v>
      </c>
      <c r="AM69" s="75">
        <f t="shared" si="101"/>
        <v>25000</v>
      </c>
      <c r="AN69" s="75">
        <f t="shared" si="101"/>
        <v>30000</v>
      </c>
      <c r="AO69" s="75">
        <f t="shared" si="101"/>
        <v>35000</v>
      </c>
      <c r="AP69" s="75">
        <f t="shared" si="101"/>
        <v>40000</v>
      </c>
      <c r="AQ69" s="75">
        <f t="shared" si="101"/>
        <v>45000</v>
      </c>
      <c r="AR69" s="75">
        <f t="shared" si="101"/>
        <v>50000</v>
      </c>
      <c r="AS69" s="75">
        <f t="shared" si="77"/>
        <v>55000</v>
      </c>
      <c r="AT69" s="75">
        <f t="shared" si="78"/>
        <v>60000</v>
      </c>
      <c r="AU69" s="75">
        <f t="shared" si="79"/>
        <v>65000</v>
      </c>
      <c r="AV69" s="75">
        <f t="shared" si="80"/>
        <v>70000</v>
      </c>
      <c r="AW69" s="75">
        <f t="shared" si="81"/>
        <v>75000</v>
      </c>
      <c r="AX69" s="75">
        <f t="shared" si="82"/>
        <v>80000</v>
      </c>
      <c r="AY69" s="75">
        <f t="shared" si="83"/>
        <v>85000</v>
      </c>
      <c r="AZ69" s="75">
        <f t="shared" si="84"/>
        <v>90000</v>
      </c>
      <c r="BA69" s="75">
        <f t="shared" si="85"/>
        <v>95000</v>
      </c>
      <c r="BB69" s="75">
        <f t="shared" si="86"/>
        <v>95000</v>
      </c>
      <c r="BC69" s="75">
        <f t="shared" si="87"/>
        <v>95000</v>
      </c>
      <c r="BD69" s="75">
        <f t="shared" si="88"/>
        <v>95000</v>
      </c>
      <c r="BE69" s="75">
        <f t="shared" si="89"/>
        <v>95000</v>
      </c>
      <c r="BF69" s="75">
        <f t="shared" si="90"/>
        <v>95000</v>
      </c>
      <c r="BG69" s="75">
        <f>BF69</f>
        <v>95000</v>
      </c>
    </row>
    <row r="70" spans="1:59" x14ac:dyDescent="0.25">
      <c r="A70" s="195"/>
      <c r="B70" s="11" t="str">
        <f>'P(M)'!B30</f>
        <v>新型</v>
      </c>
      <c r="C70" s="3" t="s">
        <v>14</v>
      </c>
      <c r="D70" s="97"/>
      <c r="E70" s="97"/>
      <c r="F70" s="97">
        <v>5000</v>
      </c>
      <c r="G70" s="97">
        <v>5000</v>
      </c>
      <c r="H70" s="97">
        <v>5000</v>
      </c>
      <c r="I70" s="97">
        <v>5000</v>
      </c>
      <c r="J70" s="97">
        <v>5000</v>
      </c>
      <c r="K70" s="97">
        <v>5000</v>
      </c>
      <c r="L70" s="97">
        <v>5000</v>
      </c>
      <c r="M70" s="97">
        <v>5000</v>
      </c>
      <c r="N70" s="97">
        <v>5000</v>
      </c>
      <c r="O70" s="97">
        <v>5000</v>
      </c>
      <c r="P70" s="97">
        <v>5000</v>
      </c>
      <c r="Q70" s="97">
        <v>5000</v>
      </c>
      <c r="R70" s="97">
        <v>5000</v>
      </c>
      <c r="S70" s="97">
        <v>5000</v>
      </c>
      <c r="T70" s="97">
        <v>5000</v>
      </c>
      <c r="U70" s="97">
        <v>5000</v>
      </c>
      <c r="V70" s="97">
        <v>5000</v>
      </c>
      <c r="W70" s="97">
        <v>5000</v>
      </c>
      <c r="X70" s="97"/>
      <c r="Y70" s="97"/>
      <c r="Z70" s="97"/>
      <c r="AA70" s="97"/>
      <c r="AB70" s="97"/>
      <c r="AC70" s="75">
        <f>SUM(D70:AB70)</f>
        <v>90000</v>
      </c>
      <c r="AD70" s="11"/>
      <c r="AE70" s="195"/>
      <c r="AF70" s="11" t="str">
        <f t="shared" si="100"/>
        <v>新型</v>
      </c>
      <c r="AG70" s="14" t="str">
        <f t="shared" si="100"/>
        <v>NTD</v>
      </c>
      <c r="AH70" s="11">
        <f t="shared" si="100"/>
        <v>0</v>
      </c>
      <c r="AI70" s="75">
        <f t="shared" si="101"/>
        <v>0</v>
      </c>
      <c r="AJ70" s="75">
        <f t="shared" si="101"/>
        <v>5000</v>
      </c>
      <c r="AK70" s="75">
        <f t="shared" si="101"/>
        <v>10000</v>
      </c>
      <c r="AL70" s="75">
        <f t="shared" si="101"/>
        <v>15000</v>
      </c>
      <c r="AM70" s="75">
        <f t="shared" si="101"/>
        <v>20000</v>
      </c>
      <c r="AN70" s="75">
        <f t="shared" si="101"/>
        <v>25000</v>
      </c>
      <c r="AO70" s="75">
        <f t="shared" si="101"/>
        <v>30000</v>
      </c>
      <c r="AP70" s="75">
        <f t="shared" si="101"/>
        <v>35000</v>
      </c>
      <c r="AQ70" s="75">
        <f t="shared" si="101"/>
        <v>40000</v>
      </c>
      <c r="AR70" s="75">
        <f t="shared" si="101"/>
        <v>45000</v>
      </c>
      <c r="AS70" s="75">
        <f t="shared" si="77"/>
        <v>50000</v>
      </c>
      <c r="AT70" s="75">
        <f t="shared" si="78"/>
        <v>55000</v>
      </c>
      <c r="AU70" s="75">
        <f t="shared" si="79"/>
        <v>60000</v>
      </c>
      <c r="AV70" s="75">
        <f t="shared" si="80"/>
        <v>65000</v>
      </c>
      <c r="AW70" s="75">
        <f t="shared" si="81"/>
        <v>70000</v>
      </c>
      <c r="AX70" s="75">
        <f t="shared" si="82"/>
        <v>75000</v>
      </c>
      <c r="AY70" s="75">
        <f t="shared" si="83"/>
        <v>80000</v>
      </c>
      <c r="AZ70" s="75">
        <f t="shared" si="84"/>
        <v>85000</v>
      </c>
      <c r="BA70" s="75">
        <f t="shared" si="85"/>
        <v>90000</v>
      </c>
      <c r="BB70" s="75">
        <f t="shared" si="86"/>
        <v>90000</v>
      </c>
      <c r="BC70" s="75">
        <f t="shared" si="87"/>
        <v>90000</v>
      </c>
      <c r="BD70" s="75">
        <f t="shared" si="88"/>
        <v>90000</v>
      </c>
      <c r="BE70" s="75">
        <f t="shared" si="89"/>
        <v>90000</v>
      </c>
      <c r="BF70" s="75">
        <f t="shared" si="90"/>
        <v>90000</v>
      </c>
      <c r="BG70" s="75">
        <f>BF70</f>
        <v>90000</v>
      </c>
    </row>
    <row r="71" spans="1:59" x14ac:dyDescent="0.25">
      <c r="A71" s="53" t="s">
        <v>146</v>
      </c>
      <c r="B71" s="11" t="str">
        <f>'P(M)'!B31</f>
        <v>發明</v>
      </c>
      <c r="C71" s="3" t="s">
        <v>14</v>
      </c>
      <c r="D71" s="97"/>
      <c r="E71" s="97"/>
      <c r="F71" s="97"/>
      <c r="G71" s="97"/>
      <c r="H71" s="97">
        <v>5000</v>
      </c>
      <c r="I71" s="97">
        <v>5000</v>
      </c>
      <c r="J71" s="97">
        <v>5000</v>
      </c>
      <c r="K71" s="97">
        <v>5000</v>
      </c>
      <c r="L71" s="97">
        <v>5000</v>
      </c>
      <c r="M71" s="97">
        <v>5000</v>
      </c>
      <c r="N71" s="97">
        <v>5000</v>
      </c>
      <c r="O71" s="97">
        <v>5000</v>
      </c>
      <c r="P71" s="97">
        <v>5000</v>
      </c>
      <c r="Q71" s="97">
        <v>5000</v>
      </c>
      <c r="R71" s="97">
        <v>5000</v>
      </c>
      <c r="S71" s="97">
        <v>5000</v>
      </c>
      <c r="T71" s="97">
        <v>5000</v>
      </c>
      <c r="U71" s="97">
        <v>5000</v>
      </c>
      <c r="V71" s="97">
        <v>5000</v>
      </c>
      <c r="W71" s="97">
        <v>5000</v>
      </c>
      <c r="X71" s="97"/>
      <c r="Y71" s="97"/>
      <c r="Z71" s="97"/>
      <c r="AA71" s="97"/>
      <c r="AB71" s="97"/>
      <c r="AC71" s="75">
        <f t="shared" si="91"/>
        <v>80000</v>
      </c>
      <c r="AD71" s="11"/>
      <c r="AE71" s="53" t="s">
        <v>146</v>
      </c>
      <c r="AF71" s="11" t="str">
        <f t="shared" si="92"/>
        <v>發明</v>
      </c>
      <c r="AG71" s="14" t="str">
        <f t="shared" si="93"/>
        <v>NTD</v>
      </c>
      <c r="AH71" s="11">
        <f t="shared" si="95"/>
        <v>0</v>
      </c>
      <c r="AI71" s="75">
        <f t="shared" si="96"/>
        <v>0</v>
      </c>
      <c r="AJ71" s="75">
        <f t="shared" si="68"/>
        <v>0</v>
      </c>
      <c r="AK71" s="75">
        <f t="shared" si="69"/>
        <v>0</v>
      </c>
      <c r="AL71" s="75">
        <f t="shared" si="70"/>
        <v>5000</v>
      </c>
      <c r="AM71" s="75">
        <f t="shared" si="71"/>
        <v>10000</v>
      </c>
      <c r="AN71" s="75">
        <f t="shared" si="72"/>
        <v>15000</v>
      </c>
      <c r="AO71" s="75">
        <f t="shared" si="73"/>
        <v>20000</v>
      </c>
      <c r="AP71" s="75">
        <f t="shared" si="74"/>
        <v>25000</v>
      </c>
      <c r="AQ71" s="75">
        <f t="shared" si="75"/>
        <v>30000</v>
      </c>
      <c r="AR71" s="75">
        <f t="shared" si="76"/>
        <v>35000</v>
      </c>
      <c r="AS71" s="75">
        <f t="shared" si="77"/>
        <v>40000</v>
      </c>
      <c r="AT71" s="75">
        <f t="shared" si="78"/>
        <v>45000</v>
      </c>
      <c r="AU71" s="75">
        <f t="shared" si="79"/>
        <v>50000</v>
      </c>
      <c r="AV71" s="75">
        <f t="shared" si="80"/>
        <v>55000</v>
      </c>
      <c r="AW71" s="75">
        <f t="shared" si="81"/>
        <v>60000</v>
      </c>
      <c r="AX71" s="75">
        <f t="shared" si="82"/>
        <v>65000</v>
      </c>
      <c r="AY71" s="75">
        <f t="shared" si="83"/>
        <v>70000</v>
      </c>
      <c r="AZ71" s="75">
        <f t="shared" si="84"/>
        <v>75000</v>
      </c>
      <c r="BA71" s="75">
        <f t="shared" si="85"/>
        <v>80000</v>
      </c>
      <c r="BB71" s="75">
        <f t="shared" si="86"/>
        <v>80000</v>
      </c>
      <c r="BC71" s="75">
        <f t="shared" si="87"/>
        <v>80000</v>
      </c>
      <c r="BD71" s="75">
        <f t="shared" si="88"/>
        <v>80000</v>
      </c>
      <c r="BE71" s="75">
        <f t="shared" si="89"/>
        <v>80000</v>
      </c>
      <c r="BF71" s="75">
        <f t="shared" si="90"/>
        <v>80000</v>
      </c>
      <c r="BG71" s="75">
        <f t="shared" si="94"/>
        <v>80000</v>
      </c>
    </row>
    <row r="72" spans="1:59" x14ac:dyDescent="0.25">
      <c r="A72" s="194" t="s">
        <v>131</v>
      </c>
      <c r="B72" s="11" t="str">
        <f>'P(M)'!B32</f>
        <v>發明</v>
      </c>
      <c r="C72" s="3" t="s">
        <v>14</v>
      </c>
      <c r="D72" s="97"/>
      <c r="E72" s="97">
        <v>5000</v>
      </c>
      <c r="F72" s="97">
        <v>5000</v>
      </c>
      <c r="G72" s="97">
        <v>5000</v>
      </c>
      <c r="H72" s="97">
        <v>5000</v>
      </c>
      <c r="I72" s="97">
        <v>5000</v>
      </c>
      <c r="J72" s="97">
        <v>5000</v>
      </c>
      <c r="K72" s="97">
        <v>5000</v>
      </c>
      <c r="L72" s="97">
        <v>5000</v>
      </c>
      <c r="M72" s="97">
        <v>5000</v>
      </c>
      <c r="N72" s="97">
        <v>5000</v>
      </c>
      <c r="O72" s="97">
        <v>5000</v>
      </c>
      <c r="P72" s="97">
        <v>5000</v>
      </c>
      <c r="Q72" s="97">
        <v>5000</v>
      </c>
      <c r="R72" s="97">
        <v>5000</v>
      </c>
      <c r="S72" s="97">
        <v>5000</v>
      </c>
      <c r="T72" s="97">
        <v>5000</v>
      </c>
      <c r="U72" s="97">
        <v>5000</v>
      </c>
      <c r="V72" s="97">
        <v>5000</v>
      </c>
      <c r="W72" s="97">
        <v>5000</v>
      </c>
      <c r="X72" s="97"/>
      <c r="Y72" s="97"/>
      <c r="Z72" s="97"/>
      <c r="AA72" s="97"/>
      <c r="AB72" s="97"/>
      <c r="AC72" s="75">
        <f>SUM(D72:AB72)</f>
        <v>95000</v>
      </c>
      <c r="AD72" s="11"/>
      <c r="AE72" s="194" t="s">
        <v>131</v>
      </c>
      <c r="AF72" s="11" t="str">
        <f t="shared" ref="AF72:AH73" si="102">B72</f>
        <v>發明</v>
      </c>
      <c r="AG72" s="14" t="str">
        <f t="shared" si="102"/>
        <v>NTD</v>
      </c>
      <c r="AH72" s="11">
        <f t="shared" si="102"/>
        <v>0</v>
      </c>
      <c r="AI72" s="75">
        <f t="shared" ref="AI72:AR73" si="103">AH72+E72</f>
        <v>5000</v>
      </c>
      <c r="AJ72" s="75">
        <f t="shared" si="103"/>
        <v>10000</v>
      </c>
      <c r="AK72" s="75">
        <f t="shared" si="103"/>
        <v>15000</v>
      </c>
      <c r="AL72" s="75">
        <f t="shared" si="103"/>
        <v>20000</v>
      </c>
      <c r="AM72" s="75">
        <f t="shared" si="103"/>
        <v>25000</v>
      </c>
      <c r="AN72" s="75">
        <f t="shared" si="103"/>
        <v>30000</v>
      </c>
      <c r="AO72" s="75">
        <f t="shared" si="103"/>
        <v>35000</v>
      </c>
      <c r="AP72" s="75">
        <f t="shared" si="103"/>
        <v>40000</v>
      </c>
      <c r="AQ72" s="75">
        <f t="shared" si="103"/>
        <v>45000</v>
      </c>
      <c r="AR72" s="75">
        <f t="shared" si="103"/>
        <v>50000</v>
      </c>
      <c r="AS72" s="75">
        <f t="shared" si="77"/>
        <v>55000</v>
      </c>
      <c r="AT72" s="75">
        <f t="shared" si="78"/>
        <v>60000</v>
      </c>
      <c r="AU72" s="75">
        <f t="shared" si="79"/>
        <v>65000</v>
      </c>
      <c r="AV72" s="75">
        <f t="shared" si="80"/>
        <v>70000</v>
      </c>
      <c r="AW72" s="75">
        <f t="shared" si="81"/>
        <v>75000</v>
      </c>
      <c r="AX72" s="75">
        <f t="shared" si="82"/>
        <v>80000</v>
      </c>
      <c r="AY72" s="75">
        <f t="shared" si="83"/>
        <v>85000</v>
      </c>
      <c r="AZ72" s="75">
        <f t="shared" si="84"/>
        <v>90000</v>
      </c>
      <c r="BA72" s="75">
        <f t="shared" si="85"/>
        <v>95000</v>
      </c>
      <c r="BB72" s="75">
        <f t="shared" si="86"/>
        <v>95000</v>
      </c>
      <c r="BC72" s="75">
        <f t="shared" si="87"/>
        <v>95000</v>
      </c>
      <c r="BD72" s="75">
        <f t="shared" si="88"/>
        <v>95000</v>
      </c>
      <c r="BE72" s="75">
        <f t="shared" si="89"/>
        <v>95000</v>
      </c>
      <c r="BF72" s="75">
        <f t="shared" si="90"/>
        <v>95000</v>
      </c>
      <c r="BG72" s="75">
        <f>BF72</f>
        <v>95000</v>
      </c>
    </row>
    <row r="73" spans="1:59" x14ac:dyDescent="0.25">
      <c r="A73" s="195"/>
      <c r="B73" s="11" t="str">
        <f>'P(M)'!B33</f>
        <v>新型</v>
      </c>
      <c r="C73" s="3" t="s">
        <v>14</v>
      </c>
      <c r="D73" s="97"/>
      <c r="E73" s="97">
        <v>5000</v>
      </c>
      <c r="F73" s="97">
        <v>5000</v>
      </c>
      <c r="G73" s="97">
        <v>5000</v>
      </c>
      <c r="H73" s="97">
        <v>5000</v>
      </c>
      <c r="I73" s="97">
        <v>5000</v>
      </c>
      <c r="J73" s="97">
        <v>5000</v>
      </c>
      <c r="K73" s="97">
        <v>5000</v>
      </c>
      <c r="L73" s="97">
        <v>5000</v>
      </c>
      <c r="M73" s="97">
        <v>5000</v>
      </c>
      <c r="N73" s="97"/>
      <c r="O73" s="97"/>
      <c r="P73" s="97"/>
      <c r="Q73" s="97"/>
      <c r="R73" s="97"/>
      <c r="S73" s="97"/>
      <c r="T73" s="97"/>
      <c r="U73" s="97"/>
      <c r="V73" s="97"/>
      <c r="W73" s="97"/>
      <c r="X73" s="97"/>
      <c r="Y73" s="97"/>
      <c r="Z73" s="97"/>
      <c r="AA73" s="97"/>
      <c r="AB73" s="97"/>
      <c r="AC73" s="75">
        <f>SUM(D73:AB73)</f>
        <v>45000</v>
      </c>
      <c r="AD73" s="11"/>
      <c r="AE73" s="195"/>
      <c r="AF73" s="11" t="str">
        <f t="shared" si="102"/>
        <v>新型</v>
      </c>
      <c r="AG73" s="14" t="str">
        <f t="shared" si="102"/>
        <v>NTD</v>
      </c>
      <c r="AH73" s="11">
        <f t="shared" si="102"/>
        <v>0</v>
      </c>
      <c r="AI73" s="75">
        <f t="shared" si="103"/>
        <v>5000</v>
      </c>
      <c r="AJ73" s="75">
        <f t="shared" si="103"/>
        <v>10000</v>
      </c>
      <c r="AK73" s="75">
        <f t="shared" si="103"/>
        <v>15000</v>
      </c>
      <c r="AL73" s="75">
        <f t="shared" si="103"/>
        <v>20000</v>
      </c>
      <c r="AM73" s="75">
        <f t="shared" si="103"/>
        <v>25000</v>
      </c>
      <c r="AN73" s="75">
        <f t="shared" si="103"/>
        <v>30000</v>
      </c>
      <c r="AO73" s="75">
        <f t="shared" si="103"/>
        <v>35000</v>
      </c>
      <c r="AP73" s="75">
        <f t="shared" si="103"/>
        <v>40000</v>
      </c>
      <c r="AQ73" s="75">
        <f t="shared" si="103"/>
        <v>45000</v>
      </c>
      <c r="AR73" s="75">
        <f t="shared" si="103"/>
        <v>45000</v>
      </c>
      <c r="AS73" s="75">
        <f t="shared" si="77"/>
        <v>45000</v>
      </c>
      <c r="AT73" s="75">
        <f t="shared" si="78"/>
        <v>45000</v>
      </c>
      <c r="AU73" s="75">
        <f t="shared" si="79"/>
        <v>45000</v>
      </c>
      <c r="AV73" s="75">
        <f t="shared" si="80"/>
        <v>45000</v>
      </c>
      <c r="AW73" s="75">
        <f t="shared" si="81"/>
        <v>45000</v>
      </c>
      <c r="AX73" s="75">
        <f t="shared" si="82"/>
        <v>45000</v>
      </c>
      <c r="AY73" s="75">
        <f t="shared" si="83"/>
        <v>45000</v>
      </c>
      <c r="AZ73" s="75">
        <f t="shared" si="84"/>
        <v>45000</v>
      </c>
      <c r="BA73" s="75">
        <f t="shared" si="85"/>
        <v>45000</v>
      </c>
      <c r="BB73" s="75">
        <f t="shared" si="86"/>
        <v>45000</v>
      </c>
      <c r="BC73" s="75">
        <f t="shared" si="87"/>
        <v>45000</v>
      </c>
      <c r="BD73" s="75">
        <f t="shared" si="88"/>
        <v>45000</v>
      </c>
      <c r="BE73" s="75">
        <f t="shared" si="89"/>
        <v>45000</v>
      </c>
      <c r="BF73" s="75">
        <f t="shared" si="90"/>
        <v>45000</v>
      </c>
      <c r="BG73" s="75">
        <f>BF73</f>
        <v>45000</v>
      </c>
    </row>
    <row r="74" spans="1:59" x14ac:dyDescent="0.25">
      <c r="A74" s="194" t="s">
        <v>9</v>
      </c>
      <c r="B74" s="11" t="str">
        <f>'P(M)'!B34</f>
        <v>發明</v>
      </c>
      <c r="C74" s="3" t="s">
        <v>14</v>
      </c>
      <c r="D74" s="97"/>
      <c r="E74" s="97">
        <v>5000</v>
      </c>
      <c r="F74" s="97">
        <v>5000</v>
      </c>
      <c r="G74" s="97">
        <v>5000</v>
      </c>
      <c r="H74" s="97">
        <v>5000</v>
      </c>
      <c r="I74" s="97">
        <v>5000</v>
      </c>
      <c r="J74" s="97">
        <v>5000</v>
      </c>
      <c r="K74" s="97">
        <v>5000</v>
      </c>
      <c r="L74" s="97">
        <v>5000</v>
      </c>
      <c r="M74" s="97">
        <v>5000</v>
      </c>
      <c r="N74" s="97">
        <v>5000</v>
      </c>
      <c r="O74" s="97">
        <v>5000</v>
      </c>
      <c r="P74" s="97">
        <v>5000</v>
      </c>
      <c r="Q74" s="97">
        <v>5000</v>
      </c>
      <c r="R74" s="97">
        <v>5000</v>
      </c>
      <c r="S74" s="97">
        <v>5000</v>
      </c>
      <c r="T74" s="97">
        <v>5000</v>
      </c>
      <c r="U74" s="97">
        <v>5000</v>
      </c>
      <c r="V74" s="97">
        <v>5000</v>
      </c>
      <c r="W74" s="97">
        <v>5000</v>
      </c>
      <c r="X74" s="97"/>
      <c r="Y74" s="97"/>
      <c r="Z74" s="97"/>
      <c r="AA74" s="97"/>
      <c r="AB74" s="97"/>
      <c r="AC74" s="75">
        <f t="shared" si="91"/>
        <v>95000</v>
      </c>
      <c r="AD74" s="11"/>
      <c r="AE74" s="194" t="s">
        <v>9</v>
      </c>
      <c r="AF74" s="11" t="str">
        <f t="shared" si="92"/>
        <v>發明</v>
      </c>
      <c r="AG74" s="14" t="str">
        <f t="shared" si="93"/>
        <v>NTD</v>
      </c>
      <c r="AH74" s="11">
        <f t="shared" si="95"/>
        <v>0</v>
      </c>
      <c r="AI74" s="75">
        <f t="shared" si="96"/>
        <v>5000</v>
      </c>
      <c r="AJ74" s="75">
        <f t="shared" si="68"/>
        <v>10000</v>
      </c>
      <c r="AK74" s="75">
        <f t="shared" si="69"/>
        <v>15000</v>
      </c>
      <c r="AL74" s="75">
        <f t="shared" si="70"/>
        <v>20000</v>
      </c>
      <c r="AM74" s="75">
        <f t="shared" si="71"/>
        <v>25000</v>
      </c>
      <c r="AN74" s="75">
        <f t="shared" si="72"/>
        <v>30000</v>
      </c>
      <c r="AO74" s="75">
        <f t="shared" si="73"/>
        <v>35000</v>
      </c>
      <c r="AP74" s="75">
        <f t="shared" si="74"/>
        <v>40000</v>
      </c>
      <c r="AQ74" s="75">
        <f t="shared" si="75"/>
        <v>45000</v>
      </c>
      <c r="AR74" s="75">
        <f t="shared" si="76"/>
        <v>50000</v>
      </c>
      <c r="AS74" s="75">
        <f t="shared" si="77"/>
        <v>55000</v>
      </c>
      <c r="AT74" s="75">
        <f t="shared" si="78"/>
        <v>60000</v>
      </c>
      <c r="AU74" s="75">
        <f t="shared" si="79"/>
        <v>65000</v>
      </c>
      <c r="AV74" s="75">
        <f t="shared" si="80"/>
        <v>70000</v>
      </c>
      <c r="AW74" s="75">
        <f t="shared" si="81"/>
        <v>75000</v>
      </c>
      <c r="AX74" s="75">
        <f t="shared" si="82"/>
        <v>80000</v>
      </c>
      <c r="AY74" s="75">
        <f t="shared" si="83"/>
        <v>85000</v>
      </c>
      <c r="AZ74" s="75">
        <f t="shared" si="84"/>
        <v>90000</v>
      </c>
      <c r="BA74" s="75">
        <f t="shared" si="85"/>
        <v>95000</v>
      </c>
      <c r="BB74" s="75">
        <f t="shared" si="86"/>
        <v>95000</v>
      </c>
      <c r="BC74" s="75">
        <f t="shared" si="87"/>
        <v>95000</v>
      </c>
      <c r="BD74" s="75">
        <f t="shared" si="88"/>
        <v>95000</v>
      </c>
      <c r="BE74" s="75">
        <f t="shared" si="89"/>
        <v>95000</v>
      </c>
      <c r="BF74" s="75">
        <f t="shared" si="90"/>
        <v>95000</v>
      </c>
      <c r="BG74" s="75">
        <f t="shared" si="94"/>
        <v>95000</v>
      </c>
    </row>
    <row r="75" spans="1:59" x14ac:dyDescent="0.25">
      <c r="A75" s="195"/>
      <c r="B75" s="11" t="str">
        <f>'P(M)'!B35</f>
        <v>新型</v>
      </c>
      <c r="C75" s="3" t="s">
        <v>14</v>
      </c>
      <c r="D75" s="97"/>
      <c r="E75" s="97">
        <v>5000</v>
      </c>
      <c r="F75" s="97">
        <v>5000</v>
      </c>
      <c r="G75" s="97">
        <v>5000</v>
      </c>
      <c r="H75" s="97">
        <v>5000</v>
      </c>
      <c r="I75" s="97">
        <v>5000</v>
      </c>
      <c r="J75" s="97">
        <v>5000</v>
      </c>
      <c r="K75" s="97">
        <v>5000</v>
      </c>
      <c r="L75" s="97">
        <v>5000</v>
      </c>
      <c r="M75" s="97">
        <v>5000</v>
      </c>
      <c r="N75" s="97"/>
      <c r="O75" s="97"/>
      <c r="P75" s="97"/>
      <c r="Q75" s="97"/>
      <c r="R75" s="97"/>
      <c r="S75" s="97"/>
      <c r="T75" s="97"/>
      <c r="U75" s="97"/>
      <c r="V75" s="97"/>
      <c r="W75" s="97"/>
      <c r="X75" s="97"/>
      <c r="Y75" s="97"/>
      <c r="Z75" s="97"/>
      <c r="AA75" s="97"/>
      <c r="AB75" s="97"/>
      <c r="AC75" s="75">
        <f t="shared" si="91"/>
        <v>45000</v>
      </c>
      <c r="AD75" s="11"/>
      <c r="AE75" s="195"/>
      <c r="AF75" s="11" t="str">
        <f t="shared" si="92"/>
        <v>新型</v>
      </c>
      <c r="AG75" s="14" t="str">
        <f t="shared" si="93"/>
        <v>NTD</v>
      </c>
      <c r="AH75" s="11">
        <f t="shared" si="95"/>
        <v>0</v>
      </c>
      <c r="AI75" s="75">
        <f t="shared" si="96"/>
        <v>5000</v>
      </c>
      <c r="AJ75" s="75">
        <f t="shared" si="68"/>
        <v>10000</v>
      </c>
      <c r="AK75" s="75">
        <f t="shared" si="69"/>
        <v>15000</v>
      </c>
      <c r="AL75" s="75">
        <f t="shared" si="70"/>
        <v>20000</v>
      </c>
      <c r="AM75" s="75">
        <f t="shared" si="71"/>
        <v>25000</v>
      </c>
      <c r="AN75" s="75">
        <f t="shared" si="72"/>
        <v>30000</v>
      </c>
      <c r="AO75" s="75">
        <f t="shared" si="73"/>
        <v>35000</v>
      </c>
      <c r="AP75" s="75">
        <f t="shared" si="74"/>
        <v>40000</v>
      </c>
      <c r="AQ75" s="75">
        <f t="shared" si="75"/>
        <v>45000</v>
      </c>
      <c r="AR75" s="75">
        <f t="shared" si="76"/>
        <v>45000</v>
      </c>
      <c r="AS75" s="75">
        <f t="shared" si="77"/>
        <v>45000</v>
      </c>
      <c r="AT75" s="75">
        <f t="shared" si="78"/>
        <v>45000</v>
      </c>
      <c r="AU75" s="75">
        <f t="shared" si="79"/>
        <v>45000</v>
      </c>
      <c r="AV75" s="75">
        <f t="shared" si="80"/>
        <v>45000</v>
      </c>
      <c r="AW75" s="75">
        <f t="shared" si="81"/>
        <v>45000</v>
      </c>
      <c r="AX75" s="75">
        <f t="shared" si="82"/>
        <v>45000</v>
      </c>
      <c r="AY75" s="75">
        <f t="shared" si="83"/>
        <v>45000</v>
      </c>
      <c r="AZ75" s="75">
        <f t="shared" si="84"/>
        <v>45000</v>
      </c>
      <c r="BA75" s="75">
        <f t="shared" si="85"/>
        <v>45000</v>
      </c>
      <c r="BB75" s="75">
        <f t="shared" si="86"/>
        <v>45000</v>
      </c>
      <c r="BC75" s="75">
        <f t="shared" si="87"/>
        <v>45000</v>
      </c>
      <c r="BD75" s="75">
        <f t="shared" si="88"/>
        <v>45000</v>
      </c>
      <c r="BE75" s="75">
        <f t="shared" si="89"/>
        <v>45000</v>
      </c>
      <c r="BF75" s="75">
        <f t="shared" si="90"/>
        <v>45000</v>
      </c>
      <c r="BG75" s="75">
        <f t="shared" si="94"/>
        <v>45000</v>
      </c>
    </row>
    <row r="76" spans="1:59" x14ac:dyDescent="0.25">
      <c r="A76" s="194" t="s">
        <v>10</v>
      </c>
      <c r="B76" s="11" t="str">
        <f>'P(M)'!B36</f>
        <v>發明</v>
      </c>
      <c r="C76" s="3" t="s">
        <v>14</v>
      </c>
      <c r="D76" s="97"/>
      <c r="E76" s="97"/>
      <c r="F76" s="97"/>
      <c r="G76" s="97"/>
      <c r="H76" s="97">
        <v>5000</v>
      </c>
      <c r="I76" s="97">
        <v>5000</v>
      </c>
      <c r="J76" s="97">
        <v>5000</v>
      </c>
      <c r="K76" s="97">
        <v>5000</v>
      </c>
      <c r="L76" s="97">
        <v>5000</v>
      </c>
      <c r="M76" s="97">
        <v>5000</v>
      </c>
      <c r="N76" s="97">
        <v>5000</v>
      </c>
      <c r="O76" s="97">
        <v>5000</v>
      </c>
      <c r="P76" s="97">
        <v>5000</v>
      </c>
      <c r="Q76" s="97">
        <v>5000</v>
      </c>
      <c r="R76" s="97">
        <v>5000</v>
      </c>
      <c r="S76" s="97">
        <v>5000</v>
      </c>
      <c r="T76" s="97">
        <v>5000</v>
      </c>
      <c r="U76" s="97">
        <v>5000</v>
      </c>
      <c r="V76" s="97">
        <v>5000</v>
      </c>
      <c r="W76" s="97">
        <v>5000</v>
      </c>
      <c r="X76" s="97"/>
      <c r="Y76" s="97"/>
      <c r="Z76" s="97"/>
      <c r="AA76" s="97"/>
      <c r="AB76" s="97"/>
      <c r="AC76" s="75">
        <f t="shared" si="91"/>
        <v>80000</v>
      </c>
      <c r="AD76" s="11"/>
      <c r="AE76" s="194" t="s">
        <v>10</v>
      </c>
      <c r="AF76" s="11" t="str">
        <f t="shared" si="92"/>
        <v>發明</v>
      </c>
      <c r="AG76" s="14" t="str">
        <f t="shared" si="93"/>
        <v>NTD</v>
      </c>
      <c r="AH76" s="11">
        <f t="shared" si="95"/>
        <v>0</v>
      </c>
      <c r="AI76" s="75">
        <f t="shared" si="96"/>
        <v>0</v>
      </c>
      <c r="AJ76" s="75">
        <f t="shared" si="68"/>
        <v>0</v>
      </c>
      <c r="AK76" s="75">
        <f t="shared" si="69"/>
        <v>0</v>
      </c>
      <c r="AL76" s="75">
        <f t="shared" si="70"/>
        <v>5000</v>
      </c>
      <c r="AM76" s="75">
        <f t="shared" si="71"/>
        <v>10000</v>
      </c>
      <c r="AN76" s="75">
        <f t="shared" si="72"/>
        <v>15000</v>
      </c>
      <c r="AO76" s="75">
        <f t="shared" si="73"/>
        <v>20000</v>
      </c>
      <c r="AP76" s="75">
        <f t="shared" si="74"/>
        <v>25000</v>
      </c>
      <c r="AQ76" s="75">
        <f t="shared" si="75"/>
        <v>30000</v>
      </c>
      <c r="AR76" s="75">
        <f t="shared" si="76"/>
        <v>35000</v>
      </c>
      <c r="AS76" s="75">
        <f t="shared" si="77"/>
        <v>40000</v>
      </c>
      <c r="AT76" s="75">
        <f t="shared" si="78"/>
        <v>45000</v>
      </c>
      <c r="AU76" s="75">
        <f t="shared" si="79"/>
        <v>50000</v>
      </c>
      <c r="AV76" s="75">
        <f t="shared" si="80"/>
        <v>55000</v>
      </c>
      <c r="AW76" s="75">
        <f t="shared" si="81"/>
        <v>60000</v>
      </c>
      <c r="AX76" s="75">
        <f t="shared" si="82"/>
        <v>65000</v>
      </c>
      <c r="AY76" s="75">
        <f t="shared" si="83"/>
        <v>70000</v>
      </c>
      <c r="AZ76" s="75">
        <f t="shared" si="84"/>
        <v>75000</v>
      </c>
      <c r="BA76" s="75">
        <f t="shared" si="85"/>
        <v>80000</v>
      </c>
      <c r="BB76" s="75">
        <f t="shared" si="86"/>
        <v>80000</v>
      </c>
      <c r="BC76" s="75">
        <f t="shared" si="87"/>
        <v>80000</v>
      </c>
      <c r="BD76" s="75">
        <f t="shared" si="88"/>
        <v>80000</v>
      </c>
      <c r="BE76" s="75">
        <f t="shared" si="89"/>
        <v>80000</v>
      </c>
      <c r="BF76" s="75">
        <f t="shared" si="90"/>
        <v>80000</v>
      </c>
      <c r="BG76" s="75">
        <f t="shared" si="94"/>
        <v>80000</v>
      </c>
    </row>
    <row r="77" spans="1:59" x14ac:dyDescent="0.25">
      <c r="A77" s="195"/>
      <c r="B77" s="11" t="str">
        <f>'P(M)'!B37</f>
        <v>新型</v>
      </c>
      <c r="C77" s="3" t="s">
        <v>14</v>
      </c>
      <c r="D77" s="97"/>
      <c r="E77" s="97"/>
      <c r="F77" s="97"/>
      <c r="G77" s="97"/>
      <c r="H77" s="97">
        <v>5000</v>
      </c>
      <c r="I77" s="97">
        <v>5000</v>
      </c>
      <c r="J77" s="97">
        <v>5000</v>
      </c>
      <c r="K77" s="97"/>
      <c r="L77" s="97">
        <v>5000</v>
      </c>
      <c r="M77" s="97"/>
      <c r="N77" s="97"/>
      <c r="O77" s="97"/>
      <c r="P77" s="97"/>
      <c r="Q77" s="97"/>
      <c r="R77" s="97"/>
      <c r="S77" s="97"/>
      <c r="T77" s="97"/>
      <c r="U77" s="97"/>
      <c r="V77" s="97"/>
      <c r="W77" s="97"/>
      <c r="X77" s="97"/>
      <c r="Y77" s="97"/>
      <c r="Z77" s="97"/>
      <c r="AA77" s="97"/>
      <c r="AB77" s="97"/>
      <c r="AC77" s="75">
        <f t="shared" si="91"/>
        <v>20000</v>
      </c>
      <c r="AD77" s="11"/>
      <c r="AE77" s="195"/>
      <c r="AF77" s="11" t="str">
        <f t="shared" si="92"/>
        <v>新型</v>
      </c>
      <c r="AG77" s="14" t="str">
        <f t="shared" si="93"/>
        <v>NTD</v>
      </c>
      <c r="AH77" s="11">
        <f t="shared" si="95"/>
        <v>0</v>
      </c>
      <c r="AI77" s="75">
        <f t="shared" si="96"/>
        <v>0</v>
      </c>
      <c r="AJ77" s="75">
        <f t="shared" si="68"/>
        <v>0</v>
      </c>
      <c r="AK77" s="75">
        <f t="shared" si="69"/>
        <v>0</v>
      </c>
      <c r="AL77" s="75">
        <f t="shared" si="70"/>
        <v>5000</v>
      </c>
      <c r="AM77" s="75">
        <f t="shared" si="71"/>
        <v>10000</v>
      </c>
      <c r="AN77" s="75">
        <f t="shared" si="72"/>
        <v>15000</v>
      </c>
      <c r="AO77" s="75">
        <f t="shared" si="73"/>
        <v>15000</v>
      </c>
      <c r="AP77" s="75">
        <f t="shared" si="74"/>
        <v>20000</v>
      </c>
      <c r="AQ77" s="75">
        <f t="shared" si="75"/>
        <v>20000</v>
      </c>
      <c r="AR77" s="75">
        <f t="shared" si="76"/>
        <v>20000</v>
      </c>
      <c r="AS77" s="75">
        <f t="shared" si="77"/>
        <v>20000</v>
      </c>
      <c r="AT77" s="75">
        <f t="shared" si="78"/>
        <v>20000</v>
      </c>
      <c r="AU77" s="75">
        <f t="shared" si="79"/>
        <v>20000</v>
      </c>
      <c r="AV77" s="75">
        <f t="shared" si="80"/>
        <v>20000</v>
      </c>
      <c r="AW77" s="75">
        <f t="shared" si="81"/>
        <v>20000</v>
      </c>
      <c r="AX77" s="75">
        <f t="shared" si="82"/>
        <v>20000</v>
      </c>
      <c r="AY77" s="75">
        <f t="shared" si="83"/>
        <v>20000</v>
      </c>
      <c r="AZ77" s="75">
        <f t="shared" si="84"/>
        <v>20000</v>
      </c>
      <c r="BA77" s="75">
        <f t="shared" si="85"/>
        <v>20000</v>
      </c>
      <c r="BB77" s="75">
        <f t="shared" si="86"/>
        <v>20000</v>
      </c>
      <c r="BC77" s="75">
        <f t="shared" si="87"/>
        <v>20000</v>
      </c>
      <c r="BD77" s="75">
        <f t="shared" si="88"/>
        <v>20000</v>
      </c>
      <c r="BE77" s="75">
        <f t="shared" si="89"/>
        <v>20000</v>
      </c>
      <c r="BF77" s="75">
        <f t="shared" si="90"/>
        <v>20000</v>
      </c>
      <c r="BG77" s="75">
        <f t="shared" si="94"/>
        <v>20000</v>
      </c>
    </row>
    <row r="78" spans="1:59" x14ac:dyDescent="0.25">
      <c r="A78" s="5"/>
      <c r="B78" s="5"/>
      <c r="C78" s="5"/>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75">
        <f t="shared" si="91"/>
        <v>0</v>
      </c>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x14ac:dyDescent="0.25">
      <c r="A79" s="128" t="s">
        <v>292</v>
      </c>
    </row>
  </sheetData>
  <mergeCells count="54">
    <mergeCell ref="A74:A75"/>
    <mergeCell ref="AE74:AE75"/>
    <mergeCell ref="A76:A77"/>
    <mergeCell ref="AE76:AE77"/>
    <mergeCell ref="A69:A70"/>
    <mergeCell ref="AE69:AE70"/>
    <mergeCell ref="A63:A64"/>
    <mergeCell ref="AE63:AE64"/>
    <mergeCell ref="A65:A66"/>
    <mergeCell ref="AE65:AE66"/>
    <mergeCell ref="A72:A73"/>
    <mergeCell ref="AE72:AE73"/>
    <mergeCell ref="A55:C55"/>
    <mergeCell ref="AE55:AG55"/>
    <mergeCell ref="A57:A58"/>
    <mergeCell ref="AE57:AE58"/>
    <mergeCell ref="A59:A60"/>
    <mergeCell ref="AE59:AE60"/>
    <mergeCell ref="A47:A48"/>
    <mergeCell ref="AE47:AE48"/>
    <mergeCell ref="A49:A50"/>
    <mergeCell ref="AE49:AE50"/>
    <mergeCell ref="A42:A43"/>
    <mergeCell ref="AE42:AE43"/>
    <mergeCell ref="A45:A46"/>
    <mergeCell ref="AE45:AE46"/>
    <mergeCell ref="A32:A33"/>
    <mergeCell ref="AE32:AE33"/>
    <mergeCell ref="A36:A37"/>
    <mergeCell ref="AE36:AE37"/>
    <mergeCell ref="A38:A39"/>
    <mergeCell ref="AE38:AE39"/>
    <mergeCell ref="AE18:AE19"/>
    <mergeCell ref="A1:C1"/>
    <mergeCell ref="AE1:AG1"/>
    <mergeCell ref="A28:C28"/>
    <mergeCell ref="AE28:AG28"/>
    <mergeCell ref="A3:A4"/>
    <mergeCell ref="A30:A31"/>
    <mergeCell ref="AE30:AE31"/>
    <mergeCell ref="A18:A19"/>
    <mergeCell ref="AE3:AE4"/>
    <mergeCell ref="AE5:AE6"/>
    <mergeCell ref="AE9:AE10"/>
    <mergeCell ref="AE11:AE12"/>
    <mergeCell ref="AE20:AE21"/>
    <mergeCell ref="AE22:AE23"/>
    <mergeCell ref="A22:A23"/>
    <mergeCell ref="A15:A16"/>
    <mergeCell ref="AE15:AE16"/>
    <mergeCell ref="A11:A12"/>
    <mergeCell ref="A20:A21"/>
    <mergeCell ref="A5:A6"/>
    <mergeCell ref="A9:A10"/>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6"/>
  <dimension ref="A1:O28"/>
  <sheetViews>
    <sheetView topLeftCell="C1" workbookViewId="0">
      <selection activeCell="K2" sqref="K2"/>
    </sheetView>
  </sheetViews>
  <sheetFormatPr defaultRowHeight="16.5" x14ac:dyDescent="0.25"/>
  <cols>
    <col min="1" max="1" width="13.875" bestFit="1" customWidth="1"/>
    <col min="2" max="2" width="27.25" bestFit="1" customWidth="1"/>
    <col min="3" max="3" width="13.875" bestFit="1" customWidth="1"/>
    <col min="4" max="4" width="18.375" bestFit="1" customWidth="1"/>
    <col min="5" max="5" width="27.25" bestFit="1" customWidth="1"/>
    <col min="6" max="6" width="18.375" customWidth="1"/>
    <col min="7" max="8" width="11.625" customWidth="1"/>
    <col min="10" max="10" width="11.625" customWidth="1"/>
    <col min="11" max="11" width="13.875" bestFit="1" customWidth="1"/>
    <col min="12" max="12" width="23.875" bestFit="1" customWidth="1"/>
    <col min="13" max="13" width="23.875" customWidth="1"/>
    <col min="14" max="14" width="23.875" style="1" bestFit="1" customWidth="1"/>
    <col min="15" max="15" width="16.125" style="1" bestFit="1" customWidth="1"/>
  </cols>
  <sheetData>
    <row r="1" spans="1:15" x14ac:dyDescent="0.25">
      <c r="A1" s="2" t="s">
        <v>70</v>
      </c>
      <c r="B1" s="2" t="s">
        <v>74</v>
      </c>
      <c r="C1" s="2" t="s">
        <v>72</v>
      </c>
      <c r="D1" s="2" t="s">
        <v>73</v>
      </c>
      <c r="E1" s="2" t="s">
        <v>113</v>
      </c>
      <c r="F1" s="2" t="s">
        <v>78</v>
      </c>
      <c r="G1" s="2" t="s">
        <v>38</v>
      </c>
      <c r="H1" s="2" t="s">
        <v>69</v>
      </c>
      <c r="I1" s="28" t="s">
        <v>57</v>
      </c>
      <c r="J1" s="29" t="s">
        <v>55</v>
      </c>
      <c r="K1" s="2" t="s">
        <v>147</v>
      </c>
      <c r="L1" s="2" t="s">
        <v>297</v>
      </c>
      <c r="M1" s="2" t="s">
        <v>300</v>
      </c>
      <c r="N1" s="2" t="s">
        <v>299</v>
      </c>
      <c r="O1" s="2"/>
    </row>
    <row r="2" spans="1:15" x14ac:dyDescent="0.25">
      <c r="A2" s="2" t="s">
        <v>71</v>
      </c>
      <c r="B2" s="2" t="s">
        <v>71</v>
      </c>
      <c r="C2" s="2" t="s">
        <v>71</v>
      </c>
      <c r="D2" s="2" t="s">
        <v>71</v>
      </c>
      <c r="E2" s="2" t="s">
        <v>71</v>
      </c>
      <c r="F2" s="2" t="s">
        <v>71</v>
      </c>
      <c r="G2" s="2" t="s">
        <v>39</v>
      </c>
      <c r="H2" s="2" t="s">
        <v>63</v>
      </c>
      <c r="I2" s="28" t="s">
        <v>52</v>
      </c>
      <c r="J2" s="29" t="s">
        <v>12</v>
      </c>
      <c r="K2" s="71">
        <v>2</v>
      </c>
      <c r="L2" s="1" t="s">
        <v>222</v>
      </c>
      <c r="M2" s="1">
        <v>26</v>
      </c>
      <c r="N2" s="1">
        <v>26</v>
      </c>
    </row>
    <row r="3" spans="1:15" x14ac:dyDescent="0.25">
      <c r="A3" s="2" t="s">
        <v>51</v>
      </c>
      <c r="B3" s="2" t="s">
        <v>51</v>
      </c>
      <c r="C3" s="2" t="s">
        <v>40</v>
      </c>
      <c r="D3" s="2" t="s">
        <v>40</v>
      </c>
      <c r="E3" s="2" t="s">
        <v>54</v>
      </c>
      <c r="F3" s="2" t="s">
        <v>79</v>
      </c>
      <c r="G3" s="2" t="s">
        <v>339</v>
      </c>
      <c r="H3" s="2" t="s">
        <v>61</v>
      </c>
      <c r="I3" s="28" t="s">
        <v>53</v>
      </c>
      <c r="J3" s="29" t="s">
        <v>49</v>
      </c>
      <c r="L3" s="1">
        <v>1</v>
      </c>
      <c r="M3" s="1"/>
    </row>
    <row r="4" spans="1:15" x14ac:dyDescent="0.25">
      <c r="A4" s="2" t="s">
        <v>40</v>
      </c>
      <c r="B4" s="2" t="s">
        <v>40</v>
      </c>
      <c r="C4" s="2" t="s">
        <v>54</v>
      </c>
      <c r="D4" s="2"/>
      <c r="E4" s="2"/>
      <c r="F4" s="2"/>
      <c r="G4" s="2" t="s">
        <v>341</v>
      </c>
      <c r="H4" s="2" t="s">
        <v>64</v>
      </c>
      <c r="I4" s="16"/>
      <c r="J4" s="28"/>
      <c r="L4" s="1">
        <v>2</v>
      </c>
      <c r="M4" s="1"/>
    </row>
    <row r="5" spans="1:15" x14ac:dyDescent="0.25">
      <c r="A5" s="2" t="s">
        <v>54</v>
      </c>
      <c r="B5" s="2" t="s">
        <v>54</v>
      </c>
      <c r="C5" s="2"/>
      <c r="D5" s="2"/>
      <c r="E5" s="2"/>
      <c r="F5" s="2"/>
      <c r="H5" s="2" t="s">
        <v>65</v>
      </c>
      <c r="J5" s="2"/>
      <c r="K5" s="67" t="s">
        <v>148</v>
      </c>
      <c r="L5" s="1">
        <v>3</v>
      </c>
      <c r="M5" s="1"/>
    </row>
    <row r="6" spans="1:15" x14ac:dyDescent="0.25">
      <c r="A6" s="2" t="s">
        <v>41</v>
      </c>
      <c r="K6" s="67" t="s">
        <v>149</v>
      </c>
      <c r="L6" s="1">
        <v>4</v>
      </c>
      <c r="M6" s="1"/>
    </row>
    <row r="7" spans="1:15" x14ac:dyDescent="0.25">
      <c r="L7" s="1">
        <v>5</v>
      </c>
      <c r="M7" s="1"/>
    </row>
    <row r="8" spans="1:15" x14ac:dyDescent="0.25">
      <c r="L8" s="1">
        <v>6</v>
      </c>
      <c r="M8" s="1"/>
    </row>
    <row r="9" spans="1:15" x14ac:dyDescent="0.25">
      <c r="L9" s="1">
        <v>7</v>
      </c>
      <c r="M9" s="1"/>
    </row>
    <row r="10" spans="1:15" x14ac:dyDescent="0.25">
      <c r="L10" s="1">
        <v>8</v>
      </c>
      <c r="M10" s="1"/>
    </row>
    <row r="11" spans="1:15" x14ac:dyDescent="0.25">
      <c r="L11" s="1">
        <v>9</v>
      </c>
      <c r="M11" s="1"/>
    </row>
    <row r="12" spans="1:15" x14ac:dyDescent="0.25">
      <c r="L12" s="1">
        <v>10</v>
      </c>
      <c r="M12" s="1"/>
    </row>
    <row r="13" spans="1:15" x14ac:dyDescent="0.25">
      <c r="L13" s="1">
        <v>11</v>
      </c>
      <c r="M13" s="1"/>
    </row>
    <row r="14" spans="1:15" x14ac:dyDescent="0.25">
      <c r="L14" s="1">
        <v>12</v>
      </c>
      <c r="M14" s="1"/>
    </row>
    <row r="15" spans="1:15" x14ac:dyDescent="0.25">
      <c r="L15" s="1">
        <v>13</v>
      </c>
      <c r="M15" s="1"/>
    </row>
    <row r="16" spans="1:15" x14ac:dyDescent="0.25">
      <c r="L16" s="1">
        <v>14</v>
      </c>
      <c r="M16" s="1"/>
    </row>
    <row r="17" spans="12:13" x14ac:dyDescent="0.25">
      <c r="L17" s="1">
        <v>15</v>
      </c>
      <c r="M17" s="1"/>
    </row>
    <row r="18" spans="12:13" x14ac:dyDescent="0.25">
      <c r="L18" s="1">
        <v>16</v>
      </c>
      <c r="M18" s="1"/>
    </row>
    <row r="19" spans="12:13" x14ac:dyDescent="0.25">
      <c r="L19" s="1">
        <v>17</v>
      </c>
      <c r="M19" s="1"/>
    </row>
    <row r="20" spans="12:13" x14ac:dyDescent="0.25">
      <c r="L20" s="1">
        <v>18</v>
      </c>
      <c r="M20" s="1"/>
    </row>
    <row r="21" spans="12:13" x14ac:dyDescent="0.25">
      <c r="L21" s="1">
        <v>19</v>
      </c>
      <c r="M21" s="1"/>
    </row>
    <row r="22" spans="12:13" x14ac:dyDescent="0.25">
      <c r="L22" s="1">
        <v>20</v>
      </c>
      <c r="M22" s="1"/>
    </row>
    <row r="23" spans="12:13" x14ac:dyDescent="0.25">
      <c r="L23" s="1">
        <v>21</v>
      </c>
      <c r="M23" s="1"/>
    </row>
    <row r="24" spans="12:13" x14ac:dyDescent="0.25">
      <c r="L24" s="1">
        <v>22</v>
      </c>
      <c r="M24" s="1"/>
    </row>
    <row r="25" spans="12:13" x14ac:dyDescent="0.25">
      <c r="L25" s="1">
        <v>23</v>
      </c>
      <c r="M25" s="1"/>
    </row>
    <row r="26" spans="12:13" x14ac:dyDescent="0.25">
      <c r="L26" s="1">
        <v>24</v>
      </c>
      <c r="M26" s="1"/>
    </row>
    <row r="27" spans="12:13" x14ac:dyDescent="0.25">
      <c r="L27" s="1">
        <v>25</v>
      </c>
      <c r="M27" s="1"/>
    </row>
    <row r="28" spans="12:13" x14ac:dyDescent="0.25">
      <c r="L28" s="1" t="s">
        <v>222</v>
      </c>
      <c r="M28" s="1"/>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6</vt:i4>
      </vt:variant>
    </vt:vector>
  </HeadingPairs>
  <TitlesOfParts>
    <vt:vector size="10" baseType="lpstr">
      <vt:lpstr>發明(新型)案成本估算</vt:lpstr>
      <vt:lpstr>P(M)</vt:lpstr>
      <vt:lpstr>P(M)年費表</vt:lpstr>
      <vt:lpstr>選項</vt:lpstr>
      <vt:lpstr>'發明(新型)案成本估算'!Print_Area</vt:lpstr>
      <vt:lpstr>計費類型_一案兩請之新型</vt:lpstr>
      <vt:lpstr>計費類型_日韓泰</vt:lpstr>
      <vt:lpstr>計費類型_台中美歐新馬加</vt:lpstr>
      <vt:lpstr>計費類型_設計</vt:lpstr>
      <vt:lpstr>計費類型_越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專利佈局成本估算表</dc:title>
  <dc:creator/>
  <cp:lastModifiedBy/>
  <dcterms:created xsi:type="dcterms:W3CDTF">2006-09-16T00:00:00Z</dcterms:created>
  <dcterms:modified xsi:type="dcterms:W3CDTF">2025-07-11T09:20:40Z</dcterms:modified>
</cp:coreProperties>
</file>