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2.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showInkAnnotation="0" defaultThemeVersion="124226"/>
  <xr:revisionPtr revIDLastSave="0" documentId="13_ncr:1_{12BCAB64-42AB-4366-B34E-C57E552321EC}" xr6:coauthVersionLast="47" xr6:coauthVersionMax="47" xr10:uidLastSave="{00000000-0000-0000-0000-000000000000}"/>
  <workbookProtection workbookAlgorithmName="SHA-512" workbookHashValue="hmAzUhT+6+cMGK0OXC071Lr27/7E3Jv9a1UOgsgaQfnu7zQC0hsblTlyrDQ02nWFvmR+QyiIFc34HxZbBljG7A==" workbookSaltValue="h/Do7MAsGSFZI7QdvoSvyw==" workbookSpinCount="100000" lockStructure="1"/>
  <bookViews>
    <workbookView xWindow="-120" yWindow="-120" windowWidth="29040" windowHeight="15840" tabRatio="576" xr2:uid="{00000000-000D-0000-FFFF-FFFF00000000}"/>
  </bookViews>
  <sheets>
    <sheet name="發明(新型)案成本估算" sheetId="11" r:id="rId1"/>
    <sheet name="P(M)" sheetId="7" state="hidden" r:id="rId2"/>
    <sheet name="P(M)年費表" sheetId="14" state="hidden" r:id="rId3"/>
    <sheet name="選項" sheetId="2" state="hidden" r:id="rId4"/>
  </sheets>
  <definedNames>
    <definedName name="_xlnm._FilterDatabase" localSheetId="0" hidden="1">'發明(新型)案成本估算'!$A$14:$N$37</definedName>
    <definedName name="_xlnm.Print_Area" localSheetId="0">'發明(新型)案成本估算'!$A$1:$M$263</definedName>
    <definedName name="是否選項">#REF!</definedName>
    <definedName name="計費類型_一案兩請之新型">選項!$E$2:$E$3</definedName>
    <definedName name="計費類型_日韓泰">選項!$D$2:$D$3</definedName>
    <definedName name="計費類型_台中美歐新馬加">選項!$B$2:$B$5</definedName>
    <definedName name="計費類型_設計">選項!$F$2:$F$3</definedName>
    <definedName name="計費類型_越">選項!$C$2:$C$4</definedName>
  </definedNames>
  <calcPr calcId="191029"/>
</workbook>
</file>

<file path=xl/calcChain.xml><?xml version="1.0" encoding="utf-8"?>
<calcChain xmlns="http://schemas.openxmlformats.org/spreadsheetml/2006/main">
  <c r="O59" i="7" l="1"/>
  <c r="O58" i="7"/>
  <c r="N59" i="7"/>
  <c r="N58" i="7"/>
  <c r="P30" i="7"/>
  <c r="N30" i="7"/>
  <c r="P29" i="7"/>
  <c r="N29" i="7"/>
  <c r="AR27" i="7"/>
  <c r="R27" i="7" l="1"/>
  <c r="N27" i="7" l="1"/>
  <c r="A148" i="11" l="1"/>
  <c r="Q26" i="7" l="1"/>
  <c r="P26" i="7"/>
  <c r="S26" i="7"/>
  <c r="AR26" i="7"/>
  <c r="AR25" i="7"/>
  <c r="P25" i="7"/>
  <c r="G13" i="14"/>
  <c r="F13" i="14"/>
  <c r="E13" i="14"/>
  <c r="N21" i="7"/>
  <c r="V13" i="14" l="1"/>
  <c r="U13" i="14"/>
  <c r="T13" i="14"/>
  <c r="S13" i="14"/>
  <c r="R13" i="14"/>
  <c r="Q13" i="14"/>
  <c r="P13" i="14"/>
  <c r="O13" i="14"/>
  <c r="N13" i="14"/>
  <c r="M13" i="14"/>
  <c r="L13" i="14"/>
  <c r="K13" i="14"/>
  <c r="J13" i="14"/>
  <c r="I13" i="14"/>
  <c r="H13" i="14"/>
  <c r="O7" i="14"/>
  <c r="K7" i="14"/>
  <c r="G7" i="14"/>
  <c r="AT35" i="7"/>
  <c r="AT34" i="7"/>
  <c r="AR35" i="7"/>
  <c r="AR34" i="7"/>
  <c r="O64" i="7"/>
  <c r="O63" i="7"/>
  <c r="R35" i="7"/>
  <c r="R34" i="7"/>
  <c r="P35" i="7"/>
  <c r="P34" i="7"/>
  <c r="O35" i="7"/>
  <c r="O34" i="7"/>
  <c r="N35" i="7"/>
  <c r="N34" i="7"/>
  <c r="W47" i="14"/>
  <c r="V47" i="14"/>
  <c r="U47" i="14"/>
  <c r="T47" i="14"/>
  <c r="S47" i="14"/>
  <c r="R47" i="14"/>
  <c r="Q47" i="14"/>
  <c r="P47" i="14"/>
  <c r="O47" i="14"/>
  <c r="N47" i="14"/>
  <c r="M47" i="14"/>
  <c r="L47" i="14"/>
  <c r="K47" i="14"/>
  <c r="J47" i="14"/>
  <c r="I47" i="14"/>
  <c r="H47" i="14"/>
  <c r="G47" i="14"/>
  <c r="F47" i="14"/>
  <c r="M48" i="14"/>
  <c r="L48" i="14"/>
  <c r="K48" i="14"/>
  <c r="J48" i="14"/>
  <c r="I48" i="14"/>
  <c r="H48" i="14"/>
  <c r="G48" i="14"/>
  <c r="F48" i="14"/>
  <c r="E48" i="14"/>
  <c r="E47" i="14"/>
  <c r="N50" i="7"/>
  <c r="AR21" i="7"/>
  <c r="AL22" i="7"/>
  <c r="G22" i="7"/>
  <c r="O50" i="7"/>
  <c r="J27" i="7" l="1"/>
  <c r="A84" i="11" l="1"/>
  <c r="H25" i="7"/>
  <c r="W11" i="14"/>
  <c r="V11" i="14"/>
  <c r="U11" i="14"/>
  <c r="T11" i="14"/>
  <c r="S11" i="14"/>
  <c r="R11" i="14"/>
  <c r="Q11" i="14"/>
  <c r="P11" i="14"/>
  <c r="O11" i="14"/>
  <c r="N11" i="14"/>
  <c r="M11" i="14"/>
  <c r="L11" i="14"/>
  <c r="K11" i="14"/>
  <c r="J11" i="14"/>
  <c r="I11" i="14"/>
  <c r="H11" i="14"/>
  <c r="G11" i="14"/>
  <c r="AL25" i="7"/>
  <c r="W48" i="7" l="1"/>
  <c r="W46" i="7"/>
  <c r="AX22" i="7"/>
  <c r="AR22" i="7"/>
  <c r="R51" i="7"/>
  <c r="Q51" i="7"/>
  <c r="N51" i="7"/>
  <c r="J51" i="7"/>
  <c r="H51" i="7"/>
  <c r="N22" i="7"/>
  <c r="AR30" i="7" l="1"/>
  <c r="AR29" i="7"/>
  <c r="G30" i="7"/>
  <c r="J30" i="7"/>
  <c r="J29" i="7"/>
  <c r="G29" i="7"/>
  <c r="B7" i="7"/>
  <c r="I29" i="7"/>
  <c r="AM24" i="7"/>
  <c r="AL24" i="7"/>
  <c r="AM23" i="7"/>
  <c r="AL23" i="7"/>
  <c r="Q29" i="7" l="1"/>
  <c r="Q25" i="7"/>
  <c r="I21" i="7"/>
  <c r="I27" i="7"/>
  <c r="I22" i="7"/>
  <c r="I25" i="7"/>
  <c r="AM25" i="7"/>
  <c r="AR28" i="7"/>
  <c r="AL28" i="7"/>
  <c r="H28" i="7"/>
  <c r="G28" i="7"/>
  <c r="M19" i="14"/>
  <c r="L19" i="14"/>
  <c r="K19" i="14"/>
  <c r="J19" i="14"/>
  <c r="I19" i="14"/>
  <c r="H19" i="14"/>
  <c r="G19" i="14"/>
  <c r="F19" i="14"/>
  <c r="E19" i="14"/>
  <c r="W18" i="14"/>
  <c r="V18" i="14"/>
  <c r="U18" i="14"/>
  <c r="T18" i="14"/>
  <c r="S18" i="14"/>
  <c r="R18" i="14"/>
  <c r="Q18" i="14"/>
  <c r="P18" i="14"/>
  <c r="O18" i="14"/>
  <c r="N18" i="14"/>
  <c r="M18" i="14"/>
  <c r="L18" i="14"/>
  <c r="K18" i="14"/>
  <c r="J18" i="14"/>
  <c r="I18" i="14"/>
  <c r="H18" i="14"/>
  <c r="G18" i="14"/>
  <c r="F18" i="14"/>
  <c r="E18" i="14"/>
  <c r="AR32" i="7"/>
  <c r="AM33" i="7"/>
  <c r="AM32" i="7"/>
  <c r="I33" i="7"/>
  <c r="H33" i="7"/>
  <c r="G33" i="7"/>
  <c r="I32" i="7"/>
  <c r="H32" i="7"/>
  <c r="G32" i="7"/>
  <c r="X20" i="7"/>
  <c r="X18" i="7"/>
  <c r="W9" i="14"/>
  <c r="V9" i="14"/>
  <c r="U9" i="14"/>
  <c r="T9" i="14"/>
  <c r="S9" i="14"/>
  <c r="R9" i="14"/>
  <c r="Q9" i="14"/>
  <c r="P9" i="14"/>
  <c r="O9" i="14"/>
  <c r="N9" i="14"/>
  <c r="M9" i="14"/>
  <c r="L9" i="14"/>
  <c r="K9" i="14"/>
  <c r="J9" i="14"/>
  <c r="I9" i="14"/>
  <c r="H9" i="14"/>
  <c r="G9" i="14"/>
  <c r="AR23" i="7"/>
  <c r="N23" i="7"/>
  <c r="A261" i="11" l="1"/>
  <c r="A260" i="11"/>
  <c r="W18" i="7"/>
  <c r="N26" i="7" l="1"/>
  <c r="C74" i="11"/>
  <c r="C72" i="11"/>
  <c r="C71" i="11"/>
  <c r="C70" i="11"/>
  <c r="C64" i="11"/>
  <c r="C62" i="11"/>
  <c r="C60" i="11"/>
  <c r="C104" i="11"/>
  <c r="C102" i="11"/>
  <c r="C101" i="11"/>
  <c r="C100" i="11"/>
  <c r="C94" i="11"/>
  <c r="C92" i="11"/>
  <c r="C90" i="11"/>
  <c r="C135" i="11"/>
  <c r="C133" i="11"/>
  <c r="C132" i="11"/>
  <c r="C131" i="11"/>
  <c r="E22" i="7"/>
  <c r="E31" i="7"/>
  <c r="E30" i="7"/>
  <c r="E27" i="7"/>
  <c r="E29" i="7"/>
  <c r="E28" i="7"/>
  <c r="W28" i="7" l="1"/>
  <c r="X28" i="7"/>
  <c r="W31" i="7"/>
  <c r="X31" i="7"/>
  <c r="W22" i="7"/>
  <c r="X22" i="7"/>
  <c r="W29" i="7"/>
  <c r="X29" i="7"/>
  <c r="W27" i="7"/>
  <c r="X27" i="7"/>
  <c r="W30" i="7"/>
  <c r="X30" i="7"/>
  <c r="B58" i="14" l="1"/>
  <c r="B59" i="14"/>
  <c r="B60" i="14"/>
  <c r="B61" i="14"/>
  <c r="B62" i="14"/>
  <c r="B63" i="14"/>
  <c r="B64" i="14"/>
  <c r="B65" i="14"/>
  <c r="B66" i="14"/>
  <c r="B68" i="14"/>
  <c r="B71" i="14"/>
  <c r="B74" i="14"/>
  <c r="B75" i="14"/>
  <c r="B76" i="14"/>
  <c r="B77" i="14"/>
  <c r="B69" i="14"/>
  <c r="B70" i="14"/>
  <c r="B72" i="14"/>
  <c r="B73" i="14"/>
  <c r="B67" i="14"/>
  <c r="B57" i="14"/>
  <c r="B30" i="14"/>
  <c r="B31" i="14"/>
  <c r="B32" i="14"/>
  <c r="B33" i="14"/>
  <c r="B34" i="14"/>
  <c r="B35" i="14"/>
  <c r="B36" i="14"/>
  <c r="B37" i="14"/>
  <c r="B38" i="14"/>
  <c r="B39" i="14"/>
  <c r="B41" i="14"/>
  <c r="B44" i="14"/>
  <c r="B47" i="14"/>
  <c r="B48" i="14"/>
  <c r="B49" i="14"/>
  <c r="B50" i="14"/>
  <c r="B42" i="14"/>
  <c r="B43" i="14"/>
  <c r="B45" i="14"/>
  <c r="B46" i="14"/>
  <c r="B40" i="14"/>
  <c r="B4" i="14"/>
  <c r="B5" i="14"/>
  <c r="B6" i="14"/>
  <c r="B7" i="14"/>
  <c r="B8" i="14"/>
  <c r="B9" i="14"/>
  <c r="B10" i="14"/>
  <c r="B11" i="14"/>
  <c r="B12" i="14"/>
  <c r="B14" i="14"/>
  <c r="B17" i="14"/>
  <c r="B20" i="14"/>
  <c r="B21" i="14"/>
  <c r="B22" i="14"/>
  <c r="B23" i="14"/>
  <c r="B15" i="14"/>
  <c r="B16" i="14"/>
  <c r="B18" i="14"/>
  <c r="B19" i="14"/>
  <c r="B13" i="14"/>
  <c r="B3" i="14"/>
  <c r="C125" i="11"/>
  <c r="C123" i="11"/>
  <c r="C121" i="11"/>
  <c r="E19" i="7"/>
  <c r="X19" i="7" s="1"/>
  <c r="E33" i="7"/>
  <c r="W33" i="7" s="1"/>
  <c r="E32" i="7"/>
  <c r="W32" i="7" s="1"/>
  <c r="E37" i="7"/>
  <c r="W37" i="7" s="1"/>
  <c r="E36" i="7"/>
  <c r="W36" i="7" s="1"/>
  <c r="E35" i="7"/>
  <c r="W35" i="7" s="1"/>
  <c r="E34" i="7"/>
  <c r="W34" i="7" s="1"/>
  <c r="E26" i="7"/>
  <c r="W26" i="7" s="1"/>
  <c r="E25" i="7"/>
  <c r="W25" i="7" s="1"/>
  <c r="E24" i="7"/>
  <c r="W24" i="7" s="1"/>
  <c r="E23" i="7"/>
  <c r="W23" i="7" s="1"/>
  <c r="Y30" i="7"/>
  <c r="Y29" i="7"/>
  <c r="E21" i="7"/>
  <c r="W21" i="7" s="1"/>
  <c r="E20" i="7"/>
  <c r="E18" i="7"/>
  <c r="Y18" i="7" s="1"/>
  <c r="E17" i="7"/>
  <c r="W17" i="7" s="1"/>
  <c r="Y19" i="7" l="1"/>
  <c r="W19" i="7"/>
  <c r="Y20" i="7"/>
  <c r="W20" i="7"/>
  <c r="Y31" i="7"/>
  <c r="Y22" i="7"/>
  <c r="Y28" i="7"/>
  <c r="Y27" i="7"/>
  <c r="A259" i="11"/>
  <c r="B9" i="7" l="1"/>
  <c r="S25" i="7" s="1"/>
  <c r="Y21" i="7" l="1"/>
  <c r="Y17" i="7"/>
  <c r="N33" i="7"/>
  <c r="N32" i="7"/>
  <c r="I30" i="7"/>
  <c r="N37" i="7"/>
  <c r="G37" i="7"/>
  <c r="N36" i="7"/>
  <c r="G36" i="7"/>
  <c r="H26" i="7"/>
  <c r="G26" i="7"/>
  <c r="G25" i="7"/>
  <c r="P24" i="7"/>
  <c r="I24" i="7"/>
  <c r="H24" i="7"/>
  <c r="P23" i="7"/>
  <c r="H23" i="7"/>
  <c r="AX27" i="7"/>
  <c r="AX33" i="7"/>
  <c r="AR33" i="7"/>
  <c r="AL33" i="7"/>
  <c r="S33" i="7"/>
  <c r="P33" i="7"/>
  <c r="AX32" i="7"/>
  <c r="AL32" i="7"/>
  <c r="S32" i="7"/>
  <c r="P32" i="7"/>
  <c r="AX30" i="7"/>
  <c r="AL30" i="7"/>
  <c r="H30" i="7"/>
  <c r="AX29" i="7"/>
  <c r="AL29" i="7"/>
  <c r="H29" i="7"/>
  <c r="AX37" i="7"/>
  <c r="AR37" i="7"/>
  <c r="AL37" i="7"/>
  <c r="S37" i="7"/>
  <c r="P37" i="7"/>
  <c r="H37" i="7"/>
  <c r="AX36" i="7"/>
  <c r="AR36" i="7"/>
  <c r="AL36" i="7"/>
  <c r="S36" i="7"/>
  <c r="P36" i="7"/>
  <c r="H36" i="7"/>
  <c r="AX35" i="7"/>
  <c r="AL35" i="7"/>
  <c r="H35" i="7"/>
  <c r="G35" i="7"/>
  <c r="AX34" i="7"/>
  <c r="AL34" i="7"/>
  <c r="H34" i="7"/>
  <c r="G34" i="7"/>
  <c r="AX31" i="7"/>
  <c r="AR31" i="7"/>
  <c r="AL31" i="7"/>
  <c r="S31" i="7"/>
  <c r="P31" i="7"/>
  <c r="N31" i="7"/>
  <c r="H31" i="7"/>
  <c r="G31" i="7"/>
  <c r="AX28" i="7"/>
  <c r="P28" i="7"/>
  <c r="N28" i="7"/>
  <c r="AX26" i="7"/>
  <c r="AL26" i="7"/>
  <c r="AX25" i="7"/>
  <c r="N25" i="7"/>
  <c r="AX24" i="7"/>
  <c r="AR24" i="7"/>
  <c r="S24" i="7"/>
  <c r="N24" i="7"/>
  <c r="G24" i="7"/>
  <c r="AX23" i="7"/>
  <c r="S23" i="7"/>
  <c r="G23" i="7"/>
  <c r="P22" i="7"/>
  <c r="H22" i="7"/>
  <c r="AX21" i="7"/>
  <c r="P20" i="7"/>
  <c r="N20" i="7"/>
  <c r="AX20" i="7"/>
  <c r="AR20" i="7"/>
  <c r="AL20" i="7"/>
  <c r="H20" i="7"/>
  <c r="G20" i="7"/>
  <c r="P19" i="7"/>
  <c r="N19" i="7"/>
  <c r="H19" i="7"/>
  <c r="G19" i="7"/>
  <c r="AX19" i="7"/>
  <c r="AR19" i="7"/>
  <c r="AL19" i="7"/>
  <c r="H18" i="7"/>
  <c r="G18" i="7"/>
  <c r="AX18" i="7"/>
  <c r="G17" i="7"/>
  <c r="AX17" i="7"/>
  <c r="C47" i="7"/>
  <c r="C48" i="7"/>
  <c r="C49" i="7"/>
  <c r="C50" i="7"/>
  <c r="C51" i="7"/>
  <c r="C52" i="7"/>
  <c r="C53" i="7"/>
  <c r="C54" i="7"/>
  <c r="C55" i="7"/>
  <c r="C57" i="7"/>
  <c r="C60" i="7"/>
  <c r="C63" i="7"/>
  <c r="C64" i="7"/>
  <c r="C65" i="7"/>
  <c r="C66" i="7"/>
  <c r="C58" i="7"/>
  <c r="C59" i="7"/>
  <c r="C61" i="7"/>
  <c r="O61" i="7" s="1"/>
  <c r="C62" i="7"/>
  <c r="O62" i="7" s="1"/>
  <c r="C56" i="7"/>
  <c r="O56" i="7" s="1"/>
  <c r="C46" i="7"/>
  <c r="O51" i="7" l="1"/>
  <c r="AR66" i="7"/>
  <c r="AL66" i="7"/>
  <c r="AX66" i="7"/>
  <c r="AR65" i="7"/>
  <c r="AL65" i="7"/>
  <c r="AX65" i="7"/>
  <c r="AX63" i="7"/>
  <c r="AR63" i="7"/>
  <c r="AL63" i="7"/>
  <c r="AX62" i="7"/>
  <c r="AL62" i="7"/>
  <c r="AR62" i="7"/>
  <c r="AL61" i="7"/>
  <c r="AX61" i="7"/>
  <c r="AR61" i="7"/>
  <c r="AL60" i="7"/>
  <c r="AR60" i="7"/>
  <c r="AX60" i="7"/>
  <c r="AX59" i="7"/>
  <c r="AL59" i="7"/>
  <c r="AR59" i="7"/>
  <c r="AX64" i="7"/>
  <c r="AL64" i="7"/>
  <c r="AR64" i="7"/>
  <c r="W56" i="7"/>
  <c r="W59" i="7"/>
  <c r="W58" i="7"/>
  <c r="W60" i="7"/>
  <c r="O60" i="7"/>
  <c r="N60" i="7"/>
  <c r="N57" i="7"/>
  <c r="W57" i="7"/>
  <c r="O57" i="7"/>
  <c r="AX55" i="7"/>
  <c r="AR55" i="7"/>
  <c r="AR53" i="7"/>
  <c r="AX53" i="7"/>
  <c r="W51" i="7"/>
  <c r="AR49" i="7"/>
  <c r="AL49" i="7"/>
  <c r="AX49" i="7"/>
  <c r="O48" i="7"/>
  <c r="AX47" i="7"/>
  <c r="AR47" i="7"/>
  <c r="N62" i="7"/>
  <c r="W62" i="7"/>
  <c r="W61" i="7"/>
  <c r="N61" i="7"/>
  <c r="W65" i="7"/>
  <c r="O65" i="7"/>
  <c r="G65" i="7"/>
  <c r="W64" i="7"/>
  <c r="W63" i="7"/>
  <c r="S55" i="7"/>
  <c r="O55" i="7"/>
  <c r="W55" i="7"/>
  <c r="G55" i="7"/>
  <c r="S54" i="7"/>
  <c r="W54" i="7"/>
  <c r="O54" i="7"/>
  <c r="G54" i="7"/>
  <c r="N52" i="7"/>
  <c r="W52" i="7"/>
  <c r="O52" i="7"/>
  <c r="W50" i="7"/>
  <c r="P50" i="7"/>
  <c r="AC78" i="14" l="1"/>
  <c r="AH67" i="14"/>
  <c r="AI67" i="14" s="1"/>
  <c r="AJ67" i="14" s="1"/>
  <c r="AK67" i="14" s="1"/>
  <c r="AL67" i="14" s="1"/>
  <c r="AM67" i="14" s="1"/>
  <c r="AN67" i="14" s="1"/>
  <c r="AO67" i="14" s="1"/>
  <c r="AP67" i="14" s="1"/>
  <c r="AQ67" i="14" s="1"/>
  <c r="AR67" i="14" s="1"/>
  <c r="AS67" i="14" s="1"/>
  <c r="AT67" i="14" s="1"/>
  <c r="AU67" i="14" s="1"/>
  <c r="AV67" i="14" s="1"/>
  <c r="AW67" i="14" s="1"/>
  <c r="AX67" i="14" s="1"/>
  <c r="AY67" i="14" s="1"/>
  <c r="AZ67" i="14" s="1"/>
  <c r="BA67" i="14" s="1"/>
  <c r="BB67" i="14" s="1"/>
  <c r="BC67" i="14" s="1"/>
  <c r="BD67" i="14" s="1"/>
  <c r="BE67" i="14" s="1"/>
  <c r="BF67" i="14" s="1"/>
  <c r="AX56" i="7" s="1"/>
  <c r="AG67" i="14"/>
  <c r="AC67" i="14"/>
  <c r="AF67" i="14"/>
  <c r="AH73" i="14"/>
  <c r="AI73" i="14" s="1"/>
  <c r="AJ73" i="14" s="1"/>
  <c r="AK73" i="14" s="1"/>
  <c r="AL73" i="14" s="1"/>
  <c r="AM73" i="14" s="1"/>
  <c r="AN73" i="14" s="1"/>
  <c r="AO73" i="14" s="1"/>
  <c r="AP73" i="14" s="1"/>
  <c r="AQ73" i="14" s="1"/>
  <c r="AR73" i="14" s="1"/>
  <c r="AS73" i="14" s="1"/>
  <c r="AT73" i="14" s="1"/>
  <c r="AU73" i="14" s="1"/>
  <c r="AV73" i="14" s="1"/>
  <c r="AW73" i="14" s="1"/>
  <c r="AX73" i="14" s="1"/>
  <c r="AY73" i="14" s="1"/>
  <c r="AZ73" i="14" s="1"/>
  <c r="BA73" i="14" s="1"/>
  <c r="BB73" i="14" s="1"/>
  <c r="BC73" i="14" s="1"/>
  <c r="BD73" i="14" s="1"/>
  <c r="BE73" i="14" s="1"/>
  <c r="BF73" i="14" s="1"/>
  <c r="BG73" i="14" s="1"/>
  <c r="AG73" i="14"/>
  <c r="AC73" i="14"/>
  <c r="AF73" i="14"/>
  <c r="AH72" i="14"/>
  <c r="AI72" i="14" s="1"/>
  <c r="AJ72" i="14" s="1"/>
  <c r="AK72" i="14" s="1"/>
  <c r="AL72" i="14" s="1"/>
  <c r="AM72" i="14" s="1"/>
  <c r="AN72" i="14" s="1"/>
  <c r="AO72" i="14" s="1"/>
  <c r="AP72" i="14" s="1"/>
  <c r="AQ72" i="14" s="1"/>
  <c r="AR72" i="14" s="1"/>
  <c r="AS72" i="14" s="1"/>
  <c r="AT72" i="14" s="1"/>
  <c r="AU72" i="14" s="1"/>
  <c r="AV72" i="14" s="1"/>
  <c r="AW72" i="14" s="1"/>
  <c r="AX72" i="14" s="1"/>
  <c r="AY72" i="14" s="1"/>
  <c r="AZ72" i="14" s="1"/>
  <c r="BA72" i="14" s="1"/>
  <c r="BB72" i="14" s="1"/>
  <c r="BC72" i="14" s="1"/>
  <c r="BD72" i="14" s="1"/>
  <c r="BE72" i="14" s="1"/>
  <c r="BF72" i="14" s="1"/>
  <c r="BG72" i="14" s="1"/>
  <c r="AG72" i="14"/>
  <c r="AC72" i="14"/>
  <c r="AF72" i="14"/>
  <c r="AH70" i="14"/>
  <c r="AI70" i="14" s="1"/>
  <c r="AJ70" i="14" s="1"/>
  <c r="AK70" i="14" s="1"/>
  <c r="AL70" i="14" s="1"/>
  <c r="AM70" i="14" s="1"/>
  <c r="AN70" i="14" s="1"/>
  <c r="AO70" i="14" s="1"/>
  <c r="AP70" i="14" s="1"/>
  <c r="AQ70" i="14" s="1"/>
  <c r="AR70" i="14" s="1"/>
  <c r="AS70" i="14" s="1"/>
  <c r="AT70" i="14" s="1"/>
  <c r="AU70" i="14" s="1"/>
  <c r="AV70" i="14" s="1"/>
  <c r="AW70" i="14" s="1"/>
  <c r="AX70" i="14" s="1"/>
  <c r="AY70" i="14" s="1"/>
  <c r="AZ70" i="14" s="1"/>
  <c r="BA70" i="14" s="1"/>
  <c r="BB70" i="14" s="1"/>
  <c r="BC70" i="14" s="1"/>
  <c r="BD70" i="14" s="1"/>
  <c r="BE70" i="14" s="1"/>
  <c r="BF70" i="14" s="1"/>
  <c r="BG70" i="14" s="1"/>
  <c r="AG70" i="14"/>
  <c r="AC70" i="14"/>
  <c r="AF70" i="14"/>
  <c r="AH69" i="14"/>
  <c r="AI69" i="14" s="1"/>
  <c r="AJ69" i="14" s="1"/>
  <c r="AK69" i="14" s="1"/>
  <c r="AL69" i="14" s="1"/>
  <c r="AM69" i="14" s="1"/>
  <c r="AN69" i="14" s="1"/>
  <c r="AO69" i="14" s="1"/>
  <c r="AP69" i="14" s="1"/>
  <c r="AQ69" i="14" s="1"/>
  <c r="AR69" i="14" s="1"/>
  <c r="AS69" i="14" s="1"/>
  <c r="AT69" i="14" s="1"/>
  <c r="AU69" i="14" s="1"/>
  <c r="AV69" i="14" s="1"/>
  <c r="AW69" i="14" s="1"/>
  <c r="AX69" i="14" s="1"/>
  <c r="AY69" i="14" s="1"/>
  <c r="AZ69" i="14" s="1"/>
  <c r="BA69" i="14" s="1"/>
  <c r="BB69" i="14" s="1"/>
  <c r="BC69" i="14" s="1"/>
  <c r="BD69" i="14" s="1"/>
  <c r="BE69" i="14" s="1"/>
  <c r="BF69" i="14" s="1"/>
  <c r="AG69" i="14"/>
  <c r="AC69" i="14"/>
  <c r="AF69" i="14"/>
  <c r="AH77" i="14"/>
  <c r="AI77" i="14" s="1"/>
  <c r="AJ77" i="14" s="1"/>
  <c r="AK77" i="14" s="1"/>
  <c r="AL77" i="14" s="1"/>
  <c r="AM77" i="14" s="1"/>
  <c r="AN77" i="14" s="1"/>
  <c r="AO77" i="14" s="1"/>
  <c r="AP77" i="14" s="1"/>
  <c r="AQ77" i="14" s="1"/>
  <c r="AR77" i="14" s="1"/>
  <c r="AS77" i="14" s="1"/>
  <c r="AT77" i="14" s="1"/>
  <c r="AU77" i="14" s="1"/>
  <c r="AV77" i="14" s="1"/>
  <c r="AW77" i="14" s="1"/>
  <c r="AX77" i="14" s="1"/>
  <c r="AY77" i="14" s="1"/>
  <c r="AZ77" i="14" s="1"/>
  <c r="BA77" i="14" s="1"/>
  <c r="BB77" i="14" s="1"/>
  <c r="BC77" i="14" s="1"/>
  <c r="BD77" i="14" s="1"/>
  <c r="BE77" i="14" s="1"/>
  <c r="BF77" i="14" s="1"/>
  <c r="BG77" i="14" s="1"/>
  <c r="AG77" i="14"/>
  <c r="AC77" i="14"/>
  <c r="AF77" i="14"/>
  <c r="AH76" i="14"/>
  <c r="AI76" i="14" s="1"/>
  <c r="AJ76" i="14" s="1"/>
  <c r="AK76" i="14" s="1"/>
  <c r="AL76" i="14" s="1"/>
  <c r="AM76" i="14" s="1"/>
  <c r="AN76" i="14" s="1"/>
  <c r="AO76" i="14" s="1"/>
  <c r="AP76" i="14" s="1"/>
  <c r="AQ76" i="14" s="1"/>
  <c r="AR76" i="14" s="1"/>
  <c r="AS76" i="14" s="1"/>
  <c r="AT76" i="14" s="1"/>
  <c r="AU76" i="14" s="1"/>
  <c r="AV76" i="14" s="1"/>
  <c r="AW76" i="14" s="1"/>
  <c r="AX76" i="14" s="1"/>
  <c r="AY76" i="14" s="1"/>
  <c r="AZ76" i="14" s="1"/>
  <c r="BA76" i="14" s="1"/>
  <c r="BB76" i="14" s="1"/>
  <c r="BC76" i="14" s="1"/>
  <c r="BD76" i="14" s="1"/>
  <c r="BE76" i="14" s="1"/>
  <c r="BF76" i="14" s="1"/>
  <c r="BG76" i="14" s="1"/>
  <c r="AG76" i="14"/>
  <c r="AC76" i="14"/>
  <c r="AF76" i="14"/>
  <c r="AH75" i="14"/>
  <c r="AI75" i="14" s="1"/>
  <c r="AJ75" i="14" s="1"/>
  <c r="AK75" i="14" s="1"/>
  <c r="AL75" i="14" s="1"/>
  <c r="AM75" i="14" s="1"/>
  <c r="AN75" i="14" s="1"/>
  <c r="AO75" i="14" s="1"/>
  <c r="AP75" i="14" s="1"/>
  <c r="AQ75" i="14" s="1"/>
  <c r="AR75" i="14" s="1"/>
  <c r="AS75" i="14" s="1"/>
  <c r="AT75" i="14" s="1"/>
  <c r="AU75" i="14" s="1"/>
  <c r="AV75" i="14" s="1"/>
  <c r="AW75" i="14" s="1"/>
  <c r="AX75" i="14" s="1"/>
  <c r="AY75" i="14" s="1"/>
  <c r="AZ75" i="14" s="1"/>
  <c r="BA75" i="14" s="1"/>
  <c r="BB75" i="14" s="1"/>
  <c r="BC75" i="14" s="1"/>
  <c r="BD75" i="14" s="1"/>
  <c r="BE75" i="14" s="1"/>
  <c r="BF75" i="14" s="1"/>
  <c r="BG75" i="14" s="1"/>
  <c r="AG75" i="14"/>
  <c r="AC75" i="14"/>
  <c r="AF75" i="14"/>
  <c r="AH74" i="14"/>
  <c r="AI74" i="14" s="1"/>
  <c r="AJ74" i="14" s="1"/>
  <c r="AK74" i="14" s="1"/>
  <c r="AL74" i="14" s="1"/>
  <c r="AM74" i="14" s="1"/>
  <c r="AN74" i="14" s="1"/>
  <c r="AO74" i="14" s="1"/>
  <c r="AP74" i="14" s="1"/>
  <c r="AQ74" i="14" s="1"/>
  <c r="AR74" i="14" s="1"/>
  <c r="AS74" i="14" s="1"/>
  <c r="AT74" i="14" s="1"/>
  <c r="AU74" i="14" s="1"/>
  <c r="AV74" i="14" s="1"/>
  <c r="AW74" i="14" s="1"/>
  <c r="AX74" i="14" s="1"/>
  <c r="AY74" i="14" s="1"/>
  <c r="AZ74" i="14" s="1"/>
  <c r="BA74" i="14" s="1"/>
  <c r="BB74" i="14" s="1"/>
  <c r="BC74" i="14" s="1"/>
  <c r="BD74" i="14" s="1"/>
  <c r="BE74" i="14" s="1"/>
  <c r="BF74" i="14" s="1"/>
  <c r="BG74" i="14" s="1"/>
  <c r="AG74" i="14"/>
  <c r="AC74" i="14"/>
  <c r="AF74" i="14"/>
  <c r="AH71" i="14"/>
  <c r="AI71" i="14" s="1"/>
  <c r="AJ71" i="14" s="1"/>
  <c r="AK71" i="14" s="1"/>
  <c r="AL71" i="14" s="1"/>
  <c r="AM71" i="14" s="1"/>
  <c r="AN71" i="14" s="1"/>
  <c r="AO71" i="14" s="1"/>
  <c r="AP71" i="14" s="1"/>
  <c r="AQ71" i="14" s="1"/>
  <c r="AR71" i="14" s="1"/>
  <c r="AS71" i="14" s="1"/>
  <c r="AT71" i="14" s="1"/>
  <c r="AU71" i="14" s="1"/>
  <c r="AV71" i="14" s="1"/>
  <c r="AW71" i="14" s="1"/>
  <c r="AX71" i="14" s="1"/>
  <c r="AY71" i="14" s="1"/>
  <c r="AZ71" i="14" s="1"/>
  <c r="BA71" i="14" s="1"/>
  <c r="BB71" i="14" s="1"/>
  <c r="BC71" i="14" s="1"/>
  <c r="BD71" i="14" s="1"/>
  <c r="BE71" i="14" s="1"/>
  <c r="BF71" i="14" s="1"/>
  <c r="BG71" i="14" s="1"/>
  <c r="AG71" i="14"/>
  <c r="AC71" i="14"/>
  <c r="AF71" i="14"/>
  <c r="AH68" i="14"/>
  <c r="AI68" i="14" s="1"/>
  <c r="AJ68" i="14" s="1"/>
  <c r="AK68" i="14" s="1"/>
  <c r="AL68" i="14" s="1"/>
  <c r="AM68" i="14" s="1"/>
  <c r="AN68" i="14" s="1"/>
  <c r="AO68" i="14" s="1"/>
  <c r="AP68" i="14" s="1"/>
  <c r="AQ68" i="14" s="1"/>
  <c r="AR68" i="14" s="1"/>
  <c r="AS68" i="14" s="1"/>
  <c r="AT68" i="14" s="1"/>
  <c r="AU68" i="14" s="1"/>
  <c r="AV68" i="14" s="1"/>
  <c r="AW68" i="14" s="1"/>
  <c r="AX68" i="14" s="1"/>
  <c r="AY68" i="14" s="1"/>
  <c r="AZ68" i="14" s="1"/>
  <c r="BA68" i="14" s="1"/>
  <c r="BB68" i="14" s="1"/>
  <c r="BC68" i="14" s="1"/>
  <c r="BD68" i="14" s="1"/>
  <c r="BE68" i="14" s="1"/>
  <c r="BF68" i="14" s="1"/>
  <c r="AX57" i="7" s="1"/>
  <c r="AG68" i="14"/>
  <c r="AC68" i="14"/>
  <c r="AF68" i="14"/>
  <c r="AH66" i="14"/>
  <c r="AI66" i="14" s="1"/>
  <c r="AJ66" i="14" s="1"/>
  <c r="AK66" i="14" s="1"/>
  <c r="AL66" i="14" s="1"/>
  <c r="AM66" i="14" s="1"/>
  <c r="AN66" i="14" s="1"/>
  <c r="AO66" i="14" s="1"/>
  <c r="AP66" i="14" s="1"/>
  <c r="AQ66" i="14" s="1"/>
  <c r="AR66" i="14" s="1"/>
  <c r="AS66" i="14" s="1"/>
  <c r="AT66" i="14" s="1"/>
  <c r="AU66" i="14" s="1"/>
  <c r="AV66" i="14" s="1"/>
  <c r="AW66" i="14" s="1"/>
  <c r="AX66" i="14" s="1"/>
  <c r="AY66" i="14" s="1"/>
  <c r="AZ66" i="14" s="1"/>
  <c r="BA66" i="14" s="1"/>
  <c r="BB66" i="14" s="1"/>
  <c r="BC66" i="14" s="1"/>
  <c r="BD66" i="14" s="1"/>
  <c r="BE66" i="14" s="1"/>
  <c r="BF66" i="14" s="1"/>
  <c r="BG66" i="14" s="1"/>
  <c r="AG66" i="14"/>
  <c r="AC66" i="14"/>
  <c r="AF66" i="14"/>
  <c r="AH65" i="14"/>
  <c r="AI65" i="14" s="1"/>
  <c r="AJ65" i="14" s="1"/>
  <c r="AK65" i="14" s="1"/>
  <c r="AL65" i="14" s="1"/>
  <c r="AM65" i="14" s="1"/>
  <c r="AN65" i="14" s="1"/>
  <c r="AO65" i="14" s="1"/>
  <c r="AP65" i="14" s="1"/>
  <c r="AQ65" i="14" s="1"/>
  <c r="AR65" i="14" s="1"/>
  <c r="AS65" i="14" s="1"/>
  <c r="AT65" i="14" s="1"/>
  <c r="AU65" i="14" s="1"/>
  <c r="AV65" i="14" s="1"/>
  <c r="AW65" i="14" s="1"/>
  <c r="AX65" i="14" s="1"/>
  <c r="AY65" i="14" s="1"/>
  <c r="AZ65" i="14" s="1"/>
  <c r="BA65" i="14" s="1"/>
  <c r="BB65" i="14" s="1"/>
  <c r="BC65" i="14" s="1"/>
  <c r="BD65" i="14" s="1"/>
  <c r="BE65" i="14" s="1"/>
  <c r="BF65" i="14" s="1"/>
  <c r="AG65" i="14"/>
  <c r="AC65" i="14"/>
  <c r="AF65" i="14"/>
  <c r="AH64" i="14"/>
  <c r="AI64" i="14" s="1"/>
  <c r="AJ64" i="14" s="1"/>
  <c r="AK64" i="14" s="1"/>
  <c r="AL64" i="14" s="1"/>
  <c r="AM64" i="14" s="1"/>
  <c r="AN64" i="14" s="1"/>
  <c r="AO64" i="14" s="1"/>
  <c r="AP64" i="14" s="1"/>
  <c r="AQ64" i="14" s="1"/>
  <c r="AR64" i="14" s="1"/>
  <c r="AS64" i="14" s="1"/>
  <c r="AT64" i="14" s="1"/>
  <c r="AU64" i="14" s="1"/>
  <c r="AV64" i="14" s="1"/>
  <c r="AW64" i="14" s="1"/>
  <c r="AX64" i="14" s="1"/>
  <c r="AY64" i="14" s="1"/>
  <c r="AZ64" i="14" s="1"/>
  <c r="BA64" i="14" s="1"/>
  <c r="BB64" i="14" s="1"/>
  <c r="BC64" i="14" s="1"/>
  <c r="BD64" i="14" s="1"/>
  <c r="BE64" i="14" s="1"/>
  <c r="BF64" i="14" s="1"/>
  <c r="BG64" i="14" s="1"/>
  <c r="AG64" i="14"/>
  <c r="AC64" i="14"/>
  <c r="AF64" i="14"/>
  <c r="AH63" i="14"/>
  <c r="AI63" i="14" s="1"/>
  <c r="AJ63" i="14" s="1"/>
  <c r="AK63" i="14" s="1"/>
  <c r="AL63" i="14" s="1"/>
  <c r="AM63" i="14" s="1"/>
  <c r="AN63" i="14" s="1"/>
  <c r="AO63" i="14" s="1"/>
  <c r="AP63" i="14" s="1"/>
  <c r="AQ63" i="14" s="1"/>
  <c r="AR63" i="14" s="1"/>
  <c r="AS63" i="14" s="1"/>
  <c r="AT63" i="14" s="1"/>
  <c r="AU63" i="14" s="1"/>
  <c r="AV63" i="14" s="1"/>
  <c r="AW63" i="14" s="1"/>
  <c r="AX63" i="14" s="1"/>
  <c r="AY63" i="14" s="1"/>
  <c r="AZ63" i="14" s="1"/>
  <c r="BA63" i="14" s="1"/>
  <c r="BB63" i="14" s="1"/>
  <c r="BC63" i="14" s="1"/>
  <c r="BD63" i="14" s="1"/>
  <c r="BE63" i="14" s="1"/>
  <c r="BF63" i="14" s="1"/>
  <c r="AG63" i="14"/>
  <c r="AC63" i="14"/>
  <c r="AF63" i="14"/>
  <c r="AH62" i="14"/>
  <c r="AI62" i="14" s="1"/>
  <c r="AJ62" i="14" s="1"/>
  <c r="AG62" i="14"/>
  <c r="W62" i="14"/>
  <c r="V62" i="14"/>
  <c r="U62" i="14"/>
  <c r="T62" i="14"/>
  <c r="S62" i="14"/>
  <c r="R62" i="14"/>
  <c r="Q62" i="14"/>
  <c r="P62" i="14"/>
  <c r="O62" i="14"/>
  <c r="N62" i="14"/>
  <c r="M62" i="14"/>
  <c r="L62" i="14"/>
  <c r="K62" i="14"/>
  <c r="J62" i="14"/>
  <c r="I62" i="14"/>
  <c r="H62" i="14"/>
  <c r="G62" i="14"/>
  <c r="AF62" i="14"/>
  <c r="AH61" i="14"/>
  <c r="AI61" i="14" s="1"/>
  <c r="AJ61" i="14" s="1"/>
  <c r="AK61" i="14" s="1"/>
  <c r="AL61" i="14" s="1"/>
  <c r="AM61" i="14" s="1"/>
  <c r="AN61" i="14" s="1"/>
  <c r="AO61" i="14" s="1"/>
  <c r="AP61" i="14" s="1"/>
  <c r="AQ61" i="14" s="1"/>
  <c r="AR61" i="14" s="1"/>
  <c r="AS61" i="14" s="1"/>
  <c r="AT61" i="14" s="1"/>
  <c r="AU61" i="14" s="1"/>
  <c r="AV61" i="14" s="1"/>
  <c r="AW61" i="14" s="1"/>
  <c r="AX61" i="14" s="1"/>
  <c r="AY61" i="14" s="1"/>
  <c r="AZ61" i="14" s="1"/>
  <c r="BA61" i="14" s="1"/>
  <c r="BB61" i="14" s="1"/>
  <c r="BC61" i="14" s="1"/>
  <c r="BD61" i="14" s="1"/>
  <c r="BE61" i="14" s="1"/>
  <c r="BF61" i="14" s="1"/>
  <c r="AG61" i="14"/>
  <c r="AC61" i="14"/>
  <c r="AF61" i="14"/>
  <c r="AH60" i="14"/>
  <c r="AI60" i="14" s="1"/>
  <c r="AJ60" i="14" s="1"/>
  <c r="AK60" i="14" s="1"/>
  <c r="AL60" i="14" s="1"/>
  <c r="AM60" i="14" s="1"/>
  <c r="AN60" i="14" s="1"/>
  <c r="AO60" i="14" s="1"/>
  <c r="AP60" i="14" s="1"/>
  <c r="AQ60" i="14" s="1"/>
  <c r="AR60" i="14" s="1"/>
  <c r="AS60" i="14" s="1"/>
  <c r="AT60" i="14" s="1"/>
  <c r="AU60" i="14" s="1"/>
  <c r="AV60" i="14" s="1"/>
  <c r="AW60" i="14" s="1"/>
  <c r="AX60" i="14" s="1"/>
  <c r="AY60" i="14" s="1"/>
  <c r="AZ60" i="14" s="1"/>
  <c r="BA60" i="14" s="1"/>
  <c r="BB60" i="14" s="1"/>
  <c r="BC60" i="14" s="1"/>
  <c r="BD60" i="14" s="1"/>
  <c r="BE60" i="14" s="1"/>
  <c r="BF60" i="14" s="1"/>
  <c r="BG60" i="14" s="1"/>
  <c r="AG60" i="14"/>
  <c r="AC60" i="14"/>
  <c r="AF60" i="14"/>
  <c r="AH59" i="14"/>
  <c r="AI59" i="14" s="1"/>
  <c r="AJ59" i="14" s="1"/>
  <c r="AK59" i="14" s="1"/>
  <c r="AL59" i="14" s="1"/>
  <c r="AM59" i="14" s="1"/>
  <c r="AN59" i="14" s="1"/>
  <c r="AO59" i="14" s="1"/>
  <c r="AP59" i="14" s="1"/>
  <c r="AQ59" i="14" s="1"/>
  <c r="AR59" i="14" s="1"/>
  <c r="AS59" i="14" s="1"/>
  <c r="AT59" i="14" s="1"/>
  <c r="AU59" i="14" s="1"/>
  <c r="AV59" i="14" s="1"/>
  <c r="AW59" i="14" s="1"/>
  <c r="AX59" i="14" s="1"/>
  <c r="AY59" i="14" s="1"/>
  <c r="AZ59" i="14" s="1"/>
  <c r="BA59" i="14" s="1"/>
  <c r="BB59" i="14" s="1"/>
  <c r="BC59" i="14" s="1"/>
  <c r="BD59" i="14" s="1"/>
  <c r="BE59" i="14" s="1"/>
  <c r="BF59" i="14" s="1"/>
  <c r="AG59" i="14"/>
  <c r="AC59" i="14"/>
  <c r="AF59" i="14"/>
  <c r="AH58" i="14"/>
  <c r="AI58" i="14" s="1"/>
  <c r="AJ58" i="14" s="1"/>
  <c r="AK58" i="14" s="1"/>
  <c r="AL58" i="14" s="1"/>
  <c r="AM58" i="14" s="1"/>
  <c r="AN58" i="14" s="1"/>
  <c r="AO58" i="14" s="1"/>
  <c r="AP58" i="14" s="1"/>
  <c r="AQ58" i="14" s="1"/>
  <c r="AR58" i="14" s="1"/>
  <c r="AS58" i="14" s="1"/>
  <c r="AT58" i="14" s="1"/>
  <c r="AU58" i="14" s="1"/>
  <c r="AV58" i="14" s="1"/>
  <c r="AW58" i="14" s="1"/>
  <c r="AX58" i="14" s="1"/>
  <c r="AY58" i="14" s="1"/>
  <c r="AZ58" i="14" s="1"/>
  <c r="BA58" i="14" s="1"/>
  <c r="BB58" i="14" s="1"/>
  <c r="BC58" i="14" s="1"/>
  <c r="BD58" i="14" s="1"/>
  <c r="BE58" i="14" s="1"/>
  <c r="BF58" i="14" s="1"/>
  <c r="BG58" i="14" s="1"/>
  <c r="AG58" i="14"/>
  <c r="AC58" i="14"/>
  <c r="AF58" i="14"/>
  <c r="AH57" i="14"/>
  <c r="AI57" i="14" s="1"/>
  <c r="AJ57" i="14" s="1"/>
  <c r="AK57" i="14" s="1"/>
  <c r="AL57" i="14" s="1"/>
  <c r="AM57" i="14" s="1"/>
  <c r="AN57" i="14" s="1"/>
  <c r="AO57" i="14" s="1"/>
  <c r="AP57" i="14" s="1"/>
  <c r="AQ57" i="14" s="1"/>
  <c r="AR57" i="14" s="1"/>
  <c r="AS57" i="14" s="1"/>
  <c r="AT57" i="14" s="1"/>
  <c r="AU57" i="14" s="1"/>
  <c r="AV57" i="14" s="1"/>
  <c r="AW57" i="14" s="1"/>
  <c r="AX57" i="14" s="1"/>
  <c r="AY57" i="14" s="1"/>
  <c r="AZ57" i="14" s="1"/>
  <c r="BA57" i="14" s="1"/>
  <c r="BB57" i="14" s="1"/>
  <c r="BC57" i="14" s="1"/>
  <c r="BD57" i="14" s="1"/>
  <c r="BE57" i="14" s="1"/>
  <c r="BF57" i="14" s="1"/>
  <c r="AG57" i="14"/>
  <c r="AC57" i="14"/>
  <c r="AF57" i="14"/>
  <c r="AC51" i="14"/>
  <c r="AH40" i="14"/>
  <c r="AI40" i="14" s="1"/>
  <c r="AJ40" i="14" s="1"/>
  <c r="AK40" i="14" s="1"/>
  <c r="AL40" i="14" s="1"/>
  <c r="AM40" i="14" s="1"/>
  <c r="AN40" i="14" s="1"/>
  <c r="AO40" i="14" s="1"/>
  <c r="AP40" i="14" s="1"/>
  <c r="AQ40" i="14" s="1"/>
  <c r="AR40" i="14" s="1"/>
  <c r="AS40" i="14" s="1"/>
  <c r="AT40" i="14" s="1"/>
  <c r="AU40" i="14" s="1"/>
  <c r="AV40" i="14" s="1"/>
  <c r="AW40" i="14" s="1"/>
  <c r="AX40" i="14" s="1"/>
  <c r="AY40" i="14" s="1"/>
  <c r="AZ40" i="14" s="1"/>
  <c r="BA40" i="14" s="1"/>
  <c r="BB40" i="14" s="1"/>
  <c r="BC40" i="14" s="1"/>
  <c r="BD40" i="14" s="1"/>
  <c r="BE40" i="14" s="1"/>
  <c r="BF40" i="14" s="1"/>
  <c r="AR56" i="7" s="1"/>
  <c r="AG40" i="14"/>
  <c r="AC40" i="14"/>
  <c r="AF40" i="14"/>
  <c r="AH46" i="14"/>
  <c r="AI46" i="14" s="1"/>
  <c r="AJ46" i="14" s="1"/>
  <c r="AK46" i="14" s="1"/>
  <c r="AL46" i="14" s="1"/>
  <c r="AM46" i="14" s="1"/>
  <c r="AN46" i="14" s="1"/>
  <c r="AO46" i="14" s="1"/>
  <c r="AP46" i="14" s="1"/>
  <c r="AQ46" i="14" s="1"/>
  <c r="AR46" i="14" s="1"/>
  <c r="AS46" i="14" s="1"/>
  <c r="AT46" i="14" s="1"/>
  <c r="AU46" i="14" s="1"/>
  <c r="AV46" i="14" s="1"/>
  <c r="AW46" i="14" s="1"/>
  <c r="AX46" i="14" s="1"/>
  <c r="AY46" i="14" s="1"/>
  <c r="AZ46" i="14" s="1"/>
  <c r="BA46" i="14" s="1"/>
  <c r="BB46" i="14" s="1"/>
  <c r="BC46" i="14" s="1"/>
  <c r="BD46" i="14" s="1"/>
  <c r="BE46" i="14" s="1"/>
  <c r="BF46" i="14" s="1"/>
  <c r="BG46" i="14" s="1"/>
  <c r="AG46" i="14"/>
  <c r="AC46" i="14"/>
  <c r="AF46" i="14"/>
  <c r="AH45" i="14"/>
  <c r="AI45" i="14" s="1"/>
  <c r="AJ45" i="14" s="1"/>
  <c r="AK45" i="14" s="1"/>
  <c r="AL45" i="14" s="1"/>
  <c r="AM45" i="14" s="1"/>
  <c r="AN45" i="14" s="1"/>
  <c r="AO45" i="14" s="1"/>
  <c r="AP45" i="14" s="1"/>
  <c r="AQ45" i="14" s="1"/>
  <c r="AR45" i="14" s="1"/>
  <c r="AS45" i="14" s="1"/>
  <c r="AT45" i="14" s="1"/>
  <c r="AU45" i="14" s="1"/>
  <c r="AV45" i="14" s="1"/>
  <c r="AW45" i="14" s="1"/>
  <c r="AX45" i="14" s="1"/>
  <c r="AY45" i="14" s="1"/>
  <c r="AZ45" i="14" s="1"/>
  <c r="BA45" i="14" s="1"/>
  <c r="BB45" i="14" s="1"/>
  <c r="BC45" i="14" s="1"/>
  <c r="BD45" i="14" s="1"/>
  <c r="BE45" i="14" s="1"/>
  <c r="BF45" i="14" s="1"/>
  <c r="BG45" i="14" s="1"/>
  <c r="AG45" i="14"/>
  <c r="AC45" i="14"/>
  <c r="AF45" i="14"/>
  <c r="AH43" i="14"/>
  <c r="AI43" i="14" s="1"/>
  <c r="AJ43" i="14" s="1"/>
  <c r="AK43" i="14" s="1"/>
  <c r="AL43" i="14" s="1"/>
  <c r="AM43" i="14" s="1"/>
  <c r="AN43" i="14" s="1"/>
  <c r="AO43" i="14" s="1"/>
  <c r="AP43" i="14" s="1"/>
  <c r="AQ43" i="14" s="1"/>
  <c r="AR43" i="14" s="1"/>
  <c r="AS43" i="14" s="1"/>
  <c r="AT43" i="14" s="1"/>
  <c r="AU43" i="14" s="1"/>
  <c r="AV43" i="14" s="1"/>
  <c r="AW43" i="14" s="1"/>
  <c r="AX43" i="14" s="1"/>
  <c r="AY43" i="14" s="1"/>
  <c r="AZ43" i="14" s="1"/>
  <c r="BA43" i="14" s="1"/>
  <c r="BB43" i="14" s="1"/>
  <c r="BC43" i="14" s="1"/>
  <c r="BD43" i="14" s="1"/>
  <c r="BE43" i="14" s="1"/>
  <c r="BF43" i="14" s="1"/>
  <c r="BG43" i="14" s="1"/>
  <c r="AG43" i="14"/>
  <c r="AC43" i="14"/>
  <c r="AF43" i="14"/>
  <c r="AH42" i="14"/>
  <c r="AI42" i="14" s="1"/>
  <c r="AJ42" i="14" s="1"/>
  <c r="AK42" i="14" s="1"/>
  <c r="AL42" i="14" s="1"/>
  <c r="AM42" i="14" s="1"/>
  <c r="AN42" i="14" s="1"/>
  <c r="AO42" i="14" s="1"/>
  <c r="AP42" i="14" s="1"/>
  <c r="AQ42" i="14" s="1"/>
  <c r="AR42" i="14" s="1"/>
  <c r="AS42" i="14" s="1"/>
  <c r="AT42" i="14" s="1"/>
  <c r="AU42" i="14" s="1"/>
  <c r="AV42" i="14" s="1"/>
  <c r="AW42" i="14" s="1"/>
  <c r="AX42" i="14" s="1"/>
  <c r="AY42" i="14" s="1"/>
  <c r="AZ42" i="14" s="1"/>
  <c r="BA42" i="14" s="1"/>
  <c r="BB42" i="14" s="1"/>
  <c r="BC42" i="14" s="1"/>
  <c r="BD42" i="14" s="1"/>
  <c r="BE42" i="14" s="1"/>
  <c r="BF42" i="14" s="1"/>
  <c r="AG42" i="14"/>
  <c r="AC42" i="14"/>
  <c r="AF42" i="14"/>
  <c r="AH50" i="14"/>
  <c r="AI50" i="14" s="1"/>
  <c r="AJ50" i="14" s="1"/>
  <c r="AK50" i="14" s="1"/>
  <c r="AL50" i="14" s="1"/>
  <c r="AM50" i="14" s="1"/>
  <c r="AN50" i="14" s="1"/>
  <c r="AO50" i="14" s="1"/>
  <c r="AP50" i="14" s="1"/>
  <c r="AQ50" i="14" s="1"/>
  <c r="AR50" i="14" s="1"/>
  <c r="AS50" i="14" s="1"/>
  <c r="AT50" i="14" s="1"/>
  <c r="AU50" i="14" s="1"/>
  <c r="AV50" i="14" s="1"/>
  <c r="AW50" i="14" s="1"/>
  <c r="AX50" i="14" s="1"/>
  <c r="AY50" i="14" s="1"/>
  <c r="AZ50" i="14" s="1"/>
  <c r="BA50" i="14" s="1"/>
  <c r="BB50" i="14" s="1"/>
  <c r="BC50" i="14" s="1"/>
  <c r="BD50" i="14" s="1"/>
  <c r="BE50" i="14" s="1"/>
  <c r="BF50" i="14" s="1"/>
  <c r="BG50" i="14" s="1"/>
  <c r="AG50" i="14"/>
  <c r="AC50" i="14"/>
  <c r="AF50" i="14"/>
  <c r="AH49" i="14"/>
  <c r="AI49" i="14" s="1"/>
  <c r="AJ49" i="14" s="1"/>
  <c r="AK49" i="14" s="1"/>
  <c r="AL49" i="14" s="1"/>
  <c r="AM49" i="14" s="1"/>
  <c r="AN49" i="14" s="1"/>
  <c r="AO49" i="14" s="1"/>
  <c r="AP49" i="14" s="1"/>
  <c r="AQ49" i="14" s="1"/>
  <c r="AR49" i="14" s="1"/>
  <c r="AS49" i="14" s="1"/>
  <c r="AT49" i="14" s="1"/>
  <c r="AU49" i="14" s="1"/>
  <c r="AV49" i="14" s="1"/>
  <c r="AW49" i="14" s="1"/>
  <c r="AX49" i="14" s="1"/>
  <c r="AY49" i="14" s="1"/>
  <c r="AZ49" i="14" s="1"/>
  <c r="BA49" i="14" s="1"/>
  <c r="BB49" i="14" s="1"/>
  <c r="BC49" i="14" s="1"/>
  <c r="BD49" i="14" s="1"/>
  <c r="BE49" i="14" s="1"/>
  <c r="BF49" i="14" s="1"/>
  <c r="BG49" i="14" s="1"/>
  <c r="AG49" i="14"/>
  <c r="AC49" i="14"/>
  <c r="AF49" i="14"/>
  <c r="AH48" i="14"/>
  <c r="AG48" i="14"/>
  <c r="AF48" i="14"/>
  <c r="AH47" i="14"/>
  <c r="AG47" i="14"/>
  <c r="AF47" i="14"/>
  <c r="AH44" i="14"/>
  <c r="AI44" i="14" s="1"/>
  <c r="AJ44" i="14" s="1"/>
  <c r="AK44" i="14" s="1"/>
  <c r="AL44" i="14" s="1"/>
  <c r="AM44" i="14" s="1"/>
  <c r="AN44" i="14" s="1"/>
  <c r="AO44" i="14" s="1"/>
  <c r="AP44" i="14" s="1"/>
  <c r="AQ44" i="14" s="1"/>
  <c r="AR44" i="14" s="1"/>
  <c r="AS44" i="14" s="1"/>
  <c r="AT44" i="14" s="1"/>
  <c r="AU44" i="14" s="1"/>
  <c r="AV44" i="14" s="1"/>
  <c r="AW44" i="14" s="1"/>
  <c r="AX44" i="14" s="1"/>
  <c r="AY44" i="14" s="1"/>
  <c r="AZ44" i="14" s="1"/>
  <c r="BA44" i="14" s="1"/>
  <c r="BB44" i="14" s="1"/>
  <c r="BC44" i="14" s="1"/>
  <c r="BD44" i="14" s="1"/>
  <c r="BE44" i="14" s="1"/>
  <c r="BF44" i="14" s="1"/>
  <c r="BG44" i="14" s="1"/>
  <c r="AG44" i="14"/>
  <c r="AC44" i="14"/>
  <c r="AF44" i="14"/>
  <c r="AH41" i="14"/>
  <c r="AI41" i="14" s="1"/>
  <c r="AJ41" i="14" s="1"/>
  <c r="AK41" i="14" s="1"/>
  <c r="AL41" i="14" s="1"/>
  <c r="AM41" i="14" s="1"/>
  <c r="AN41" i="14" s="1"/>
  <c r="AO41" i="14" s="1"/>
  <c r="AP41" i="14" s="1"/>
  <c r="AQ41" i="14" s="1"/>
  <c r="AR41" i="14" s="1"/>
  <c r="AS41" i="14" s="1"/>
  <c r="AT41" i="14" s="1"/>
  <c r="AU41" i="14" s="1"/>
  <c r="AV41" i="14" s="1"/>
  <c r="AW41" i="14" s="1"/>
  <c r="AX41" i="14" s="1"/>
  <c r="AY41" i="14" s="1"/>
  <c r="AZ41" i="14" s="1"/>
  <c r="BA41" i="14" s="1"/>
  <c r="BB41" i="14" s="1"/>
  <c r="BC41" i="14" s="1"/>
  <c r="BD41" i="14" s="1"/>
  <c r="BE41" i="14" s="1"/>
  <c r="BF41" i="14" s="1"/>
  <c r="AR57" i="7" s="1"/>
  <c r="AG41" i="14"/>
  <c r="AC41" i="14"/>
  <c r="AF41" i="14"/>
  <c r="AH39" i="14"/>
  <c r="AI39" i="14" s="1"/>
  <c r="AJ39" i="14" s="1"/>
  <c r="AK39" i="14" s="1"/>
  <c r="AL39" i="14" s="1"/>
  <c r="AM39" i="14" s="1"/>
  <c r="AN39" i="14" s="1"/>
  <c r="AO39" i="14" s="1"/>
  <c r="AP39" i="14" s="1"/>
  <c r="AQ39" i="14" s="1"/>
  <c r="AR39" i="14" s="1"/>
  <c r="AS39" i="14" s="1"/>
  <c r="AT39" i="14" s="1"/>
  <c r="AU39" i="14" s="1"/>
  <c r="AV39" i="14" s="1"/>
  <c r="AW39" i="14" s="1"/>
  <c r="AX39" i="14" s="1"/>
  <c r="AY39" i="14" s="1"/>
  <c r="AZ39" i="14" s="1"/>
  <c r="BA39" i="14" s="1"/>
  <c r="BB39" i="14" s="1"/>
  <c r="BC39" i="14" s="1"/>
  <c r="BD39" i="14" s="1"/>
  <c r="BE39" i="14" s="1"/>
  <c r="BF39" i="14" s="1"/>
  <c r="BG39" i="14" s="1"/>
  <c r="AG39" i="14"/>
  <c r="AC39" i="14"/>
  <c r="AF39" i="14"/>
  <c r="AH38" i="14"/>
  <c r="AI38" i="14" s="1"/>
  <c r="AJ38" i="14" s="1"/>
  <c r="AK38" i="14" s="1"/>
  <c r="AL38" i="14" s="1"/>
  <c r="AM38" i="14" s="1"/>
  <c r="AN38" i="14" s="1"/>
  <c r="AO38" i="14" s="1"/>
  <c r="AP38" i="14" s="1"/>
  <c r="AQ38" i="14" s="1"/>
  <c r="AR38" i="14" s="1"/>
  <c r="AS38" i="14" s="1"/>
  <c r="AT38" i="14" s="1"/>
  <c r="AU38" i="14" s="1"/>
  <c r="AV38" i="14" s="1"/>
  <c r="AW38" i="14" s="1"/>
  <c r="AX38" i="14" s="1"/>
  <c r="AY38" i="14" s="1"/>
  <c r="AZ38" i="14" s="1"/>
  <c r="BA38" i="14" s="1"/>
  <c r="BB38" i="14" s="1"/>
  <c r="BC38" i="14" s="1"/>
  <c r="BD38" i="14" s="1"/>
  <c r="BE38" i="14" s="1"/>
  <c r="BF38" i="14" s="1"/>
  <c r="AG38" i="14"/>
  <c r="AC38" i="14"/>
  <c r="AF38" i="14"/>
  <c r="AH37" i="14"/>
  <c r="AI37" i="14" s="1"/>
  <c r="AJ37" i="14" s="1"/>
  <c r="AK37" i="14" s="1"/>
  <c r="AL37" i="14" s="1"/>
  <c r="AM37" i="14" s="1"/>
  <c r="AN37" i="14" s="1"/>
  <c r="AO37" i="14" s="1"/>
  <c r="AP37" i="14" s="1"/>
  <c r="AQ37" i="14" s="1"/>
  <c r="AR37" i="14" s="1"/>
  <c r="AS37" i="14" s="1"/>
  <c r="AT37" i="14" s="1"/>
  <c r="AU37" i="14" s="1"/>
  <c r="AV37" i="14" s="1"/>
  <c r="AW37" i="14" s="1"/>
  <c r="AX37" i="14" s="1"/>
  <c r="AY37" i="14" s="1"/>
  <c r="AZ37" i="14" s="1"/>
  <c r="BA37" i="14" s="1"/>
  <c r="BB37" i="14" s="1"/>
  <c r="BC37" i="14" s="1"/>
  <c r="BD37" i="14" s="1"/>
  <c r="BE37" i="14" s="1"/>
  <c r="BF37" i="14" s="1"/>
  <c r="BG37" i="14" s="1"/>
  <c r="AG37" i="14"/>
  <c r="AC37" i="14"/>
  <c r="AF37" i="14"/>
  <c r="AH36" i="14"/>
  <c r="AI36" i="14" s="1"/>
  <c r="AJ36" i="14" s="1"/>
  <c r="AK36" i="14" s="1"/>
  <c r="AL36" i="14" s="1"/>
  <c r="AM36" i="14" s="1"/>
  <c r="AN36" i="14" s="1"/>
  <c r="AO36" i="14" s="1"/>
  <c r="AP36" i="14" s="1"/>
  <c r="AQ36" i="14" s="1"/>
  <c r="AR36" i="14" s="1"/>
  <c r="AS36" i="14" s="1"/>
  <c r="AT36" i="14" s="1"/>
  <c r="AU36" i="14" s="1"/>
  <c r="AV36" i="14" s="1"/>
  <c r="AW36" i="14" s="1"/>
  <c r="AX36" i="14" s="1"/>
  <c r="AY36" i="14" s="1"/>
  <c r="AZ36" i="14" s="1"/>
  <c r="BA36" i="14" s="1"/>
  <c r="BB36" i="14" s="1"/>
  <c r="BC36" i="14" s="1"/>
  <c r="BD36" i="14" s="1"/>
  <c r="BE36" i="14" s="1"/>
  <c r="BF36" i="14" s="1"/>
  <c r="AG36" i="14"/>
  <c r="AC36" i="14"/>
  <c r="AF36" i="14"/>
  <c r="AH35" i="14"/>
  <c r="AI35" i="14" s="1"/>
  <c r="AJ35" i="14" s="1"/>
  <c r="AK35" i="14" s="1"/>
  <c r="AL35" i="14" s="1"/>
  <c r="AM35" i="14" s="1"/>
  <c r="AN35" i="14" s="1"/>
  <c r="AO35" i="14" s="1"/>
  <c r="AP35" i="14" s="1"/>
  <c r="AQ35" i="14" s="1"/>
  <c r="AR35" i="14" s="1"/>
  <c r="AS35" i="14" s="1"/>
  <c r="AT35" i="14" s="1"/>
  <c r="AU35" i="14" s="1"/>
  <c r="AV35" i="14" s="1"/>
  <c r="AW35" i="14" s="1"/>
  <c r="AX35" i="14" s="1"/>
  <c r="AY35" i="14" s="1"/>
  <c r="AZ35" i="14" s="1"/>
  <c r="BA35" i="14" s="1"/>
  <c r="BB35" i="14" s="1"/>
  <c r="BC35" i="14" s="1"/>
  <c r="BD35" i="14" s="1"/>
  <c r="BE35" i="14" s="1"/>
  <c r="BF35" i="14" s="1"/>
  <c r="AG35" i="14"/>
  <c r="AC35" i="14"/>
  <c r="AF35" i="14"/>
  <c r="AH34" i="14"/>
  <c r="AI34" i="14" s="1"/>
  <c r="AJ34" i="14" s="1"/>
  <c r="AK34" i="14" s="1"/>
  <c r="AL34" i="14" s="1"/>
  <c r="AM34" i="14" s="1"/>
  <c r="AN34" i="14" s="1"/>
  <c r="AO34" i="14" s="1"/>
  <c r="AP34" i="14" s="1"/>
  <c r="AQ34" i="14" s="1"/>
  <c r="AR34" i="14" s="1"/>
  <c r="AS34" i="14" s="1"/>
  <c r="AT34" i="14" s="1"/>
  <c r="AU34" i="14" s="1"/>
  <c r="AV34" i="14" s="1"/>
  <c r="AW34" i="14" s="1"/>
  <c r="AX34" i="14" s="1"/>
  <c r="AY34" i="14" s="1"/>
  <c r="AZ34" i="14" s="1"/>
  <c r="BA34" i="14" s="1"/>
  <c r="BB34" i="14" s="1"/>
  <c r="BC34" i="14" s="1"/>
  <c r="BD34" i="14" s="1"/>
  <c r="BE34" i="14" s="1"/>
  <c r="BF34" i="14" s="1"/>
  <c r="AG34" i="14"/>
  <c r="AC34" i="14"/>
  <c r="AF34" i="14"/>
  <c r="AH33" i="14"/>
  <c r="AI33" i="14" s="1"/>
  <c r="AJ33" i="14" s="1"/>
  <c r="AK33" i="14" s="1"/>
  <c r="AL33" i="14" s="1"/>
  <c r="AM33" i="14" s="1"/>
  <c r="AN33" i="14" s="1"/>
  <c r="AO33" i="14" s="1"/>
  <c r="AP33" i="14" s="1"/>
  <c r="AQ33" i="14" s="1"/>
  <c r="AR33" i="14" s="1"/>
  <c r="AS33" i="14" s="1"/>
  <c r="AT33" i="14" s="1"/>
  <c r="AU33" i="14" s="1"/>
  <c r="AV33" i="14" s="1"/>
  <c r="AW33" i="14" s="1"/>
  <c r="AX33" i="14" s="1"/>
  <c r="AY33" i="14" s="1"/>
  <c r="AZ33" i="14" s="1"/>
  <c r="BA33" i="14" s="1"/>
  <c r="BB33" i="14" s="1"/>
  <c r="BC33" i="14" s="1"/>
  <c r="BD33" i="14" s="1"/>
  <c r="BE33" i="14" s="1"/>
  <c r="BF33" i="14" s="1"/>
  <c r="BG33" i="14" s="1"/>
  <c r="AG33" i="14"/>
  <c r="AC33" i="14"/>
  <c r="AF33" i="14"/>
  <c r="AH32" i="14"/>
  <c r="AI32" i="14" s="1"/>
  <c r="AJ32" i="14" s="1"/>
  <c r="AK32" i="14" s="1"/>
  <c r="AL32" i="14" s="1"/>
  <c r="AM32" i="14" s="1"/>
  <c r="AN32" i="14" s="1"/>
  <c r="AO32" i="14" s="1"/>
  <c r="AP32" i="14" s="1"/>
  <c r="AQ32" i="14" s="1"/>
  <c r="AR32" i="14" s="1"/>
  <c r="AS32" i="14" s="1"/>
  <c r="AT32" i="14" s="1"/>
  <c r="AU32" i="14" s="1"/>
  <c r="AV32" i="14" s="1"/>
  <c r="AW32" i="14" s="1"/>
  <c r="AX32" i="14" s="1"/>
  <c r="AY32" i="14" s="1"/>
  <c r="AZ32" i="14" s="1"/>
  <c r="BA32" i="14" s="1"/>
  <c r="BB32" i="14" s="1"/>
  <c r="BC32" i="14" s="1"/>
  <c r="BD32" i="14" s="1"/>
  <c r="BE32" i="14" s="1"/>
  <c r="BF32" i="14" s="1"/>
  <c r="AG32" i="14"/>
  <c r="AC32" i="14"/>
  <c r="AF32" i="14"/>
  <c r="AH31" i="14"/>
  <c r="AI31" i="14" s="1"/>
  <c r="AJ31" i="14" s="1"/>
  <c r="AK31" i="14" s="1"/>
  <c r="AL31" i="14" s="1"/>
  <c r="AM31" i="14" s="1"/>
  <c r="AN31" i="14" s="1"/>
  <c r="AO31" i="14" s="1"/>
  <c r="AP31" i="14" s="1"/>
  <c r="AQ31" i="14" s="1"/>
  <c r="AR31" i="14" s="1"/>
  <c r="AS31" i="14" s="1"/>
  <c r="AT31" i="14" s="1"/>
  <c r="AU31" i="14" s="1"/>
  <c r="AV31" i="14" s="1"/>
  <c r="AW31" i="14" s="1"/>
  <c r="AX31" i="14" s="1"/>
  <c r="AY31" i="14" s="1"/>
  <c r="AZ31" i="14" s="1"/>
  <c r="BA31" i="14" s="1"/>
  <c r="BB31" i="14" s="1"/>
  <c r="BC31" i="14" s="1"/>
  <c r="BD31" i="14" s="1"/>
  <c r="BE31" i="14" s="1"/>
  <c r="BF31" i="14" s="1"/>
  <c r="BG31" i="14" s="1"/>
  <c r="AG31" i="14"/>
  <c r="AC31" i="14"/>
  <c r="AF31" i="14"/>
  <c r="AH30" i="14"/>
  <c r="AI30" i="14" s="1"/>
  <c r="AJ30" i="14" s="1"/>
  <c r="AK30" i="14" s="1"/>
  <c r="AL30" i="14" s="1"/>
  <c r="AM30" i="14" s="1"/>
  <c r="AN30" i="14" s="1"/>
  <c r="AO30" i="14" s="1"/>
  <c r="AP30" i="14" s="1"/>
  <c r="AQ30" i="14" s="1"/>
  <c r="AR30" i="14" s="1"/>
  <c r="AS30" i="14" s="1"/>
  <c r="AT30" i="14" s="1"/>
  <c r="AU30" i="14" s="1"/>
  <c r="AV30" i="14" s="1"/>
  <c r="AW30" i="14" s="1"/>
  <c r="AX30" i="14" s="1"/>
  <c r="AY30" i="14" s="1"/>
  <c r="AZ30" i="14" s="1"/>
  <c r="BA30" i="14" s="1"/>
  <c r="BB30" i="14" s="1"/>
  <c r="BC30" i="14" s="1"/>
  <c r="BD30" i="14" s="1"/>
  <c r="BE30" i="14" s="1"/>
  <c r="BF30" i="14" s="1"/>
  <c r="AG30" i="14"/>
  <c r="AC30" i="14"/>
  <c r="AF30" i="14"/>
  <c r="AC24" i="14"/>
  <c r="AH13" i="14"/>
  <c r="AG13" i="14"/>
  <c r="AF13" i="14"/>
  <c r="AH19" i="14"/>
  <c r="AG19" i="14"/>
  <c r="AF19" i="14"/>
  <c r="AH18" i="14"/>
  <c r="AG18" i="14"/>
  <c r="AF18" i="14"/>
  <c r="AH16" i="14"/>
  <c r="AI16" i="14" s="1"/>
  <c r="AJ16" i="14" s="1"/>
  <c r="AK16" i="14" s="1"/>
  <c r="AL16" i="14" s="1"/>
  <c r="AM16" i="14" s="1"/>
  <c r="AN16" i="14" s="1"/>
  <c r="AO16" i="14" s="1"/>
  <c r="AP16" i="14" s="1"/>
  <c r="AQ16" i="14" s="1"/>
  <c r="AR16" i="14" s="1"/>
  <c r="AS16" i="14" s="1"/>
  <c r="AT16" i="14" s="1"/>
  <c r="AU16" i="14" s="1"/>
  <c r="AV16" i="14" s="1"/>
  <c r="AW16" i="14" s="1"/>
  <c r="AX16" i="14" s="1"/>
  <c r="AY16" i="14" s="1"/>
  <c r="AZ16" i="14" s="1"/>
  <c r="BA16" i="14" s="1"/>
  <c r="BB16" i="14" s="1"/>
  <c r="BC16" i="14" s="1"/>
  <c r="BD16" i="14" s="1"/>
  <c r="BE16" i="14" s="1"/>
  <c r="BF16" i="14" s="1"/>
  <c r="BG16" i="14" s="1"/>
  <c r="AG16" i="14"/>
  <c r="AC16" i="14"/>
  <c r="AF16" i="14"/>
  <c r="AH15" i="14"/>
  <c r="AI15" i="14" s="1"/>
  <c r="AJ15" i="14" s="1"/>
  <c r="AK15" i="14" s="1"/>
  <c r="AL15" i="14" s="1"/>
  <c r="AM15" i="14" s="1"/>
  <c r="AN15" i="14" s="1"/>
  <c r="AO15" i="14" s="1"/>
  <c r="AP15" i="14" s="1"/>
  <c r="AQ15" i="14" s="1"/>
  <c r="AR15" i="14" s="1"/>
  <c r="AS15" i="14" s="1"/>
  <c r="AT15" i="14" s="1"/>
  <c r="AU15" i="14" s="1"/>
  <c r="AV15" i="14" s="1"/>
  <c r="AW15" i="14" s="1"/>
  <c r="AX15" i="14" s="1"/>
  <c r="AY15" i="14" s="1"/>
  <c r="AZ15" i="14" s="1"/>
  <c r="BA15" i="14" s="1"/>
  <c r="BB15" i="14" s="1"/>
  <c r="BC15" i="14" s="1"/>
  <c r="BD15" i="14" s="1"/>
  <c r="BE15" i="14" s="1"/>
  <c r="BF15" i="14" s="1"/>
  <c r="AG15" i="14"/>
  <c r="AC15" i="14"/>
  <c r="AF15" i="14"/>
  <c r="AH23" i="14"/>
  <c r="AI23" i="14" s="1"/>
  <c r="AJ23" i="14" s="1"/>
  <c r="AK23" i="14" s="1"/>
  <c r="AL23" i="14" s="1"/>
  <c r="AM23" i="14" s="1"/>
  <c r="AN23" i="14" s="1"/>
  <c r="AO23" i="14" s="1"/>
  <c r="AP23" i="14" s="1"/>
  <c r="AQ23" i="14" s="1"/>
  <c r="AR23" i="14" s="1"/>
  <c r="AS23" i="14" s="1"/>
  <c r="AT23" i="14" s="1"/>
  <c r="AU23" i="14" s="1"/>
  <c r="AV23" i="14" s="1"/>
  <c r="AW23" i="14" s="1"/>
  <c r="AX23" i="14" s="1"/>
  <c r="AY23" i="14" s="1"/>
  <c r="AZ23" i="14" s="1"/>
  <c r="BA23" i="14" s="1"/>
  <c r="BB23" i="14" s="1"/>
  <c r="BC23" i="14" s="1"/>
  <c r="BD23" i="14" s="1"/>
  <c r="BE23" i="14" s="1"/>
  <c r="BF23" i="14" s="1"/>
  <c r="BG23" i="14" s="1"/>
  <c r="AG23" i="14"/>
  <c r="AC23" i="14"/>
  <c r="AF23" i="14"/>
  <c r="AH22" i="14"/>
  <c r="AI22" i="14" s="1"/>
  <c r="AJ22" i="14" s="1"/>
  <c r="AK22" i="14" s="1"/>
  <c r="AL22" i="14" s="1"/>
  <c r="AM22" i="14" s="1"/>
  <c r="AN22" i="14" s="1"/>
  <c r="AO22" i="14" s="1"/>
  <c r="AP22" i="14" s="1"/>
  <c r="AQ22" i="14" s="1"/>
  <c r="AR22" i="14" s="1"/>
  <c r="AS22" i="14" s="1"/>
  <c r="AT22" i="14" s="1"/>
  <c r="AU22" i="14" s="1"/>
  <c r="AV22" i="14" s="1"/>
  <c r="AW22" i="14" s="1"/>
  <c r="AX22" i="14" s="1"/>
  <c r="AY22" i="14" s="1"/>
  <c r="AZ22" i="14" s="1"/>
  <c r="BA22" i="14" s="1"/>
  <c r="BB22" i="14" s="1"/>
  <c r="BC22" i="14" s="1"/>
  <c r="BD22" i="14" s="1"/>
  <c r="BE22" i="14" s="1"/>
  <c r="BF22" i="14" s="1"/>
  <c r="BG22" i="14" s="1"/>
  <c r="AG22" i="14"/>
  <c r="AC22" i="14"/>
  <c r="AF22" i="14"/>
  <c r="AH21" i="14"/>
  <c r="AG21" i="14"/>
  <c r="M21" i="14"/>
  <c r="L21" i="14"/>
  <c r="K21" i="14"/>
  <c r="J21" i="14"/>
  <c r="I21" i="14"/>
  <c r="H21" i="14"/>
  <c r="G21" i="14"/>
  <c r="F21" i="14"/>
  <c r="E21" i="14"/>
  <c r="AF21" i="14"/>
  <c r="AH20" i="14"/>
  <c r="AG20" i="14"/>
  <c r="W20" i="14"/>
  <c r="V20" i="14"/>
  <c r="U20" i="14"/>
  <c r="T20" i="14"/>
  <c r="S20" i="14"/>
  <c r="R20" i="14"/>
  <c r="Q20" i="14"/>
  <c r="P20" i="14"/>
  <c r="O20" i="14"/>
  <c r="N20" i="14"/>
  <c r="M20" i="14"/>
  <c r="L20" i="14"/>
  <c r="K20" i="14"/>
  <c r="J20" i="14"/>
  <c r="I20" i="14"/>
  <c r="H20" i="14"/>
  <c r="G20" i="14"/>
  <c r="F20" i="14"/>
  <c r="E20" i="14"/>
  <c r="AF20" i="14"/>
  <c r="AH17" i="14"/>
  <c r="AI17" i="14" s="1"/>
  <c r="AJ17" i="14" s="1"/>
  <c r="AK17" i="14" s="1"/>
  <c r="AG17" i="14"/>
  <c r="W17" i="14"/>
  <c r="V17" i="14"/>
  <c r="U17" i="14"/>
  <c r="T17" i="14"/>
  <c r="S17" i="14"/>
  <c r="R17" i="14"/>
  <c r="Q17" i="14"/>
  <c r="P17" i="14"/>
  <c r="O17" i="14"/>
  <c r="N17" i="14"/>
  <c r="M17" i="14"/>
  <c r="L17" i="14"/>
  <c r="K17" i="14"/>
  <c r="J17" i="14"/>
  <c r="I17" i="14"/>
  <c r="H17" i="14"/>
  <c r="AF17" i="14"/>
  <c r="AH14" i="14"/>
  <c r="AI14" i="14" s="1"/>
  <c r="AJ14" i="14" s="1"/>
  <c r="AK14" i="14" s="1"/>
  <c r="AL14" i="14" s="1"/>
  <c r="AM14" i="14" s="1"/>
  <c r="AN14" i="14" s="1"/>
  <c r="AO14" i="14" s="1"/>
  <c r="AP14" i="14" s="1"/>
  <c r="AQ14" i="14" s="1"/>
  <c r="AR14" i="14" s="1"/>
  <c r="AS14" i="14" s="1"/>
  <c r="AT14" i="14" s="1"/>
  <c r="AU14" i="14" s="1"/>
  <c r="AV14" i="14" s="1"/>
  <c r="AW14" i="14" s="1"/>
  <c r="AX14" i="14" s="1"/>
  <c r="AY14" i="14" s="1"/>
  <c r="AZ14" i="14" s="1"/>
  <c r="BA14" i="14" s="1"/>
  <c r="BB14" i="14" s="1"/>
  <c r="BC14" i="14" s="1"/>
  <c r="BD14" i="14" s="1"/>
  <c r="BE14" i="14" s="1"/>
  <c r="BF14" i="14" s="1"/>
  <c r="AG14" i="14"/>
  <c r="AC14" i="14"/>
  <c r="AF14" i="14"/>
  <c r="AH12" i="14"/>
  <c r="AI12" i="14" s="1"/>
  <c r="AJ12" i="14" s="1"/>
  <c r="AG12" i="14"/>
  <c r="R12" i="14"/>
  <c r="Q12" i="14"/>
  <c r="P12" i="14"/>
  <c r="O12" i="14"/>
  <c r="N12" i="14"/>
  <c r="M12" i="14"/>
  <c r="L12" i="14"/>
  <c r="K12" i="14"/>
  <c r="J12" i="14"/>
  <c r="I12" i="14"/>
  <c r="H12" i="14"/>
  <c r="G12" i="14"/>
  <c r="AF12" i="14"/>
  <c r="AH11" i="14"/>
  <c r="AI11" i="14" s="1"/>
  <c r="AJ11" i="14" s="1"/>
  <c r="AG11" i="14"/>
  <c r="AF11" i="14"/>
  <c r="AH10" i="14"/>
  <c r="AI10" i="14" s="1"/>
  <c r="AJ10" i="14" s="1"/>
  <c r="AG10" i="14"/>
  <c r="M10" i="14"/>
  <c r="L10" i="14"/>
  <c r="K10" i="14"/>
  <c r="J10" i="14"/>
  <c r="I10" i="14"/>
  <c r="H10" i="14"/>
  <c r="G10" i="14"/>
  <c r="AF10" i="14"/>
  <c r="AH9" i="14"/>
  <c r="AI9" i="14" s="1"/>
  <c r="AJ9" i="14" s="1"/>
  <c r="AG9" i="14"/>
  <c r="AF9" i="14"/>
  <c r="AH8" i="14"/>
  <c r="AI8" i="14" s="1"/>
  <c r="AJ8" i="14" s="1"/>
  <c r="AK8" i="14" s="1"/>
  <c r="AL8" i="14" s="1"/>
  <c r="AM8" i="14" s="1"/>
  <c r="AN8" i="14" s="1"/>
  <c r="AO8" i="14" s="1"/>
  <c r="AP8" i="14" s="1"/>
  <c r="AQ8" i="14" s="1"/>
  <c r="AR8" i="14" s="1"/>
  <c r="AS8" i="14" s="1"/>
  <c r="AT8" i="14" s="1"/>
  <c r="AU8" i="14" s="1"/>
  <c r="AV8" i="14" s="1"/>
  <c r="AW8" i="14" s="1"/>
  <c r="AX8" i="14" s="1"/>
  <c r="AY8" i="14" s="1"/>
  <c r="AZ8" i="14" s="1"/>
  <c r="BA8" i="14" s="1"/>
  <c r="BB8" i="14" s="1"/>
  <c r="BC8" i="14" s="1"/>
  <c r="BD8" i="14" s="1"/>
  <c r="BE8" i="14" s="1"/>
  <c r="BF8" i="14" s="1"/>
  <c r="AG8" i="14"/>
  <c r="AC8" i="14"/>
  <c r="AF8" i="14"/>
  <c r="AH7" i="14"/>
  <c r="AI7" i="14" s="1"/>
  <c r="AJ7" i="14" s="1"/>
  <c r="AG7" i="14"/>
  <c r="AF7" i="14"/>
  <c r="AH6" i="14"/>
  <c r="AI6" i="14" s="1"/>
  <c r="AJ6" i="14" s="1"/>
  <c r="AK6" i="14" s="1"/>
  <c r="AL6" i="14" s="1"/>
  <c r="AM6" i="14" s="1"/>
  <c r="AN6" i="14" s="1"/>
  <c r="AO6" i="14" s="1"/>
  <c r="AP6" i="14" s="1"/>
  <c r="AQ6" i="14" s="1"/>
  <c r="AR6" i="14" s="1"/>
  <c r="AS6" i="14" s="1"/>
  <c r="AT6" i="14" s="1"/>
  <c r="AU6" i="14" s="1"/>
  <c r="AV6" i="14" s="1"/>
  <c r="AW6" i="14" s="1"/>
  <c r="AX6" i="14" s="1"/>
  <c r="AY6" i="14" s="1"/>
  <c r="AZ6" i="14" s="1"/>
  <c r="BA6" i="14" s="1"/>
  <c r="BB6" i="14" s="1"/>
  <c r="BC6" i="14" s="1"/>
  <c r="BD6" i="14" s="1"/>
  <c r="BE6" i="14" s="1"/>
  <c r="BF6" i="14" s="1"/>
  <c r="BG6" i="14" s="1"/>
  <c r="AG6" i="14"/>
  <c r="AC6" i="14"/>
  <c r="AF6" i="14"/>
  <c r="AH5" i="14"/>
  <c r="AI5" i="14" s="1"/>
  <c r="AJ5" i="14" s="1"/>
  <c r="AK5" i="14" s="1"/>
  <c r="AL5" i="14" s="1"/>
  <c r="AM5" i="14" s="1"/>
  <c r="AN5" i="14" s="1"/>
  <c r="AO5" i="14" s="1"/>
  <c r="AP5" i="14" s="1"/>
  <c r="AQ5" i="14" s="1"/>
  <c r="AR5" i="14" s="1"/>
  <c r="AS5" i="14" s="1"/>
  <c r="AT5" i="14" s="1"/>
  <c r="AU5" i="14" s="1"/>
  <c r="AV5" i="14" s="1"/>
  <c r="AW5" i="14" s="1"/>
  <c r="AX5" i="14" s="1"/>
  <c r="AY5" i="14" s="1"/>
  <c r="AZ5" i="14" s="1"/>
  <c r="BA5" i="14" s="1"/>
  <c r="BB5" i="14" s="1"/>
  <c r="BC5" i="14" s="1"/>
  <c r="BD5" i="14" s="1"/>
  <c r="BE5" i="14" s="1"/>
  <c r="BF5" i="14" s="1"/>
  <c r="AG5" i="14"/>
  <c r="AC5" i="14"/>
  <c r="AF5" i="14"/>
  <c r="AH4" i="14"/>
  <c r="AG4" i="14"/>
  <c r="I4" i="14"/>
  <c r="H4" i="14"/>
  <c r="G4" i="14"/>
  <c r="F4" i="14"/>
  <c r="E4" i="14"/>
  <c r="AF4" i="14"/>
  <c r="AH3" i="14"/>
  <c r="AG3" i="14"/>
  <c r="I3" i="14"/>
  <c r="H3" i="14"/>
  <c r="G3" i="14"/>
  <c r="F3" i="14"/>
  <c r="E3" i="14"/>
  <c r="AF3" i="14"/>
  <c r="BA56" i="7"/>
  <c r="AQ56" i="7"/>
  <c r="AK56" i="7"/>
  <c r="AI56" i="7"/>
  <c r="AC56" i="7"/>
  <c r="K56" i="7"/>
  <c r="E100" i="11" s="1"/>
  <c r="F100" i="11" s="1"/>
  <c r="K62" i="7"/>
  <c r="E106" i="11" s="1"/>
  <c r="F106" i="11" s="1"/>
  <c r="BA61" i="7"/>
  <c r="AI61" i="7"/>
  <c r="AC61" i="7"/>
  <c r="K61" i="7"/>
  <c r="E105" i="11" s="1"/>
  <c r="F105" i="11" s="1"/>
  <c r="AQ59" i="7"/>
  <c r="AK59" i="7"/>
  <c r="T59" i="7"/>
  <c r="H103" i="11" s="1"/>
  <c r="I103" i="11" s="1"/>
  <c r="K59" i="7"/>
  <c r="E103" i="11" s="1"/>
  <c r="F103" i="11" s="1"/>
  <c r="BA58" i="7"/>
  <c r="AQ58" i="7"/>
  <c r="AK58" i="7"/>
  <c r="AI58" i="7"/>
  <c r="AC58" i="7"/>
  <c r="K58" i="7"/>
  <c r="E102" i="11" s="1"/>
  <c r="F102" i="11" s="1"/>
  <c r="AQ66" i="7"/>
  <c r="AK66" i="7"/>
  <c r="AA66" i="7"/>
  <c r="AF66" i="7" s="1"/>
  <c r="T66" i="7"/>
  <c r="H110" i="11" s="1"/>
  <c r="I110" i="11" s="1"/>
  <c r="K66" i="7"/>
  <c r="E110" i="11" s="1"/>
  <c r="F110" i="11" s="1"/>
  <c r="BA65" i="7"/>
  <c r="AQ65" i="7"/>
  <c r="AK65" i="7"/>
  <c r="AI65" i="7"/>
  <c r="AC65" i="7"/>
  <c r="AQ64" i="7"/>
  <c r="AK64" i="7"/>
  <c r="K64" i="7"/>
  <c r="E108" i="11" s="1"/>
  <c r="F108" i="11" s="1"/>
  <c r="BA63" i="7"/>
  <c r="AQ63" i="7"/>
  <c r="AK63" i="7"/>
  <c r="AI63" i="7"/>
  <c r="AC63" i="7"/>
  <c r="K63" i="7"/>
  <c r="E107" i="11" s="1"/>
  <c r="F107" i="11" s="1"/>
  <c r="BA60" i="7"/>
  <c r="AQ60" i="7"/>
  <c r="AK60" i="7"/>
  <c r="AI60" i="7"/>
  <c r="AC60" i="7"/>
  <c r="K60" i="7"/>
  <c r="E104" i="11" s="1"/>
  <c r="F104" i="11" s="1"/>
  <c r="BA57" i="7"/>
  <c r="AQ57" i="7"/>
  <c r="AK57" i="7"/>
  <c r="AI57" i="7"/>
  <c r="AC57" i="7"/>
  <c r="K57" i="7"/>
  <c r="E101" i="11" s="1"/>
  <c r="F101" i="11" s="1"/>
  <c r="AQ55" i="7"/>
  <c r="AK55" i="7"/>
  <c r="BA54" i="7"/>
  <c r="AQ54" i="7"/>
  <c r="AK54" i="7"/>
  <c r="AI54" i="7"/>
  <c r="AC54" i="7"/>
  <c r="AQ53" i="7"/>
  <c r="AK53" i="7"/>
  <c r="AA53" i="7"/>
  <c r="AF53" i="7" s="1"/>
  <c r="T53" i="7"/>
  <c r="H97" i="11" s="1"/>
  <c r="I97" i="11" s="1"/>
  <c r="K53" i="7"/>
  <c r="E97" i="11" s="1"/>
  <c r="F97" i="11" s="1"/>
  <c r="BA52" i="7"/>
  <c r="AQ52" i="7"/>
  <c r="AK52" i="7"/>
  <c r="AI52" i="7"/>
  <c r="AC52" i="7"/>
  <c r="K52" i="7"/>
  <c r="E96" i="11" s="1"/>
  <c r="F96" i="11" s="1"/>
  <c r="BA51" i="7"/>
  <c r="AI51" i="7"/>
  <c r="AC51" i="7"/>
  <c r="BA50" i="7"/>
  <c r="AQ50" i="7"/>
  <c r="AK50" i="7"/>
  <c r="AI50" i="7"/>
  <c r="AC50" i="7"/>
  <c r="K50" i="7"/>
  <c r="E94" i="11" s="1"/>
  <c r="F94" i="11" s="1"/>
  <c r="AQ49" i="7"/>
  <c r="AK49" i="7"/>
  <c r="AA49" i="7"/>
  <c r="AF49" i="7" s="1"/>
  <c r="T49" i="7"/>
  <c r="H93" i="11" s="1"/>
  <c r="I93" i="11" s="1"/>
  <c r="K49" i="7"/>
  <c r="E93" i="11" s="1"/>
  <c r="F93" i="11" s="1"/>
  <c r="BA48" i="7"/>
  <c r="AQ48" i="7"/>
  <c r="AK48" i="7"/>
  <c r="AI48" i="7"/>
  <c r="AC48" i="7"/>
  <c r="K48" i="7"/>
  <c r="E92" i="11" s="1"/>
  <c r="F92" i="11" s="1"/>
  <c r="AQ47" i="7"/>
  <c r="AK47" i="7"/>
  <c r="AA47" i="7"/>
  <c r="K91" i="11" s="1"/>
  <c r="T47" i="7"/>
  <c r="U47" i="7" s="1"/>
  <c r="AE47" i="7" s="1"/>
  <c r="K47" i="7"/>
  <c r="L47" i="7" s="1"/>
  <c r="BA46" i="7"/>
  <c r="AQ46" i="7"/>
  <c r="AK46" i="7"/>
  <c r="AI46" i="7"/>
  <c r="AC46" i="7"/>
  <c r="T46" i="7"/>
  <c r="U46" i="7" s="1"/>
  <c r="AE46" i="7" s="1"/>
  <c r="K46" i="7"/>
  <c r="L46" i="7" s="1"/>
  <c r="BF27" i="7"/>
  <c r="BA27" i="7"/>
  <c r="AQ27" i="7"/>
  <c r="AK27" i="7"/>
  <c r="AI27" i="7"/>
  <c r="AC27" i="7"/>
  <c r="E56" i="7"/>
  <c r="B56" i="7"/>
  <c r="AJ56" i="7" s="1"/>
  <c r="AY33" i="7"/>
  <c r="B62" i="7"/>
  <c r="AJ62" i="7" s="1"/>
  <c r="BA32" i="7"/>
  <c r="AI32" i="7"/>
  <c r="AC32" i="7"/>
  <c r="B61" i="7"/>
  <c r="AJ61" i="7" s="1"/>
  <c r="AQ30" i="7"/>
  <c r="AK30" i="7"/>
  <c r="BA29" i="7"/>
  <c r="AQ29" i="7"/>
  <c r="AK29" i="7"/>
  <c r="AI29" i="7"/>
  <c r="AC29" i="7"/>
  <c r="B58" i="7"/>
  <c r="AJ58" i="7" s="1"/>
  <c r="AQ37" i="7"/>
  <c r="AK37" i="7"/>
  <c r="BA36" i="7"/>
  <c r="AQ36" i="7"/>
  <c r="AK36" i="7"/>
  <c r="AI36" i="7"/>
  <c r="AC36" i="7"/>
  <c r="B65" i="7"/>
  <c r="AJ65" i="7" s="1"/>
  <c r="AQ35" i="7"/>
  <c r="AK35" i="7"/>
  <c r="BA34" i="7"/>
  <c r="AQ34" i="7"/>
  <c r="AK34" i="7"/>
  <c r="AI34" i="7"/>
  <c r="AC34" i="7"/>
  <c r="B63" i="7"/>
  <c r="AJ63" i="7" s="1"/>
  <c r="BF31" i="7"/>
  <c r="BA31" i="7"/>
  <c r="AQ31" i="7"/>
  <c r="AK31" i="7"/>
  <c r="AI31" i="7"/>
  <c r="AC31" i="7"/>
  <c r="AU31" i="7"/>
  <c r="BF28" i="7"/>
  <c r="BA28" i="7"/>
  <c r="AQ28" i="7"/>
  <c r="AK28" i="7"/>
  <c r="AI28" i="7"/>
  <c r="AC28" i="7"/>
  <c r="AJ28" i="7"/>
  <c r="AQ26" i="7"/>
  <c r="AK26" i="7"/>
  <c r="E55" i="7"/>
  <c r="B55" i="7"/>
  <c r="AJ55" i="7" s="1"/>
  <c r="BA25" i="7"/>
  <c r="AQ25" i="7"/>
  <c r="AK25" i="7"/>
  <c r="AI25" i="7"/>
  <c r="AC25" i="7"/>
  <c r="AQ24" i="7"/>
  <c r="AK24" i="7"/>
  <c r="B53" i="7"/>
  <c r="AJ53" i="7" s="1"/>
  <c r="BA23" i="7"/>
  <c r="AQ23" i="7"/>
  <c r="AK23" i="7"/>
  <c r="AI23" i="7"/>
  <c r="AC23" i="7"/>
  <c r="E52" i="7"/>
  <c r="B52" i="7"/>
  <c r="AJ52" i="7" s="1"/>
  <c r="BF22" i="7"/>
  <c r="BA22" i="7"/>
  <c r="AQ22" i="7"/>
  <c r="AK22" i="7"/>
  <c r="AI22" i="7"/>
  <c r="AC22" i="7"/>
  <c r="B51" i="7"/>
  <c r="AJ51" i="7" s="1"/>
  <c r="BF21" i="7"/>
  <c r="BA21" i="7"/>
  <c r="AQ21" i="7"/>
  <c r="AK21" i="7"/>
  <c r="AI21" i="7"/>
  <c r="AC21" i="7"/>
  <c r="B50" i="7"/>
  <c r="AJ50" i="7" s="1"/>
  <c r="AQ20" i="7"/>
  <c r="AK20" i="7"/>
  <c r="B49" i="7"/>
  <c r="AJ49" i="7" s="1"/>
  <c r="BA19" i="7"/>
  <c r="AQ19" i="7"/>
  <c r="AK19" i="7"/>
  <c r="AI19" i="7"/>
  <c r="AC19" i="7"/>
  <c r="AJ19" i="7"/>
  <c r="AU18" i="7"/>
  <c r="AV18" i="7" s="1"/>
  <c r="BC18" i="7" s="1"/>
  <c r="AQ18" i="7"/>
  <c r="AK18" i="7"/>
  <c r="T18" i="7"/>
  <c r="U18" i="7" s="1"/>
  <c r="AE18" i="7" s="1"/>
  <c r="BU18" i="7" s="1"/>
  <c r="B47" i="7"/>
  <c r="AJ47" i="7" s="1"/>
  <c r="BA17" i="7"/>
  <c r="AU17" i="7"/>
  <c r="AV17" i="7" s="1"/>
  <c r="BC17" i="7" s="1"/>
  <c r="AQ17" i="7"/>
  <c r="AK17" i="7"/>
  <c r="AI17" i="7"/>
  <c r="AC17" i="7"/>
  <c r="T17" i="7"/>
  <c r="U17" i="7" s="1"/>
  <c r="AE17" i="7" s="1"/>
  <c r="BU17" i="7" s="1"/>
  <c r="B46" i="7"/>
  <c r="AJ46" i="7" s="1"/>
  <c r="B11" i="7"/>
  <c r="B10" i="7"/>
  <c r="N9" i="7"/>
  <c r="L9" i="7"/>
  <c r="U66" i="7" s="1"/>
  <c r="AE66" i="7" s="1"/>
  <c r="N8" i="7"/>
  <c r="L8" i="7"/>
  <c r="B8" i="7"/>
  <c r="J21" i="7" s="1"/>
  <c r="N7" i="7"/>
  <c r="L7" i="7"/>
  <c r="N6" i="7"/>
  <c r="L6" i="7"/>
  <c r="B6" i="7"/>
  <c r="N5" i="7"/>
  <c r="L5" i="7"/>
  <c r="B5" i="7"/>
  <c r="X17" i="7" s="1"/>
  <c r="A246" i="11"/>
  <c r="M121" i="11"/>
  <c r="M90" i="11"/>
  <c r="M60" i="11"/>
  <c r="G21" i="7" l="1"/>
  <c r="AL27" i="7"/>
  <c r="H27" i="7"/>
  <c r="G27" i="7"/>
  <c r="AL21" i="7"/>
  <c r="BG69" i="14"/>
  <c r="AX58" i="7"/>
  <c r="BG42" i="14"/>
  <c r="AR58" i="7"/>
  <c r="BG15" i="14"/>
  <c r="AL58" i="7"/>
  <c r="X21" i="7"/>
  <c r="O23" i="7"/>
  <c r="BG14" i="14"/>
  <c r="AL57" i="7"/>
  <c r="AI18" i="14"/>
  <c r="AJ18" i="14" s="1"/>
  <c r="AK18" i="14" s="1"/>
  <c r="AL18" i="14" s="1"/>
  <c r="AM18" i="14" s="1"/>
  <c r="AN18" i="14" s="1"/>
  <c r="AO18" i="14" s="1"/>
  <c r="AP18" i="14" s="1"/>
  <c r="AQ18" i="14" s="1"/>
  <c r="AR18" i="14" s="1"/>
  <c r="AS18" i="14" s="1"/>
  <c r="AT18" i="14" s="1"/>
  <c r="AU18" i="14" s="1"/>
  <c r="AV18" i="14" s="1"/>
  <c r="AW18" i="14" s="1"/>
  <c r="AX18" i="14" s="1"/>
  <c r="AY18" i="14" s="1"/>
  <c r="AZ18" i="14" s="1"/>
  <c r="BA18" i="14" s="1"/>
  <c r="BB18" i="14" s="1"/>
  <c r="BC18" i="14" s="1"/>
  <c r="BD18" i="14" s="1"/>
  <c r="BE18" i="14" s="1"/>
  <c r="BF18" i="14" s="1"/>
  <c r="AK62" i="14"/>
  <c r="AL62" i="14" s="1"/>
  <c r="AM62" i="14" s="1"/>
  <c r="AN62" i="14" s="1"/>
  <c r="AO62" i="14" s="1"/>
  <c r="AP62" i="14" s="1"/>
  <c r="AQ62" i="14" s="1"/>
  <c r="AR62" i="14" s="1"/>
  <c r="AS62" i="14" s="1"/>
  <c r="AT62" i="14" s="1"/>
  <c r="AU62" i="14" s="1"/>
  <c r="AV62" i="14" s="1"/>
  <c r="AW62" i="14" s="1"/>
  <c r="AX62" i="14" s="1"/>
  <c r="AY62" i="14" s="1"/>
  <c r="AZ62" i="14" s="1"/>
  <c r="BA62" i="14" s="1"/>
  <c r="BB62" i="14" s="1"/>
  <c r="BC62" i="14" s="1"/>
  <c r="BD62" i="14" s="1"/>
  <c r="BE62" i="14" s="1"/>
  <c r="BF62" i="14" s="1"/>
  <c r="AI48" i="14"/>
  <c r="AJ48" i="14" s="1"/>
  <c r="AK48" i="14" s="1"/>
  <c r="AL48" i="14" s="1"/>
  <c r="AM48" i="14" s="1"/>
  <c r="AN48" i="14" s="1"/>
  <c r="AO48" i="14" s="1"/>
  <c r="AP48" i="14" s="1"/>
  <c r="AQ48" i="14" s="1"/>
  <c r="AR48" i="14" s="1"/>
  <c r="AS48" i="14" s="1"/>
  <c r="AT48" i="14" s="1"/>
  <c r="AU48" i="14" s="1"/>
  <c r="AV48" i="14" s="1"/>
  <c r="AW48" i="14" s="1"/>
  <c r="AX48" i="14" s="1"/>
  <c r="AY48" i="14" s="1"/>
  <c r="AZ48" i="14" s="1"/>
  <c r="BA48" i="14" s="1"/>
  <c r="BB48" i="14" s="1"/>
  <c r="BC48" i="14" s="1"/>
  <c r="BD48" i="14" s="1"/>
  <c r="BE48" i="14" s="1"/>
  <c r="BF48" i="14" s="1"/>
  <c r="AI19" i="14"/>
  <c r="AJ19" i="14" s="1"/>
  <c r="AK19" i="14" s="1"/>
  <c r="AL19" i="14" s="1"/>
  <c r="AM19" i="14" s="1"/>
  <c r="AN19" i="14" s="1"/>
  <c r="AO19" i="14" s="1"/>
  <c r="AP19" i="14" s="1"/>
  <c r="AQ19" i="14" s="1"/>
  <c r="AR19" i="14" s="1"/>
  <c r="AS19" i="14" s="1"/>
  <c r="AT19" i="14" s="1"/>
  <c r="AU19" i="14" s="1"/>
  <c r="AV19" i="14" s="1"/>
  <c r="AW19" i="14" s="1"/>
  <c r="AX19" i="14" s="1"/>
  <c r="AY19" i="14" s="1"/>
  <c r="AZ19" i="14" s="1"/>
  <c r="BA19" i="14" s="1"/>
  <c r="BB19" i="14" s="1"/>
  <c r="BC19" i="14" s="1"/>
  <c r="BD19" i="14" s="1"/>
  <c r="BE19" i="14" s="1"/>
  <c r="BF19" i="14" s="1"/>
  <c r="AI47" i="14"/>
  <c r="AJ47" i="14" s="1"/>
  <c r="AK47" i="14" s="1"/>
  <c r="AL47" i="14" s="1"/>
  <c r="AM47" i="14" s="1"/>
  <c r="AN47" i="14" s="1"/>
  <c r="AO47" i="14" s="1"/>
  <c r="AP47" i="14" s="1"/>
  <c r="AQ47" i="14" s="1"/>
  <c r="AR47" i="14" s="1"/>
  <c r="AS47" i="14" s="1"/>
  <c r="AT47" i="14" s="1"/>
  <c r="AU47" i="14" s="1"/>
  <c r="AV47" i="14" s="1"/>
  <c r="AW47" i="14" s="1"/>
  <c r="AX47" i="14" s="1"/>
  <c r="AY47" i="14" s="1"/>
  <c r="AZ47" i="14" s="1"/>
  <c r="BA47" i="14" s="1"/>
  <c r="BB47" i="14" s="1"/>
  <c r="BC47" i="14" s="1"/>
  <c r="BD47" i="14" s="1"/>
  <c r="BE47" i="14" s="1"/>
  <c r="BF47" i="14" s="1"/>
  <c r="BG61" i="14"/>
  <c r="AX50" i="7"/>
  <c r="BG40" i="14"/>
  <c r="AU56" i="7"/>
  <c r="AV56" i="7" s="1"/>
  <c r="BC56" i="7" s="1"/>
  <c r="BG38" i="14"/>
  <c r="AR54" i="7"/>
  <c r="BG65" i="14"/>
  <c r="AX54" i="7"/>
  <c r="BG67" i="14"/>
  <c r="AY56" i="7"/>
  <c r="BD56" i="7" s="1"/>
  <c r="BG32" i="14"/>
  <c r="AR48" i="7"/>
  <c r="BG63" i="14"/>
  <c r="AX52" i="7"/>
  <c r="AY52" i="7" s="1"/>
  <c r="BD52" i="7" s="1"/>
  <c r="BG34" i="14"/>
  <c r="AR50" i="7"/>
  <c r="BG35" i="14"/>
  <c r="AR51" i="7"/>
  <c r="BG59" i="14"/>
  <c r="AX48" i="7"/>
  <c r="AI20" i="14"/>
  <c r="AJ20" i="14" s="1"/>
  <c r="AK20" i="14" s="1"/>
  <c r="AL20" i="14" s="1"/>
  <c r="AM20" i="14" s="1"/>
  <c r="AN20" i="14" s="1"/>
  <c r="AO20" i="14" s="1"/>
  <c r="AP20" i="14" s="1"/>
  <c r="AQ20" i="14" s="1"/>
  <c r="AR20" i="14" s="1"/>
  <c r="AS20" i="14" s="1"/>
  <c r="AT20" i="14" s="1"/>
  <c r="AU20" i="14" s="1"/>
  <c r="AV20" i="14" s="1"/>
  <c r="AW20" i="14" s="1"/>
  <c r="AX20" i="14" s="1"/>
  <c r="AY20" i="14" s="1"/>
  <c r="AZ20" i="14" s="1"/>
  <c r="BA20" i="14" s="1"/>
  <c r="BB20" i="14" s="1"/>
  <c r="BC20" i="14" s="1"/>
  <c r="BD20" i="14" s="1"/>
  <c r="BE20" i="14" s="1"/>
  <c r="BF20" i="14" s="1"/>
  <c r="BG41" i="14"/>
  <c r="BG8" i="14"/>
  <c r="AL51" i="7"/>
  <c r="BG30" i="14"/>
  <c r="AR46" i="7"/>
  <c r="BG57" i="14"/>
  <c r="AX46" i="7"/>
  <c r="BG36" i="14"/>
  <c r="AR52" i="7"/>
  <c r="AU52" i="7" s="1"/>
  <c r="AV52" i="7" s="1"/>
  <c r="BC52" i="7" s="1"/>
  <c r="BG68" i="14"/>
  <c r="O33" i="7"/>
  <c r="AA33" i="7" s="1"/>
  <c r="O37" i="7"/>
  <c r="AA37" i="7" s="1"/>
  <c r="AA23" i="7"/>
  <c r="O32" i="7"/>
  <c r="AA32" i="7" s="1"/>
  <c r="BG5" i="14"/>
  <c r="AL48" i="7"/>
  <c r="AN34" i="7"/>
  <c r="AN35" i="7"/>
  <c r="AO35" i="7" s="1"/>
  <c r="AP35" i="7" s="1"/>
  <c r="J34" i="7"/>
  <c r="J35" i="7"/>
  <c r="AL18" i="7"/>
  <c r="AO18" i="7" s="1"/>
  <c r="AL17" i="7"/>
  <c r="AO17" i="7" s="1"/>
  <c r="Q31" i="7"/>
  <c r="AM28" i="7"/>
  <c r="I28" i="7"/>
  <c r="I19" i="7"/>
  <c r="I31" i="7"/>
  <c r="I23" i="7"/>
  <c r="AM26" i="7"/>
  <c r="H17" i="7"/>
  <c r="I26" i="7"/>
  <c r="I20" i="7"/>
  <c r="AO21" i="7"/>
  <c r="AP21" i="7" s="1"/>
  <c r="AO27" i="7"/>
  <c r="K55" i="7"/>
  <c r="E99" i="11" s="1"/>
  <c r="F99" i="11" s="1"/>
  <c r="T56" i="7"/>
  <c r="AA34" i="7"/>
  <c r="O24" i="7"/>
  <c r="O26" i="7"/>
  <c r="O36" i="7"/>
  <c r="O25" i="7"/>
  <c r="AA25" i="7" s="1"/>
  <c r="K110" i="11"/>
  <c r="H61" i="11"/>
  <c r="I61" i="11" s="1"/>
  <c r="AU28" i="7"/>
  <c r="H71" i="11" s="1"/>
  <c r="I71" i="11" s="1"/>
  <c r="AC62" i="14"/>
  <c r="L56" i="7"/>
  <c r="AD56" i="7" s="1"/>
  <c r="AY36" i="7"/>
  <c r="K79" i="11" s="1"/>
  <c r="H91" i="11"/>
  <c r="I91" i="11" s="1"/>
  <c r="AK10" i="14"/>
  <c r="AL10" i="14" s="1"/>
  <c r="AM10" i="14" s="1"/>
  <c r="AN10" i="14" s="1"/>
  <c r="AO10" i="14" s="1"/>
  <c r="AP10" i="14" s="1"/>
  <c r="AQ10" i="14" s="1"/>
  <c r="AR10" i="14" s="1"/>
  <c r="AS10" i="14" s="1"/>
  <c r="AT10" i="14" s="1"/>
  <c r="AU10" i="14" s="1"/>
  <c r="AV10" i="14" s="1"/>
  <c r="AW10" i="14" s="1"/>
  <c r="AX10" i="14" s="1"/>
  <c r="AY10" i="14" s="1"/>
  <c r="AZ10" i="14" s="1"/>
  <c r="BA10" i="14" s="1"/>
  <c r="BB10" i="14" s="1"/>
  <c r="BC10" i="14" s="1"/>
  <c r="BD10" i="14" s="1"/>
  <c r="BE10" i="14" s="1"/>
  <c r="BF10" i="14" s="1"/>
  <c r="AI3" i="14"/>
  <c r="AJ3" i="14" s="1"/>
  <c r="AK3" i="14" s="1"/>
  <c r="AL3" i="14" s="1"/>
  <c r="AM3" i="14" s="1"/>
  <c r="AN3" i="14" s="1"/>
  <c r="AO3" i="14" s="1"/>
  <c r="AP3" i="14" s="1"/>
  <c r="AQ3" i="14" s="1"/>
  <c r="AR3" i="14" s="1"/>
  <c r="AS3" i="14" s="1"/>
  <c r="AT3" i="14" s="1"/>
  <c r="AU3" i="14" s="1"/>
  <c r="AV3" i="14" s="1"/>
  <c r="AW3" i="14" s="1"/>
  <c r="AX3" i="14" s="1"/>
  <c r="AY3" i="14" s="1"/>
  <c r="AZ3" i="14" s="1"/>
  <c r="BA3" i="14" s="1"/>
  <c r="BB3" i="14" s="1"/>
  <c r="BC3" i="14" s="1"/>
  <c r="BD3" i="14" s="1"/>
  <c r="BE3" i="14" s="1"/>
  <c r="BF3" i="14" s="1"/>
  <c r="AK9" i="14"/>
  <c r="AL9" i="14" s="1"/>
  <c r="AM9" i="14" s="1"/>
  <c r="AN9" i="14" s="1"/>
  <c r="AO9" i="14" s="1"/>
  <c r="AP9" i="14" s="1"/>
  <c r="AQ9" i="14" s="1"/>
  <c r="AR9" i="14" s="1"/>
  <c r="AS9" i="14" s="1"/>
  <c r="AT9" i="14" s="1"/>
  <c r="AU9" i="14" s="1"/>
  <c r="AV9" i="14" s="1"/>
  <c r="AW9" i="14" s="1"/>
  <c r="AX9" i="14" s="1"/>
  <c r="AY9" i="14" s="1"/>
  <c r="AZ9" i="14" s="1"/>
  <c r="BA9" i="14" s="1"/>
  <c r="BB9" i="14" s="1"/>
  <c r="BC9" i="14" s="1"/>
  <c r="BD9" i="14" s="1"/>
  <c r="BE9" i="14" s="1"/>
  <c r="BF9" i="14" s="1"/>
  <c r="AL17" i="14"/>
  <c r="AM17" i="14" s="1"/>
  <c r="AN17" i="14" s="1"/>
  <c r="AO17" i="14" s="1"/>
  <c r="AP17" i="14" s="1"/>
  <c r="AQ17" i="14" s="1"/>
  <c r="AR17" i="14" s="1"/>
  <c r="AS17" i="14" s="1"/>
  <c r="AT17" i="14" s="1"/>
  <c r="AU17" i="14" s="1"/>
  <c r="AV17" i="14" s="1"/>
  <c r="AW17" i="14" s="1"/>
  <c r="AX17" i="14" s="1"/>
  <c r="AY17" i="14" s="1"/>
  <c r="AZ17" i="14" s="1"/>
  <c r="BA17" i="14" s="1"/>
  <c r="BB17" i="14" s="1"/>
  <c r="BC17" i="14" s="1"/>
  <c r="BD17" i="14" s="1"/>
  <c r="BE17" i="14" s="1"/>
  <c r="BF17" i="14" s="1"/>
  <c r="AI21" i="14"/>
  <c r="AJ21" i="14" s="1"/>
  <c r="AK21" i="14" s="1"/>
  <c r="AL21" i="14" s="1"/>
  <c r="AM21" i="14" s="1"/>
  <c r="AN21" i="14" s="1"/>
  <c r="AO21" i="14" s="1"/>
  <c r="AP21" i="14" s="1"/>
  <c r="AQ21" i="14" s="1"/>
  <c r="AR21" i="14" s="1"/>
  <c r="AS21" i="14" s="1"/>
  <c r="AT21" i="14" s="1"/>
  <c r="AU21" i="14" s="1"/>
  <c r="AV21" i="14" s="1"/>
  <c r="AW21" i="14" s="1"/>
  <c r="AX21" i="14" s="1"/>
  <c r="AY21" i="14" s="1"/>
  <c r="AZ21" i="14" s="1"/>
  <c r="BA21" i="14" s="1"/>
  <c r="BB21" i="14" s="1"/>
  <c r="BC21" i="14" s="1"/>
  <c r="BD21" i="14" s="1"/>
  <c r="BE21" i="14" s="1"/>
  <c r="BF21" i="14" s="1"/>
  <c r="AK7" i="14"/>
  <c r="AL7" i="14" s="1"/>
  <c r="AM7" i="14" s="1"/>
  <c r="AN7" i="14" s="1"/>
  <c r="AO7" i="14" s="1"/>
  <c r="AP7" i="14" s="1"/>
  <c r="AQ7" i="14" s="1"/>
  <c r="AR7" i="14" s="1"/>
  <c r="AS7" i="14" s="1"/>
  <c r="AT7" i="14" s="1"/>
  <c r="AU7" i="14" s="1"/>
  <c r="AV7" i="14" s="1"/>
  <c r="AW7" i="14" s="1"/>
  <c r="AX7" i="14" s="1"/>
  <c r="AY7" i="14" s="1"/>
  <c r="AZ7" i="14" s="1"/>
  <c r="BA7" i="14" s="1"/>
  <c r="BB7" i="14" s="1"/>
  <c r="BC7" i="14" s="1"/>
  <c r="BD7" i="14" s="1"/>
  <c r="BE7" i="14" s="1"/>
  <c r="BF7" i="14" s="1"/>
  <c r="AI13" i="14"/>
  <c r="AJ13" i="14" s="1"/>
  <c r="AK13" i="14" s="1"/>
  <c r="AL13" i="14" s="1"/>
  <c r="AM13" i="14" s="1"/>
  <c r="AN13" i="14" s="1"/>
  <c r="AO13" i="14" s="1"/>
  <c r="AP13" i="14" s="1"/>
  <c r="AQ13" i="14" s="1"/>
  <c r="AR13" i="14" s="1"/>
  <c r="AS13" i="14" s="1"/>
  <c r="AT13" i="14" s="1"/>
  <c r="AU13" i="14" s="1"/>
  <c r="AV13" i="14" s="1"/>
  <c r="AW13" i="14" s="1"/>
  <c r="AX13" i="14" s="1"/>
  <c r="AY13" i="14" s="1"/>
  <c r="AZ13" i="14" s="1"/>
  <c r="BA13" i="14" s="1"/>
  <c r="BB13" i="14" s="1"/>
  <c r="BC13" i="14" s="1"/>
  <c r="BD13" i="14" s="1"/>
  <c r="BE13" i="14" s="1"/>
  <c r="BF13" i="14" s="1"/>
  <c r="AL56" i="7" s="1"/>
  <c r="AC20" i="14"/>
  <c r="AY55" i="7"/>
  <c r="BD55" i="7" s="1"/>
  <c r="AU55" i="7"/>
  <c r="AV55" i="7" s="1"/>
  <c r="BC55" i="7" s="1"/>
  <c r="H60" i="11"/>
  <c r="I60" i="11" s="1"/>
  <c r="L57" i="7"/>
  <c r="AD57" i="7" s="1"/>
  <c r="K93" i="11"/>
  <c r="H90" i="11"/>
  <c r="I90" i="11" s="1"/>
  <c r="AF47" i="7"/>
  <c r="E91" i="11"/>
  <c r="F91" i="11" s="1"/>
  <c r="K97" i="11"/>
  <c r="L58" i="7"/>
  <c r="AD58" i="7" s="1"/>
  <c r="E90" i="11"/>
  <c r="F90" i="11" s="1"/>
  <c r="H16" i="11"/>
  <c r="I16" i="11" s="1"/>
  <c r="V46" i="7"/>
  <c r="AD46" i="7"/>
  <c r="V47" i="7"/>
  <c r="AB47" i="7" s="1"/>
  <c r="BH18" i="7" s="1"/>
  <c r="AD47" i="7"/>
  <c r="U49" i="7"/>
  <c r="AE49" i="7" s="1"/>
  <c r="L52" i="7"/>
  <c r="AD52" i="7" s="1"/>
  <c r="H17" i="11"/>
  <c r="I17" i="11" s="1"/>
  <c r="J110" i="11"/>
  <c r="AU26" i="7"/>
  <c r="H69" i="11" s="1"/>
  <c r="I69" i="11" s="1"/>
  <c r="AJ17" i="7"/>
  <c r="AI4" i="14"/>
  <c r="AJ4" i="14" s="1"/>
  <c r="AK4" i="14" s="1"/>
  <c r="AL4" i="14" s="1"/>
  <c r="AM4" i="14" s="1"/>
  <c r="AN4" i="14" s="1"/>
  <c r="AO4" i="14" s="1"/>
  <c r="AP4" i="14" s="1"/>
  <c r="AQ4" i="14" s="1"/>
  <c r="AR4" i="14" s="1"/>
  <c r="AS4" i="14" s="1"/>
  <c r="AT4" i="14" s="1"/>
  <c r="AU4" i="14" s="1"/>
  <c r="AV4" i="14" s="1"/>
  <c r="AW4" i="14" s="1"/>
  <c r="AX4" i="14" s="1"/>
  <c r="AY4" i="14" s="1"/>
  <c r="AZ4" i="14" s="1"/>
  <c r="BA4" i="14" s="1"/>
  <c r="BB4" i="14" s="1"/>
  <c r="BC4" i="14" s="1"/>
  <c r="BD4" i="14" s="1"/>
  <c r="BE4" i="14" s="1"/>
  <c r="BF4" i="14" s="1"/>
  <c r="J93" i="11"/>
  <c r="AY18" i="7"/>
  <c r="K61" i="11" s="1"/>
  <c r="AJ21" i="7"/>
  <c r="E60" i="7"/>
  <c r="AJ20" i="7"/>
  <c r="AY31" i="7"/>
  <c r="E62" i="7"/>
  <c r="AC12" i="14"/>
  <c r="AC17" i="14"/>
  <c r="AC21" i="14"/>
  <c r="AJ23" i="7"/>
  <c r="AU25" i="7"/>
  <c r="AV25" i="7" s="1"/>
  <c r="BC25" i="7" s="1"/>
  <c r="AO36" i="7"/>
  <c r="E79" i="11" s="1"/>
  <c r="F79" i="11" s="1"/>
  <c r="AJ33" i="7"/>
  <c r="AY34" i="7"/>
  <c r="J103" i="11"/>
  <c r="AJ18" i="7"/>
  <c r="AO19" i="7"/>
  <c r="AP19" i="7" s="1"/>
  <c r="BB19" i="7" s="1"/>
  <c r="AY26" i="7"/>
  <c r="AY37" i="7"/>
  <c r="AU33" i="7"/>
  <c r="B57" i="7"/>
  <c r="AJ57" i="7" s="1"/>
  <c r="AC18" i="14"/>
  <c r="AC13" i="14"/>
  <c r="J97" i="11"/>
  <c r="E66" i="7"/>
  <c r="AJ29" i="7"/>
  <c r="AU27" i="7"/>
  <c r="AC19" i="14"/>
  <c r="AY21" i="7"/>
  <c r="AJ22" i="7"/>
  <c r="AU23" i="7"/>
  <c r="AV23" i="7" s="1"/>
  <c r="BC23" i="7" s="1"/>
  <c r="AY23" i="7"/>
  <c r="AY25" i="7"/>
  <c r="AJ34" i="7"/>
  <c r="AJ36" i="7"/>
  <c r="AY27" i="7"/>
  <c r="L66" i="7"/>
  <c r="V66" i="7" s="1"/>
  <c r="AB66" i="7" s="1"/>
  <c r="BH37" i="7" s="1"/>
  <c r="B64" i="7"/>
  <c r="AJ64" i="7" s="1"/>
  <c r="AJ35" i="7"/>
  <c r="E48" i="7"/>
  <c r="AU19" i="7"/>
  <c r="E53" i="7"/>
  <c r="AY24" i="7"/>
  <c r="AU24" i="7"/>
  <c r="AY20" i="7"/>
  <c r="E49" i="7"/>
  <c r="AU20" i="7"/>
  <c r="AY19" i="7"/>
  <c r="BD33" i="7"/>
  <c r="K76" i="11"/>
  <c r="E51" i="7"/>
  <c r="AO22" i="7"/>
  <c r="E65" i="7"/>
  <c r="AU36" i="7"/>
  <c r="AU30" i="7"/>
  <c r="E59" i="7"/>
  <c r="AY30" i="7"/>
  <c r="AO30" i="7"/>
  <c r="AU22" i="7"/>
  <c r="AV31" i="7"/>
  <c r="BC31" i="7" s="1"/>
  <c r="H74" i="11"/>
  <c r="I74" i="11" s="1"/>
  <c r="AC3" i="14"/>
  <c r="L64" i="7"/>
  <c r="L63" i="7"/>
  <c r="AO20" i="7"/>
  <c r="E50" i="7"/>
  <c r="T21" i="7"/>
  <c r="AU21" i="7"/>
  <c r="E46" i="7"/>
  <c r="AY17" i="7"/>
  <c r="AJ26" i="7"/>
  <c r="AA52" i="7"/>
  <c r="B60" i="7"/>
  <c r="AJ60" i="7" s="1"/>
  <c r="AJ31" i="7"/>
  <c r="E61" i="7"/>
  <c r="AY32" i="7"/>
  <c r="AU32" i="7"/>
  <c r="AO31" i="7"/>
  <c r="B59" i="7"/>
  <c r="AJ59" i="7" s="1"/>
  <c r="AJ30" i="7"/>
  <c r="AC9" i="14"/>
  <c r="L53" i="7"/>
  <c r="U53" i="7"/>
  <c r="AE53" i="7" s="1"/>
  <c r="E47" i="7"/>
  <c r="AO29" i="7"/>
  <c r="AC7" i="14"/>
  <c r="U59" i="7"/>
  <c r="AE59" i="7" s="1"/>
  <c r="L59" i="7"/>
  <c r="E63" i="7"/>
  <c r="AU29" i="7"/>
  <c r="AJ32" i="7"/>
  <c r="B66" i="7"/>
  <c r="AJ66" i="7" s="1"/>
  <c r="AJ37" i="7"/>
  <c r="B48" i="7"/>
  <c r="AJ48" i="7" s="1"/>
  <c r="L61" i="7"/>
  <c r="L50" i="7"/>
  <c r="L62" i="7"/>
  <c r="L60" i="7"/>
  <c r="AU37" i="7"/>
  <c r="E58" i="7"/>
  <c r="AY29" i="7"/>
  <c r="L49" i="7"/>
  <c r="L48" i="7"/>
  <c r="AJ24" i="7"/>
  <c r="B54" i="7"/>
  <c r="AJ54" i="7" s="1"/>
  <c r="AJ25" i="7"/>
  <c r="E64" i="7"/>
  <c r="AY35" i="7"/>
  <c r="AO37" i="7"/>
  <c r="E57" i="7"/>
  <c r="E54" i="7"/>
  <c r="AC10" i="14"/>
  <c r="AK11" i="14"/>
  <c r="AL11" i="14" s="1"/>
  <c r="AM11" i="14" s="1"/>
  <c r="AN11" i="14" s="1"/>
  <c r="AO11" i="14" s="1"/>
  <c r="AP11" i="14" s="1"/>
  <c r="AQ11" i="14" s="1"/>
  <c r="AR11" i="14" s="1"/>
  <c r="AS11" i="14" s="1"/>
  <c r="AT11" i="14" s="1"/>
  <c r="AU11" i="14" s="1"/>
  <c r="AV11" i="14" s="1"/>
  <c r="AW11" i="14" s="1"/>
  <c r="AX11" i="14" s="1"/>
  <c r="AY11" i="14" s="1"/>
  <c r="AZ11" i="14" s="1"/>
  <c r="BA11" i="14" s="1"/>
  <c r="BB11" i="14" s="1"/>
  <c r="BC11" i="14" s="1"/>
  <c r="BD11" i="14" s="1"/>
  <c r="BE11" i="14" s="1"/>
  <c r="BF11" i="14" s="1"/>
  <c r="AC11" i="14"/>
  <c r="AJ27" i="7"/>
  <c r="AA55" i="7"/>
  <c r="AA56" i="7"/>
  <c r="T55" i="7"/>
  <c r="AC4" i="14"/>
  <c r="AC47" i="14"/>
  <c r="AC48" i="14"/>
  <c r="AK12" i="14"/>
  <c r="AL12" i="14" s="1"/>
  <c r="AM12" i="14" s="1"/>
  <c r="AN12" i="14" s="1"/>
  <c r="AO12" i="14" s="1"/>
  <c r="AP12" i="14" s="1"/>
  <c r="AQ12" i="14" s="1"/>
  <c r="AR12" i="14" s="1"/>
  <c r="AS12" i="14" s="1"/>
  <c r="AT12" i="14" s="1"/>
  <c r="AU12" i="14" s="1"/>
  <c r="AV12" i="14" s="1"/>
  <c r="AW12" i="14" s="1"/>
  <c r="AX12" i="14" s="1"/>
  <c r="AY12" i="14" s="1"/>
  <c r="AZ12" i="14" s="1"/>
  <c r="BA12" i="14" s="1"/>
  <c r="BB12" i="14" s="1"/>
  <c r="BC12" i="14" s="1"/>
  <c r="BD12" i="14" s="1"/>
  <c r="BE12" i="14" s="1"/>
  <c r="BF12" i="14" s="1"/>
  <c r="BG62" i="14" l="1"/>
  <c r="AX51" i="7"/>
  <c r="AY51" i="7" s="1"/>
  <c r="L110" i="11"/>
  <c r="BG7" i="14"/>
  <c r="AL50" i="7"/>
  <c r="AO50" i="7" s="1"/>
  <c r="BG12" i="14"/>
  <c r="AL55" i="7"/>
  <c r="AO55" i="7" s="1"/>
  <c r="AP55" i="7" s="1"/>
  <c r="AW55" i="7" s="1"/>
  <c r="AZ55" i="7" s="1"/>
  <c r="BJ26" i="7" s="1"/>
  <c r="BG20" i="14"/>
  <c r="AO63" i="7"/>
  <c r="BG21" i="14"/>
  <c r="AO64" i="7"/>
  <c r="BG17" i="14"/>
  <c r="AO60" i="7"/>
  <c r="E135" i="11" s="1"/>
  <c r="F135" i="11" s="1"/>
  <c r="BG47" i="14"/>
  <c r="AU63" i="7"/>
  <c r="BG19" i="14"/>
  <c r="AO62" i="7"/>
  <c r="BG10" i="14"/>
  <c r="AL53" i="7"/>
  <c r="AO53" i="7" s="1"/>
  <c r="BG3" i="14"/>
  <c r="AL46" i="7"/>
  <c r="AO46" i="7" s="1"/>
  <c r="BG48" i="14"/>
  <c r="AU64" i="7"/>
  <c r="BG11" i="14"/>
  <c r="AL54" i="7"/>
  <c r="AO54" i="7" s="1"/>
  <c r="BG18" i="14"/>
  <c r="AO61" i="7"/>
  <c r="BG4" i="14"/>
  <c r="AL47" i="7"/>
  <c r="AO47" i="7" s="1"/>
  <c r="BG13" i="14"/>
  <c r="AO56" i="7"/>
  <c r="AP56" i="7" s="1"/>
  <c r="BB56" i="7" s="1"/>
  <c r="BG9" i="14"/>
  <c r="AL52" i="7"/>
  <c r="AO52" i="7" s="1"/>
  <c r="H100" i="11"/>
  <c r="I100" i="11" s="1"/>
  <c r="J100" i="11" s="1"/>
  <c r="U56" i="7"/>
  <c r="AE56" i="7" s="1"/>
  <c r="T63" i="7"/>
  <c r="AU50" i="7"/>
  <c r="AA50" i="7"/>
  <c r="AU59" i="7"/>
  <c r="AU46" i="7"/>
  <c r="AO66" i="7"/>
  <c r="AP66" i="7" s="1"/>
  <c r="AY57" i="7"/>
  <c r="AY58" i="7"/>
  <c r="AO58" i="7"/>
  <c r="AA62" i="7"/>
  <c r="AU61" i="7"/>
  <c r="AF34" i="7"/>
  <c r="BV34" i="7" s="1"/>
  <c r="K33" i="11"/>
  <c r="N33" i="11" s="1"/>
  <c r="AA36" i="7"/>
  <c r="AF36" i="7" s="1"/>
  <c r="BV36" i="7" s="1"/>
  <c r="AA35" i="7"/>
  <c r="AF35" i="7" s="1"/>
  <c r="BV35" i="7" s="1"/>
  <c r="AA24" i="7"/>
  <c r="K23" i="11" s="1"/>
  <c r="N23" i="11" s="1"/>
  <c r="AA26" i="7"/>
  <c r="AF26" i="7" s="1"/>
  <c r="BV26" i="7" s="1"/>
  <c r="AV28" i="7"/>
  <c r="BC28" i="7" s="1"/>
  <c r="BD36" i="7"/>
  <c r="J91" i="11"/>
  <c r="L91" i="11" s="1"/>
  <c r="AO23" i="7"/>
  <c r="AP23" i="7" s="1"/>
  <c r="L97" i="11"/>
  <c r="T19" i="7"/>
  <c r="U19" i="7" s="1"/>
  <c r="AY47" i="7"/>
  <c r="AU47" i="7"/>
  <c r="AY61" i="7"/>
  <c r="AY65" i="7"/>
  <c r="K65" i="7"/>
  <c r="AU65" i="7"/>
  <c r="AU51" i="7"/>
  <c r="AY59" i="7"/>
  <c r="AU60" i="7"/>
  <c r="AV60" i="7" s="1"/>
  <c r="BC60" i="7" s="1"/>
  <c r="AY60" i="7"/>
  <c r="BD60" i="7" s="1"/>
  <c r="AY46" i="7"/>
  <c r="AY49" i="7"/>
  <c r="AU49" i="7"/>
  <c r="AY66" i="7"/>
  <c r="AU66" i="7"/>
  <c r="AV66" i="7" s="1"/>
  <c r="BC66" i="7" s="1"/>
  <c r="K54" i="7"/>
  <c r="AU54" i="7"/>
  <c r="AY54" i="7"/>
  <c r="AO28" i="7"/>
  <c r="AP28" i="7" s="1"/>
  <c r="AY48" i="7"/>
  <c r="AU48" i="7"/>
  <c r="AU62" i="7"/>
  <c r="AY62" i="7"/>
  <c r="BD62" i="7" s="1"/>
  <c r="AY64" i="7"/>
  <c r="AU53" i="7"/>
  <c r="AY53" i="7"/>
  <c r="AY50" i="7"/>
  <c r="AY63" i="7"/>
  <c r="AU58" i="7"/>
  <c r="AU57" i="7"/>
  <c r="K26" i="7"/>
  <c r="L26" i="7" s="1"/>
  <c r="AD26" i="7" s="1"/>
  <c r="BT26" i="7" s="1"/>
  <c r="L93" i="11"/>
  <c r="J90" i="11"/>
  <c r="AF33" i="7"/>
  <c r="BV33" i="7" s="1"/>
  <c r="AF25" i="7"/>
  <c r="BV25" i="7" s="1"/>
  <c r="AD66" i="7"/>
  <c r="BD18" i="7"/>
  <c r="AY28" i="7"/>
  <c r="K71" i="11" s="1"/>
  <c r="AY22" i="7"/>
  <c r="BD22" i="7" s="1"/>
  <c r="H66" i="11"/>
  <c r="I66" i="11" s="1"/>
  <c r="T28" i="7"/>
  <c r="AO25" i="7"/>
  <c r="AP25" i="7" s="1"/>
  <c r="K18" i="7"/>
  <c r="AO34" i="7"/>
  <c r="AP34" i="7" s="1"/>
  <c r="K17" i="7"/>
  <c r="K37" i="7"/>
  <c r="AA28" i="7"/>
  <c r="AH28" i="7" s="1"/>
  <c r="K32" i="11"/>
  <c r="N32" i="11" s="1"/>
  <c r="L55" i="7"/>
  <c r="AD55" i="7" s="1"/>
  <c r="E62" i="11"/>
  <c r="F62" i="11" s="1"/>
  <c r="AV26" i="7"/>
  <c r="BC26" i="7" s="1"/>
  <c r="AP36" i="7"/>
  <c r="BB36" i="7" s="1"/>
  <c r="T33" i="7"/>
  <c r="AA60" i="7"/>
  <c r="AF60" i="7" s="1"/>
  <c r="T27" i="7"/>
  <c r="K29" i="7"/>
  <c r="T29" i="7"/>
  <c r="K28" i="7"/>
  <c r="K31" i="7"/>
  <c r="AA27" i="7"/>
  <c r="AH27" i="7" s="1"/>
  <c r="AA29" i="7"/>
  <c r="E64" i="11"/>
  <c r="F64" i="11" s="1"/>
  <c r="AA18" i="7"/>
  <c r="H68" i="11"/>
  <c r="I68" i="11" s="1"/>
  <c r="AO26" i="7"/>
  <c r="AP26" i="7" s="1"/>
  <c r="T26" i="7"/>
  <c r="T52" i="7"/>
  <c r="H96" i="11" s="1"/>
  <c r="I96" i="11" s="1"/>
  <c r="J96" i="11" s="1"/>
  <c r="AO32" i="7"/>
  <c r="E75" i="11" s="1"/>
  <c r="F75" i="11" s="1"/>
  <c r="AF32" i="7"/>
  <c r="BV32" i="7" s="1"/>
  <c r="K31" i="11"/>
  <c r="N31" i="11" s="1"/>
  <c r="BD31" i="7"/>
  <c r="K74" i="11"/>
  <c r="K127" i="11"/>
  <c r="K131" i="11"/>
  <c r="AO24" i="7"/>
  <c r="AP24" i="7" s="1"/>
  <c r="T22" i="7"/>
  <c r="K130" i="11"/>
  <c r="K70" i="11"/>
  <c r="BD27" i="7"/>
  <c r="BD21" i="7"/>
  <c r="K64" i="11"/>
  <c r="AV27" i="7"/>
  <c r="BC27" i="7" s="1"/>
  <c r="H70" i="11"/>
  <c r="I70" i="11" s="1"/>
  <c r="AV33" i="7"/>
  <c r="BC33" i="7" s="1"/>
  <c r="H76" i="11"/>
  <c r="I76" i="11" s="1"/>
  <c r="K35" i="7"/>
  <c r="K23" i="7"/>
  <c r="T32" i="7"/>
  <c r="K36" i="7"/>
  <c r="AA21" i="7"/>
  <c r="AH21" i="7" s="1"/>
  <c r="BD25" i="7"/>
  <c r="K68" i="11"/>
  <c r="BD23" i="7"/>
  <c r="K66" i="11"/>
  <c r="AP27" i="7"/>
  <c r="E70" i="11"/>
  <c r="F70" i="11" s="1"/>
  <c r="K21" i="7"/>
  <c r="T25" i="7"/>
  <c r="E78" i="11"/>
  <c r="F78" i="11" s="1"/>
  <c r="K30" i="7"/>
  <c r="E29" i="11" s="1"/>
  <c r="F29" i="11" s="1"/>
  <c r="K24" i="11"/>
  <c r="N24" i="11" s="1"/>
  <c r="AO33" i="7"/>
  <c r="BD37" i="7"/>
  <c r="K80" i="11"/>
  <c r="AU35" i="7"/>
  <c r="T35" i="7"/>
  <c r="K25" i="7"/>
  <c r="T24" i="7"/>
  <c r="K33" i="7"/>
  <c r="AF37" i="7"/>
  <c r="BV37" i="7" s="1"/>
  <c r="K36" i="11"/>
  <c r="N36" i="11" s="1"/>
  <c r="BD26" i="7"/>
  <c r="K69" i="11"/>
  <c r="BD34" i="7"/>
  <c r="K77" i="11"/>
  <c r="E80" i="11"/>
  <c r="F80" i="11" s="1"/>
  <c r="AP37" i="7"/>
  <c r="AV37" i="7"/>
  <c r="BC37" i="7" s="1"/>
  <c r="H80" i="11"/>
  <c r="I80" i="11" s="1"/>
  <c r="AV29" i="7"/>
  <c r="BC29" i="7" s="1"/>
  <c r="H72" i="11"/>
  <c r="I72" i="11" s="1"/>
  <c r="AD63" i="7"/>
  <c r="AV30" i="7"/>
  <c r="BC30" i="7" s="1"/>
  <c r="H73" i="11"/>
  <c r="I73" i="11" s="1"/>
  <c r="K67" i="11"/>
  <c r="BD24" i="7"/>
  <c r="H131" i="11"/>
  <c r="I131" i="11" s="1"/>
  <c r="T37" i="7"/>
  <c r="V59" i="7"/>
  <c r="AD59" i="7"/>
  <c r="K27" i="7"/>
  <c r="AD64" i="7"/>
  <c r="AV36" i="7"/>
  <c r="H79" i="11"/>
  <c r="I79" i="11" s="1"/>
  <c r="J79" i="11" s="1"/>
  <c r="L79" i="11" s="1"/>
  <c r="T20" i="7"/>
  <c r="BD17" i="7"/>
  <c r="K60" i="11"/>
  <c r="AV22" i="7"/>
  <c r="BC22" i="7" s="1"/>
  <c r="H65" i="11"/>
  <c r="I65" i="11" s="1"/>
  <c r="AP30" i="7"/>
  <c r="E73" i="11"/>
  <c r="F73" i="11" s="1"/>
  <c r="AO49" i="7"/>
  <c r="E61" i="11"/>
  <c r="F61" i="11" s="1"/>
  <c r="J61" i="11" s="1"/>
  <c r="L61" i="11" s="1"/>
  <c r="AP18" i="7"/>
  <c r="AP31" i="7"/>
  <c r="E74" i="11"/>
  <c r="F74" i="11" s="1"/>
  <c r="J74" i="11" s="1"/>
  <c r="AA17" i="7"/>
  <c r="AA22" i="7"/>
  <c r="BD30" i="7"/>
  <c r="K73" i="11"/>
  <c r="BD19" i="7"/>
  <c r="K62" i="11"/>
  <c r="BD35" i="7"/>
  <c r="K78" i="11"/>
  <c r="K100" i="11"/>
  <c r="AF56" i="7"/>
  <c r="AD48" i="7"/>
  <c r="AP29" i="7"/>
  <c r="E72" i="11"/>
  <c r="F72" i="11" s="1"/>
  <c r="AA61" i="7"/>
  <c r="AA46" i="7"/>
  <c r="U55" i="7"/>
  <c r="AE55" i="7" s="1"/>
  <c r="H99" i="11"/>
  <c r="I99" i="11" s="1"/>
  <c r="J99" i="11" s="1"/>
  <c r="H127" i="11"/>
  <c r="I127" i="11" s="1"/>
  <c r="H130" i="11"/>
  <c r="I130" i="11" s="1"/>
  <c r="AA54" i="7"/>
  <c r="AD49" i="7"/>
  <c r="V49" i="7"/>
  <c r="AB49" i="7" s="1"/>
  <c r="BH20" i="7" s="1"/>
  <c r="AD62" i="7"/>
  <c r="T23" i="7"/>
  <c r="AD53" i="7"/>
  <c r="V53" i="7"/>
  <c r="AB53" i="7" s="1"/>
  <c r="BH24" i="7" s="1"/>
  <c r="K32" i="7"/>
  <c r="T30" i="7"/>
  <c r="BD20" i="7"/>
  <c r="K63" i="11"/>
  <c r="AV24" i="7"/>
  <c r="BC24" i="7" s="1"/>
  <c r="H67" i="11"/>
  <c r="I67" i="11" s="1"/>
  <c r="BD29" i="7"/>
  <c r="K72" i="11"/>
  <c r="AD50" i="7"/>
  <c r="T31" i="7"/>
  <c r="AA30" i="7"/>
  <c r="AA65" i="7"/>
  <c r="AO65" i="7"/>
  <c r="T65" i="7"/>
  <c r="K22" i="7"/>
  <c r="K24" i="7"/>
  <c r="H62" i="11"/>
  <c r="I62" i="11" s="1"/>
  <c r="AV19" i="7"/>
  <c r="AD60" i="7"/>
  <c r="AD61" i="7"/>
  <c r="AV21" i="7"/>
  <c r="BC21" i="7" s="1"/>
  <c r="H64" i="11"/>
  <c r="I64" i="11" s="1"/>
  <c r="AU34" i="7"/>
  <c r="AA20" i="7"/>
  <c r="K19" i="7"/>
  <c r="AA31" i="7"/>
  <c r="AH31" i="7" s="1"/>
  <c r="AF52" i="7"/>
  <c r="K96" i="11"/>
  <c r="BB35" i="7"/>
  <c r="K34" i="7"/>
  <c r="AA63" i="7"/>
  <c r="U21" i="7"/>
  <c r="AE21" i="7" s="1"/>
  <c r="BU21" i="7" s="1"/>
  <c r="H20" i="11"/>
  <c r="I20" i="11" s="1"/>
  <c r="T34" i="7"/>
  <c r="AV20" i="7"/>
  <c r="BC20" i="7" s="1"/>
  <c r="H63" i="11"/>
  <c r="I63" i="11" s="1"/>
  <c r="AA19" i="7"/>
  <c r="BB21" i="7"/>
  <c r="AA58" i="7"/>
  <c r="AP17" i="7"/>
  <c r="E60" i="11"/>
  <c r="F60" i="11" s="1"/>
  <c r="AA59" i="7"/>
  <c r="AO59" i="7"/>
  <c r="T36" i="7"/>
  <c r="E65" i="11"/>
  <c r="F65" i="11" s="1"/>
  <c r="AP22" i="7"/>
  <c r="AA64" i="7"/>
  <c r="T64" i="7"/>
  <c r="AF23" i="7"/>
  <c r="BV23" i="7" s="1"/>
  <c r="K22" i="11"/>
  <c r="N22" i="11" s="1"/>
  <c r="H75" i="11"/>
  <c r="I75" i="11" s="1"/>
  <c r="AV32" i="7"/>
  <c r="BC32" i="7" s="1"/>
  <c r="AF55" i="7"/>
  <c r="K99" i="11"/>
  <c r="AA57" i="7"/>
  <c r="AO57" i="7"/>
  <c r="BD32" i="7"/>
  <c r="K75" i="11"/>
  <c r="E63" i="11"/>
  <c r="F63" i="11" s="1"/>
  <c r="AP20" i="7"/>
  <c r="AA51" i="7"/>
  <c r="AO51" i="7"/>
  <c r="K20" i="7"/>
  <c r="AO48" i="7"/>
  <c r="T48" i="7"/>
  <c r="AA48" i="7"/>
  <c r="L100" i="11" l="1"/>
  <c r="AH19" i="7"/>
  <c r="AH17" i="7"/>
  <c r="AH29" i="7"/>
  <c r="V56" i="7"/>
  <c r="AB56" i="7" s="1"/>
  <c r="BH27" i="7" s="1"/>
  <c r="N98" i="11"/>
  <c r="N68" i="11"/>
  <c r="N129" i="11"/>
  <c r="N136" i="11"/>
  <c r="N105" i="11"/>
  <c r="N75" i="11"/>
  <c r="N76" i="11"/>
  <c r="N137" i="11"/>
  <c r="N106" i="11"/>
  <c r="N67" i="11"/>
  <c r="N128" i="11"/>
  <c r="N97" i="11"/>
  <c r="N96" i="11"/>
  <c r="N66" i="11"/>
  <c r="N127" i="11"/>
  <c r="N80" i="11"/>
  <c r="N141" i="11"/>
  <c r="N110" i="11"/>
  <c r="N107" i="11"/>
  <c r="N77" i="11"/>
  <c r="N138" i="11"/>
  <c r="BB55" i="7"/>
  <c r="E130" i="11"/>
  <c r="F130" i="11" s="1"/>
  <c r="J130" i="11" s="1"/>
  <c r="L130" i="11" s="1"/>
  <c r="AF24" i="7"/>
  <c r="BV24" i="7" s="1"/>
  <c r="K34" i="11"/>
  <c r="N34" i="11" s="1"/>
  <c r="AF62" i="7"/>
  <c r="K106" i="11"/>
  <c r="K35" i="11"/>
  <c r="N35" i="11" s="1"/>
  <c r="K25" i="11"/>
  <c r="N25" i="11" s="1"/>
  <c r="H18" i="11"/>
  <c r="I18" i="11" s="1"/>
  <c r="E25" i="11"/>
  <c r="F25" i="11" s="1"/>
  <c r="AW56" i="7"/>
  <c r="AZ56" i="7" s="1"/>
  <c r="BJ27" i="7" s="1"/>
  <c r="E131" i="11"/>
  <c r="F131" i="11" s="1"/>
  <c r="J131" i="11" s="1"/>
  <c r="L131" i="11" s="1"/>
  <c r="E66" i="11"/>
  <c r="F66" i="11" s="1"/>
  <c r="J66" i="11" s="1"/>
  <c r="L66" i="11" s="1"/>
  <c r="E71" i="11"/>
  <c r="F71" i="11" s="1"/>
  <c r="J71" i="11" s="1"/>
  <c r="L71" i="11" s="1"/>
  <c r="K137" i="11"/>
  <c r="L18" i="7"/>
  <c r="AD18" i="7" s="1"/>
  <c r="BT18" i="7" s="1"/>
  <c r="E17" i="11"/>
  <c r="F17" i="11" s="1"/>
  <c r="J17" i="11" s="1"/>
  <c r="T60" i="7"/>
  <c r="U60" i="7" s="1"/>
  <c r="AV62" i="7"/>
  <c r="BC62" i="7" s="1"/>
  <c r="H137" i="11"/>
  <c r="I137" i="11" s="1"/>
  <c r="E141" i="11"/>
  <c r="F141" i="11" s="1"/>
  <c r="AF27" i="7"/>
  <c r="BV27" i="7" s="1"/>
  <c r="AF18" i="7"/>
  <c r="BV18" i="7" s="1"/>
  <c r="L31" i="7"/>
  <c r="AD31" i="7" s="1"/>
  <c r="BT31" i="7" s="1"/>
  <c r="K20" i="11"/>
  <c r="N20" i="11" s="1"/>
  <c r="L28" i="7"/>
  <c r="E35" i="11"/>
  <c r="F35" i="11" s="1"/>
  <c r="U29" i="7"/>
  <c r="AE29" i="7" s="1"/>
  <c r="BU29" i="7" s="1"/>
  <c r="L30" i="7"/>
  <c r="AD30" i="7" s="1"/>
  <c r="BT30" i="7" s="1"/>
  <c r="U32" i="7"/>
  <c r="AE32" i="7" s="1"/>
  <c r="BU32" i="7" s="1"/>
  <c r="L29" i="7"/>
  <c r="AD29" i="7" s="1"/>
  <c r="BT29" i="7" s="1"/>
  <c r="H26" i="11"/>
  <c r="I26" i="11" s="1"/>
  <c r="U28" i="7"/>
  <c r="AE28" i="7" s="1"/>
  <c r="BU28" i="7" s="1"/>
  <c r="K26" i="11"/>
  <c r="N26" i="11" s="1"/>
  <c r="U25" i="7"/>
  <c r="AE25" i="7" s="1"/>
  <c r="BU25" i="7" s="1"/>
  <c r="L23" i="7"/>
  <c r="AD23" i="7" s="1"/>
  <c r="BT23" i="7" s="1"/>
  <c r="H21" i="11"/>
  <c r="I21" i="11" s="1"/>
  <c r="AF28" i="7"/>
  <c r="BV28" i="7" s="1"/>
  <c r="E27" i="11"/>
  <c r="F27" i="11" s="1"/>
  <c r="U24" i="7"/>
  <c r="AE24" i="7" s="1"/>
  <c r="BU24" i="7" s="1"/>
  <c r="L21" i="7"/>
  <c r="V21" i="7" s="1"/>
  <c r="AB21" i="7" s="1"/>
  <c r="L35" i="7"/>
  <c r="AD35" i="7" s="1"/>
  <c r="BT35" i="7" s="1"/>
  <c r="U26" i="7"/>
  <c r="V26" i="7" s="1"/>
  <c r="AB26" i="7" s="1"/>
  <c r="L25" i="7"/>
  <c r="AD25" i="7" s="1"/>
  <c r="BT25" i="7" s="1"/>
  <c r="L37" i="7"/>
  <c r="AD37" i="7" s="1"/>
  <c r="BT37" i="7" s="1"/>
  <c r="U35" i="7"/>
  <c r="AE35" i="7" s="1"/>
  <c r="BU35" i="7" s="1"/>
  <c r="AF29" i="7"/>
  <c r="BV29" i="7" s="1"/>
  <c r="H32" i="11"/>
  <c r="I32" i="11" s="1"/>
  <c r="E16" i="11"/>
  <c r="F16" i="11" s="1"/>
  <c r="J16" i="11" s="1"/>
  <c r="U27" i="7"/>
  <c r="AE27" i="7" s="1"/>
  <c r="BU27" i="7" s="1"/>
  <c r="H25" i="11"/>
  <c r="I25" i="11" s="1"/>
  <c r="U33" i="7"/>
  <c r="AE33" i="7" s="1"/>
  <c r="BU33" i="7" s="1"/>
  <c r="J62" i="11"/>
  <c r="L62" i="11" s="1"/>
  <c r="E28" i="11"/>
  <c r="F28" i="11" s="1"/>
  <c r="U22" i="7"/>
  <c r="AE22" i="7" s="1"/>
  <c r="BU22" i="7" s="1"/>
  <c r="BD28" i="7"/>
  <c r="BD38" i="7" s="1"/>
  <c r="K104" i="11"/>
  <c r="AY38" i="7"/>
  <c r="K27" i="11"/>
  <c r="N27" i="11" s="1"/>
  <c r="K65" i="11"/>
  <c r="K81" i="11" s="1"/>
  <c r="H27" i="11"/>
  <c r="I27" i="11" s="1"/>
  <c r="H28" i="11"/>
  <c r="I28" i="11" s="1"/>
  <c r="U52" i="7"/>
  <c r="AE52" i="7" s="1"/>
  <c r="J72" i="11"/>
  <c r="L72" i="11" s="1"/>
  <c r="J73" i="11"/>
  <c r="L73" i="11" s="1"/>
  <c r="T62" i="7"/>
  <c r="J64" i="11"/>
  <c r="L64" i="11" s="1"/>
  <c r="E69" i="11"/>
  <c r="F69" i="11" s="1"/>
  <c r="J69" i="11" s="1"/>
  <c r="L69" i="11" s="1"/>
  <c r="E68" i="11"/>
  <c r="F68" i="11" s="1"/>
  <c r="J68" i="11" s="1"/>
  <c r="L68" i="11" s="1"/>
  <c r="AP32" i="7"/>
  <c r="AW32" i="7" s="1"/>
  <c r="AZ32" i="7" s="1"/>
  <c r="E77" i="11"/>
  <c r="F77" i="11" s="1"/>
  <c r="L17" i="7"/>
  <c r="V17" i="7" s="1"/>
  <c r="E36" i="11"/>
  <c r="F36" i="11" s="1"/>
  <c r="E24" i="11"/>
  <c r="F24" i="11" s="1"/>
  <c r="E67" i="11"/>
  <c r="F67" i="11" s="1"/>
  <c r="J67" i="11" s="1"/>
  <c r="L67" i="11" s="1"/>
  <c r="E30" i="11"/>
  <c r="F30" i="11" s="1"/>
  <c r="E22" i="11"/>
  <c r="F22" i="11" s="1"/>
  <c r="AP60" i="7"/>
  <c r="BB60" i="7" s="1"/>
  <c r="AF21" i="7"/>
  <c r="BV21" i="7" s="1"/>
  <c r="K17" i="11"/>
  <c r="N17" i="11" s="1"/>
  <c r="K135" i="11"/>
  <c r="L74" i="11"/>
  <c r="E20" i="11"/>
  <c r="F20" i="11" s="1"/>
  <c r="J20" i="11" s="1"/>
  <c r="H141" i="11"/>
  <c r="I141" i="11" s="1"/>
  <c r="AP62" i="7"/>
  <c r="E137" i="11"/>
  <c r="F137" i="11" s="1"/>
  <c r="K28" i="11"/>
  <c r="N28" i="11" s="1"/>
  <c r="H23" i="11"/>
  <c r="I23" i="11" s="1"/>
  <c r="H135" i="11"/>
  <c r="I135" i="11" s="1"/>
  <c r="J135" i="11" s="1"/>
  <c r="H24" i="11"/>
  <c r="I24" i="11" s="1"/>
  <c r="T58" i="7"/>
  <c r="U58" i="7" s="1"/>
  <c r="L36" i="7"/>
  <c r="AD36" i="7" s="1"/>
  <c r="BT36" i="7" s="1"/>
  <c r="H34" i="11"/>
  <c r="I34" i="11" s="1"/>
  <c r="BD66" i="7"/>
  <c r="K141" i="11"/>
  <c r="E34" i="11"/>
  <c r="F34" i="11" s="1"/>
  <c r="AV35" i="7"/>
  <c r="H78" i="11"/>
  <c r="I78" i="11" s="1"/>
  <c r="J78" i="11" s="1"/>
  <c r="L78" i="11" s="1"/>
  <c r="J70" i="11"/>
  <c r="L70" i="11" s="1"/>
  <c r="J75" i="11"/>
  <c r="L75" i="11" s="1"/>
  <c r="T61" i="7"/>
  <c r="U61" i="7" s="1"/>
  <c r="H31" i="11"/>
  <c r="I31" i="11" s="1"/>
  <c r="L33" i="7"/>
  <c r="AD33" i="7" s="1"/>
  <c r="BT33" i="7" s="1"/>
  <c r="E32" i="11"/>
  <c r="F32" i="11" s="1"/>
  <c r="BB27" i="7"/>
  <c r="AW27" i="7"/>
  <c r="AZ27" i="7" s="1"/>
  <c r="L96" i="11"/>
  <c r="T51" i="7"/>
  <c r="U51" i="7" s="1"/>
  <c r="AE51" i="7" s="1"/>
  <c r="T57" i="7"/>
  <c r="U57" i="7" s="1"/>
  <c r="AP33" i="7"/>
  <c r="E76" i="11"/>
  <c r="F76" i="11" s="1"/>
  <c r="J76" i="11" s="1"/>
  <c r="L76" i="11" s="1"/>
  <c r="AP63" i="7"/>
  <c r="E138" i="11"/>
  <c r="F138" i="11" s="1"/>
  <c r="AE19" i="7"/>
  <c r="BU19" i="7" s="1"/>
  <c r="AV53" i="7"/>
  <c r="BC53" i="7" s="1"/>
  <c r="H128" i="11"/>
  <c r="I128" i="11" s="1"/>
  <c r="AV48" i="7"/>
  <c r="BC48" i="7" s="1"/>
  <c r="H123" i="11"/>
  <c r="I123" i="11" s="1"/>
  <c r="AF51" i="7"/>
  <c r="K95" i="11"/>
  <c r="H132" i="11"/>
  <c r="I132" i="11" s="1"/>
  <c r="AV57" i="7"/>
  <c r="BC57" i="7" s="1"/>
  <c r="E139" i="11"/>
  <c r="F139" i="11" s="1"/>
  <c r="AP64" i="7"/>
  <c r="AF59" i="7"/>
  <c r="K103" i="11"/>
  <c r="L103" i="11" s="1"/>
  <c r="AV63" i="7"/>
  <c r="BC63" i="7" s="1"/>
  <c r="H138" i="11"/>
  <c r="I138" i="11" s="1"/>
  <c r="AV34" i="7"/>
  <c r="BC34" i="7" s="1"/>
  <c r="H77" i="11"/>
  <c r="I77" i="11" s="1"/>
  <c r="L65" i="7"/>
  <c r="E109" i="11"/>
  <c r="F109" i="11" s="1"/>
  <c r="H22" i="11"/>
  <c r="I22" i="11" s="1"/>
  <c r="U23" i="7"/>
  <c r="AE23" i="7" s="1"/>
  <c r="BU23" i="7" s="1"/>
  <c r="AV54" i="7"/>
  <c r="BC54" i="7" s="1"/>
  <c r="H129" i="11"/>
  <c r="I129" i="11" s="1"/>
  <c r="BD53" i="7"/>
  <c r="K128" i="11"/>
  <c r="AP47" i="7"/>
  <c r="E122" i="11"/>
  <c r="F122" i="11" s="1"/>
  <c r="BB24" i="7"/>
  <c r="AW24" i="7"/>
  <c r="AZ24" i="7" s="1"/>
  <c r="H33" i="11"/>
  <c r="I33" i="11" s="1"/>
  <c r="U34" i="7"/>
  <c r="AE34" i="7" s="1"/>
  <c r="BU34" i="7" s="1"/>
  <c r="K136" i="11"/>
  <c r="BD61" i="7"/>
  <c r="K123" i="11"/>
  <c r="BD48" i="7"/>
  <c r="BD51" i="7"/>
  <c r="K126" i="11"/>
  <c r="AF57" i="7"/>
  <c r="K101" i="11"/>
  <c r="AV64" i="7"/>
  <c r="BC64" i="7" s="1"/>
  <c r="H139" i="11"/>
  <c r="I139" i="11" s="1"/>
  <c r="J60" i="11"/>
  <c r="AP58" i="7"/>
  <c r="E133" i="11"/>
  <c r="F133" i="11" s="1"/>
  <c r="BD63" i="7"/>
  <c r="K138" i="11"/>
  <c r="BB26" i="7"/>
  <c r="AW26" i="7"/>
  <c r="AZ26" i="7" s="1"/>
  <c r="AF30" i="7"/>
  <c r="BV30" i="7" s="1"/>
  <c r="K29" i="11"/>
  <c r="N29" i="11" s="1"/>
  <c r="BD54" i="7"/>
  <c r="K129" i="11"/>
  <c r="V55" i="7"/>
  <c r="AB55" i="7" s="1"/>
  <c r="BH26" i="7" s="1"/>
  <c r="H19" i="11"/>
  <c r="I19" i="11" s="1"/>
  <c r="U20" i="7"/>
  <c r="AE20" i="7" s="1"/>
  <c r="BU20" i="7" s="1"/>
  <c r="H122" i="11"/>
  <c r="I122" i="11" s="1"/>
  <c r="AV47" i="7"/>
  <c r="BC47" i="7" s="1"/>
  <c r="AP48" i="7"/>
  <c r="E123" i="11"/>
  <c r="F123" i="11" s="1"/>
  <c r="K140" i="11"/>
  <c r="BD65" i="7"/>
  <c r="E19" i="11"/>
  <c r="F19" i="11" s="1"/>
  <c r="L20" i="7"/>
  <c r="BD57" i="7"/>
  <c r="K132" i="11"/>
  <c r="BD64" i="7"/>
  <c r="K139" i="11"/>
  <c r="BB17" i="7"/>
  <c r="AW17" i="7"/>
  <c r="AV58" i="7"/>
  <c r="BC58" i="7" s="1"/>
  <c r="H133" i="11"/>
  <c r="I133" i="11" s="1"/>
  <c r="AF46" i="7"/>
  <c r="AB46" i="7"/>
  <c r="AA67" i="7"/>
  <c r="AF67" i="7" s="1"/>
  <c r="K90" i="11"/>
  <c r="BD47" i="7"/>
  <c r="K122" i="11"/>
  <c r="AV51" i="7"/>
  <c r="BC51" i="7" s="1"/>
  <c r="H126" i="11"/>
  <c r="I126" i="11" s="1"/>
  <c r="AW66" i="7"/>
  <c r="AZ66" i="7" s="1"/>
  <c r="BJ37" i="7" s="1"/>
  <c r="BB66" i="7"/>
  <c r="BB20" i="7"/>
  <c r="AW20" i="7"/>
  <c r="AZ20" i="7" s="1"/>
  <c r="BB25" i="7"/>
  <c r="AW25" i="7"/>
  <c r="AZ25" i="7" s="1"/>
  <c r="AP54" i="7"/>
  <c r="E129" i="11"/>
  <c r="F129" i="11" s="1"/>
  <c r="AF64" i="7"/>
  <c r="K108" i="11"/>
  <c r="BC19" i="7"/>
  <c r="AW19" i="7"/>
  <c r="AZ19" i="7" s="1"/>
  <c r="J63" i="11"/>
  <c r="L63" i="11" s="1"/>
  <c r="T50" i="7"/>
  <c r="AW21" i="7"/>
  <c r="AZ21" i="7" s="1"/>
  <c r="AP52" i="7"/>
  <c r="E127" i="11"/>
  <c r="F127" i="11" s="1"/>
  <c r="J127" i="11" s="1"/>
  <c r="L127" i="11" s="1"/>
  <c r="AV46" i="7"/>
  <c r="H121" i="11"/>
  <c r="I121" i="11" s="1"/>
  <c r="AB59" i="7"/>
  <c r="BH30" i="7" s="1"/>
  <c r="BB34" i="7"/>
  <c r="AP57" i="7"/>
  <c r="E132" i="11"/>
  <c r="F132" i="11" s="1"/>
  <c r="AP46" i="7"/>
  <c r="E121" i="11"/>
  <c r="F121" i="11" s="1"/>
  <c r="AF31" i="7"/>
  <c r="BV31" i="7" s="1"/>
  <c r="K30" i="11"/>
  <c r="N30" i="11" s="1"/>
  <c r="L24" i="7"/>
  <c r="E23" i="11"/>
  <c r="F23" i="11" s="1"/>
  <c r="U31" i="7"/>
  <c r="AE31" i="7" s="1"/>
  <c r="BU31" i="7" s="1"/>
  <c r="H30" i="11"/>
  <c r="I30" i="11" s="1"/>
  <c r="BD46" i="7"/>
  <c r="AY67" i="7"/>
  <c r="K121" i="11"/>
  <c r="AW29" i="7"/>
  <c r="AZ29" i="7" s="1"/>
  <c r="BB29" i="7"/>
  <c r="U37" i="7"/>
  <c r="AE37" i="7" s="1"/>
  <c r="BU37" i="7" s="1"/>
  <c r="H36" i="11"/>
  <c r="I36" i="11" s="1"/>
  <c r="K134" i="11"/>
  <c r="BD59" i="7"/>
  <c r="BD58" i="7"/>
  <c r="K133" i="11"/>
  <c r="K51" i="7"/>
  <c r="BB22" i="7"/>
  <c r="AW22" i="7"/>
  <c r="AZ22" i="7" s="1"/>
  <c r="K18" i="11"/>
  <c r="N18" i="11" s="1"/>
  <c r="AF19" i="7"/>
  <c r="BV19" i="7" s="1"/>
  <c r="L22" i="7"/>
  <c r="E21" i="11"/>
  <c r="F21" i="11" s="1"/>
  <c r="U30" i="7"/>
  <c r="AE30" i="7" s="1"/>
  <c r="BU30" i="7" s="1"/>
  <c r="H29" i="11"/>
  <c r="I29" i="11" s="1"/>
  <c r="J29" i="11" s="1"/>
  <c r="L99" i="11"/>
  <c r="AF22" i="7"/>
  <c r="BV22" i="7" s="1"/>
  <c r="K21" i="11"/>
  <c r="N21" i="11" s="1"/>
  <c r="AP49" i="7"/>
  <c r="E124" i="11"/>
  <c r="F124" i="11" s="1"/>
  <c r="BC36" i="7"/>
  <c r="AW36" i="7"/>
  <c r="AZ36" i="7" s="1"/>
  <c r="E126" i="11"/>
  <c r="F126" i="11" s="1"/>
  <c r="AP51" i="7"/>
  <c r="J65" i="11"/>
  <c r="AP50" i="7"/>
  <c r="E125" i="11"/>
  <c r="F125" i="11" s="1"/>
  <c r="U65" i="7"/>
  <c r="AE65" i="7" s="1"/>
  <c r="H109" i="11"/>
  <c r="I109" i="11" s="1"/>
  <c r="L32" i="7"/>
  <c r="E31" i="11"/>
  <c r="F31" i="11" s="1"/>
  <c r="L54" i="7"/>
  <c r="E98" i="11"/>
  <c r="F98" i="11" s="1"/>
  <c r="AF17" i="7"/>
  <c r="BV17" i="7" s="1"/>
  <c r="AA38" i="7"/>
  <c r="AF38" i="7" s="1"/>
  <c r="K16" i="11"/>
  <c r="N16" i="11" s="1"/>
  <c r="H124" i="11"/>
  <c r="I124" i="11" s="1"/>
  <c r="AV49" i="7"/>
  <c r="BC49" i="7" s="1"/>
  <c r="U64" i="7"/>
  <c r="H108" i="11"/>
  <c r="I108" i="11" s="1"/>
  <c r="J108" i="11" s="1"/>
  <c r="K94" i="11"/>
  <c r="AF50" i="7"/>
  <c r="BB23" i="7"/>
  <c r="AW23" i="7"/>
  <c r="AZ23" i="7" s="1"/>
  <c r="U36" i="7"/>
  <c r="AE36" i="7" s="1"/>
  <c r="BU36" i="7" s="1"/>
  <c r="H35" i="11"/>
  <c r="I35" i="11" s="1"/>
  <c r="AV50" i="7"/>
  <c r="BC50" i="7" s="1"/>
  <c r="H125" i="11"/>
  <c r="I125" i="11" s="1"/>
  <c r="L34" i="7"/>
  <c r="E33" i="11"/>
  <c r="F33" i="11" s="1"/>
  <c r="L19" i="7"/>
  <c r="E18" i="11"/>
  <c r="F18" i="11" s="1"/>
  <c r="AP65" i="7"/>
  <c r="E140" i="11"/>
  <c r="F140" i="11" s="1"/>
  <c r="T54" i="7"/>
  <c r="AF61" i="7"/>
  <c r="K105" i="11"/>
  <c r="BD49" i="7"/>
  <c r="K124" i="11"/>
  <c r="AW28" i="7"/>
  <c r="AZ28" i="7" s="1"/>
  <c r="BB28" i="7"/>
  <c r="AP59" i="7"/>
  <c r="E134" i="11"/>
  <c r="F134" i="11" s="1"/>
  <c r="U63" i="7"/>
  <c r="H107" i="11"/>
  <c r="I107" i="11" s="1"/>
  <c r="J107" i="11" s="1"/>
  <c r="AP61" i="7"/>
  <c r="E136" i="11"/>
  <c r="F136" i="11" s="1"/>
  <c r="BB31" i="7"/>
  <c r="AW31" i="7"/>
  <c r="AZ31" i="7" s="1"/>
  <c r="BB37" i="7"/>
  <c r="AW37" i="7"/>
  <c r="AZ37" i="7" s="1"/>
  <c r="AF48" i="7"/>
  <c r="K92" i="11"/>
  <c r="BD50" i="7"/>
  <c r="K125" i="11"/>
  <c r="AF20" i="7"/>
  <c r="BV20" i="7" s="1"/>
  <c r="K19" i="11"/>
  <c r="N19" i="11" s="1"/>
  <c r="AV65" i="7"/>
  <c r="BC65" i="7" s="1"/>
  <c r="H140" i="11"/>
  <c r="I140" i="11" s="1"/>
  <c r="U48" i="7"/>
  <c r="H92" i="11"/>
  <c r="I92" i="11" s="1"/>
  <c r="H134" i="11"/>
  <c r="I134" i="11" s="1"/>
  <c r="AV59" i="7"/>
  <c r="BC59" i="7" s="1"/>
  <c r="K102" i="11"/>
  <c r="AF58" i="7"/>
  <c r="AF63" i="7"/>
  <c r="K107" i="11"/>
  <c r="AF65" i="7"/>
  <c r="K109" i="11"/>
  <c r="AF54" i="7"/>
  <c r="K98" i="11"/>
  <c r="AV61" i="7"/>
  <c r="BC61" i="7" s="1"/>
  <c r="H136" i="11"/>
  <c r="I136" i="11" s="1"/>
  <c r="BB18" i="7"/>
  <c r="AW18" i="7"/>
  <c r="AZ18" i="7" s="1"/>
  <c r="BB30" i="7"/>
  <c r="AW30" i="7"/>
  <c r="AZ30" i="7" s="1"/>
  <c r="AP53" i="7"/>
  <c r="E128" i="11"/>
  <c r="F128" i="11" s="1"/>
  <c r="L27" i="7"/>
  <c r="E26" i="11"/>
  <c r="F26" i="11" s="1"/>
  <c r="J80" i="11"/>
  <c r="L80" i="11" s="1"/>
  <c r="AH38" i="7" l="1"/>
  <c r="N90" i="11"/>
  <c r="N121" i="11"/>
  <c r="N60" i="11"/>
  <c r="N125" i="11"/>
  <c r="N94" i="11"/>
  <c r="N64" i="11"/>
  <c r="N135" i="11"/>
  <c r="N74" i="11"/>
  <c r="N104" i="11"/>
  <c r="N73" i="11"/>
  <c r="N103" i="11"/>
  <c r="N134" i="11"/>
  <c r="N122" i="11"/>
  <c r="N61" i="11"/>
  <c r="N91" i="11"/>
  <c r="N92" i="11"/>
  <c r="N123" i="11"/>
  <c r="N62" i="11"/>
  <c r="N102" i="11"/>
  <c r="N133" i="11"/>
  <c r="N72" i="11"/>
  <c r="N131" i="11"/>
  <c r="N70" i="11"/>
  <c r="N100" i="11"/>
  <c r="N93" i="11"/>
  <c r="N124" i="11"/>
  <c r="N63" i="11"/>
  <c r="N132" i="11"/>
  <c r="N71" i="11"/>
  <c r="N101" i="11"/>
  <c r="N139" i="11"/>
  <c r="N108" i="11"/>
  <c r="N78" i="11"/>
  <c r="N140" i="11"/>
  <c r="N109" i="11"/>
  <c r="N79" i="11"/>
  <c r="N126" i="11"/>
  <c r="N95" i="11"/>
  <c r="N65" i="11"/>
  <c r="N130" i="11"/>
  <c r="N99" i="11"/>
  <c r="N69" i="11"/>
  <c r="J18" i="11"/>
  <c r="L18" i="11" s="1"/>
  <c r="J25" i="11"/>
  <c r="L25" i="11" s="1"/>
  <c r="V18" i="7"/>
  <c r="AB18" i="7" s="1"/>
  <c r="BQ18" i="7" s="1"/>
  <c r="AD21" i="7"/>
  <c r="BT21" i="7" s="1"/>
  <c r="I81" i="11"/>
  <c r="L17" i="11"/>
  <c r="H104" i="11"/>
  <c r="I104" i="11" s="1"/>
  <c r="J104" i="11" s="1"/>
  <c r="L104" i="11" s="1"/>
  <c r="J137" i="11"/>
  <c r="L137" i="11" s="1"/>
  <c r="AD17" i="7"/>
  <c r="BT17" i="7" s="1"/>
  <c r="J141" i="11"/>
  <c r="L141" i="11" s="1"/>
  <c r="AE26" i="7"/>
  <c r="BU26" i="7" s="1"/>
  <c r="BU38" i="7" s="1"/>
  <c r="V35" i="7"/>
  <c r="AB35" i="7" s="1"/>
  <c r="BG35" i="7" s="1"/>
  <c r="V25" i="7"/>
  <c r="AB25" i="7" s="1"/>
  <c r="BG25" i="7" s="1"/>
  <c r="AP38" i="7"/>
  <c r="V28" i="7"/>
  <c r="AB28" i="7" s="1"/>
  <c r="BQ28" i="7" s="1"/>
  <c r="V29" i="7"/>
  <c r="AB29" i="7" s="1"/>
  <c r="BG29" i="7" s="1"/>
  <c r="J21" i="11"/>
  <c r="L21" i="11" s="1"/>
  <c r="AD28" i="7"/>
  <c r="BT28" i="7" s="1"/>
  <c r="J26" i="11"/>
  <c r="L26" i="11" s="1"/>
  <c r="J35" i="11"/>
  <c r="L35" i="11" s="1"/>
  <c r="L20" i="11"/>
  <c r="J27" i="11"/>
  <c r="L27" i="11" s="1"/>
  <c r="J32" i="11"/>
  <c r="L32" i="11" s="1"/>
  <c r="V52" i="7"/>
  <c r="AB52" i="7" s="1"/>
  <c r="BH23" i="7" s="1"/>
  <c r="J28" i="11"/>
  <c r="L28" i="11" s="1"/>
  <c r="J23" i="11"/>
  <c r="L23" i="11" s="1"/>
  <c r="L65" i="11"/>
  <c r="V23" i="7"/>
  <c r="AB23" i="7" s="1"/>
  <c r="BQ23" i="7" s="1"/>
  <c r="J24" i="11"/>
  <c r="L24" i="11" s="1"/>
  <c r="J34" i="11"/>
  <c r="L34" i="11" s="1"/>
  <c r="J77" i="11"/>
  <c r="L77" i="11" s="1"/>
  <c r="U62" i="7"/>
  <c r="H106" i="11"/>
  <c r="I106" i="11" s="1"/>
  <c r="J106" i="11" s="1"/>
  <c r="L106" i="11" s="1"/>
  <c r="BB32" i="7"/>
  <c r="J36" i="11"/>
  <c r="L36" i="11" s="1"/>
  <c r="J128" i="11"/>
  <c r="L128" i="11" s="1"/>
  <c r="V33" i="7"/>
  <c r="AB33" i="7" s="1"/>
  <c r="BG33" i="7" s="1"/>
  <c r="J30" i="11"/>
  <c r="L30" i="11" s="1"/>
  <c r="AW60" i="7"/>
  <c r="AZ60" i="7" s="1"/>
  <c r="BJ31" i="7" s="1"/>
  <c r="L135" i="11"/>
  <c r="J123" i="11"/>
  <c r="L123" i="11" s="1"/>
  <c r="BB62" i="7"/>
  <c r="AW62" i="7"/>
  <c r="AZ62" i="7" s="1"/>
  <c r="BJ33" i="7" s="1"/>
  <c r="J33" i="11"/>
  <c r="L33" i="11" s="1"/>
  <c r="H101" i="11"/>
  <c r="I101" i="11" s="1"/>
  <c r="J101" i="11" s="1"/>
  <c r="L101" i="11" s="1"/>
  <c r="H102" i="11"/>
  <c r="I102" i="11" s="1"/>
  <c r="J102" i="11" s="1"/>
  <c r="L102" i="11" s="1"/>
  <c r="H105" i="11"/>
  <c r="I105" i="11" s="1"/>
  <c r="J105" i="11" s="1"/>
  <c r="L105" i="11" s="1"/>
  <c r="J134" i="11"/>
  <c r="L134" i="11" s="1"/>
  <c r="L38" i="7"/>
  <c r="AD38" i="7" s="1"/>
  <c r="V30" i="7"/>
  <c r="AB30" i="7" s="1"/>
  <c r="BG30" i="7" s="1"/>
  <c r="J129" i="11"/>
  <c r="L129" i="11" s="1"/>
  <c r="J31" i="11"/>
  <c r="L31" i="11" s="1"/>
  <c r="J124" i="11"/>
  <c r="L124" i="11" s="1"/>
  <c r="V31" i="7"/>
  <c r="AB31" i="7" s="1"/>
  <c r="BG31" i="7" s="1"/>
  <c r="AW34" i="7"/>
  <c r="AZ34" i="7" s="1"/>
  <c r="BI34" i="7" s="1"/>
  <c r="F81" i="11"/>
  <c r="BB33" i="7"/>
  <c r="AW33" i="7"/>
  <c r="AZ33" i="7" s="1"/>
  <c r="L108" i="11"/>
  <c r="H95" i="11"/>
  <c r="I95" i="11" s="1"/>
  <c r="AV38" i="7"/>
  <c r="J138" i="11"/>
  <c r="L138" i="11" s="1"/>
  <c r="I37" i="11"/>
  <c r="J140" i="11"/>
  <c r="L140" i="11" s="1"/>
  <c r="J22" i="11"/>
  <c r="L22" i="11" s="1"/>
  <c r="K142" i="11"/>
  <c r="J133" i="11"/>
  <c r="L133" i="11" s="1"/>
  <c r="V37" i="7"/>
  <c r="AB37" i="7" s="1"/>
  <c r="BG37" i="7" s="1"/>
  <c r="BR27" i="7"/>
  <c r="BI27" i="7"/>
  <c r="BC35" i="7"/>
  <c r="BC38" i="7" s="1"/>
  <c r="AW35" i="7"/>
  <c r="AZ35" i="7" s="1"/>
  <c r="F37" i="11"/>
  <c r="J122" i="11"/>
  <c r="L122" i="11" s="1"/>
  <c r="AW65" i="7"/>
  <c r="AZ65" i="7" s="1"/>
  <c r="BJ36" i="7" s="1"/>
  <c r="BB65" i="7"/>
  <c r="BV38" i="7"/>
  <c r="J125" i="11"/>
  <c r="L125" i="11" s="1"/>
  <c r="BR22" i="7"/>
  <c r="BI22" i="7"/>
  <c r="J121" i="11"/>
  <c r="F142" i="11"/>
  <c r="U50" i="7"/>
  <c r="H94" i="11"/>
  <c r="I94" i="11" s="1"/>
  <c r="J94" i="11" s="1"/>
  <c r="L94" i="11" s="1"/>
  <c r="AW47" i="7"/>
  <c r="AZ47" i="7" s="1"/>
  <c r="BJ18" i="7" s="1"/>
  <c r="BB47" i="7"/>
  <c r="BI21" i="7"/>
  <c r="BR21" i="7"/>
  <c r="BI18" i="7"/>
  <c r="BR18" i="7"/>
  <c r="BB59" i="7"/>
  <c r="AW59" i="7"/>
  <c r="AZ59" i="7" s="1"/>
  <c r="BJ30" i="7" s="1"/>
  <c r="BI23" i="7"/>
  <c r="BR23" i="7"/>
  <c r="AW50" i="7"/>
  <c r="AZ50" i="7" s="1"/>
  <c r="BJ21" i="7" s="1"/>
  <c r="BB50" i="7"/>
  <c r="BD67" i="7"/>
  <c r="AW46" i="7"/>
  <c r="BB46" i="7"/>
  <c r="AP67" i="7"/>
  <c r="BI25" i="7"/>
  <c r="BR25" i="7"/>
  <c r="BI30" i="7"/>
  <c r="BR30" i="7"/>
  <c r="AE63" i="7"/>
  <c r="V63" i="7"/>
  <c r="AB63" i="7" s="1"/>
  <c r="BH34" i="7" s="1"/>
  <c r="BR26" i="7"/>
  <c r="BI26" i="7"/>
  <c r="BN26" i="7" s="1"/>
  <c r="V65" i="7"/>
  <c r="AB65" i="7" s="1"/>
  <c r="BH36" i="7" s="1"/>
  <c r="AD65" i="7"/>
  <c r="BR37" i="7"/>
  <c r="BI37" i="7"/>
  <c r="V19" i="7"/>
  <c r="AB19" i="7" s="1"/>
  <c r="AD19" i="7"/>
  <c r="BT19" i="7" s="1"/>
  <c r="AE61" i="7"/>
  <c r="V61" i="7"/>
  <c r="AB61" i="7" s="1"/>
  <c r="BH32" i="7" s="1"/>
  <c r="L51" i="7"/>
  <c r="E95" i="11"/>
  <c r="F95" i="11" s="1"/>
  <c r="I142" i="11"/>
  <c r="BR19" i="7"/>
  <c r="BI19" i="7"/>
  <c r="K111" i="11"/>
  <c r="L90" i="11"/>
  <c r="AD34" i="7"/>
  <c r="BT34" i="7" s="1"/>
  <c r="V34" i="7"/>
  <c r="AB34" i="7" s="1"/>
  <c r="AD54" i="7"/>
  <c r="J126" i="11"/>
  <c r="L126" i="11" s="1"/>
  <c r="J132" i="11"/>
  <c r="L132" i="11" s="1"/>
  <c r="BH17" i="7"/>
  <c r="J19" i="11"/>
  <c r="L19" i="11" s="1"/>
  <c r="BB58" i="7"/>
  <c r="AW58" i="7"/>
  <c r="AZ58" i="7" s="1"/>
  <c r="BJ29" i="7" s="1"/>
  <c r="AE60" i="7"/>
  <c r="V60" i="7"/>
  <c r="AB60" i="7" s="1"/>
  <c r="BH31" i="7" s="1"/>
  <c r="L29" i="11"/>
  <c r="BI28" i="7"/>
  <c r="BR28" i="7"/>
  <c r="BB57" i="7"/>
  <c r="AW57" i="7"/>
  <c r="AZ57" i="7" s="1"/>
  <c r="BJ28" i="7" s="1"/>
  <c r="V36" i="7"/>
  <c r="AB36" i="7" s="1"/>
  <c r="BC46" i="7"/>
  <c r="BC67" i="7" s="1"/>
  <c r="AV67" i="7"/>
  <c r="BR20" i="7"/>
  <c r="BI20" i="7"/>
  <c r="BR31" i="7"/>
  <c r="BI31" i="7"/>
  <c r="AE64" i="7"/>
  <c r="V64" i="7"/>
  <c r="AB64" i="7" s="1"/>
  <c r="BH35" i="7" s="1"/>
  <c r="AD32" i="7"/>
  <c r="BT32" i="7" s="1"/>
  <c r="V32" i="7"/>
  <c r="AB32" i="7" s="1"/>
  <c r="AE58" i="7"/>
  <c r="V58" i="7"/>
  <c r="AB58" i="7" s="1"/>
  <c r="BH29" i="7" s="1"/>
  <c r="AD24" i="7"/>
  <c r="BT24" i="7" s="1"/>
  <c r="V24" i="7"/>
  <c r="AB24" i="7" s="1"/>
  <c r="L60" i="11"/>
  <c r="BB64" i="7"/>
  <c r="AW64" i="7"/>
  <c r="AZ64" i="7" s="1"/>
  <c r="BJ35" i="7" s="1"/>
  <c r="BR36" i="7"/>
  <c r="BI36" i="7"/>
  <c r="V22" i="7"/>
  <c r="AB22" i="7" s="1"/>
  <c r="AD22" i="7"/>
  <c r="BT22" i="7" s="1"/>
  <c r="J139" i="11"/>
  <c r="L139" i="11" s="1"/>
  <c r="BB51" i="7"/>
  <c r="AW51" i="7"/>
  <c r="AZ51" i="7" s="1"/>
  <c r="BJ22" i="7" s="1"/>
  <c r="V20" i="7"/>
  <c r="AB20" i="7" s="1"/>
  <c r="AD20" i="7"/>
  <c r="BT20" i="7" s="1"/>
  <c r="AD27" i="7"/>
  <c r="BT27" i="7" s="1"/>
  <c r="V27" i="7"/>
  <c r="AB27" i="7" s="1"/>
  <c r="J92" i="11"/>
  <c r="J136" i="11"/>
  <c r="L136" i="11" s="1"/>
  <c r="BI32" i="7"/>
  <c r="BR32" i="7"/>
  <c r="BB54" i="7"/>
  <c r="AW54" i="7"/>
  <c r="AZ54" i="7" s="1"/>
  <c r="BJ25" i="7" s="1"/>
  <c r="AZ17" i="7"/>
  <c r="AW48" i="7"/>
  <c r="AZ48" i="7" s="1"/>
  <c r="BJ19" i="7" s="1"/>
  <c r="BB48" i="7"/>
  <c r="BQ21" i="7"/>
  <c r="BG21" i="7"/>
  <c r="U38" i="7"/>
  <c r="AE38" i="7" s="1"/>
  <c r="AE57" i="7"/>
  <c r="V57" i="7"/>
  <c r="AB57" i="7" s="1"/>
  <c r="BH28" i="7" s="1"/>
  <c r="AE48" i="7"/>
  <c r="V48" i="7"/>
  <c r="AW61" i="7"/>
  <c r="AZ61" i="7" s="1"/>
  <c r="BJ32" i="7" s="1"/>
  <c r="BB61" i="7"/>
  <c r="BG26" i="7"/>
  <c r="BQ26" i="7"/>
  <c r="BR24" i="7"/>
  <c r="BI24" i="7"/>
  <c r="BB53" i="7"/>
  <c r="AW53" i="7"/>
  <c r="AZ53" i="7" s="1"/>
  <c r="BJ24" i="7" s="1"/>
  <c r="L107" i="11"/>
  <c r="U54" i="7"/>
  <c r="AE54" i="7" s="1"/>
  <c r="H98" i="11"/>
  <c r="I98" i="11" s="1"/>
  <c r="J98" i="11" s="1"/>
  <c r="L98" i="11" s="1"/>
  <c r="K37" i="11"/>
  <c r="BB49" i="7"/>
  <c r="AW49" i="7"/>
  <c r="AZ49" i="7" s="1"/>
  <c r="BJ20" i="7" s="1"/>
  <c r="BR29" i="7"/>
  <c r="BI29" i="7"/>
  <c r="AB17" i="7"/>
  <c r="AW52" i="7"/>
  <c r="AZ52" i="7" s="1"/>
  <c r="BJ23" i="7" s="1"/>
  <c r="BB52" i="7"/>
  <c r="L16" i="11"/>
  <c r="J109" i="11"/>
  <c r="L109" i="11" s="1"/>
  <c r="BB63" i="7"/>
  <c r="AW63" i="7"/>
  <c r="AZ63" i="7" s="1"/>
  <c r="BJ34" i="7" s="1"/>
  <c r="BY38" i="7" l="1"/>
  <c r="BQ35" i="7"/>
  <c r="BG18" i="7"/>
  <c r="BK18" i="7" s="1"/>
  <c r="BQ29" i="7"/>
  <c r="BQ25" i="7"/>
  <c r="BB38" i="7"/>
  <c r="BG28" i="7"/>
  <c r="BM28" i="7" s="1"/>
  <c r="BG23" i="7"/>
  <c r="BL23" i="7" s="1"/>
  <c r="L81" i="11"/>
  <c r="J81" i="11"/>
  <c r="AE62" i="7"/>
  <c r="V62" i="7"/>
  <c r="AB62" i="7" s="1"/>
  <c r="BH33" i="7" s="1"/>
  <c r="BK33" i="7" s="1"/>
  <c r="BQ37" i="7"/>
  <c r="BQ33" i="7"/>
  <c r="BN31" i="7"/>
  <c r="BQ30" i="7"/>
  <c r="J37" i="11"/>
  <c r="BW28" i="7"/>
  <c r="BQ31" i="7"/>
  <c r="BW30" i="7"/>
  <c r="BT38" i="7"/>
  <c r="BR34" i="7"/>
  <c r="BW27" i="7"/>
  <c r="BN27" i="7"/>
  <c r="BR33" i="7"/>
  <c r="BI33" i="7"/>
  <c r="BW29" i="7"/>
  <c r="BN36" i="7"/>
  <c r="U67" i="7"/>
  <c r="AE67" i="7" s="1"/>
  <c r="AW38" i="7"/>
  <c r="BN28" i="7"/>
  <c r="BW31" i="7"/>
  <c r="BW23" i="7"/>
  <c r="BI35" i="7"/>
  <c r="BN35" i="7" s="1"/>
  <c r="BR35" i="7"/>
  <c r="I111" i="11"/>
  <c r="BG22" i="7"/>
  <c r="BQ22" i="7"/>
  <c r="J95" i="11"/>
  <c r="L95" i="11" s="1"/>
  <c r="F111" i="11"/>
  <c r="L37" i="11"/>
  <c r="L92" i="11"/>
  <c r="AD51" i="7"/>
  <c r="V51" i="7"/>
  <c r="AB51" i="7" s="1"/>
  <c r="BH22" i="7" s="1"/>
  <c r="BW22" i="7" s="1"/>
  <c r="L67" i="7"/>
  <c r="AD67" i="7" s="1"/>
  <c r="BN21" i="7"/>
  <c r="AB48" i="7"/>
  <c r="BQ27" i="7"/>
  <c r="BG27" i="7"/>
  <c r="BG32" i="7"/>
  <c r="BQ32" i="7"/>
  <c r="BK35" i="7"/>
  <c r="V54" i="7"/>
  <c r="AB54" i="7" s="1"/>
  <c r="BH25" i="7" s="1"/>
  <c r="BW25" i="7" s="1"/>
  <c r="BW32" i="7"/>
  <c r="BW34" i="7"/>
  <c r="BG36" i="7"/>
  <c r="BQ36" i="7"/>
  <c r="BN23" i="7"/>
  <c r="BQ17" i="7"/>
  <c r="AB38" i="7"/>
  <c r="BG17" i="7"/>
  <c r="BW24" i="7"/>
  <c r="BN24" i="7"/>
  <c r="BQ20" i="7"/>
  <c r="BG20" i="7"/>
  <c r="BQ19" i="7"/>
  <c r="BG19" i="7"/>
  <c r="BN30" i="7"/>
  <c r="V38" i="7"/>
  <c r="BN37" i="7"/>
  <c r="BW37" i="7"/>
  <c r="BK26" i="7"/>
  <c r="BO26" i="7" s="1"/>
  <c r="BL26" i="7"/>
  <c r="BM26" i="7"/>
  <c r="BQ34" i="7"/>
  <c r="BG34" i="7"/>
  <c r="BL29" i="7"/>
  <c r="BK29" i="7"/>
  <c r="BM29" i="7"/>
  <c r="AZ38" i="7"/>
  <c r="BR17" i="7"/>
  <c r="BI17" i="7"/>
  <c r="BN29" i="7"/>
  <c r="BN25" i="7"/>
  <c r="BW26" i="7"/>
  <c r="BN32" i="7"/>
  <c r="BN34" i="7"/>
  <c r="BM37" i="7"/>
  <c r="BL37" i="7"/>
  <c r="BK37" i="7"/>
  <c r="BN19" i="7"/>
  <c r="BK30" i="7"/>
  <c r="BM30" i="7"/>
  <c r="BL30" i="7"/>
  <c r="AE50" i="7"/>
  <c r="V50" i="7"/>
  <c r="AB50" i="7" s="1"/>
  <c r="BH21" i="7" s="1"/>
  <c r="BW21" i="7" s="1"/>
  <c r="BQ24" i="7"/>
  <c r="BG24" i="7"/>
  <c r="BB67" i="7"/>
  <c r="BL21" i="7"/>
  <c r="BW20" i="7"/>
  <c r="BN20" i="7"/>
  <c r="BL25" i="7"/>
  <c r="AZ46" i="7"/>
  <c r="AW67" i="7"/>
  <c r="L121" i="11"/>
  <c r="L142" i="11" s="1"/>
  <c r="J142" i="11"/>
  <c r="BL31" i="7"/>
  <c r="BM31" i="7"/>
  <c r="BK31" i="7"/>
  <c r="BW36" i="7"/>
  <c r="BW18" i="7"/>
  <c r="BN18" i="7"/>
  <c r="BN22" i="7"/>
  <c r="BM18" i="7" l="1"/>
  <c r="BL18" i="7"/>
  <c r="BK28" i="7"/>
  <c r="BO28" i="7" s="1"/>
  <c r="BL28" i="7"/>
  <c r="BK23" i="7"/>
  <c r="BO23" i="7" s="1"/>
  <c r="BM23" i="7"/>
  <c r="BM33" i="7"/>
  <c r="J111" i="11"/>
  <c r="BO31" i="7"/>
  <c r="BO18" i="7"/>
  <c r="BL33" i="7"/>
  <c r="BW35" i="7"/>
  <c r="BL35" i="7"/>
  <c r="BM35" i="7"/>
  <c r="BR38" i="7"/>
  <c r="BM25" i="7"/>
  <c r="BQ38" i="7"/>
  <c r="BO35" i="7"/>
  <c r="L111" i="11"/>
  <c r="BN33" i="7"/>
  <c r="BO33" i="7" s="1"/>
  <c r="BW33" i="7"/>
  <c r="BK21" i="7"/>
  <c r="BO21" i="7" s="1"/>
  <c r="BK25" i="7"/>
  <c r="BO25" i="7" s="1"/>
  <c r="BM17" i="7"/>
  <c r="BG38" i="7"/>
  <c r="BL17" i="7"/>
  <c r="BK17" i="7"/>
  <c r="BL24" i="7"/>
  <c r="BM24" i="7"/>
  <c r="BK24" i="7"/>
  <c r="BO24" i="7" s="1"/>
  <c r="BM34" i="7"/>
  <c r="BK34" i="7"/>
  <c r="BO34" i="7" s="1"/>
  <c r="BL34" i="7"/>
  <c r="BL32" i="7"/>
  <c r="BK32" i="7"/>
  <c r="BO32" i="7" s="1"/>
  <c r="BM32" i="7"/>
  <c r="BO30" i="7"/>
  <c r="BL27" i="7"/>
  <c r="BK27" i="7"/>
  <c r="BO27" i="7" s="1"/>
  <c r="BM27" i="7"/>
  <c r="BL19" i="7"/>
  <c r="BM36" i="7"/>
  <c r="BK36" i="7"/>
  <c r="BO36" i="7" s="1"/>
  <c r="BL36" i="7"/>
  <c r="BH19" i="7"/>
  <c r="BW19" i="7" s="1"/>
  <c r="AB67" i="7"/>
  <c r="BH38" i="7" s="1"/>
  <c r="BL22" i="7"/>
  <c r="BM22" i="7"/>
  <c r="BK22" i="7"/>
  <c r="BO22" i="7" s="1"/>
  <c r="AH39" i="7"/>
  <c r="V67" i="7"/>
  <c r="BO29" i="7"/>
  <c r="BM20" i="7"/>
  <c r="BK20" i="7"/>
  <c r="BO20" i="7" s="1"/>
  <c r="BL20" i="7"/>
  <c r="BM21" i="7"/>
  <c r="BI38" i="7"/>
  <c r="BO37" i="7"/>
  <c r="AZ67" i="7"/>
  <c r="BJ38" i="7" s="1"/>
  <c r="BJ17" i="7"/>
  <c r="BN17" i="7" s="1"/>
  <c r="BO17" i="7" l="1"/>
  <c r="BM19" i="7"/>
  <c r="BW17" i="7"/>
  <c r="BW38" i="7" s="1"/>
  <c r="BM38" i="7"/>
  <c r="BN38" i="7"/>
  <c r="BL38" i="7"/>
  <c r="BK38" i="7"/>
  <c r="BK19" i="7"/>
  <c r="BO19" i="7" s="1"/>
  <c r="BO38" i="7" l="1"/>
  <c r="BZ38" i="7" s="1"/>
  <c r="CB38" i="7" s="1"/>
  <c r="A262" i="11" s="1"/>
  <c r="A252" i="11" l="1"/>
</calcChain>
</file>

<file path=xl/sharedStrings.xml><?xml version="1.0" encoding="utf-8"?>
<sst xmlns="http://schemas.openxmlformats.org/spreadsheetml/2006/main" count="1020" uniqueCount="344">
  <si>
    <t>專利類型</t>
    <phoneticPr fontId="1" type="noConversion"/>
  </si>
  <si>
    <t>申請費</t>
    <phoneticPr fontId="1" type="noConversion"/>
  </si>
  <si>
    <t>台灣</t>
    <phoneticPr fontId="1" type="noConversion"/>
  </si>
  <si>
    <t>大陸</t>
    <phoneticPr fontId="1" type="noConversion"/>
  </si>
  <si>
    <t>美國</t>
    <phoneticPr fontId="1" type="noConversion"/>
  </si>
  <si>
    <t>歐洲</t>
    <phoneticPr fontId="1" type="noConversion"/>
  </si>
  <si>
    <t>日本</t>
    <phoneticPr fontId="1" type="noConversion"/>
  </si>
  <si>
    <t>韓國</t>
    <phoneticPr fontId="1" type="noConversion"/>
  </si>
  <si>
    <t>新加坡</t>
    <phoneticPr fontId="1" type="noConversion"/>
  </si>
  <si>
    <t>越南</t>
    <phoneticPr fontId="1" type="noConversion"/>
  </si>
  <si>
    <t>泰國</t>
    <phoneticPr fontId="1" type="noConversion"/>
  </si>
  <si>
    <t>馬來西亞</t>
    <phoneticPr fontId="1" type="noConversion"/>
  </si>
  <si>
    <t>發明</t>
    <phoneticPr fontId="1" type="noConversion"/>
  </si>
  <si>
    <t>幣別</t>
    <phoneticPr fontId="1" type="noConversion"/>
  </si>
  <si>
    <t>NTD</t>
    <phoneticPr fontId="1" type="noConversion"/>
  </si>
  <si>
    <t>CNY</t>
    <phoneticPr fontId="1" type="noConversion"/>
  </si>
  <si>
    <t>USD</t>
    <phoneticPr fontId="1" type="noConversion"/>
  </si>
  <si>
    <t>EUR</t>
    <phoneticPr fontId="1" type="noConversion"/>
  </si>
  <si>
    <t>JPY</t>
    <phoneticPr fontId="1" type="noConversion"/>
  </si>
  <si>
    <t>KRW</t>
    <phoneticPr fontId="1" type="noConversion"/>
  </si>
  <si>
    <t>SGD</t>
    <phoneticPr fontId="1" type="noConversion"/>
  </si>
  <si>
    <t>VND</t>
    <phoneticPr fontId="1" type="noConversion"/>
  </si>
  <si>
    <t>THB</t>
    <phoneticPr fontId="1" type="noConversion"/>
  </si>
  <si>
    <t>MYR</t>
    <phoneticPr fontId="1" type="noConversion"/>
  </si>
  <si>
    <t>基本費</t>
    <phoneticPr fontId="1" type="noConversion"/>
  </si>
  <si>
    <t>總請求項數</t>
    <phoneticPr fontId="1" type="noConversion"/>
  </si>
  <si>
    <t>獨立項數</t>
    <phoneticPr fontId="1" type="noConversion"/>
  </si>
  <si>
    <t>案件基本參數</t>
    <phoneticPr fontId="1" type="noConversion"/>
  </si>
  <si>
    <t>請求項費</t>
    <phoneticPr fontId="1" type="noConversion"/>
  </si>
  <si>
    <t>獨立項費</t>
    <phoneticPr fontId="1" type="noConversion"/>
  </si>
  <si>
    <t>超字費</t>
    <phoneticPr fontId="1" type="noConversion"/>
  </si>
  <si>
    <t>超圖費</t>
    <phoneticPr fontId="1" type="noConversion"/>
  </si>
  <si>
    <t>慧盈服務費細項</t>
    <phoneticPr fontId="1" type="noConversion"/>
  </si>
  <si>
    <t>翻譯費</t>
    <phoneticPr fontId="1" type="noConversion"/>
  </si>
  <si>
    <t>中文案字數</t>
    <phoneticPr fontId="1" type="noConversion"/>
  </si>
  <si>
    <t>英文案字數</t>
    <phoneticPr fontId="1" type="noConversion"/>
  </si>
  <si>
    <t>外國代理人費用
(A2)</t>
    <phoneticPr fontId="1" type="noConversion"/>
  </si>
  <si>
    <t>申請人規模</t>
    <phoneticPr fontId="1" type="noConversion"/>
  </si>
  <si>
    <t>申請人規模</t>
    <phoneticPr fontId="1" type="noConversion"/>
  </si>
  <si>
    <t>500人以上</t>
    <phoneticPr fontId="1" type="noConversion"/>
  </si>
  <si>
    <t>翻譯案</t>
    <phoneticPr fontId="4" type="noConversion"/>
  </si>
  <si>
    <t>單純送件</t>
    <phoneticPr fontId="1" type="noConversion"/>
  </si>
  <si>
    <t>加拿大</t>
    <phoneticPr fontId="1" type="noConversion"/>
  </si>
  <si>
    <t>CAD</t>
    <phoneticPr fontId="1" type="noConversion"/>
  </si>
  <si>
    <t>審查費</t>
    <phoneticPr fontId="1" type="noConversion"/>
  </si>
  <si>
    <t>製圖費</t>
    <phoneticPr fontId="1" type="noConversion"/>
  </si>
  <si>
    <t>特殊程序費</t>
    <phoneticPr fontId="1" type="noConversion"/>
  </si>
  <si>
    <t>折合台幣</t>
    <phoneticPr fontId="1" type="noConversion"/>
  </si>
  <si>
    <t>備註：</t>
    <phoneticPr fontId="1" type="noConversion"/>
  </si>
  <si>
    <t>新型</t>
    <phoneticPr fontId="1" type="noConversion"/>
  </si>
  <si>
    <t>合計</t>
    <phoneticPr fontId="1" type="noConversion"/>
  </si>
  <si>
    <t>初稿案</t>
    <phoneticPr fontId="4" type="noConversion"/>
  </si>
  <si>
    <t>是</t>
    <phoneticPr fontId="1" type="noConversion"/>
  </si>
  <si>
    <t>否</t>
    <phoneticPr fontId="1" type="noConversion"/>
  </si>
  <si>
    <t>同語言轉換案</t>
    <phoneticPr fontId="1" type="noConversion"/>
  </si>
  <si>
    <t>專利類型</t>
    <phoneticPr fontId="1" type="noConversion"/>
  </si>
  <si>
    <t>原幣別金額</t>
    <phoneticPr fontId="1" type="noConversion"/>
  </si>
  <si>
    <t>是否選項</t>
    <phoneticPr fontId="1" type="noConversion"/>
  </si>
  <si>
    <t>附圖張數</t>
    <phoneticPr fontId="1" type="noConversion"/>
  </si>
  <si>
    <r>
      <t>要提供估算結果給客戶時，先把</t>
    </r>
    <r>
      <rPr>
        <b/>
        <sz val="12"/>
        <color rgb="FF0000FF"/>
        <rFont val="新細明體"/>
        <family val="1"/>
        <charset val="136"/>
        <scheme val="minor"/>
      </rPr>
      <t>藍底色「</t>
    </r>
    <r>
      <rPr>
        <b/>
        <sz val="12"/>
        <color theme="1"/>
        <rFont val="新細明體"/>
        <family val="1"/>
        <charset val="136"/>
        <scheme val="minor"/>
      </rPr>
      <t>以外」的欄位都設「隱藏」，只留下</t>
    </r>
    <r>
      <rPr>
        <b/>
        <sz val="12"/>
        <color rgb="FF0000FF"/>
        <rFont val="新細明體"/>
        <family val="1"/>
        <charset val="136"/>
        <scheme val="minor"/>
      </rPr>
      <t>藍底色</t>
    </r>
    <r>
      <rPr>
        <b/>
        <sz val="12"/>
        <color theme="1"/>
        <rFont val="新細明體"/>
        <family val="1"/>
        <charset val="136"/>
        <scheme val="minor"/>
      </rPr>
      <t>的欄位後再copy到WORD或Email中給客戶。</t>
    </r>
    <phoneticPr fontId="1" type="noConversion"/>
  </si>
  <si>
    <t>官方費用
(A1)</t>
    <phoneticPr fontId="1" type="noConversion"/>
  </si>
  <si>
    <t>中小企業</t>
    <phoneticPr fontId="1" type="noConversion"/>
  </si>
  <si>
    <t>繪製申請費圓餅圖專用</t>
    <phoneticPr fontId="1" type="noConversion"/>
  </si>
  <si>
    <t>大企業</t>
    <phoneticPr fontId="1" type="noConversion"/>
  </si>
  <si>
    <t>學校</t>
    <phoneticPr fontId="1" type="noConversion"/>
  </si>
  <si>
    <t>自然人</t>
    <phoneticPr fontId="1" type="noConversion"/>
  </si>
  <si>
    <t>領證繳年費</t>
    <phoneticPr fontId="1" type="noConversion"/>
  </si>
  <si>
    <t>申請人屬性</t>
    <phoneticPr fontId="1" type="noConversion"/>
  </si>
  <si>
    <r>
      <t>下表是委託慧盈專利辦理各國「</t>
    </r>
    <r>
      <rPr>
        <b/>
        <sz val="12"/>
        <color rgb="FFCC00FF"/>
        <rFont val="新細明體"/>
        <family val="1"/>
        <charset val="136"/>
        <scheme val="minor"/>
      </rPr>
      <t>發明/新型專利</t>
    </r>
    <r>
      <rPr>
        <b/>
        <sz val="12"/>
        <color theme="1"/>
        <rFont val="新細明體"/>
        <family val="1"/>
        <charset val="136"/>
        <scheme val="minor"/>
      </rPr>
      <t>」申請案的預估費用。</t>
    </r>
    <r>
      <rPr>
        <b/>
        <sz val="12"/>
        <color rgb="FFFF0000"/>
        <rFont val="新細明體"/>
        <family val="1"/>
        <charset val="136"/>
        <scheme val="minor"/>
      </rPr>
      <t>紅色部份</t>
    </r>
    <r>
      <rPr>
        <b/>
        <sz val="12"/>
        <color theme="1"/>
        <rFont val="新細明體"/>
        <family val="1"/>
        <charset val="136"/>
        <scheme val="minor"/>
      </rPr>
      <t>是可自行調整的數字或選單，</t>
    </r>
    <r>
      <rPr>
        <b/>
        <sz val="12"/>
        <color rgb="FF0000FF"/>
        <rFont val="新細明體"/>
        <family val="1"/>
        <charset val="136"/>
        <scheme val="minor"/>
      </rPr>
      <t>藍色數字</t>
    </r>
    <r>
      <rPr>
        <b/>
        <sz val="12"/>
        <color theme="1"/>
        <rFont val="新細明體"/>
        <family val="1"/>
        <charset val="136"/>
        <scheme val="minor"/>
      </rPr>
      <t>是依照本所收費標準估算的金額。</t>
    </r>
    <phoneticPr fontId="1" type="noConversion"/>
  </si>
  <si>
    <t>申請人屬性</t>
    <phoneticPr fontId="1" type="noConversion"/>
  </si>
  <si>
    <t>計費類型1</t>
  </si>
  <si>
    <t>不申請</t>
    <phoneticPr fontId="4" type="noConversion"/>
  </si>
  <si>
    <t>計費類型(越)</t>
    <phoneticPr fontId="1" type="noConversion"/>
  </si>
  <si>
    <t>計費類型(日韓泰)</t>
    <phoneticPr fontId="1" type="noConversion"/>
  </si>
  <si>
    <t>計費類型(台中美歐新馬加)</t>
    <phoneticPr fontId="1" type="noConversion"/>
  </si>
  <si>
    <t>USD</t>
    <phoneticPr fontId="1" type="noConversion"/>
  </si>
  <si>
    <t>外國代理人費用(A2)</t>
    <phoneticPr fontId="1" type="noConversion"/>
  </si>
  <si>
    <t>官方費用(A1)</t>
    <phoneticPr fontId="1" type="noConversion"/>
  </si>
  <si>
    <t>計費類型(設計)</t>
    <phoneticPr fontId="1" type="noConversion"/>
  </si>
  <si>
    <t>申請</t>
    <phoneticPr fontId="4" type="noConversion"/>
  </si>
  <si>
    <t>人民幣(CNY)</t>
    <phoneticPr fontId="1" type="noConversion"/>
  </si>
  <si>
    <t>美元(USD)</t>
    <phoneticPr fontId="1" type="noConversion"/>
  </si>
  <si>
    <t>歐元(EUR)</t>
    <phoneticPr fontId="1" type="noConversion"/>
  </si>
  <si>
    <t>日圓(JPY)</t>
    <phoneticPr fontId="1" type="noConversion"/>
  </si>
  <si>
    <t>韓元(KRW)</t>
    <phoneticPr fontId="1" type="noConversion"/>
  </si>
  <si>
    <t>新加坡幣(SGD)</t>
    <phoneticPr fontId="1" type="noConversion"/>
  </si>
  <si>
    <t>越南幣(VND)</t>
    <phoneticPr fontId="1" type="noConversion"/>
  </si>
  <si>
    <t>泰幣(THB)</t>
    <phoneticPr fontId="1" type="noConversion"/>
  </si>
  <si>
    <t>馬來幣(MYR)</t>
    <phoneticPr fontId="1" type="noConversion"/>
  </si>
  <si>
    <t>加拿大幣(CAD)</t>
    <phoneticPr fontId="1" type="noConversion"/>
  </si>
  <si>
    <t>←影響美國案、加拿大案的官方費用</t>
    <phoneticPr fontId="1" type="noConversion"/>
  </si>
  <si>
    <t>←影響部分中文案的慧盈服務費</t>
    <phoneticPr fontId="1" type="noConversion"/>
  </si>
  <si>
    <t>←影響部分英文案的慧盈服務費，及部分地區案件的外國代理人費</t>
    <phoneticPr fontId="1" type="noConversion"/>
  </si>
  <si>
    <t>←影響部分地區案件的官方費用，和/或外國代理人費</t>
    <phoneticPr fontId="1" type="noConversion"/>
  </si>
  <si>
    <t>←影響許多地區案件的官方費用，及部分案件的外國代理人費</t>
    <phoneticPr fontId="1" type="noConversion"/>
  </si>
  <si>
    <t>「初稿案」之慧盈服務費</t>
    <phoneticPr fontId="1" type="noConversion"/>
  </si>
  <si>
    <t>繪製申請費與年費加總分析圖</t>
    <phoneticPr fontId="1" type="noConversion"/>
  </si>
  <si>
    <t>←影響部分案件的慧盈服務費、官方費用、或外國代理人費</t>
    <phoneticPr fontId="1" type="noConversion"/>
  </si>
  <si>
    <t>←影響台灣案在年費階段的官方費用，企業需符合經濟部的中小企業認定標準才能算「中小企業」</t>
    <phoneticPr fontId="1" type="noConversion"/>
  </si>
  <si>
    <t>台灣-發明</t>
    <phoneticPr fontId="1" type="noConversion"/>
  </si>
  <si>
    <t>台灣-新型</t>
    <phoneticPr fontId="1" type="noConversion"/>
  </si>
  <si>
    <t>大陸-發明</t>
    <phoneticPr fontId="1" type="noConversion"/>
  </si>
  <si>
    <t>大陸-新型</t>
    <phoneticPr fontId="1" type="noConversion"/>
  </si>
  <si>
    <t>日本-發明</t>
    <phoneticPr fontId="1" type="noConversion"/>
  </si>
  <si>
    <t>日本-新型</t>
    <phoneticPr fontId="1" type="noConversion"/>
  </si>
  <si>
    <t>韓國-發明</t>
    <phoneticPr fontId="1" type="noConversion"/>
  </si>
  <si>
    <t>韓國-新型</t>
    <phoneticPr fontId="1" type="noConversion"/>
  </si>
  <si>
    <t>越南-發明</t>
    <phoneticPr fontId="1" type="noConversion"/>
  </si>
  <si>
    <t>越南-新型</t>
    <phoneticPr fontId="1" type="noConversion"/>
  </si>
  <si>
    <t>泰國-發明</t>
    <phoneticPr fontId="1" type="noConversion"/>
  </si>
  <si>
    <t>泰國-新型</t>
    <phoneticPr fontId="1" type="noConversion"/>
  </si>
  <si>
    <t>馬來西亞-發明</t>
    <phoneticPr fontId="1" type="noConversion"/>
  </si>
  <si>
    <t>馬來西亞-新型</t>
    <phoneticPr fontId="1" type="noConversion"/>
  </si>
  <si>
    <t>計費類型(一案兩請之新型)</t>
    <phoneticPr fontId="1" type="noConversion"/>
  </si>
  <si>
    <t>申請地區</t>
    <phoneticPr fontId="1" type="noConversion"/>
  </si>
  <si>
    <t>申請地區</t>
    <phoneticPr fontId="1" type="noConversion"/>
  </si>
  <si>
    <t>申請地區</t>
    <phoneticPr fontId="1" type="noConversion"/>
  </si>
  <si>
    <r>
      <t>*</t>
    </r>
    <r>
      <rPr>
        <b/>
        <sz val="12"/>
        <color theme="1"/>
        <rFont val="新細明體"/>
        <family val="1"/>
        <charset val="136"/>
      </rPr>
      <t>「計費類型」跟「慧盈服務費」之計算方式有關，選擇方式如下：</t>
    </r>
    <phoneticPr fontId="1" type="noConversion"/>
  </si>
  <si>
    <r>
      <rPr>
        <b/>
        <sz val="12"/>
        <color theme="1"/>
        <rFont val="新細明體"/>
        <family val="1"/>
        <charset val="136"/>
      </rPr>
      <t>　　</t>
    </r>
    <r>
      <rPr>
        <b/>
        <sz val="12"/>
        <color theme="1"/>
        <rFont val="Times New Roman"/>
        <family val="1"/>
      </rPr>
      <t xml:space="preserve">1. </t>
    </r>
    <r>
      <rPr>
        <b/>
        <sz val="12"/>
        <color theme="1"/>
        <rFont val="新細明體"/>
        <family val="1"/>
        <charset val="136"/>
      </rPr>
      <t>選擇需要最先撰稿的案件作為「初稿案」，且「初稿案」的總數只要「一件」就好。</t>
    </r>
    <phoneticPr fontId="1" type="noConversion"/>
  </si>
  <si>
    <r>
      <rPr>
        <b/>
        <sz val="12"/>
        <color theme="1"/>
        <rFont val="新細明體"/>
        <family val="1"/>
        <charset val="136"/>
      </rPr>
      <t>　　</t>
    </r>
    <r>
      <rPr>
        <b/>
        <sz val="12"/>
        <color theme="1"/>
        <rFont val="Times New Roman"/>
        <family val="1"/>
      </rPr>
      <t xml:space="preserve">5. </t>
    </r>
    <r>
      <rPr>
        <b/>
        <sz val="12"/>
        <color theme="1"/>
        <rFont val="新細明體"/>
        <family val="1"/>
        <charset val="136"/>
      </rPr>
      <t>使用「中文」的地區：台灣、大陸；使用「英文」的地區：美國、歐洲、新加坡、馬來西亞、加拿大。</t>
    </r>
    <phoneticPr fontId="1" type="noConversion"/>
  </si>
  <si>
    <r>
      <rPr>
        <b/>
        <sz val="12"/>
        <color theme="1"/>
        <rFont val="新細明體"/>
        <family val="1"/>
        <charset val="136"/>
      </rPr>
      <t>　　</t>
    </r>
    <r>
      <rPr>
        <b/>
        <sz val="12"/>
        <color theme="1"/>
        <rFont val="Times New Roman"/>
        <family val="1"/>
      </rPr>
      <t xml:space="preserve">3. </t>
    </r>
    <r>
      <rPr>
        <b/>
        <sz val="12"/>
        <color theme="1"/>
        <rFont val="新細明體"/>
        <family val="1"/>
        <charset val="136"/>
      </rPr>
      <t>個別案件後續可能發生的核駁答辯費用，以及領取專利證書的費用。</t>
    </r>
    <phoneticPr fontId="1" type="noConversion"/>
  </si>
  <si>
    <r>
      <t>*</t>
    </r>
    <r>
      <rPr>
        <b/>
        <sz val="12"/>
        <color theme="1"/>
        <rFont val="新細明體"/>
        <family val="1"/>
        <charset val="136"/>
      </rPr>
      <t>歐洲案申請時「不」一併申請實審，等將來回覆檢索報告時再決定要不要申請實審。</t>
    </r>
    <phoneticPr fontId="1" type="noConversion"/>
  </si>
  <si>
    <r>
      <t>*</t>
    </r>
    <r>
      <rPr>
        <b/>
        <sz val="12"/>
        <color theme="1"/>
        <rFont val="新細明體"/>
        <family val="1"/>
        <charset val="136"/>
      </rPr>
      <t>日本案跟韓國案的翻譯費皆優先以英文稿字數估價，沒有英文稿時才用中文稿字數估價。</t>
    </r>
    <phoneticPr fontId="1" type="noConversion"/>
  </si>
  <si>
    <r>
      <t>*</t>
    </r>
    <r>
      <rPr>
        <b/>
        <sz val="12"/>
        <color theme="1"/>
        <rFont val="新細明體"/>
        <family val="1"/>
        <charset val="136"/>
      </rPr>
      <t>泰國案需等到案件公開之後才能申請實審。</t>
    </r>
    <phoneticPr fontId="1" type="noConversion"/>
  </si>
  <si>
    <r>
      <t>*</t>
    </r>
    <r>
      <rPr>
        <b/>
        <sz val="12"/>
        <color theme="1"/>
        <rFont val="新細明體"/>
        <family val="1"/>
        <charset val="136"/>
      </rPr>
      <t>「沒有」新型專利制度的地區：美國、新加坡、加拿大。</t>
    </r>
    <phoneticPr fontId="1" type="noConversion"/>
  </si>
  <si>
    <r>
      <t>*</t>
    </r>
    <r>
      <rPr>
        <b/>
        <sz val="12"/>
        <rFont val="新細明體"/>
        <family val="1"/>
        <charset val="136"/>
      </rPr>
      <t>泰國案申請前需要在台辦理委任書</t>
    </r>
    <r>
      <rPr>
        <b/>
        <sz val="12"/>
        <rFont val="Times New Roman"/>
        <family val="1"/>
      </rPr>
      <t>(POA)</t>
    </r>
    <r>
      <rPr>
        <b/>
        <sz val="12"/>
        <rFont val="新細明體"/>
        <family val="1"/>
        <charset val="136"/>
      </rPr>
      <t>的公證跟認證程序。</t>
    </r>
    <phoneticPr fontId="1" type="noConversion"/>
  </si>
  <si>
    <r>
      <t>*</t>
    </r>
    <r>
      <rPr>
        <b/>
        <sz val="12"/>
        <color theme="1"/>
        <rFont val="新細明體"/>
        <family val="1"/>
        <charset val="136"/>
      </rPr>
      <t>由於專利申請態樣的組合甚多，上表自動檢核各案之「計費類型」有無選擇錯誤的能力有限，若有疑問請與本所聯繫。</t>
    </r>
    <phoneticPr fontId="1" type="noConversion"/>
  </si>
  <si>
    <r>
      <t>*</t>
    </r>
    <r>
      <rPr>
        <b/>
        <sz val="12"/>
        <color rgb="FFFF0000"/>
        <rFont val="新細明體"/>
        <family val="1"/>
        <charset val="136"/>
      </rPr>
      <t>「允許」發明與新型一案兩請的地區：台灣、大陸、越南、馬來西亞。</t>
    </r>
    <phoneticPr fontId="1" type="noConversion"/>
  </si>
  <si>
    <r>
      <rPr>
        <b/>
        <sz val="12"/>
        <color rgb="FFFF0000"/>
        <rFont val="新細明體"/>
        <family val="1"/>
        <charset val="136"/>
      </rPr>
      <t>【公開版刪除此列】</t>
    </r>
  </si>
  <si>
    <t>　　2. 各地區官方或代理人因案件篇幅過長所收取的「超頁費」。</t>
  </si>
  <si>
    <r>
      <t>*</t>
    </r>
    <r>
      <rPr>
        <b/>
        <sz val="12"/>
        <color rgb="FFFF0000"/>
        <rFont val="新細明體"/>
        <family val="1"/>
        <charset val="136"/>
      </rPr>
      <t>「不允許」發明與新型一案兩請的地區：日本、韓國、泰國、印尼。</t>
    </r>
    <phoneticPr fontId="1" type="noConversion"/>
  </si>
  <si>
    <t>印尼</t>
    <phoneticPr fontId="1" type="noConversion"/>
  </si>
  <si>
    <t>印尼-發明</t>
    <phoneticPr fontId="1" type="noConversion"/>
  </si>
  <si>
    <t>印尼-新型</t>
    <phoneticPr fontId="1" type="noConversion"/>
  </si>
  <si>
    <r>
      <t>*</t>
    </r>
    <r>
      <rPr>
        <b/>
        <sz val="12"/>
        <color theme="1"/>
        <rFont val="新細明體"/>
        <family val="1"/>
        <charset val="136"/>
      </rPr>
      <t>越南案、泰國案、印尼案皆係以英文稿字數來估算代理人費用，若無申請其他地區的英文對應案，則另需額外翻譯費用。</t>
    </r>
    <phoneticPr fontId="1" type="noConversion"/>
  </si>
  <si>
    <r>
      <t>*</t>
    </r>
    <r>
      <rPr>
        <b/>
        <sz val="12"/>
        <color theme="1"/>
        <rFont val="新細明體"/>
        <family val="1"/>
        <charset val="136"/>
      </rPr>
      <t>「新型專利需要實審」的地區：韓國、越南、馬來西亞、印尼。</t>
    </r>
    <phoneticPr fontId="1" type="noConversion"/>
  </si>
  <si>
    <r>
      <rPr>
        <b/>
        <sz val="12"/>
        <color theme="1"/>
        <rFont val="新細明體"/>
        <family val="1"/>
        <charset val="136"/>
      </rPr>
      <t>　　</t>
    </r>
    <r>
      <rPr>
        <b/>
        <sz val="12"/>
        <color theme="1"/>
        <rFont val="Times New Roman"/>
        <family val="1"/>
      </rPr>
      <t xml:space="preserve">2. </t>
    </r>
    <r>
      <rPr>
        <b/>
        <sz val="12"/>
        <color theme="1"/>
        <rFont val="新細明體"/>
        <family val="1"/>
        <charset val="136"/>
      </rPr>
      <t>跟「初稿案」使用語言「相同」的其他案件，計費類型都選「同語言轉換案」即可，費用較優惠。</t>
    </r>
    <phoneticPr fontId="1" type="noConversion"/>
  </si>
  <si>
    <r>
      <rPr>
        <b/>
        <sz val="12"/>
        <color theme="1"/>
        <rFont val="新細明體"/>
        <family val="1"/>
        <charset val="136"/>
      </rPr>
      <t>　　</t>
    </r>
    <r>
      <rPr>
        <b/>
        <sz val="12"/>
        <color theme="1"/>
        <rFont val="Times New Roman"/>
        <family val="1"/>
      </rPr>
      <t xml:space="preserve">3. </t>
    </r>
    <r>
      <rPr>
        <b/>
        <sz val="12"/>
        <color theme="1"/>
        <rFont val="新細明體"/>
        <family val="1"/>
        <charset val="136"/>
      </rPr>
      <t>要提出申請、但跟「初稿案」使用語言「不同」的其他案件，每種語言的案件中要選「一件」作為「翻譯案」。</t>
    </r>
    <phoneticPr fontId="1" type="noConversion"/>
  </si>
  <si>
    <r>
      <rPr>
        <b/>
        <sz val="12"/>
        <color theme="1"/>
        <rFont val="新細明體"/>
        <family val="1"/>
        <charset val="136"/>
      </rPr>
      <t>　　</t>
    </r>
    <r>
      <rPr>
        <b/>
        <sz val="12"/>
        <color theme="1"/>
        <rFont val="Times New Roman"/>
        <family val="1"/>
      </rPr>
      <t xml:space="preserve">4. </t>
    </r>
    <r>
      <rPr>
        <b/>
        <sz val="12"/>
        <color theme="1"/>
        <rFont val="新細明體"/>
        <family val="1"/>
        <charset val="136"/>
      </rPr>
      <t>跟「翻譯案」使用語言「相同」的其他案件，計費類型都選「同語言轉換案」即可，費用較優惠。</t>
    </r>
    <phoneticPr fontId="1" type="noConversion"/>
  </si>
  <si>
    <r>
      <rPr>
        <b/>
        <sz val="12"/>
        <color theme="1"/>
        <rFont val="新細明體"/>
        <family val="1"/>
        <charset val="136"/>
      </rPr>
      <t>　　</t>
    </r>
    <r>
      <rPr>
        <b/>
        <sz val="12"/>
        <color theme="1"/>
        <rFont val="Times New Roman"/>
        <family val="1"/>
      </rPr>
      <t xml:space="preserve">1. </t>
    </r>
    <r>
      <rPr>
        <b/>
        <sz val="12"/>
        <color theme="1"/>
        <rFont val="新細明體"/>
        <family val="1"/>
        <charset val="136"/>
      </rPr>
      <t>個別案件之「主張優先權」、「申請優先權證」、「提呈</t>
    </r>
    <r>
      <rPr>
        <b/>
        <sz val="12"/>
        <color theme="1"/>
        <rFont val="Times New Roman"/>
        <family val="1"/>
      </rPr>
      <t>IDS</t>
    </r>
    <r>
      <rPr>
        <b/>
        <sz val="12"/>
        <color theme="1"/>
        <rFont val="新細明體"/>
        <family val="1"/>
        <charset val="136"/>
      </rPr>
      <t>」、「補正文件」等額外程序費用。</t>
    </r>
    <phoneticPr fontId="1" type="noConversion"/>
  </si>
  <si>
    <r>
      <t>*</t>
    </r>
    <r>
      <rPr>
        <b/>
        <sz val="12"/>
        <color theme="1"/>
        <rFont val="新細明體"/>
        <family val="1"/>
        <charset val="136"/>
      </rPr>
      <t>上表計算結果僅係送件申請的概估費用，並「不」包含以下費用：</t>
    </r>
    <phoneticPr fontId="1" type="noConversion"/>
  </si>
  <si>
    <t>計費項目</t>
    <phoneticPr fontId="1" type="noConversion"/>
  </si>
  <si>
    <t>官方費用</t>
    <phoneticPr fontId="1" type="noConversion"/>
  </si>
  <si>
    <t>外國代理人費</t>
    <phoneticPr fontId="1" type="noConversion"/>
  </si>
  <si>
    <t>慧盈服務費</t>
    <phoneticPr fontId="1" type="noConversion"/>
  </si>
  <si>
    <t>匯率基礎</t>
    <phoneticPr fontId="1" type="noConversion"/>
  </si>
  <si>
    <t>菲律賓</t>
    <phoneticPr fontId="1" type="noConversion"/>
  </si>
  <si>
    <t>設計類型</t>
    <phoneticPr fontId="1" type="noConversion"/>
  </si>
  <si>
    <t>1 = 圖像設計</t>
    <phoneticPr fontId="4" type="noConversion"/>
  </si>
  <si>
    <t>2 = 其他設計</t>
    <phoneticPr fontId="4" type="noConversion"/>
  </si>
  <si>
    <r>
      <rPr>
        <b/>
        <sz val="12"/>
        <color theme="1"/>
        <rFont val="標楷體"/>
        <family val="4"/>
        <charset val="136"/>
      </rPr>
      <t>案件基本參數</t>
    </r>
    <phoneticPr fontId="1" type="noConversion"/>
  </si>
  <si>
    <r>
      <rPr>
        <b/>
        <sz val="12"/>
        <color theme="1"/>
        <rFont val="標楷體"/>
        <family val="4"/>
        <charset val="136"/>
      </rPr>
      <t>計費項目</t>
    </r>
    <phoneticPr fontId="1" type="noConversion"/>
  </si>
  <si>
    <r>
      <rPr>
        <b/>
        <sz val="12"/>
        <color theme="1"/>
        <rFont val="標楷體"/>
        <family val="4"/>
        <charset val="136"/>
      </rPr>
      <t>匯率基礎</t>
    </r>
    <phoneticPr fontId="1" type="noConversion"/>
  </si>
  <si>
    <r>
      <t>(</t>
    </r>
    <r>
      <rPr>
        <b/>
        <sz val="10"/>
        <color rgb="FFFF0000"/>
        <rFont val="標楷體"/>
        <family val="4"/>
        <charset val="136"/>
      </rPr>
      <t>正常要全勾</t>
    </r>
    <r>
      <rPr>
        <b/>
        <sz val="10"/>
        <color rgb="FFFF0000"/>
        <rFont val="Times New Roman"/>
        <family val="1"/>
      </rPr>
      <t>)</t>
    </r>
    <phoneticPr fontId="1" type="noConversion"/>
  </si>
  <si>
    <r>
      <rPr>
        <b/>
        <sz val="12"/>
        <color theme="1"/>
        <rFont val="標楷體"/>
        <family val="4"/>
        <charset val="136"/>
      </rPr>
      <t>美元</t>
    </r>
    <r>
      <rPr>
        <b/>
        <sz val="12"/>
        <color theme="1"/>
        <rFont val="Times New Roman"/>
        <family val="1"/>
      </rPr>
      <t>(USD)</t>
    </r>
    <phoneticPr fontId="1" type="noConversion"/>
  </si>
  <si>
    <r>
      <rPr>
        <b/>
        <sz val="12"/>
        <color theme="1"/>
        <rFont val="標楷體"/>
        <family val="4"/>
        <charset val="136"/>
      </rPr>
      <t>人民幣</t>
    </r>
    <r>
      <rPr>
        <b/>
        <sz val="12"/>
        <color theme="1"/>
        <rFont val="Times New Roman"/>
        <family val="1"/>
      </rPr>
      <t>(CNY)</t>
    </r>
    <phoneticPr fontId="1" type="noConversion"/>
  </si>
  <si>
    <r>
      <rPr>
        <b/>
        <sz val="12"/>
        <color theme="1"/>
        <rFont val="標楷體"/>
        <family val="4"/>
        <charset val="136"/>
      </rPr>
      <t>歐元</t>
    </r>
    <r>
      <rPr>
        <b/>
        <sz val="12"/>
        <color theme="1"/>
        <rFont val="Times New Roman"/>
        <family val="1"/>
      </rPr>
      <t>(EUR)</t>
    </r>
    <phoneticPr fontId="1" type="noConversion"/>
  </si>
  <si>
    <r>
      <rPr>
        <b/>
        <sz val="12"/>
        <color theme="1"/>
        <rFont val="標楷體"/>
        <family val="4"/>
        <charset val="136"/>
      </rPr>
      <t>新加坡幣</t>
    </r>
    <r>
      <rPr>
        <b/>
        <sz val="12"/>
        <color theme="1"/>
        <rFont val="Times New Roman"/>
        <family val="1"/>
      </rPr>
      <t>(SGD)</t>
    </r>
    <phoneticPr fontId="1" type="noConversion"/>
  </si>
  <si>
    <r>
      <rPr>
        <b/>
        <sz val="12"/>
        <color theme="1"/>
        <rFont val="標楷體"/>
        <family val="4"/>
        <charset val="136"/>
      </rPr>
      <t>日圓</t>
    </r>
    <r>
      <rPr>
        <b/>
        <sz val="12"/>
        <color theme="1"/>
        <rFont val="Times New Roman"/>
        <family val="1"/>
      </rPr>
      <t>(JPY)</t>
    </r>
    <phoneticPr fontId="1" type="noConversion"/>
  </si>
  <si>
    <r>
      <rPr>
        <b/>
        <sz val="12"/>
        <color theme="1"/>
        <rFont val="標楷體"/>
        <family val="4"/>
        <charset val="136"/>
      </rPr>
      <t>越南幣</t>
    </r>
    <r>
      <rPr>
        <b/>
        <sz val="12"/>
        <color theme="1"/>
        <rFont val="Times New Roman"/>
        <family val="1"/>
      </rPr>
      <t>(VND)</t>
    </r>
    <phoneticPr fontId="1" type="noConversion"/>
  </si>
  <si>
    <r>
      <rPr>
        <b/>
        <sz val="12"/>
        <color theme="1"/>
        <rFont val="標楷體"/>
        <family val="4"/>
        <charset val="136"/>
      </rPr>
      <t>韓元</t>
    </r>
    <r>
      <rPr>
        <b/>
        <sz val="12"/>
        <color theme="1"/>
        <rFont val="Times New Roman"/>
        <family val="1"/>
      </rPr>
      <t>(KRW)</t>
    </r>
    <phoneticPr fontId="1" type="noConversion"/>
  </si>
  <si>
    <r>
      <rPr>
        <b/>
        <sz val="12"/>
        <color theme="1"/>
        <rFont val="標楷體"/>
        <family val="4"/>
        <charset val="136"/>
      </rPr>
      <t>馬來幣</t>
    </r>
    <r>
      <rPr>
        <b/>
        <sz val="12"/>
        <color theme="1"/>
        <rFont val="Times New Roman"/>
        <family val="1"/>
      </rPr>
      <t>(MYR)</t>
    </r>
    <phoneticPr fontId="1" type="noConversion"/>
  </si>
  <si>
    <r>
      <rPr>
        <b/>
        <sz val="12"/>
        <color theme="1"/>
        <rFont val="標楷體"/>
        <family val="4"/>
        <charset val="136"/>
      </rPr>
      <t>申請人規模</t>
    </r>
    <phoneticPr fontId="1" type="noConversion"/>
  </si>
  <si>
    <r>
      <rPr>
        <b/>
        <sz val="12"/>
        <color theme="1"/>
        <rFont val="標楷體"/>
        <family val="4"/>
        <charset val="136"/>
      </rPr>
      <t>泰幣</t>
    </r>
    <r>
      <rPr>
        <b/>
        <sz val="12"/>
        <color theme="1"/>
        <rFont val="Times New Roman"/>
        <family val="1"/>
      </rPr>
      <t>(THB)</t>
    </r>
    <phoneticPr fontId="1" type="noConversion"/>
  </si>
  <si>
    <r>
      <rPr>
        <b/>
        <sz val="12"/>
        <color theme="1"/>
        <rFont val="標楷體"/>
        <family val="4"/>
        <charset val="136"/>
      </rPr>
      <t>加拿大幣</t>
    </r>
    <r>
      <rPr>
        <b/>
        <sz val="12"/>
        <color theme="1"/>
        <rFont val="Times New Roman"/>
        <family val="1"/>
      </rPr>
      <t>(CAD)</t>
    </r>
    <phoneticPr fontId="1" type="noConversion"/>
  </si>
  <si>
    <r>
      <rPr>
        <b/>
        <sz val="12"/>
        <color theme="1"/>
        <rFont val="標楷體"/>
        <family val="4"/>
        <charset val="136"/>
      </rPr>
      <t>申請人屬性</t>
    </r>
    <phoneticPr fontId="1" type="noConversion"/>
  </si>
  <si>
    <r>
      <rPr>
        <b/>
        <sz val="12"/>
        <color theme="1"/>
        <rFont val="標楷體"/>
        <family val="4"/>
        <charset val="136"/>
      </rPr>
      <t>申請地區</t>
    </r>
    <phoneticPr fontId="1" type="noConversion"/>
  </si>
  <si>
    <r>
      <rPr>
        <b/>
        <sz val="12"/>
        <color theme="1"/>
        <rFont val="標楷體"/>
        <family val="4"/>
        <charset val="136"/>
      </rPr>
      <t xml:space="preserve">是否申請
</t>
    </r>
    <r>
      <rPr>
        <b/>
        <sz val="12"/>
        <color rgb="FFFF0000"/>
        <rFont val="Times New Roman"/>
        <family val="1"/>
      </rPr>
      <t>(</t>
    </r>
    <r>
      <rPr>
        <b/>
        <sz val="12"/>
        <color rgb="FFFF0000"/>
        <rFont val="標楷體"/>
        <family val="4"/>
        <charset val="136"/>
      </rPr>
      <t>請勾選</t>
    </r>
    <r>
      <rPr>
        <b/>
        <sz val="12"/>
        <color rgb="FFFF0000"/>
        <rFont val="Times New Roman"/>
        <family val="1"/>
      </rPr>
      <t>)</t>
    </r>
    <phoneticPr fontId="1" type="noConversion"/>
  </si>
  <si>
    <r>
      <rPr>
        <b/>
        <sz val="12"/>
        <color theme="1"/>
        <rFont val="標楷體"/>
        <family val="4"/>
        <charset val="136"/>
      </rPr>
      <t xml:space="preserve">官方費用
</t>
    </r>
    <r>
      <rPr>
        <b/>
        <sz val="12"/>
        <color theme="1"/>
        <rFont val="Times New Roman"/>
        <family val="1"/>
      </rPr>
      <t>(A1)</t>
    </r>
    <phoneticPr fontId="1" type="noConversion"/>
  </si>
  <si>
    <r>
      <rPr>
        <b/>
        <sz val="12"/>
        <color theme="1"/>
        <rFont val="標楷體"/>
        <family val="4"/>
        <charset val="136"/>
      </rPr>
      <t xml:space="preserve">外國代理人費用
</t>
    </r>
    <r>
      <rPr>
        <b/>
        <sz val="12"/>
        <color theme="1"/>
        <rFont val="Times New Roman"/>
        <family val="1"/>
      </rPr>
      <t>(A2)</t>
    </r>
    <phoneticPr fontId="1" type="noConversion"/>
  </si>
  <si>
    <r>
      <rPr>
        <b/>
        <sz val="12"/>
        <color theme="1"/>
        <rFont val="標楷體"/>
        <family val="4"/>
        <charset val="136"/>
      </rPr>
      <t>幣別</t>
    </r>
    <phoneticPr fontId="1" type="noConversion"/>
  </si>
  <si>
    <r>
      <rPr>
        <b/>
        <sz val="12"/>
        <color theme="1"/>
        <rFont val="標楷體"/>
        <family val="4"/>
        <charset val="136"/>
      </rPr>
      <t>原幣別金額</t>
    </r>
    <phoneticPr fontId="1" type="noConversion"/>
  </si>
  <si>
    <r>
      <rPr>
        <b/>
        <sz val="12"/>
        <color theme="1"/>
        <rFont val="標楷體"/>
        <family val="4"/>
        <charset val="136"/>
      </rPr>
      <t>折合台幣</t>
    </r>
    <phoneticPr fontId="1" type="noConversion"/>
  </si>
  <si>
    <r>
      <rPr>
        <b/>
        <sz val="12"/>
        <color theme="1"/>
        <rFont val="標楷體"/>
        <family val="4"/>
        <charset val="136"/>
      </rPr>
      <t>台灣</t>
    </r>
    <phoneticPr fontId="1" type="noConversion"/>
  </si>
  <si>
    <r>
      <rPr>
        <b/>
        <sz val="12"/>
        <color theme="1"/>
        <rFont val="標楷體"/>
        <family val="4"/>
        <charset val="136"/>
      </rPr>
      <t>大陸</t>
    </r>
    <phoneticPr fontId="1" type="noConversion"/>
  </si>
  <si>
    <r>
      <rPr>
        <b/>
        <sz val="12"/>
        <color theme="1"/>
        <rFont val="標楷體"/>
        <family val="4"/>
        <charset val="136"/>
      </rPr>
      <t>美國</t>
    </r>
    <phoneticPr fontId="1" type="noConversion"/>
  </si>
  <si>
    <r>
      <rPr>
        <b/>
        <sz val="12"/>
        <color theme="1"/>
        <rFont val="標楷體"/>
        <family val="4"/>
        <charset val="136"/>
      </rPr>
      <t>日本</t>
    </r>
    <phoneticPr fontId="1" type="noConversion"/>
  </si>
  <si>
    <r>
      <rPr>
        <b/>
        <sz val="12"/>
        <color theme="1"/>
        <rFont val="標楷體"/>
        <family val="4"/>
        <charset val="136"/>
      </rPr>
      <t>韓國</t>
    </r>
    <phoneticPr fontId="1" type="noConversion"/>
  </si>
  <si>
    <r>
      <rPr>
        <b/>
        <sz val="12"/>
        <color theme="1"/>
        <rFont val="標楷體"/>
        <family val="4"/>
        <charset val="136"/>
      </rPr>
      <t>新加坡</t>
    </r>
    <phoneticPr fontId="1" type="noConversion"/>
  </si>
  <si>
    <r>
      <rPr>
        <b/>
        <sz val="12"/>
        <color theme="1"/>
        <rFont val="標楷體"/>
        <family val="4"/>
        <charset val="136"/>
      </rPr>
      <t>越南</t>
    </r>
    <phoneticPr fontId="1" type="noConversion"/>
  </si>
  <si>
    <r>
      <rPr>
        <b/>
        <sz val="12"/>
        <color theme="1"/>
        <rFont val="標楷體"/>
        <family val="4"/>
        <charset val="136"/>
      </rPr>
      <t>泰國</t>
    </r>
    <phoneticPr fontId="1" type="noConversion"/>
  </si>
  <si>
    <r>
      <rPr>
        <b/>
        <sz val="12"/>
        <color theme="1"/>
        <rFont val="標楷體"/>
        <family val="4"/>
        <charset val="136"/>
      </rPr>
      <t>馬來西亞</t>
    </r>
    <phoneticPr fontId="1" type="noConversion"/>
  </si>
  <si>
    <r>
      <rPr>
        <b/>
        <sz val="12"/>
        <color theme="1"/>
        <rFont val="標楷體"/>
        <family val="4"/>
        <charset val="136"/>
      </rPr>
      <t>印尼</t>
    </r>
    <phoneticPr fontId="1" type="noConversion"/>
  </si>
  <si>
    <r>
      <rPr>
        <b/>
        <sz val="12"/>
        <color theme="1"/>
        <rFont val="標楷體"/>
        <family val="4"/>
        <charset val="136"/>
      </rPr>
      <t>合計</t>
    </r>
    <phoneticPr fontId="1" type="noConversion"/>
  </si>
  <si>
    <r>
      <rPr>
        <b/>
        <sz val="12"/>
        <color theme="1"/>
        <rFont val="標楷體"/>
        <family val="4"/>
        <charset val="136"/>
      </rPr>
      <t>以下為慧盈提供各地區「發明</t>
    </r>
    <r>
      <rPr>
        <b/>
        <sz val="12"/>
        <color theme="1"/>
        <rFont val="Times New Roman"/>
        <family val="1"/>
      </rPr>
      <t>/</t>
    </r>
    <r>
      <rPr>
        <b/>
        <sz val="12"/>
        <color theme="1"/>
        <rFont val="標楷體"/>
        <family val="4"/>
        <charset val="136"/>
      </rPr>
      <t>新型專利」申請服務之預估費用。</t>
    </r>
    <r>
      <rPr>
        <b/>
        <sz val="12"/>
        <color rgb="FFFF0000"/>
        <rFont val="標楷體"/>
        <family val="4"/>
        <charset val="136"/>
      </rPr>
      <t>紅色部份</t>
    </r>
    <r>
      <rPr>
        <b/>
        <sz val="12"/>
        <color theme="1"/>
        <rFont val="標楷體"/>
        <family val="4"/>
        <charset val="136"/>
      </rPr>
      <t>是您可自行調整的數字</t>
    </r>
    <r>
      <rPr>
        <b/>
        <sz val="12"/>
        <color theme="1"/>
        <rFont val="Times New Roman"/>
        <family val="1"/>
      </rPr>
      <t>/</t>
    </r>
    <r>
      <rPr>
        <b/>
        <sz val="12"/>
        <color theme="1"/>
        <rFont val="標楷體"/>
        <family val="4"/>
        <charset val="136"/>
      </rPr>
      <t>選項，</t>
    </r>
    <r>
      <rPr>
        <b/>
        <sz val="12"/>
        <color rgb="FF0000FF"/>
        <rFont val="標楷體"/>
        <family val="4"/>
        <charset val="136"/>
      </rPr>
      <t>藍色數字</t>
    </r>
    <r>
      <rPr>
        <b/>
        <sz val="12"/>
        <color theme="1"/>
        <rFont val="標楷體"/>
        <family val="4"/>
        <charset val="136"/>
      </rPr>
      <t>是依照收費標準估算的金額。</t>
    </r>
    <phoneticPr fontId="1" type="noConversion"/>
  </si>
  <si>
    <r>
      <rPr>
        <b/>
        <sz val="12"/>
        <color theme="1"/>
        <rFont val="標楷體"/>
        <family val="4"/>
        <charset val="136"/>
      </rPr>
      <t>中文案字數</t>
    </r>
    <phoneticPr fontId="1" type="noConversion"/>
  </si>
  <si>
    <r>
      <rPr>
        <b/>
        <sz val="12"/>
        <color theme="1"/>
        <rFont val="標楷體"/>
        <family val="4"/>
        <charset val="136"/>
      </rPr>
      <t>英文案字數</t>
    </r>
    <phoneticPr fontId="1" type="noConversion"/>
  </si>
  <si>
    <r>
      <rPr>
        <b/>
        <sz val="12"/>
        <color theme="1"/>
        <rFont val="標楷體"/>
        <family val="4"/>
        <charset val="136"/>
      </rPr>
      <t>總請求項數</t>
    </r>
    <phoneticPr fontId="1" type="noConversion"/>
  </si>
  <si>
    <r>
      <rPr>
        <b/>
        <sz val="12"/>
        <color theme="1"/>
        <rFont val="標楷體"/>
        <family val="4"/>
        <charset val="136"/>
      </rPr>
      <t>獨立項數</t>
    </r>
    <phoneticPr fontId="1" type="noConversion"/>
  </si>
  <si>
    <r>
      <rPr>
        <b/>
        <sz val="12"/>
        <color theme="1"/>
        <rFont val="標楷體"/>
        <family val="4"/>
        <charset val="136"/>
      </rPr>
      <t>附圖張數</t>
    </r>
    <phoneticPr fontId="1" type="noConversion"/>
  </si>
  <si>
    <r>
      <rPr>
        <b/>
        <sz val="12"/>
        <color theme="1"/>
        <rFont val="標楷體"/>
        <family val="4"/>
        <charset val="136"/>
      </rPr>
      <t>歐洲</t>
    </r>
    <phoneticPr fontId="1" type="noConversion"/>
  </si>
  <si>
    <r>
      <rPr>
        <b/>
        <sz val="12"/>
        <color theme="1"/>
        <rFont val="標楷體"/>
        <family val="4"/>
        <charset val="136"/>
      </rPr>
      <t>加拿大</t>
    </r>
    <phoneticPr fontId="1" type="noConversion"/>
  </si>
  <si>
    <t>中小企業</t>
  </si>
  <si>
    <t>小計</t>
    <phoneticPr fontId="1" type="noConversion"/>
  </si>
  <si>
    <t>類型</t>
    <phoneticPr fontId="1" type="noConversion"/>
  </si>
  <si>
    <t>繳費年數，領證會含第一次年費，所以年費不能從第1年起算</t>
    <phoneticPr fontId="1" type="noConversion"/>
  </si>
  <si>
    <t>各年度官費</t>
    <phoneticPr fontId="1" type="noConversion"/>
  </si>
  <si>
    <t>各年官費（領證費會包含「第一次年費」，所以「第一次年費」要填0，以避免重複計算）</t>
    <phoneticPr fontId="1" type="noConversion"/>
  </si>
  <si>
    <t>不同繳納年數之累計官費</t>
    <phoneticPr fontId="1" type="noConversion"/>
  </si>
  <si>
    <t>各年度國外代理人費</t>
    <phoneticPr fontId="1" type="noConversion"/>
  </si>
  <si>
    <t>各年度慧盈服務費</t>
    <phoneticPr fontId="1" type="noConversion"/>
  </si>
  <si>
    <t>累計國外代理人費</t>
    <phoneticPr fontId="1" type="noConversion"/>
  </si>
  <si>
    <t>累計慧盈服務費</t>
    <phoneticPr fontId="1" type="noConversion"/>
  </si>
  <si>
    <r>
      <t>第一部分：辦理各地區「</t>
    </r>
    <r>
      <rPr>
        <b/>
        <sz val="12"/>
        <color rgb="FFCC00FF"/>
        <rFont val="新細明體"/>
        <family val="1"/>
        <charset val="136"/>
        <scheme val="minor"/>
      </rPr>
      <t>發明/新型專利</t>
    </r>
    <r>
      <rPr>
        <b/>
        <sz val="12"/>
        <color theme="1"/>
        <rFont val="新細明體"/>
        <family val="1"/>
        <charset val="136"/>
        <scheme val="minor"/>
      </rPr>
      <t>」的「申請費用」：從撰稿到提交申請。</t>
    </r>
    <phoneticPr fontId="1" type="noConversion"/>
  </si>
  <si>
    <t>撰稿到提交申請階段</t>
    <phoneticPr fontId="1" type="noConversion"/>
  </si>
  <si>
    <t>領證階段（包含最基本的第一次年費）</t>
    <phoneticPr fontId="1" type="noConversion"/>
  </si>
  <si>
    <t>後續年費階段（不包含最基本的第一次年費）</t>
    <phoneticPr fontId="1" type="noConversion"/>
  </si>
  <si>
    <t>答辯階段</t>
    <phoneticPr fontId="1" type="noConversion"/>
  </si>
  <si>
    <t>「初稿案」之慧盈服務費在所有費用中的佔比：</t>
    <phoneticPr fontId="1" type="noConversion"/>
  </si>
  <si>
    <t>繪製答辯費圓餅圖專用</t>
    <phoneticPr fontId="1" type="noConversion"/>
  </si>
  <si>
    <t>繪製領證費圓餅圖專用</t>
    <phoneticPr fontId="1" type="noConversion"/>
  </si>
  <si>
    <t>繪製後續年費圓餅圖專用</t>
    <phoneticPr fontId="1" type="noConversion"/>
  </si>
  <si>
    <t>答辯費</t>
    <phoneticPr fontId="1" type="noConversion"/>
  </si>
  <si>
    <t>OA通知費</t>
    <phoneticPr fontId="1" type="noConversion"/>
  </si>
  <si>
    <t>公開費</t>
    <phoneticPr fontId="1" type="noConversion"/>
  </si>
  <si>
    <t>實審費</t>
    <phoneticPr fontId="1" type="noConversion"/>
  </si>
  <si>
    <t>指定國費</t>
    <phoneticPr fontId="1" type="noConversion"/>
  </si>
  <si>
    <t>第二部分：辦理各地區「發明/新型專利」的「領證費用（包含最基本的第一次年費）」。</t>
    <phoneticPr fontId="1" type="noConversion"/>
  </si>
  <si>
    <t>修正費</t>
    <phoneticPr fontId="1" type="noConversion"/>
  </si>
  <si>
    <t>後續年費</t>
    <phoneticPr fontId="1" type="noConversion"/>
  </si>
  <si>
    <t>領證費</t>
    <phoneticPr fontId="1" type="noConversion"/>
  </si>
  <si>
    <t>階段費用</t>
    <phoneticPr fontId="1" type="noConversion"/>
  </si>
  <si>
    <t>最大年限</t>
    <phoneticPr fontId="1" type="noConversion"/>
  </si>
  <si>
    <t>二、委託慧盈辦理專利領證程序的「領證費」（包含最基本的第一次年費）：</t>
    <phoneticPr fontId="1" type="noConversion"/>
  </si>
  <si>
    <r>
      <rPr>
        <b/>
        <sz val="12"/>
        <color theme="1"/>
        <rFont val="標楷體"/>
        <family val="4"/>
        <charset val="136"/>
      </rPr>
      <t xml:space="preserve">總代墊費用
</t>
    </r>
    <r>
      <rPr>
        <b/>
        <sz val="12"/>
        <color theme="1"/>
        <rFont val="Times New Roman"/>
        <family val="1"/>
      </rPr>
      <t>(A1+A2)</t>
    </r>
    <phoneticPr fontId="1" type="noConversion"/>
  </si>
  <si>
    <r>
      <rPr>
        <b/>
        <sz val="12"/>
        <color theme="1"/>
        <rFont val="標楷體"/>
        <family val="4"/>
        <charset val="136"/>
      </rPr>
      <t xml:space="preserve">慧盈服務費
</t>
    </r>
    <r>
      <rPr>
        <b/>
        <sz val="12"/>
        <color theme="1"/>
        <rFont val="Times New Roman"/>
        <family val="1"/>
      </rPr>
      <t>(A3)
(NTD)</t>
    </r>
    <phoneticPr fontId="1" type="noConversion"/>
  </si>
  <si>
    <r>
      <rPr>
        <b/>
        <sz val="12"/>
        <color theme="1"/>
        <rFont val="標楷體"/>
        <family val="4"/>
        <charset val="136"/>
      </rPr>
      <t xml:space="preserve">專利申請費用
小計
</t>
    </r>
    <r>
      <rPr>
        <b/>
        <sz val="12"/>
        <color theme="1"/>
        <rFont val="Times New Roman"/>
        <family val="1"/>
      </rPr>
      <t>(A = A1+A2+A3)</t>
    </r>
    <phoneticPr fontId="1" type="noConversion"/>
  </si>
  <si>
    <r>
      <rPr>
        <b/>
        <sz val="12"/>
        <color theme="1"/>
        <rFont val="標楷體"/>
        <family val="4"/>
        <charset val="136"/>
      </rPr>
      <t xml:space="preserve">官方費用
</t>
    </r>
    <r>
      <rPr>
        <b/>
        <sz val="12"/>
        <color theme="1"/>
        <rFont val="Times New Roman"/>
        <family val="1"/>
      </rPr>
      <t>(M1)</t>
    </r>
    <phoneticPr fontId="1" type="noConversion"/>
  </si>
  <si>
    <r>
      <rPr>
        <b/>
        <sz val="12"/>
        <color theme="1"/>
        <rFont val="標楷體"/>
        <family val="4"/>
        <charset val="136"/>
      </rPr>
      <t xml:space="preserve">外國代理人費用
</t>
    </r>
    <r>
      <rPr>
        <b/>
        <sz val="12"/>
        <color theme="1"/>
        <rFont val="Times New Roman"/>
        <family val="1"/>
      </rPr>
      <t>(M2)</t>
    </r>
    <phoneticPr fontId="1" type="noConversion"/>
  </si>
  <si>
    <r>
      <rPr>
        <b/>
        <sz val="12"/>
        <color theme="1"/>
        <rFont val="標楷體"/>
        <family val="4"/>
        <charset val="136"/>
      </rPr>
      <t xml:space="preserve">總代墊費用
</t>
    </r>
    <r>
      <rPr>
        <b/>
        <sz val="12"/>
        <color theme="1"/>
        <rFont val="Times New Roman"/>
        <family val="1"/>
      </rPr>
      <t>(M1+M2)</t>
    </r>
    <phoneticPr fontId="1" type="noConversion"/>
  </si>
  <si>
    <r>
      <rPr>
        <b/>
        <sz val="12"/>
        <color theme="1"/>
        <rFont val="標楷體"/>
        <family val="4"/>
        <charset val="136"/>
      </rPr>
      <t xml:space="preserve">慧盈服務費
</t>
    </r>
    <r>
      <rPr>
        <b/>
        <sz val="12"/>
        <color theme="1"/>
        <rFont val="Times New Roman"/>
        <family val="1"/>
      </rPr>
      <t>(M3)
(NTD)</t>
    </r>
    <phoneticPr fontId="1" type="noConversion"/>
  </si>
  <si>
    <r>
      <rPr>
        <b/>
        <sz val="12"/>
        <color theme="1"/>
        <rFont val="標楷體"/>
        <family val="4"/>
        <charset val="136"/>
      </rPr>
      <t xml:space="preserve">專利後續年費
小計
</t>
    </r>
    <r>
      <rPr>
        <b/>
        <sz val="12"/>
        <color theme="1"/>
        <rFont val="Times New Roman"/>
        <family val="1"/>
      </rPr>
      <t>(M = M1+M2+M3)</t>
    </r>
    <phoneticPr fontId="1" type="noConversion"/>
  </si>
  <si>
    <r>
      <rPr>
        <b/>
        <sz val="12"/>
        <color theme="1"/>
        <rFont val="標楷體"/>
        <family val="4"/>
        <charset val="136"/>
      </rPr>
      <t xml:space="preserve">官方費用
</t>
    </r>
    <r>
      <rPr>
        <b/>
        <sz val="12"/>
        <color theme="1"/>
        <rFont val="Times New Roman"/>
        <family val="1"/>
      </rPr>
      <t>(R1)</t>
    </r>
    <phoneticPr fontId="1" type="noConversion"/>
  </si>
  <si>
    <r>
      <rPr>
        <b/>
        <sz val="12"/>
        <color theme="1"/>
        <rFont val="標楷體"/>
        <family val="4"/>
        <charset val="136"/>
      </rPr>
      <t xml:space="preserve">外國代理人費用
</t>
    </r>
    <r>
      <rPr>
        <b/>
        <sz val="12"/>
        <color theme="1"/>
        <rFont val="Times New Roman"/>
        <family val="1"/>
      </rPr>
      <t>(R2)</t>
    </r>
    <phoneticPr fontId="1" type="noConversion"/>
  </si>
  <si>
    <r>
      <rPr>
        <b/>
        <sz val="12"/>
        <color theme="1"/>
        <rFont val="標楷體"/>
        <family val="4"/>
        <charset val="136"/>
      </rPr>
      <t xml:space="preserve">總代墊費用
</t>
    </r>
    <r>
      <rPr>
        <b/>
        <sz val="12"/>
        <color theme="1"/>
        <rFont val="Times New Roman"/>
        <family val="1"/>
      </rPr>
      <t>(R1+R2)</t>
    </r>
    <phoneticPr fontId="1" type="noConversion"/>
  </si>
  <si>
    <r>
      <rPr>
        <b/>
        <sz val="12"/>
        <color theme="1"/>
        <rFont val="標楷體"/>
        <family val="4"/>
        <charset val="136"/>
      </rPr>
      <t xml:space="preserve">慧盈服務費
</t>
    </r>
    <r>
      <rPr>
        <b/>
        <sz val="12"/>
        <color theme="1"/>
        <rFont val="Times New Roman"/>
        <family val="1"/>
      </rPr>
      <t>(R3)
(NTD)</t>
    </r>
    <phoneticPr fontId="1" type="noConversion"/>
  </si>
  <si>
    <r>
      <rPr>
        <b/>
        <sz val="12"/>
        <color theme="1"/>
        <rFont val="標楷體"/>
        <family val="4"/>
        <charset val="136"/>
      </rPr>
      <t xml:space="preserve">專利答辯費用
小計
</t>
    </r>
    <r>
      <rPr>
        <b/>
        <sz val="12"/>
        <color theme="1"/>
        <rFont val="Times New Roman"/>
        <family val="1"/>
      </rPr>
      <t>(R = R1+R2+R3)</t>
    </r>
    <phoneticPr fontId="1" type="noConversion"/>
  </si>
  <si>
    <t>總代墊費用
(A1+A2)</t>
    <phoneticPr fontId="1" type="noConversion"/>
  </si>
  <si>
    <t>慧盈服務費
(A3)
(NTD)</t>
    <phoneticPr fontId="1" type="noConversion"/>
  </si>
  <si>
    <t>專利申請費用小計
(A = A1+A2+A3)
(NTD)</t>
    <phoneticPr fontId="1" type="noConversion"/>
  </si>
  <si>
    <t>慧盈服務費(A3)</t>
    <phoneticPr fontId="1" type="noConversion"/>
  </si>
  <si>
    <t>專利申請費用(A)</t>
    <phoneticPr fontId="1" type="noConversion"/>
  </si>
  <si>
    <t>官方費用
(R1)</t>
    <phoneticPr fontId="1" type="noConversion"/>
  </si>
  <si>
    <t>外國代理人費用
(R2)</t>
    <phoneticPr fontId="1" type="noConversion"/>
  </si>
  <si>
    <t>總代墊費用
(R1+R2)</t>
    <phoneticPr fontId="1" type="noConversion"/>
  </si>
  <si>
    <t>慧盈服務費
(R3)
(NTD)</t>
    <phoneticPr fontId="1" type="noConversion"/>
  </si>
  <si>
    <t>專利答辯費用小計
(R = R1+R2+R3)
(NTD)</t>
    <phoneticPr fontId="1" type="noConversion"/>
  </si>
  <si>
    <t>官方費用(R1)</t>
    <phoneticPr fontId="1" type="noConversion"/>
  </si>
  <si>
    <t>外國代理人費用(R2)</t>
    <phoneticPr fontId="1" type="noConversion"/>
  </si>
  <si>
    <t>慧盈服務費(R3)</t>
    <phoneticPr fontId="1" type="noConversion"/>
  </si>
  <si>
    <t>官方費用
(M1)</t>
    <phoneticPr fontId="1" type="noConversion"/>
  </si>
  <si>
    <t>外國代理人費用
(M2)</t>
    <phoneticPr fontId="1" type="noConversion"/>
  </si>
  <si>
    <t>總代墊費用
(M1+M2)</t>
    <phoneticPr fontId="1" type="noConversion"/>
  </si>
  <si>
    <t>慧盈服務費
(M3)
(NTD)</t>
    <phoneticPr fontId="1" type="noConversion"/>
  </si>
  <si>
    <t>專利後續維護費用小計
(M = M1+M2+M3)
(NTD)</t>
    <phoneticPr fontId="1" type="noConversion"/>
  </si>
  <si>
    <t>官方費用(M1)</t>
    <phoneticPr fontId="1" type="noConversion"/>
  </si>
  <si>
    <t>外國代理人費用(M2)</t>
    <phoneticPr fontId="1" type="noConversion"/>
  </si>
  <si>
    <t>慧盈服務費(M3)</t>
    <phoneticPr fontId="1" type="noConversion"/>
  </si>
  <si>
    <t>申請＋答辯一條、領證＋年費一條</t>
    <phoneticPr fontId="1" type="noConversion"/>
  </si>
  <si>
    <t>申請費用(A)</t>
    <phoneticPr fontId="1" type="noConversion"/>
  </si>
  <si>
    <t>答辯費用(R)</t>
    <phoneticPr fontId="1" type="noConversion"/>
  </si>
  <si>
    <t>後續年費(M)</t>
    <phoneticPr fontId="1" type="noConversion"/>
  </si>
  <si>
    <t>申請+答辯費用(A+R)</t>
    <phoneticPr fontId="1" type="noConversion"/>
  </si>
  <si>
    <t>繪製各國（申請+答辯費）與（領證＋年費）長條圖</t>
    <phoneticPr fontId="1" type="noConversion"/>
  </si>
  <si>
    <t>「初稿案」申請服務費(F)</t>
    <phoneticPr fontId="1" type="noConversion"/>
  </si>
  <si>
    <t>繪製初稿費與總成本之比較橫條圖</t>
    <phoneticPr fontId="1" type="noConversion"/>
  </si>
  <si>
    <t>繪製申請費與其他費用加總分析子母圖</t>
    <phoneticPr fontId="1" type="noConversion"/>
  </si>
  <si>
    <t>計算初稿費佔總成本之比例</t>
    <phoneticPr fontId="1" type="noConversion"/>
  </si>
  <si>
    <t>一、委託慧盈辦理「發明/新型專利」從撰稿到提交申請階段的預估「申請費」：</t>
    <phoneticPr fontId="1" type="noConversion"/>
  </si>
  <si>
    <r>
      <t>第四部分：辦理各地區「發明/新型專利」的「後續年費費用（不包含最基本的第一次年費）」，</t>
    </r>
    <r>
      <rPr>
        <b/>
        <sz val="12"/>
        <color rgb="FFFF0000"/>
        <rFont val="新細明體"/>
        <family val="1"/>
        <charset val="136"/>
        <scheme val="minor"/>
      </rPr>
      <t>連動「年費繳納年數」下拉選單</t>
    </r>
    <phoneticPr fontId="1" type="noConversion"/>
  </si>
  <si>
    <r>
      <t>第三部分：辦理各地區「</t>
    </r>
    <r>
      <rPr>
        <b/>
        <sz val="12"/>
        <color rgb="FFCC00FF"/>
        <rFont val="新細明體"/>
        <family val="1"/>
        <charset val="136"/>
        <scheme val="minor"/>
      </rPr>
      <t>發明/新型專利</t>
    </r>
    <r>
      <rPr>
        <b/>
        <sz val="12"/>
        <color theme="1"/>
        <rFont val="新細明體"/>
        <family val="1"/>
        <charset val="136"/>
        <scheme val="minor"/>
      </rPr>
      <t>」的「一次答辯費用」：估多次會牽涉到RCE、再審查等額外官費，太複雜。</t>
    </r>
    <phoneticPr fontId="1" type="noConversion"/>
  </si>
  <si>
    <r>
      <rPr>
        <b/>
        <sz val="12"/>
        <color theme="1"/>
        <rFont val="標楷體"/>
        <family val="4"/>
        <charset val="136"/>
      </rPr>
      <t xml:space="preserve">官方費用
</t>
    </r>
    <r>
      <rPr>
        <b/>
        <sz val="12"/>
        <color theme="1"/>
        <rFont val="Times New Roman"/>
        <family val="1"/>
      </rPr>
      <t>(C1)</t>
    </r>
    <phoneticPr fontId="1" type="noConversion"/>
  </si>
  <si>
    <r>
      <rPr>
        <b/>
        <sz val="12"/>
        <color theme="1"/>
        <rFont val="標楷體"/>
        <family val="4"/>
        <charset val="136"/>
      </rPr>
      <t xml:space="preserve">外國代理人費用
</t>
    </r>
    <r>
      <rPr>
        <b/>
        <sz val="12"/>
        <color theme="1"/>
        <rFont val="Times New Roman"/>
        <family val="1"/>
      </rPr>
      <t>(C2)</t>
    </r>
    <phoneticPr fontId="1" type="noConversion"/>
  </si>
  <si>
    <r>
      <rPr>
        <b/>
        <sz val="12"/>
        <color theme="1"/>
        <rFont val="標楷體"/>
        <family val="4"/>
        <charset val="136"/>
      </rPr>
      <t xml:space="preserve">總代墊費用
</t>
    </r>
    <r>
      <rPr>
        <b/>
        <sz val="12"/>
        <color theme="1"/>
        <rFont val="Times New Roman"/>
        <family val="1"/>
      </rPr>
      <t>(C1+C2)</t>
    </r>
    <phoneticPr fontId="1" type="noConversion"/>
  </si>
  <si>
    <r>
      <rPr>
        <b/>
        <sz val="12"/>
        <color theme="1"/>
        <rFont val="標楷體"/>
        <family val="4"/>
        <charset val="136"/>
      </rPr>
      <t xml:space="preserve">慧盈服務費
</t>
    </r>
    <r>
      <rPr>
        <b/>
        <sz val="12"/>
        <color theme="1"/>
        <rFont val="Times New Roman"/>
        <family val="1"/>
      </rPr>
      <t>(C3)
(NTD)</t>
    </r>
    <phoneticPr fontId="1" type="noConversion"/>
  </si>
  <si>
    <r>
      <rPr>
        <b/>
        <sz val="12"/>
        <color theme="1"/>
        <rFont val="標楷體"/>
        <family val="4"/>
        <charset val="136"/>
      </rPr>
      <t>專利領證費用
小計</t>
    </r>
    <r>
      <rPr>
        <b/>
        <sz val="12"/>
        <color theme="1"/>
        <rFont val="Times New Roman"/>
        <family val="4"/>
      </rPr>
      <t xml:space="preserve">
</t>
    </r>
    <r>
      <rPr>
        <b/>
        <sz val="12"/>
        <color theme="1"/>
        <rFont val="Times New Roman"/>
        <family val="1"/>
      </rPr>
      <t>(C = C1+C2+C3)</t>
    </r>
    <phoneticPr fontId="1" type="noConversion"/>
  </si>
  <si>
    <t>官方費用
(C1)</t>
    <phoneticPr fontId="1" type="noConversion"/>
  </si>
  <si>
    <t>外國代理人費用
(C2)</t>
    <phoneticPr fontId="1" type="noConversion"/>
  </si>
  <si>
    <t>總代墊費用
(C1+C2)</t>
    <phoneticPr fontId="1" type="noConversion"/>
  </si>
  <si>
    <t>慧盈服務費
(C3)
(NTD)</t>
    <phoneticPr fontId="1" type="noConversion"/>
  </si>
  <si>
    <t>專利領證費用小計
(C = C1+C2+C3)
(NTD)</t>
    <phoneticPr fontId="1" type="noConversion"/>
  </si>
  <si>
    <t>官方費用(C1)</t>
    <phoneticPr fontId="1" type="noConversion"/>
  </si>
  <si>
    <t>外國代理人費用(C2)</t>
    <phoneticPr fontId="1" type="noConversion"/>
  </si>
  <si>
    <t>慧盈服務費(C3)</t>
    <phoneticPr fontId="1" type="noConversion"/>
  </si>
  <si>
    <t>領證費用(C)</t>
    <phoneticPr fontId="1" type="noConversion"/>
  </si>
  <si>
    <t>申請+領證費用(A+C)</t>
    <phoneticPr fontId="1" type="noConversion"/>
  </si>
  <si>
    <t>申請+答辯+領證費(A+R+C)</t>
    <phoneticPr fontId="1" type="noConversion"/>
  </si>
  <si>
    <t>專利布局總成本(T = A+C+R+M)</t>
    <phoneticPr fontId="1" type="noConversion"/>
  </si>
  <si>
    <t>專利領證費用(C)</t>
    <phoneticPr fontId="1" type="noConversion"/>
  </si>
  <si>
    <t>領證+答辯+後續年費(C+R+M)</t>
    <phoneticPr fontId="1" type="noConversion"/>
  </si>
  <si>
    <t>領證+後續年費(C+M)</t>
    <phoneticPr fontId="1" type="noConversion"/>
  </si>
  <si>
    <t>備註：</t>
  </si>
  <si>
    <t>備註：大陸發明專利預估最快要2-3年左右才核准，所以領證時要繳納的第一次年費估計是「第3年年費」，因此，領證之後第2個年度的後續年費，應該要從「第4年年費」開始算，等於將第4年以後的年費往前平移。</t>
    <phoneticPr fontId="1" type="noConversion"/>
  </si>
  <si>
    <t>「初稿案」申請服務費</t>
    <phoneticPr fontId="1" type="noConversion"/>
  </si>
  <si>
    <r>
      <t>(</t>
    </r>
    <r>
      <rPr>
        <b/>
        <sz val="10"/>
        <color rgb="FFFF0000"/>
        <rFont val="標楷體"/>
        <family val="4"/>
        <charset val="136"/>
      </rPr>
      <t>視需要勾選</t>
    </r>
    <r>
      <rPr>
        <b/>
        <sz val="10"/>
        <color rgb="FFFF0000"/>
        <rFont val="Times New Roman"/>
        <family val="1"/>
      </rPr>
      <t>)</t>
    </r>
    <phoneticPr fontId="1" type="noConversion"/>
  </si>
  <si>
    <t>三、委託慧盈辦理專利申請案「核駁答辯程序」的預估「答辯費用」（只以答辯一次作為估算基礎）：</t>
    <phoneticPr fontId="1" type="noConversion"/>
  </si>
  <si>
    <t>四、委託慧盈控管及代繳已領證專利的「後續年費」（已扣除最基本的第一次年費）：</t>
    <phoneticPr fontId="1" type="noConversion"/>
  </si>
  <si>
    <t>年費繳納年數(下拉選單)</t>
    <phoneticPr fontId="1" type="noConversion"/>
  </si>
  <si>
    <r>
      <t xml:space="preserve">年費繳納年數
</t>
    </r>
    <r>
      <rPr>
        <b/>
        <sz val="12"/>
        <color rgb="FFFF0000"/>
        <rFont val="標楷體"/>
        <family val="4"/>
        <charset val="136"/>
      </rPr>
      <t>可自行調整→</t>
    </r>
    <phoneticPr fontId="1" type="noConversion"/>
  </si>
  <si>
    <t>設計年費繳納年數(黑圈)</t>
    <phoneticPr fontId="1" type="noConversion"/>
  </si>
  <si>
    <t>發明年費繳納年數(黑圈)</t>
    <phoneticPr fontId="1" type="noConversion"/>
  </si>
  <si>
    <t>是否申請</t>
    <phoneticPr fontId="1" type="noConversion"/>
  </si>
  <si>
    <t>發明</t>
  </si>
  <si>
    <t>新型</t>
  </si>
  <si>
    <t>初稿案</t>
    <phoneticPr fontId="1" type="noConversion"/>
  </si>
  <si>
    <t>初稿案代碼</t>
    <phoneticPr fontId="1" type="noConversion"/>
  </si>
  <si>
    <t>計費類型
(自動判斷)</t>
    <phoneticPr fontId="1" type="noConversion"/>
  </si>
  <si>
    <r>
      <t xml:space="preserve">要先送件
之初稿案
</t>
    </r>
    <r>
      <rPr>
        <b/>
        <sz val="12"/>
        <color rgb="FFFF0000"/>
        <rFont val="標楷體"/>
        <family val="4"/>
        <charset val="136"/>
      </rPr>
      <t>(請選擇)</t>
    </r>
    <phoneticPr fontId="1" type="noConversion"/>
  </si>
  <si>
    <t>如果有新增國別或調整國別排列順序，要記得重新設定上面三個欄位中的HLOOKUP的最後一個索引欄位數值是否由上而下依序順號，只要沒有順號，HLOOKUP抓出來的金額就會是錯的</t>
    <phoneticPr fontId="1" type="noConversion"/>
  </si>
  <si>
    <t>↑↑↑↑</t>
    <phoneticPr fontId="1" type="noConversion"/>
  </si>
  <si>
    <t>初稿案代碼：
1 = 台灣
2 = 大陸
3 = 美國
4 = 加拿大
5 = 新加坡
6 = 馬來西亞
7 = 菲律賓</t>
    <phoneticPr fontId="1" type="noConversion"/>
  </si>
  <si>
    <t>1.上表中之「慧盈服務費」之計費原則說明如下：</t>
    <phoneticPr fontId="1" type="noConversion"/>
  </si>
  <si>
    <t>2.上表計算結果僅係送件申請的概估費用，並「不」包含以下費用：</t>
    <phoneticPr fontId="1" type="noConversion"/>
  </si>
  <si>
    <t>3.歐洲案申請時「不會」一併申請實審，等將來回覆檢索報告時再決定要不要申請實審。</t>
    <phoneticPr fontId="1" type="noConversion"/>
  </si>
  <si>
    <t>4.日本案跟韓國案的翻譯費皆優先以英文稿字數估價，沒有英文稿時才用中文稿字數估價。</t>
    <phoneticPr fontId="1" type="noConversion"/>
  </si>
  <si>
    <t>5.越南案、泰國案、印尼案皆係以英文稿字數來估算代理人費用，若無申請其他地區的英文對應案，則另需額外翻譯費用。</t>
    <phoneticPr fontId="1" type="noConversion"/>
  </si>
  <si>
    <t>6.泰國案需等到案件公開之後才能申請實審，且泰國案申請前需要在台辦理委任書(POA)的公證跟認證程序。</t>
    <phoneticPr fontId="1" type="noConversion"/>
  </si>
  <si>
    <t>7.「沒有」新型專利制度的地區：美國、新加坡、加拿大。</t>
    <phoneticPr fontId="1" type="noConversion"/>
  </si>
  <si>
    <t>8.「新型專利需要實審」的地區：韓國、越南、馬來西亞、印尼。</t>
    <phoneticPr fontId="1" type="noConversion"/>
  </si>
  <si>
    <t>9.「允許」發明與新型一案兩請的地區：台灣、大陸、越南、馬來西亞。</t>
    <phoneticPr fontId="1" type="noConversion"/>
  </si>
  <si>
    <t>10.「不允許」發明與新型一案兩請的地區：日本、韓國、泰國、印尼。</t>
    <phoneticPr fontId="1" type="noConversion"/>
  </si>
  <si>
    <t>11.當上表中的案件勾選方式有誤、或是「初稿案」的選擇出現異常時，表格右側會自動顯示提示文字，若有疑問請與本所聯繫。</t>
    <phoneticPr fontId="1" type="noConversion"/>
  </si>
  <si>
    <t>五、以下用視覺化圖形呈現各地區「發明/新型專利」的費用組成結構，讓您迅速掌握專利佈局成本的真實樣貌：</t>
    <phoneticPr fontId="1" type="noConversion"/>
  </si>
  <si>
    <t>　　(2)與「初稿案」同時委辦之其他地區的案件，「慧盈服務費」會自動以優惠費率計算。</t>
    <phoneticPr fontId="1" type="noConversion"/>
  </si>
  <si>
    <t>　　(3)使用「相同語言」的另一個地區案件，「慧盈服務費」會自動以更優惠的費率計算。</t>
    <phoneticPr fontId="1" type="noConversion"/>
  </si>
  <si>
    <t>　　(4)使用「中文」的地區：台灣、大陸；使用「英文」的地區：美國、歐洲、加拿大、新加坡、馬來西亞、菲律賓。</t>
    <phoneticPr fontId="1" type="noConversion"/>
  </si>
  <si>
    <t>　　(1)個別案件之「主張優先權」、「申請優先權證」、「提呈IDS」、「補正文件」等額外程序費用。</t>
    <phoneticPr fontId="1" type="noConversion"/>
  </si>
  <si>
    <t>　　(2)各地區官方或代理人因案件篇幅過長所收取的「超頁費」、「超項費」等額外費用。</t>
    <phoneticPr fontId="1" type="noConversion"/>
  </si>
  <si>
    <t>1.上表中的預估費用，只包含領證費用及領證時必須一併繳納的最基本的第一次年費，不包含後續年費。</t>
  </si>
  <si>
    <t>1.上表是針對「發明專利案」及「要實體審查的新型專利案」進行答辯「一次」的估算費用，但有時候申請案不需要任何答辯就能獲准專利。</t>
  </si>
  <si>
    <t>3.新型專利案「要實體審查」的地區：韓國、越南、馬來西亞、印尼。</t>
  </si>
  <si>
    <t>4.新型專利案「不需實體審查」的地區基本上不需要進行答辯，只有在特殊情況下可能發生需要答辯的狀況，所以在上表中的估算費用都是0。</t>
  </si>
  <si>
    <t>獨立項費/申請權登記費</t>
    <phoneticPr fontId="1" type="noConversion"/>
  </si>
  <si>
    <t>1.新型專利的最長保護年限一般是10年，但韓國為15年、馬來西亞為20年。</t>
    <phoneticPr fontId="1" type="noConversion"/>
  </si>
  <si>
    <t>2.部分地區允許一次繳納複數年份的年費，採用這種繳費方式可使實際的外國代理人費用及慧盈服務費比上表的估算金額降低一半（甚至更多）。</t>
    <phoneticPr fontId="1" type="noConversion"/>
  </si>
  <si>
    <t>　　(1)在每次要跨國申請的專利家族中，需要事務所最先撰稿、送件的那一個地區的案件，就是「初稿案」。</t>
    <phoneticPr fontId="1" type="noConversion"/>
  </si>
  <si>
    <t>2.上表的估算金額並「不」包含：答辯字數超過門檻時的超字費、修改請求項後可能衍生的請求項超項官費、以及需要答辯超過一次時的費用。</t>
    <phoneticPr fontId="1" type="noConversion"/>
  </si>
  <si>
    <t>EP代理人費，包含英、法、德三國生效官費、以及請求項的法文+德文翻譯費（翻譯費以5000字來高估，一般字數遠低於5000字）</t>
    <phoneticPr fontId="1" type="noConversion"/>
  </si>
  <si>
    <t>EP領證官費，已包含英、法、德三國生效官費(因為三國都是0元)</t>
    <phoneticPr fontId="1" type="noConversion"/>
  </si>
  <si>
    <t>100~500人</t>
    <phoneticPr fontId="1" type="noConversion"/>
  </si>
  <si>
    <t>少於100人</t>
  </si>
  <si>
    <t>少於100人</t>
    <phoneticPr fontId="1" type="noConversion"/>
  </si>
  <si>
    <t>歐洲發明案的年費，是使用CPA的2025年度報價中的英、法、德三國的費用的加總結果，而非按照Metida報價</t>
    <phoneticPr fontId="1" type="noConversion"/>
  </si>
  <si>
    <t>申請權登記費</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</si>
</sst>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49" x14ac:knownFonts="1">
    <font>
      <sz val="12"/>
      <color theme="1"/>
      <name val="新細明體"/>
      <family val="2"/>
      <scheme val="minor"/>
    </font>
    <font>
      <sz val="9"/>
      <name val="新細明體"/>
      <family val="3"/>
      <charset val="136"/>
      <scheme val="minor"/>
    </font>
    <font>
      <sz val="11"/>
      <color rgb="FF222222"/>
      <name val="細明體"/>
      <family val="3"/>
      <charset val="136"/>
    </font>
    <font>
      <b/>
      <sz val="12"/>
      <color rgb="FF0000FF"/>
      <name val="新細明體"/>
      <family val="1"/>
      <charset val="136"/>
      <scheme val="minor"/>
    </font>
    <font>
      <sz val="9"/>
      <name val="新細明體"/>
      <family val="1"/>
      <charset val="136"/>
    </font>
    <font>
      <sz val="12"/>
      <color rgb="FFFF0000"/>
      <name val="新細明體"/>
      <family val="2"/>
      <scheme val="minor"/>
    </font>
    <font>
      <sz val="12"/>
      <color rgb="FFFF0000"/>
      <name val="新細明體"/>
      <family val="1"/>
      <charset val="136"/>
      <scheme val="minor"/>
    </font>
    <font>
      <b/>
      <sz val="12"/>
      <color theme="1"/>
      <name val="新細明體"/>
      <family val="1"/>
      <charset val="136"/>
      <scheme val="minor"/>
    </font>
    <font>
      <b/>
      <sz val="12"/>
      <color rgb="FFFF0000"/>
      <name val="新細明體"/>
      <family val="1"/>
      <charset val="136"/>
      <scheme val="minor"/>
    </font>
    <font>
      <b/>
      <sz val="12"/>
      <color rgb="FFCC00FF"/>
      <name val="新細明體"/>
      <family val="1"/>
      <charset val="136"/>
      <scheme val="minor"/>
    </font>
    <font>
      <b/>
      <sz val="14"/>
      <color rgb="FF0000FF"/>
      <name val="新細明體"/>
      <family val="1"/>
      <charset val="136"/>
      <scheme val="minor"/>
    </font>
    <font>
      <sz val="12"/>
      <color rgb="FF0000FF"/>
      <name val="新細明體"/>
      <family val="2"/>
      <scheme val="minor"/>
    </font>
    <font>
      <sz val="11"/>
      <name val="細明體"/>
      <family val="3"/>
      <charset val="136"/>
    </font>
    <font>
      <sz val="11"/>
      <color rgb="FFFF0000"/>
      <name val="細明體"/>
      <family val="3"/>
      <charset val="136"/>
    </font>
    <font>
      <b/>
      <sz val="12"/>
      <color theme="1"/>
      <name val="新細明體"/>
      <family val="1"/>
      <charset val="136"/>
    </font>
    <font>
      <b/>
      <sz val="12"/>
      <color rgb="FFFF0000"/>
      <name val="新細明體"/>
      <family val="1"/>
      <charset val="136"/>
    </font>
    <font>
      <b/>
      <sz val="12"/>
      <name val="新細明體"/>
      <family val="1"/>
      <charset val="136"/>
    </font>
    <font>
      <b/>
      <sz val="12"/>
      <color theme="1"/>
      <name val="Times New Roman"/>
      <family val="1"/>
    </font>
    <font>
      <sz val="12"/>
      <color theme="1"/>
      <name val="Times New Roman"/>
      <family val="1"/>
    </font>
    <font>
      <b/>
      <sz val="12"/>
      <color rgb="FFFF0000"/>
      <name val="Times New Roman"/>
      <family val="1"/>
    </font>
    <font>
      <b/>
      <sz val="12"/>
      <name val="Times New Roman"/>
      <family val="1"/>
    </font>
    <font>
      <b/>
      <sz val="12"/>
      <color rgb="FF0000FF"/>
      <name val="Times New Roman"/>
      <family val="1"/>
    </font>
    <font>
      <b/>
      <sz val="14"/>
      <color rgb="FF0000FF"/>
      <name val="Times New Roman"/>
      <family val="1"/>
    </font>
    <font>
      <sz val="12"/>
      <color rgb="FFFF0000"/>
      <name val="Times New Roman"/>
      <family val="1"/>
    </font>
    <font>
      <b/>
      <sz val="12"/>
      <color theme="1"/>
      <name val="Times New Roman"/>
      <family val="1"/>
      <charset val="136"/>
    </font>
    <font>
      <sz val="12"/>
      <color theme="1"/>
      <name val="新細明體"/>
      <family val="2"/>
      <charset val="136"/>
    </font>
    <font>
      <b/>
      <sz val="10"/>
      <color rgb="FFFF0000"/>
      <name val="Times New Roman"/>
      <family val="1"/>
    </font>
    <font>
      <b/>
      <sz val="12"/>
      <color theme="1"/>
      <name val="標楷體"/>
      <family val="4"/>
      <charset val="136"/>
    </font>
    <font>
      <b/>
      <sz val="12"/>
      <color rgb="FFFF0000"/>
      <name val="標楷體"/>
      <family val="4"/>
      <charset val="136"/>
    </font>
    <font>
      <b/>
      <sz val="12"/>
      <color rgb="FF0000FF"/>
      <name val="標楷體"/>
      <family val="4"/>
      <charset val="136"/>
    </font>
    <font>
      <b/>
      <sz val="10"/>
      <color rgb="FFFF0000"/>
      <name val="標楷體"/>
      <family val="4"/>
      <charset val="136"/>
    </font>
    <font>
      <b/>
      <sz val="12"/>
      <name val="標楷體"/>
      <family val="4"/>
      <charset val="136"/>
    </font>
    <font>
      <b/>
      <sz val="14"/>
      <color rgb="FF0000FF"/>
      <name val="標楷體"/>
      <family val="4"/>
      <charset val="136"/>
    </font>
    <font>
      <b/>
      <sz val="14"/>
      <color theme="1"/>
      <name val="Times New Roman"/>
      <family val="1"/>
    </font>
    <font>
      <b/>
      <sz val="12"/>
      <color theme="1"/>
      <name val="Times New Roman"/>
      <family val="4"/>
    </font>
    <font>
      <b/>
      <sz val="12"/>
      <color theme="1"/>
      <name val="Times New Roman"/>
      <family val="4"/>
      <charset val="136"/>
    </font>
    <font>
      <b/>
      <sz val="12"/>
      <color theme="1"/>
      <name val="細明體"/>
      <family val="1"/>
      <charset val="136"/>
    </font>
    <font>
      <sz val="12"/>
      <name val="新細明體"/>
      <family val="2"/>
      <scheme val="minor"/>
    </font>
    <font>
      <sz val="12"/>
      <color theme="1"/>
      <name val="標楷體"/>
      <family val="4"/>
      <charset val="136"/>
    </font>
    <font>
      <sz val="9"/>
      <color rgb="FF000000"/>
      <name val="新細明體"/>
      <family val="1"/>
      <charset val="136"/>
    </font>
    <font>
      <sz val="9"/>
      <color rgb="FF000000"/>
      <name val="Microsoft JhengHei UI"/>
      <family val="2"/>
      <charset val="136"/>
    </font>
    <font>
      <b/>
      <strike/>
      <sz val="12"/>
      <color rgb="FFFF0000"/>
      <name val="新細明體"/>
      <family val="1"/>
      <charset val="136"/>
      <scheme val="minor"/>
    </font>
    <font>
      <strike/>
      <sz val="12"/>
      <color rgb="FFFF0000"/>
      <name val="新細明體"/>
      <family val="2"/>
      <scheme val="minor"/>
    </font>
    <font>
      <b/>
      <strike/>
      <sz val="12"/>
      <color rgb="FFFF0000"/>
      <name val="Times New Roman"/>
      <family val="1"/>
    </font>
    <font>
      <sz val="12"/>
      <color rgb="FF0000FF"/>
      <name val="標楷體"/>
      <family val="4"/>
      <charset val="136"/>
    </font>
    <font>
      <sz val="12"/>
      <color rgb="FF0000FF"/>
      <name val="新細明體"/>
      <family val="1"/>
      <charset val="136"/>
      <scheme val="minor"/>
    </font>
    <font>
      <sz val="14"/>
      <color theme="1"/>
      <name val="Times New Roman"/>
      <family val="1"/>
    </font>
    <font>
      <sz val="12"/>
      <color theme="1"/>
      <name val="Microsoft JhengHei UI"/>
      <family val="2"/>
      <charset val="136"/>
    </font>
    <font>
      <sz val="12"/>
      <color rgb="FFFF0000"/>
      <name val="標楷體"/>
      <family val="4"/>
      <charset val="136"/>
    </font>
  </fonts>
  <fills count="1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rgb="FFFFCCFF"/>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gradientFill degree="270">
        <stop position="0">
          <color theme="0"/>
        </stop>
        <stop position="1">
          <color rgb="FFCCFFFF"/>
        </stop>
      </gradientFill>
    </fill>
    <fill>
      <gradientFill degree="270">
        <stop position="0">
          <color theme="0"/>
        </stop>
        <stop position="1">
          <color rgb="FFCCFFCC"/>
        </stop>
      </gradientFill>
    </fill>
    <fill>
      <gradientFill degree="270">
        <stop position="0">
          <color theme="0"/>
        </stop>
        <stop position="1">
          <color rgb="FFFFFFCC"/>
        </stop>
      </gradientFill>
    </fill>
    <fill>
      <gradientFill degree="270">
        <stop position="0">
          <color theme="0"/>
        </stop>
        <stop position="1">
          <color rgb="FFFFCCFF"/>
        </stop>
      </gradientFill>
    </fill>
    <fill>
      <gradientFill degree="270">
        <stop position="0">
          <color theme="0"/>
        </stop>
        <stop position="1">
          <color rgb="FFFFCC00"/>
        </stop>
      </gradientFill>
    </fill>
    <fill>
      <patternFill patternType="solid">
        <fgColor rgb="FFFFD757"/>
        <bgColor indexed="64"/>
      </patternFill>
    </fill>
    <fill>
      <patternFill patternType="solid">
        <fgColor rgb="FF99FF99"/>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ck">
        <color indexed="64"/>
      </left>
      <right style="thick">
        <color indexed="64"/>
      </right>
      <top style="thick">
        <color indexed="64"/>
      </top>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thin">
        <color indexed="64"/>
      </top>
      <bottom style="thick">
        <color indexed="64"/>
      </bottom>
      <diagonal/>
    </border>
    <border>
      <left style="thick">
        <color indexed="64"/>
      </left>
      <right style="thick">
        <color indexed="64"/>
      </right>
      <top/>
      <bottom style="thick">
        <color indexed="64"/>
      </bottom>
      <diagonal/>
    </border>
    <border>
      <left/>
      <right style="thick">
        <color indexed="64"/>
      </right>
      <top style="thick">
        <color indexed="64"/>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cellStyleXfs>
  <cellXfs count="254">
    <xf numFmtId="0" fontId="0" fillId="0" borderId="0" xfId="0"/>
    <xf numFmtId="0" fontId="0" fillId="0" borderId="0" xfId="0" applyAlignment="1">
      <alignment horizontal="center"/>
    </xf>
    <xf numFmtId="0" fontId="2" fillId="0" borderId="0" xfId="0" applyFont="1" applyAlignment="1">
      <alignment horizont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0" fillId="0" borderId="1" xfId="0" applyBorder="1"/>
    <xf numFmtId="0" fontId="0" fillId="0" borderId="1" xfId="0" applyBorder="1" applyAlignment="1">
      <alignment horizontal="center"/>
    </xf>
    <xf numFmtId="176" fontId="3" fillId="0" borderId="1" xfId="0" applyNumberFormat="1" applyFont="1" applyBorder="1" applyAlignment="1">
      <alignment horizontal="right" vertical="center"/>
    </xf>
    <xf numFmtId="0" fontId="0" fillId="0" borderId="1" xfId="0" applyBorder="1" applyAlignment="1">
      <alignment horizontal="right" vertical="center"/>
    </xf>
    <xf numFmtId="0" fontId="7" fillId="0" borderId="0" xfId="0" applyFont="1"/>
    <xf numFmtId="176" fontId="3" fillId="3" borderId="1" xfId="0" applyNumberFormat="1" applyFont="1" applyFill="1" applyBorder="1" applyAlignment="1">
      <alignment horizontal="right" vertical="center"/>
    </xf>
    <xf numFmtId="0" fontId="11" fillId="0" borderId="1" xfId="0" applyFont="1" applyBorder="1" applyAlignment="1">
      <alignment horizontal="center"/>
    </xf>
    <xf numFmtId="176" fontId="3" fillId="0" borderId="1" xfId="0" applyNumberFormat="1" applyFont="1" applyBorder="1"/>
    <xf numFmtId="0" fontId="3" fillId="0" borderId="1" xfId="0" applyFont="1" applyBorder="1"/>
    <xf numFmtId="0" fontId="11" fillId="0" borderId="1" xfId="0" applyFont="1" applyBorder="1" applyAlignment="1">
      <alignment horizontal="center" vertical="center"/>
    </xf>
    <xf numFmtId="0" fontId="0" fillId="2" borderId="1" xfId="0" applyFill="1" applyBorder="1" applyAlignment="1">
      <alignment horizontal="center" vertical="center" wrapText="1"/>
    </xf>
    <xf numFmtId="0" fontId="5" fillId="0" borderId="0" xfId="0" applyFont="1"/>
    <xf numFmtId="0" fontId="12" fillId="0" borderId="0" xfId="0" applyFont="1"/>
    <xf numFmtId="0" fontId="0" fillId="0" borderId="4" xfId="0" applyBorder="1" applyAlignment="1">
      <alignment horizontal="center" vertical="center"/>
    </xf>
    <xf numFmtId="176" fontId="10" fillId="5" borderId="1" xfId="0" applyNumberFormat="1" applyFont="1" applyFill="1" applyBorder="1" applyAlignment="1">
      <alignment horizontal="right" vertical="center"/>
    </xf>
    <xf numFmtId="176" fontId="10" fillId="6" borderId="1" xfId="0" applyNumberFormat="1" applyFont="1" applyFill="1" applyBorder="1" applyAlignment="1">
      <alignment horizontal="right" vertical="center"/>
    </xf>
    <xf numFmtId="176" fontId="3" fillId="0" borderId="1" xfId="0" applyNumberFormat="1" applyFont="1" applyBorder="1" applyAlignment="1">
      <alignment horizontal="center"/>
    </xf>
    <xf numFmtId="176" fontId="3" fillId="6" borderId="1" xfId="0" applyNumberFormat="1" applyFont="1" applyFill="1" applyBorder="1" applyAlignment="1">
      <alignment horizontal="right" vertical="center"/>
    </xf>
    <xf numFmtId="176" fontId="3" fillId="2" borderId="1" xfId="0" applyNumberFormat="1" applyFont="1" applyFill="1" applyBorder="1" applyAlignment="1">
      <alignment horizontal="right" vertical="center"/>
    </xf>
    <xf numFmtId="176" fontId="10" fillId="2" borderId="1" xfId="0" applyNumberFormat="1" applyFont="1" applyFill="1" applyBorder="1" applyAlignment="1">
      <alignment horizontal="right"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176" fontId="3" fillId="5" borderId="1" xfId="0" applyNumberFormat="1" applyFont="1" applyFill="1" applyBorder="1" applyAlignment="1">
      <alignment horizontal="right" vertical="center"/>
    </xf>
    <xf numFmtId="0" fontId="13" fillId="0" borderId="0" xfId="0" applyFont="1" applyAlignment="1">
      <alignment horizontal="center"/>
    </xf>
    <xf numFmtId="0" fontId="5" fillId="0" borderId="0" xfId="0" applyFont="1" applyAlignment="1">
      <alignment horizontal="center"/>
    </xf>
    <xf numFmtId="0" fontId="7" fillId="5" borderId="0" xfId="0" applyFont="1" applyFill="1"/>
    <xf numFmtId="0" fontId="0" fillId="5" borderId="0" xfId="0" applyFill="1"/>
    <xf numFmtId="0" fontId="3" fillId="0" borderId="1" xfId="0" applyFont="1" applyBorder="1" applyAlignment="1">
      <alignment horizontal="center"/>
    </xf>
    <xf numFmtId="10" fontId="3" fillId="0" borderId="7" xfId="0" applyNumberFormat="1" applyFont="1" applyBorder="1" applyAlignment="1">
      <alignment horizontal="center"/>
    </xf>
    <xf numFmtId="0" fontId="17" fillId="7" borderId="0" xfId="0" applyFont="1" applyFill="1"/>
    <xf numFmtId="0" fontId="18" fillId="7" borderId="0" xfId="0" applyFont="1" applyFill="1"/>
    <xf numFmtId="0" fontId="18" fillId="0" borderId="0" xfId="0" applyFont="1"/>
    <xf numFmtId="0" fontId="17" fillId="7" borderId="0" xfId="0" applyFont="1" applyFill="1" applyProtection="1">
      <protection locked="0"/>
    </xf>
    <xf numFmtId="0" fontId="18" fillId="7" borderId="0" xfId="0" applyFont="1" applyFill="1" applyAlignment="1">
      <alignment vertical="center"/>
    </xf>
    <xf numFmtId="176" fontId="21" fillId="0" borderId="1" xfId="0" applyNumberFormat="1" applyFont="1" applyBorder="1" applyAlignment="1">
      <alignment horizontal="right" vertical="center"/>
    </xf>
    <xf numFmtId="0" fontId="17" fillId="0" borderId="0" xfId="0" applyFont="1"/>
    <xf numFmtId="0" fontId="17" fillId="7" borderId="0" xfId="0" applyFont="1" applyFill="1" applyAlignment="1">
      <alignment vertical="center"/>
    </xf>
    <xf numFmtId="0" fontId="18" fillId="7" borderId="0" xfId="0" applyFont="1" applyFill="1" applyProtection="1">
      <protection locked="0"/>
    </xf>
    <xf numFmtId="0" fontId="19" fillId="7" borderId="1" xfId="0" applyFont="1" applyFill="1" applyBorder="1" applyAlignment="1" applyProtection="1">
      <alignment vertical="center"/>
      <protection locked="0"/>
    </xf>
    <xf numFmtId="0" fontId="18" fillId="0" borderId="0" xfId="0" applyFont="1" applyAlignment="1">
      <alignment vertical="center"/>
    </xf>
    <xf numFmtId="0" fontId="17" fillId="7" borderId="0" xfId="0" applyFont="1" applyFill="1" applyAlignment="1" applyProtection="1">
      <alignment vertical="center"/>
      <protection locked="0"/>
    </xf>
    <xf numFmtId="0" fontId="20" fillId="7" borderId="0" xfId="0" applyFont="1" applyFill="1" applyAlignment="1">
      <alignment vertical="center"/>
    </xf>
    <xf numFmtId="0" fontId="19" fillId="7" borderId="0" xfId="0" applyFont="1" applyFill="1" applyAlignment="1" applyProtection="1">
      <alignment vertical="center"/>
      <protection locked="0"/>
    </xf>
    <xf numFmtId="0" fontId="23" fillId="7" borderId="0" xfId="0" applyFont="1" applyFill="1" applyAlignment="1">
      <alignment vertical="center"/>
    </xf>
    <xf numFmtId="0" fontId="19" fillId="7" borderId="0" xfId="0" applyFont="1" applyFill="1" applyAlignment="1">
      <alignment vertical="center"/>
    </xf>
    <xf numFmtId="0" fontId="19" fillId="3" borderId="0" xfId="0" applyFont="1" applyFill="1" applyAlignment="1" applyProtection="1">
      <alignment vertical="center"/>
      <protection locked="0"/>
    </xf>
    <xf numFmtId="0" fontId="17" fillId="3" borderId="0" xfId="0" applyFont="1" applyFill="1" applyAlignment="1" applyProtection="1">
      <alignment vertical="center"/>
      <protection locked="0"/>
    </xf>
    <xf numFmtId="0" fontId="24" fillId="7" borderId="0" xfId="0" applyFont="1" applyFill="1" applyAlignment="1">
      <alignment vertical="center"/>
    </xf>
    <xf numFmtId="0" fontId="25" fillId="0" borderId="1" xfId="0" applyFont="1" applyBorder="1" applyAlignment="1">
      <alignment horizontal="center" vertical="center"/>
    </xf>
    <xf numFmtId="0" fontId="17" fillId="7" borderId="1" xfId="0" applyFont="1" applyFill="1" applyBorder="1" applyAlignment="1" applyProtection="1">
      <alignment vertical="center"/>
      <protection locked="0"/>
    </xf>
    <xf numFmtId="0" fontId="17" fillId="0" borderId="1" xfId="0" applyFont="1" applyBorder="1" applyProtection="1">
      <protection locked="0"/>
    </xf>
    <xf numFmtId="0" fontId="17" fillId="0" borderId="1" xfId="0" applyFont="1" applyBorder="1" applyAlignment="1" applyProtection="1">
      <alignment horizontal="right" vertical="center"/>
      <protection locked="0"/>
    </xf>
    <xf numFmtId="176" fontId="22" fillId="10" borderId="1" xfId="0" applyNumberFormat="1" applyFont="1" applyFill="1" applyBorder="1" applyAlignment="1" applyProtection="1">
      <alignment horizontal="right" vertical="center"/>
      <protection locked="0"/>
    </xf>
    <xf numFmtId="176" fontId="22" fillId="11" borderId="1" xfId="0" applyNumberFormat="1" applyFont="1" applyFill="1" applyBorder="1" applyAlignment="1" applyProtection="1">
      <alignment horizontal="right" vertical="center"/>
      <protection locked="0"/>
    </xf>
    <xf numFmtId="176" fontId="22" fillId="0" borderId="1" xfId="0" applyNumberFormat="1" applyFont="1" applyBorder="1" applyAlignment="1" applyProtection="1">
      <alignment horizontal="right" vertical="center"/>
      <protection locked="0"/>
    </xf>
    <xf numFmtId="176" fontId="22" fillId="9" borderId="1" xfId="0" applyNumberFormat="1" applyFont="1" applyFill="1" applyBorder="1" applyAlignment="1" applyProtection="1">
      <alignment horizontal="right" vertical="center"/>
      <protection locked="0"/>
    </xf>
    <xf numFmtId="176" fontId="22" fillId="8" borderId="1" xfId="0" applyNumberFormat="1" applyFont="1" applyFill="1" applyBorder="1" applyAlignment="1" applyProtection="1">
      <alignment horizontal="right" vertical="center"/>
      <protection locked="0"/>
    </xf>
    <xf numFmtId="0" fontId="17" fillId="0" borderId="1" xfId="0" applyFont="1" applyBorder="1" applyAlignment="1" applyProtection="1">
      <alignment horizontal="center" vertical="center"/>
      <protection locked="0"/>
    </xf>
    <xf numFmtId="176" fontId="22" fillId="12" borderId="1" xfId="0" applyNumberFormat="1" applyFont="1" applyFill="1" applyBorder="1" applyAlignment="1" applyProtection="1">
      <alignment horizontal="right" vertical="center"/>
      <protection locked="0"/>
    </xf>
    <xf numFmtId="176" fontId="20" fillId="0" borderId="1" xfId="0" applyNumberFormat="1" applyFont="1" applyBorder="1" applyAlignment="1">
      <alignment horizontal="right" vertical="center"/>
    </xf>
    <xf numFmtId="0" fontId="18" fillId="7" borderId="0" xfId="0" applyFont="1" applyFill="1" applyAlignment="1">
      <alignment vertical="top"/>
    </xf>
    <xf numFmtId="0" fontId="18" fillId="0" borderId="0" xfId="0" applyFont="1" applyAlignment="1">
      <alignment vertical="top"/>
    </xf>
    <xf numFmtId="0" fontId="2" fillId="0" borderId="0" xfId="0" applyFont="1" applyAlignment="1">
      <alignment horizontal="center" vertical="center"/>
    </xf>
    <xf numFmtId="0" fontId="27" fillId="0" borderId="1" xfId="0" applyFont="1" applyBorder="1" applyAlignment="1" applyProtection="1">
      <alignment horizontal="center" vertical="center"/>
      <protection locked="0"/>
    </xf>
    <xf numFmtId="0" fontId="29" fillId="7" borderId="0" xfId="0" applyFont="1" applyFill="1" applyAlignment="1">
      <alignment vertical="center"/>
    </xf>
    <xf numFmtId="0" fontId="32" fillId="7" borderId="0" xfId="0" applyFont="1" applyFill="1" applyAlignment="1">
      <alignment vertical="center"/>
    </xf>
    <xf numFmtId="0" fontId="3" fillId="0" borderId="0" xfId="0" applyFont="1" applyAlignment="1">
      <alignment horizontal="center"/>
    </xf>
    <xf numFmtId="0" fontId="28" fillId="7" borderId="1" xfId="0" applyFont="1" applyFill="1" applyBorder="1" applyAlignment="1" applyProtection="1">
      <alignment horizontal="center" vertical="center"/>
      <protection locked="0"/>
    </xf>
    <xf numFmtId="10" fontId="10" fillId="5" borderId="1" xfId="0" applyNumberFormat="1" applyFont="1" applyFill="1" applyBorder="1" applyAlignment="1">
      <alignment horizontal="right" vertical="center"/>
    </xf>
    <xf numFmtId="0" fontId="0" fillId="2" borderId="2" xfId="0" applyFill="1" applyBorder="1" applyAlignment="1">
      <alignment horizontal="center" vertical="center"/>
    </xf>
    <xf numFmtId="176" fontId="11" fillId="0" borderId="1" xfId="0" applyNumberFormat="1" applyFont="1" applyBorder="1" applyAlignment="1">
      <alignment horizontal="center"/>
    </xf>
    <xf numFmtId="0" fontId="0" fillId="0" borderId="0" xfId="0" applyAlignment="1">
      <alignment vertical="center"/>
    </xf>
    <xf numFmtId="0" fontId="0" fillId="2" borderId="2" xfId="0" applyFill="1" applyBorder="1" applyAlignment="1">
      <alignment horizontal="left" vertical="center"/>
    </xf>
    <xf numFmtId="0" fontId="0" fillId="0" borderId="0" xfId="0" applyAlignment="1">
      <alignment horizontal="right" vertical="center"/>
    </xf>
    <xf numFmtId="176" fontId="10" fillId="0" borderId="0" xfId="0" applyNumberFormat="1" applyFont="1" applyAlignment="1">
      <alignment horizontal="right" vertical="center"/>
    </xf>
    <xf numFmtId="176" fontId="3" fillId="0" borderId="0" xfId="0" applyNumberFormat="1" applyFont="1" applyAlignment="1">
      <alignment horizontal="right" vertical="center"/>
    </xf>
    <xf numFmtId="0" fontId="0" fillId="0" borderId="0" xfId="0" applyAlignment="1">
      <alignment horizontal="center" vertical="center"/>
    </xf>
    <xf numFmtId="10" fontId="10" fillId="0" borderId="0" xfId="0" applyNumberFormat="1" applyFont="1" applyAlignment="1">
      <alignment horizontal="right" vertical="center"/>
    </xf>
    <xf numFmtId="0" fontId="3" fillId="0" borderId="7" xfId="0" applyFont="1" applyBorder="1" applyAlignment="1">
      <alignment horizontal="center"/>
    </xf>
    <xf numFmtId="10" fontId="3" fillId="2" borderId="7" xfId="0" applyNumberFormat="1" applyFont="1" applyFill="1" applyBorder="1" applyAlignment="1">
      <alignment horizontal="center"/>
    </xf>
    <xf numFmtId="0" fontId="3" fillId="0" borderId="0" xfId="0" applyFont="1" applyAlignment="1">
      <alignment horizontal="right"/>
    </xf>
    <xf numFmtId="176" fontId="7" fillId="0" borderId="1" xfId="0" applyNumberFormat="1" applyFont="1" applyBorder="1" applyAlignment="1">
      <alignment horizontal="right" vertical="center"/>
    </xf>
    <xf numFmtId="176" fontId="8" fillId="0" borderId="1" xfId="0" applyNumberFormat="1" applyFont="1" applyBorder="1" applyAlignment="1">
      <alignment horizontal="right" vertical="center"/>
    </xf>
    <xf numFmtId="0" fontId="36" fillId="7" borderId="0" xfId="0" applyFont="1" applyFill="1" applyProtection="1">
      <protection locked="0"/>
    </xf>
    <xf numFmtId="176" fontId="3" fillId="14" borderId="1" xfId="0" applyNumberFormat="1" applyFont="1" applyFill="1" applyBorder="1" applyAlignment="1">
      <alignment horizontal="right" vertical="center"/>
    </xf>
    <xf numFmtId="176" fontId="3" fillId="5" borderId="4" xfId="0" applyNumberFormat="1" applyFont="1" applyFill="1" applyBorder="1" applyAlignment="1">
      <alignment horizontal="right" vertical="center"/>
    </xf>
    <xf numFmtId="176" fontId="3" fillId="5" borderId="10" xfId="0" applyNumberFormat="1" applyFont="1" applyFill="1" applyBorder="1" applyAlignment="1">
      <alignment horizontal="right" vertical="center"/>
    </xf>
    <xf numFmtId="176" fontId="3" fillId="5" borderId="11" xfId="0" applyNumberFormat="1" applyFont="1" applyFill="1" applyBorder="1" applyAlignment="1">
      <alignment horizontal="right" vertical="center"/>
    </xf>
    <xf numFmtId="176" fontId="10" fillId="5" borderId="12" xfId="0" applyNumberFormat="1" applyFont="1" applyFill="1" applyBorder="1" applyAlignment="1">
      <alignment horizontal="right" vertical="center"/>
    </xf>
    <xf numFmtId="176" fontId="3" fillId="5" borderId="15" xfId="0" applyNumberFormat="1" applyFont="1" applyFill="1" applyBorder="1" applyAlignment="1">
      <alignment horizontal="right" vertical="center"/>
    </xf>
    <xf numFmtId="176" fontId="3" fillId="5" borderId="16" xfId="0" applyNumberFormat="1" applyFont="1" applyFill="1" applyBorder="1" applyAlignment="1">
      <alignment horizontal="right" vertical="center"/>
    </xf>
    <xf numFmtId="0" fontId="37" fillId="0" borderId="1" xfId="0" applyFont="1" applyBorder="1" applyAlignment="1">
      <alignment horizontal="center"/>
    </xf>
    <xf numFmtId="177" fontId="11" fillId="0" borderId="1" xfId="0" applyNumberFormat="1" applyFont="1" applyBorder="1" applyAlignment="1">
      <alignment horizontal="center"/>
    </xf>
    <xf numFmtId="177" fontId="0" fillId="0" borderId="1" xfId="0" applyNumberFormat="1" applyBorder="1"/>
    <xf numFmtId="177" fontId="0" fillId="0" borderId="0" xfId="0" applyNumberFormat="1"/>
    <xf numFmtId="177" fontId="0" fillId="2" borderId="2" xfId="0" applyNumberFormat="1" applyFill="1" applyBorder="1" applyAlignment="1">
      <alignment horizontal="left" vertical="center"/>
    </xf>
    <xf numFmtId="177" fontId="0" fillId="2" borderId="2" xfId="0" applyNumberFormat="1" applyFill="1" applyBorder="1" applyAlignment="1">
      <alignment horizontal="center" vertical="center"/>
    </xf>
    <xf numFmtId="177" fontId="0" fillId="2" borderId="1" xfId="0" applyNumberFormat="1" applyFill="1" applyBorder="1" applyAlignment="1">
      <alignment horizontal="center" vertical="center"/>
    </xf>
    <xf numFmtId="177" fontId="11" fillId="3" borderId="1" xfId="0" applyNumberFormat="1" applyFont="1" applyFill="1" applyBorder="1" applyAlignment="1">
      <alignment horizontal="center"/>
    </xf>
    <xf numFmtId="176" fontId="21" fillId="0" borderId="1" xfId="0" applyNumberFormat="1" applyFont="1" applyBorder="1" applyAlignment="1" applyProtection="1">
      <alignment horizontal="right" vertical="center"/>
      <protection locked="0"/>
    </xf>
    <xf numFmtId="0" fontId="35" fillId="8" borderId="1" xfId="0" applyFont="1" applyFill="1" applyBorder="1" applyAlignment="1" applyProtection="1">
      <alignment horizontal="center" vertical="center" wrapText="1"/>
      <protection locked="0"/>
    </xf>
    <xf numFmtId="0" fontId="17" fillId="8" borderId="1" xfId="0" applyFont="1" applyFill="1" applyBorder="1" applyAlignment="1" applyProtection="1">
      <alignment horizontal="center" vertical="center"/>
      <protection locked="0"/>
    </xf>
    <xf numFmtId="0" fontId="27" fillId="7" borderId="0" xfId="0" applyFont="1" applyFill="1" applyAlignment="1" applyProtection="1">
      <alignment vertical="center"/>
      <protection locked="0"/>
    </xf>
    <xf numFmtId="0" fontId="29" fillId="7" borderId="0" xfId="0" applyFont="1" applyFill="1" applyAlignment="1" applyProtection="1">
      <alignment vertical="center"/>
      <protection locked="0"/>
    </xf>
    <xf numFmtId="0" fontId="31" fillId="7" borderId="0" xfId="0" applyFont="1" applyFill="1" applyAlignment="1" applyProtection="1">
      <alignment vertical="center"/>
      <protection locked="0"/>
    </xf>
    <xf numFmtId="0" fontId="27" fillId="9" borderId="0" xfId="0" applyFont="1" applyFill="1" applyAlignment="1" applyProtection="1">
      <alignment vertical="top"/>
      <protection locked="0"/>
    </xf>
    <xf numFmtId="0" fontId="17" fillId="9" borderId="0" xfId="0" applyFont="1" applyFill="1" applyAlignment="1" applyProtection="1">
      <alignment vertical="top"/>
      <protection locked="0"/>
    </xf>
    <xf numFmtId="0" fontId="35" fillId="10" borderId="1" xfId="0" applyFont="1" applyFill="1" applyBorder="1" applyAlignment="1" applyProtection="1">
      <alignment horizontal="center" vertical="center" wrapText="1"/>
      <protection locked="0"/>
    </xf>
    <xf numFmtId="0" fontId="17" fillId="10" borderId="1" xfId="0" applyFont="1" applyFill="1" applyBorder="1" applyAlignment="1" applyProtection="1">
      <alignment horizontal="center" vertical="center"/>
      <protection locked="0"/>
    </xf>
    <xf numFmtId="0" fontId="18" fillId="0" borderId="0" xfId="0" applyFont="1" applyProtection="1">
      <protection locked="0"/>
    </xf>
    <xf numFmtId="0" fontId="18" fillId="7" borderId="0" xfId="0" applyFont="1" applyFill="1" applyAlignment="1" applyProtection="1">
      <alignment vertical="top"/>
      <protection locked="0"/>
    </xf>
    <xf numFmtId="0" fontId="18" fillId="0" borderId="0" xfId="0" applyFont="1" applyAlignment="1" applyProtection="1">
      <alignment vertical="top"/>
      <protection locked="0"/>
    </xf>
    <xf numFmtId="0" fontId="18" fillId="7" borderId="0" xfId="0" applyFont="1" applyFill="1" applyAlignment="1" applyProtection="1">
      <alignment vertical="center"/>
      <protection locked="0"/>
    </xf>
    <xf numFmtId="0" fontId="18" fillId="0" borderId="0" xfId="0" applyFont="1" applyAlignment="1" applyProtection="1">
      <alignment vertical="center"/>
      <protection locked="0"/>
    </xf>
    <xf numFmtId="0" fontId="17" fillId="0" borderId="0" xfId="0" applyFont="1" applyProtection="1">
      <protection locked="0"/>
    </xf>
    <xf numFmtId="0" fontId="27" fillId="7" borderId="2" xfId="0" applyFont="1" applyFill="1" applyBorder="1" applyAlignment="1" applyProtection="1">
      <alignment horizontal="center" vertical="center"/>
      <protection locked="0"/>
    </xf>
    <xf numFmtId="0" fontId="17" fillId="7" borderId="2"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26" fillId="7" borderId="3" xfId="0" applyFont="1" applyFill="1" applyBorder="1" applyAlignment="1" applyProtection="1">
      <alignment horizontal="center" vertical="center" shrinkToFit="1"/>
      <protection locked="0"/>
    </xf>
    <xf numFmtId="0" fontId="17" fillId="7" borderId="1" xfId="0" applyFont="1" applyFill="1" applyBorder="1" applyAlignment="1" applyProtection="1">
      <alignment horizontal="center" vertical="center" shrinkToFit="1"/>
      <protection locked="0"/>
    </xf>
    <xf numFmtId="177" fontId="11" fillId="5" borderId="1" xfId="0" applyNumberFormat="1" applyFont="1" applyFill="1" applyBorder="1" applyAlignment="1">
      <alignment horizontal="center"/>
    </xf>
    <xf numFmtId="0" fontId="0" fillId="14" borderId="1" xfId="0" applyFill="1" applyBorder="1" applyAlignment="1">
      <alignment horizontal="center" vertical="center"/>
    </xf>
    <xf numFmtId="176" fontId="28" fillId="7" borderId="1" xfId="0" applyNumberFormat="1" applyFont="1" applyFill="1" applyBorder="1" applyAlignment="1" applyProtection="1">
      <alignment vertical="center"/>
      <protection locked="0"/>
    </xf>
    <xf numFmtId="0" fontId="41" fillId="0" borderId="0" xfId="0" applyFont="1"/>
    <xf numFmtId="0" fontId="29" fillId="7" borderId="0" xfId="0" applyFont="1" applyFill="1"/>
    <xf numFmtId="176" fontId="3" fillId="0" borderId="0" xfId="0" applyNumberFormat="1" applyFont="1"/>
    <xf numFmtId="176" fontId="3" fillId="0" borderId="0" xfId="0" applyNumberFormat="1" applyFont="1" applyAlignment="1">
      <alignment horizontal="center"/>
    </xf>
    <xf numFmtId="0" fontId="0" fillId="2" borderId="3" xfId="0" applyFill="1" applyBorder="1" applyAlignment="1">
      <alignment horizontal="center" vertical="center"/>
    </xf>
    <xf numFmtId="0" fontId="42" fillId="0" borderId="0" xfId="0" applyFont="1"/>
    <xf numFmtId="0" fontId="42" fillId="0" borderId="1" xfId="0" applyFont="1" applyBorder="1" applyAlignment="1">
      <alignment horizontal="right" vertical="center"/>
    </xf>
    <xf numFmtId="0" fontId="42" fillId="0" borderId="0" xfId="0" applyFont="1" applyAlignment="1">
      <alignment horizontal="right" vertical="center"/>
    </xf>
    <xf numFmtId="0" fontId="43" fillId="7" borderId="0" xfId="0" applyFont="1" applyFill="1" applyAlignment="1" applyProtection="1">
      <alignment vertical="center"/>
      <protection locked="0"/>
    </xf>
    <xf numFmtId="0" fontId="44" fillId="7" borderId="0" xfId="0" applyFont="1" applyFill="1" applyAlignment="1">
      <alignment vertical="center"/>
    </xf>
    <xf numFmtId="176" fontId="11" fillId="0" borderId="1" xfId="0" applyNumberFormat="1" applyFont="1" applyBorder="1" applyAlignment="1">
      <alignment horizontal="center" vertical="center"/>
    </xf>
    <xf numFmtId="0" fontId="45" fillId="0" borderId="1" xfId="0" applyFont="1" applyBorder="1" applyAlignment="1">
      <alignment horizontal="center"/>
    </xf>
    <xf numFmtId="0" fontId="46" fillId="7" borderId="0" xfId="0" applyFont="1" applyFill="1" applyAlignment="1">
      <alignment horizontal="left"/>
    </xf>
    <xf numFmtId="0" fontId="46" fillId="0" borderId="0" xfId="0" applyFont="1" applyAlignment="1">
      <alignment horizontal="left"/>
    </xf>
    <xf numFmtId="0" fontId="46" fillId="7" borderId="0" xfId="0" applyFont="1" applyFill="1" applyAlignment="1">
      <alignment horizontal="center"/>
    </xf>
    <xf numFmtId="0" fontId="46" fillId="0" borderId="0" xfId="0" applyFont="1" applyAlignment="1">
      <alignment horizontal="center"/>
    </xf>
    <xf numFmtId="0" fontId="47" fillId="0" borderId="0" xfId="0" applyFont="1"/>
    <xf numFmtId="0" fontId="38" fillId="7" borderId="0" xfId="0" applyFont="1" applyFill="1"/>
    <xf numFmtId="0" fontId="38" fillId="7" borderId="0" xfId="0" applyFont="1" applyFill="1" applyAlignment="1" applyProtection="1">
      <alignment vertical="center"/>
      <protection locked="0"/>
    </xf>
    <xf numFmtId="0" fontId="38" fillId="0" borderId="0" xfId="0" applyFont="1" applyAlignment="1" applyProtection="1">
      <alignment vertical="center"/>
      <protection locked="0"/>
    </xf>
    <xf numFmtId="0" fontId="28" fillId="7" borderId="0" xfId="0" applyFont="1" applyFill="1" applyAlignment="1" applyProtection="1">
      <alignment vertical="center"/>
      <protection locked="0"/>
    </xf>
    <xf numFmtId="0" fontId="48" fillId="7" borderId="0" xfId="0" applyFont="1" applyFill="1" applyAlignment="1" applyProtection="1">
      <alignment vertical="center"/>
      <protection locked="0"/>
    </xf>
    <xf numFmtId="0" fontId="27" fillId="7" borderId="0" xfId="0" applyFont="1" applyFill="1" applyAlignment="1">
      <alignment vertical="center"/>
    </xf>
    <xf numFmtId="0" fontId="38" fillId="7" borderId="0" xfId="0" applyFont="1" applyFill="1" applyAlignment="1">
      <alignment vertical="center"/>
    </xf>
    <xf numFmtId="0" fontId="38" fillId="0" borderId="0" xfId="0" applyFont="1" applyAlignment="1">
      <alignment vertical="center"/>
    </xf>
    <xf numFmtId="0" fontId="27" fillId="7" borderId="0" xfId="0" applyFont="1" applyFill="1" applyProtection="1">
      <protection locked="0"/>
    </xf>
    <xf numFmtId="0" fontId="17" fillId="7" borderId="1" xfId="0" applyFont="1" applyFill="1" applyBorder="1" applyProtection="1">
      <protection locked="0"/>
    </xf>
    <xf numFmtId="10" fontId="33" fillId="7" borderId="0" xfId="0" applyNumberFormat="1" applyFont="1" applyFill="1" applyAlignment="1">
      <alignment horizontal="center" vertical="center"/>
    </xf>
    <xf numFmtId="0" fontId="33" fillId="7" borderId="0" xfId="0" applyFont="1" applyFill="1" applyAlignment="1">
      <alignment horizontal="left"/>
    </xf>
    <xf numFmtId="0" fontId="33" fillId="7" borderId="0" xfId="0" applyFont="1" applyFill="1" applyAlignment="1">
      <alignment horizontal="center"/>
    </xf>
    <xf numFmtId="0" fontId="33" fillId="0" borderId="0" xfId="0" applyFont="1" applyAlignment="1">
      <alignment horizontal="center"/>
    </xf>
    <xf numFmtId="0" fontId="38" fillId="0" borderId="1" xfId="0" applyFont="1" applyBorder="1" applyAlignment="1">
      <alignment horizontal="center" vertical="center"/>
    </xf>
    <xf numFmtId="0" fontId="8" fillId="0" borderId="0" xfId="0" applyFont="1"/>
    <xf numFmtId="0" fontId="17" fillId="0" borderId="2"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10" borderId="1" xfId="0" applyFont="1" applyFill="1" applyBorder="1" applyAlignment="1" applyProtection="1">
      <alignment horizontal="center" vertical="center"/>
      <protection locked="0"/>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5" fillId="10" borderId="1" xfId="0" applyFont="1" applyFill="1" applyBorder="1" applyAlignment="1" applyProtection="1">
      <alignment horizontal="center" vertical="center" wrapText="1"/>
      <protection locked="0"/>
    </xf>
    <xf numFmtId="0" fontId="27" fillId="10" borderId="1" xfId="0" applyFont="1" applyFill="1" applyBorder="1" applyAlignment="1" applyProtection="1">
      <alignment horizontal="center" vertical="center" wrapText="1"/>
      <protection locked="0"/>
    </xf>
    <xf numFmtId="0" fontId="27" fillId="10" borderId="1" xfId="0" applyFont="1" applyFill="1" applyBorder="1" applyAlignment="1" applyProtection="1">
      <alignment horizontal="center" vertical="center"/>
      <protection locked="0"/>
    </xf>
    <xf numFmtId="0" fontId="27" fillId="0" borderId="18" xfId="0" applyFont="1" applyBorder="1" applyAlignment="1" applyProtection="1">
      <alignment horizontal="center" vertical="center" wrapText="1"/>
      <protection locked="0"/>
    </xf>
    <xf numFmtId="0" fontId="27" fillId="0" borderId="21"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22" xfId="0" applyFont="1" applyBorder="1" applyAlignment="1" applyProtection="1">
      <alignment horizontal="center" vertical="center"/>
      <protection locked="0"/>
    </xf>
    <xf numFmtId="0" fontId="17" fillId="0" borderId="18" xfId="0" applyFont="1" applyBorder="1" applyAlignment="1" applyProtection="1">
      <alignment horizontal="right" vertical="center"/>
      <protection locked="0"/>
    </xf>
    <xf numFmtId="0" fontId="0" fillId="0" borderId="20" xfId="0" applyBorder="1" applyProtection="1">
      <protection locked="0"/>
    </xf>
    <xf numFmtId="0" fontId="0" fillId="0" borderId="21" xfId="0" applyBorder="1" applyProtection="1">
      <protection locked="0"/>
    </xf>
    <xf numFmtId="0" fontId="0" fillId="0" borderId="19" xfId="0" applyBorder="1" applyProtection="1">
      <protection locked="0"/>
    </xf>
    <xf numFmtId="0" fontId="0" fillId="0" borderId="17" xfId="0" applyBorder="1" applyProtection="1">
      <protection locked="0"/>
    </xf>
    <xf numFmtId="0" fontId="0" fillId="0" borderId="22" xfId="0" applyBorder="1" applyProtection="1">
      <protection locked="0"/>
    </xf>
    <xf numFmtId="0" fontId="27" fillId="0" borderId="2" xfId="0" applyFont="1" applyBorder="1" applyAlignment="1" applyProtection="1">
      <alignment horizontal="center" vertical="center"/>
      <protection locked="0"/>
    </xf>
    <xf numFmtId="0" fontId="27" fillId="0" borderId="3" xfId="0" applyFont="1" applyBorder="1" applyAlignment="1" applyProtection="1">
      <alignment horizontal="center" vertical="center"/>
      <protection locked="0"/>
    </xf>
    <xf numFmtId="0" fontId="35" fillId="10" borderId="2" xfId="0" applyFont="1" applyFill="1" applyBorder="1" applyAlignment="1" applyProtection="1">
      <alignment horizontal="center" vertical="center" wrapText="1"/>
      <protection locked="0"/>
    </xf>
    <xf numFmtId="0" fontId="17" fillId="10" borderId="3" xfId="0" applyFont="1" applyFill="1" applyBorder="1" applyAlignment="1" applyProtection="1">
      <alignment horizontal="center" vertical="center"/>
      <protection locked="0"/>
    </xf>
    <xf numFmtId="0" fontId="17" fillId="7" borderId="1" xfId="0"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protection locked="0"/>
    </xf>
    <xf numFmtId="0" fontId="17" fillId="8" borderId="1" xfId="0" applyFont="1" applyFill="1" applyBorder="1" applyAlignment="1" applyProtection="1">
      <alignment horizontal="center" vertical="center" wrapText="1"/>
      <protection locked="0"/>
    </xf>
    <xf numFmtId="0" fontId="27" fillId="8" borderId="2" xfId="0" applyFont="1" applyFill="1" applyBorder="1" applyAlignment="1" applyProtection="1">
      <alignment horizontal="center" vertical="center" wrapText="1"/>
      <protection locked="0"/>
    </xf>
    <xf numFmtId="0" fontId="27" fillId="8" borderId="3" xfId="0" applyFont="1" applyFill="1" applyBorder="1" applyAlignment="1" applyProtection="1">
      <alignment horizontal="center" vertical="center" wrapText="1"/>
      <protection locked="0"/>
    </xf>
    <xf numFmtId="0" fontId="35" fillId="8" borderId="1" xfId="0" applyFont="1" applyFill="1" applyBorder="1" applyAlignment="1" applyProtection="1">
      <alignment horizontal="center" vertical="center" wrapText="1"/>
      <protection locked="0"/>
    </xf>
    <xf numFmtId="0" fontId="17" fillId="7" borderId="1" xfId="0" applyFont="1" applyFill="1" applyBorder="1" applyAlignment="1" applyProtection="1">
      <alignment vertical="center"/>
      <protection locked="0"/>
    </xf>
    <xf numFmtId="0" fontId="17" fillId="10" borderId="1" xfId="0" applyFont="1" applyFill="1" applyBorder="1" applyAlignment="1" applyProtection="1">
      <alignment horizontal="center" vertical="center" wrapText="1"/>
      <protection locked="0"/>
    </xf>
    <xf numFmtId="0" fontId="7" fillId="2" borderId="4" xfId="0" applyFont="1" applyFill="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13" borderId="4" xfId="0" applyFill="1" applyBorder="1" applyAlignment="1">
      <alignment horizontal="center"/>
    </xf>
    <xf numFmtId="0" fontId="0" fillId="13" borderId="5" xfId="0" applyFill="1" applyBorder="1" applyAlignment="1">
      <alignment horizontal="center"/>
    </xf>
    <xf numFmtId="0" fontId="0" fillId="13" borderId="5" xfId="0" applyFill="1" applyBorder="1"/>
    <xf numFmtId="0" fontId="0" fillId="13" borderId="6" xfId="0" applyFill="1" applyBorder="1"/>
    <xf numFmtId="0" fontId="11" fillId="0" borderId="2" xfId="0" applyFont="1" applyBorder="1" applyAlignment="1">
      <alignment horizontal="center" vertical="center"/>
    </xf>
    <xf numFmtId="0" fontId="5" fillId="5" borderId="1" xfId="0" applyFont="1" applyFill="1" applyBorder="1" applyAlignment="1">
      <alignment horizontal="center" wrapText="1"/>
    </xf>
    <xf numFmtId="0" fontId="6" fillId="5" borderId="1" xfId="0" applyFont="1" applyFill="1" applyBorder="1" applyAlignment="1">
      <alignment horizontal="center" wrapText="1"/>
    </xf>
    <xf numFmtId="0" fontId="0" fillId="2" borderId="1" xfId="0" applyFill="1" applyBorder="1" applyAlignment="1">
      <alignment horizontal="center" vertical="center"/>
    </xf>
    <xf numFmtId="0" fontId="5"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wrapText="1"/>
    </xf>
    <xf numFmtId="0" fontId="0" fillId="2" borderId="5" xfId="0" applyFill="1"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2" borderId="1" xfId="0" applyFill="1" applyBorder="1" applyAlignment="1">
      <alignment horizontal="center" vertical="center" wrapText="1"/>
    </xf>
    <xf numFmtId="0" fontId="0" fillId="0" borderId="1" xfId="0" applyBorder="1" applyAlignment="1">
      <alignment horizontal="center" vertical="center"/>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6" borderId="1" xfId="0" applyFill="1" applyBorder="1" applyAlignment="1">
      <alignment horizontal="center" vertical="center" wrapText="1"/>
    </xf>
    <xf numFmtId="0" fontId="0" fillId="6" borderId="1" xfId="0" applyFill="1" applyBorder="1" applyAlignment="1">
      <alignment horizontal="center" vertical="center"/>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6" borderId="4" xfId="0" applyFill="1" applyBorder="1" applyAlignment="1">
      <alignment horizontal="center" vertical="center" wrapText="1"/>
    </xf>
    <xf numFmtId="0" fontId="0" fillId="6" borderId="5" xfId="0" applyFill="1" applyBorder="1" applyAlignment="1">
      <alignment horizontal="center" vertical="center" wrapText="1"/>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0" fillId="0" borderId="4" xfId="0" applyBorder="1" applyAlignment="1">
      <alignment horizontal="center"/>
    </xf>
    <xf numFmtId="0" fontId="0" fillId="0" borderId="6" xfId="0" applyBorder="1" applyAlignment="1">
      <alignment horizontal="center"/>
    </xf>
    <xf numFmtId="0" fontId="0" fillId="0" borderId="5" xfId="0" applyBorder="1" applyAlignment="1">
      <alignment horizontal="center"/>
    </xf>
    <xf numFmtId="0" fontId="25" fillId="0" borderId="4" xfId="0" applyFont="1" applyBorder="1" applyAlignment="1">
      <alignment horizontal="center"/>
    </xf>
    <xf numFmtId="0" fontId="0" fillId="0" borderId="6" xfId="0" applyBorder="1"/>
    <xf numFmtId="0" fontId="0" fillId="3" borderId="4" xfId="0" applyFill="1" applyBorder="1" applyAlignment="1">
      <alignment horizontal="center"/>
    </xf>
    <xf numFmtId="0" fontId="0" fillId="3" borderId="5" xfId="0" applyFill="1" applyBorder="1" applyAlignment="1">
      <alignment horizontal="center"/>
    </xf>
    <xf numFmtId="0" fontId="0" fillId="3" borderId="5" xfId="0" applyFill="1" applyBorder="1"/>
    <xf numFmtId="0" fontId="0" fillId="3" borderId="6" xfId="0" applyFill="1" applyBorder="1"/>
    <xf numFmtId="0" fontId="0" fillId="0" borderId="1" xfId="0" applyBorder="1" applyAlignment="1">
      <alignment horizontal="center" vertical="center" wrapText="1"/>
    </xf>
    <xf numFmtId="0" fontId="0" fillId="4" borderId="1" xfId="0" applyFill="1" applyBorder="1" applyAlignment="1">
      <alignment horizontal="center"/>
    </xf>
    <xf numFmtId="0" fontId="0" fillId="0" borderId="1" xfId="0" applyBorder="1" applyAlignment="1">
      <alignment horizontal="center"/>
    </xf>
    <xf numFmtId="176" fontId="11" fillId="0" borderId="2" xfId="0" applyNumberFormat="1" applyFont="1" applyBorder="1" applyAlignment="1">
      <alignment horizontal="center" vertical="center"/>
    </xf>
    <xf numFmtId="176" fontId="11" fillId="0" borderId="3" xfId="0" applyNumberFormat="1" applyFont="1" applyBorder="1" applyAlignment="1">
      <alignment horizontal="center" vertical="center"/>
    </xf>
    <xf numFmtId="0" fontId="37" fillId="0" borderId="2" xfId="0" applyFont="1" applyBorder="1" applyAlignment="1">
      <alignment horizontal="left" vertical="center" wrapText="1"/>
    </xf>
    <xf numFmtId="0" fontId="0" fillId="0" borderId="7" xfId="0" applyBorder="1" applyAlignment="1">
      <alignment horizontal="left" vertical="center" wrapText="1"/>
    </xf>
    <xf numFmtId="0" fontId="0" fillId="0" borderId="3" xfId="0" applyBorder="1" applyAlignment="1">
      <alignment horizontal="left" vertical="center" wrapText="1"/>
    </xf>
    <xf numFmtId="0" fontId="5" fillId="5" borderId="4" xfId="0" applyFont="1" applyFill="1" applyBorder="1" applyAlignment="1">
      <alignment horizontal="center" wrapText="1"/>
    </xf>
    <xf numFmtId="0" fontId="0" fillId="0" borderId="6" xfId="0" applyBorder="1" applyAlignment="1">
      <alignment horizontal="center" wrapText="1"/>
    </xf>
    <xf numFmtId="0" fontId="0" fillId="5" borderId="8" xfId="0" applyFill="1" applyBorder="1" applyAlignment="1">
      <alignment horizontal="center" vertical="center" wrapText="1"/>
    </xf>
    <xf numFmtId="0" fontId="0" fillId="5" borderId="9" xfId="0" applyFill="1" applyBorder="1" applyAlignment="1">
      <alignment horizontal="center" vertical="center" wrapText="1"/>
    </xf>
    <xf numFmtId="0" fontId="6" fillId="5" borderId="2" xfId="0" applyFont="1" applyFill="1" applyBorder="1" applyAlignment="1">
      <alignment horizontal="center" wrapText="1"/>
    </xf>
    <xf numFmtId="0" fontId="0" fillId="0" borderId="2" xfId="0" applyBorder="1" applyAlignment="1">
      <alignment horizontal="center" wrapText="1"/>
    </xf>
    <xf numFmtId="0" fontId="0" fillId="0" borderId="1" xfId="0" applyBorder="1" applyAlignment="1">
      <alignment horizontal="center" wrapText="1"/>
    </xf>
    <xf numFmtId="0" fontId="0" fillId="5" borderId="7" xfId="0" applyFill="1" applyBorder="1" applyAlignment="1">
      <alignment horizontal="center" vertical="center" wrapText="1"/>
    </xf>
    <xf numFmtId="0" fontId="0" fillId="5" borderId="4" xfId="0" applyFill="1" applyBorder="1" applyAlignment="1">
      <alignment horizontal="center" vertical="center" wrapText="1"/>
    </xf>
    <xf numFmtId="0" fontId="0" fillId="5" borderId="13" xfId="0" applyFill="1" applyBorder="1" applyAlignment="1">
      <alignment horizontal="center" vertical="center" wrapText="1"/>
    </xf>
    <xf numFmtId="0" fontId="0" fillId="5" borderId="14" xfId="0" applyFill="1" applyBorder="1" applyAlignment="1">
      <alignment horizontal="center" vertical="center" wrapText="1"/>
    </xf>
  </cellXfs>
  <cellStyles count="1">
    <cellStyle name="一般" xfId="0" builtinId="0"/>
  </cellStyles>
  <dxfs count="0"/>
  <tableStyles count="0" defaultTableStyle="TableStyleMedium2" defaultPivotStyle="PivotStyleMedium9"/>
  <colors>
    <mruColors>
      <color rgb="FF0000FF"/>
      <color rgb="FFCCFFCC"/>
      <color rgb="FFCCECFF"/>
      <color rgb="FF99FF99"/>
      <color rgb="FFFFFF66"/>
      <color rgb="FFFFFF99"/>
      <color rgb="FFFFFFCC"/>
      <color rgb="FFFFD757"/>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慧盈之「初稿案」申請服務費在專利佈局總成本</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(T</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 </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 </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A+C+R+M)</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中之佔比分析</a:t>
            </a:r>
            <a:endPar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endParaRPr>
          </a:p>
        </c:rich>
      </c:tx>
      <c:layout>
        <c:manualLayout>
          <c:xMode val="edge"/>
          <c:yMode val="edge"/>
          <c:x val="1.9321890708552763E-2"/>
          <c:y val="2.9729308777920089E-2"/>
        </c:manualLayout>
      </c:layout>
      <c:overlay val="0"/>
    </c:title>
    <c:autoTitleDeleted val="0"/>
    <c:plotArea>
      <c:layout>
        <c:manualLayout>
          <c:layoutTarget val="inner"/>
          <c:xMode val="edge"/>
          <c:yMode val="edge"/>
          <c:x val="7.8770383483109885E-2"/>
          <c:y val="0.18504561224941479"/>
          <c:w val="0.88603198009470496"/>
          <c:h val="0.71412854989520091"/>
        </c:manualLayout>
      </c:layout>
      <c:barChart>
        <c:barDir val="bar"/>
        <c:grouping val="stacked"/>
        <c:varyColors val="0"/>
        <c:ser>
          <c:idx val="0"/>
          <c:order val="0"/>
          <c:invertIfNegative val="0"/>
          <c:dPt>
            <c:idx val="0"/>
            <c:invertIfNegative val="0"/>
            <c:bubble3D val="0"/>
            <c:spPr>
              <a:gradFill>
                <a:gsLst>
                  <a:gs pos="0">
                    <a:srgbClr val="00B050"/>
                  </a:gs>
                  <a:gs pos="50000">
                    <a:srgbClr val="99FF99"/>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10A2-45BA-AE4B-588ACF04F8D2}"/>
              </c:ext>
            </c:extLst>
          </c:dPt>
          <c:dPt>
            <c:idx val="1"/>
            <c:invertIfNegative val="0"/>
            <c:bubble3D val="0"/>
            <c:spPr>
              <a:gradFill>
                <a:gsLst>
                  <a:gs pos="0">
                    <a:srgbClr val="7030A0"/>
                  </a:gs>
                  <a:gs pos="40000">
                    <a:srgbClr val="CC99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10A2-45BA-AE4B-588ACF04F8D2}"/>
              </c:ext>
            </c:extLst>
          </c:dPt>
          <c:dPt>
            <c:idx val="2"/>
            <c:invertIfNegative val="0"/>
            <c:bubble3D val="0"/>
            <c:spPr>
              <a:gradFill>
                <a:gsLst>
                  <a:gs pos="0">
                    <a:srgbClr val="99FF99"/>
                  </a:gs>
                  <a:gs pos="50000">
                    <a:srgbClr val="CCFFCC"/>
                  </a:gs>
                  <a:gs pos="100000">
                    <a:schemeClr val="bg1"/>
                  </a:gs>
                </a:gsLst>
                <a:lin ang="5400000" scaled="0"/>
              </a:gradFill>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10A2-45BA-AE4B-588ACF04F8D2}"/>
              </c:ext>
            </c:extLst>
          </c:dPt>
          <c:dLbls>
            <c:dLbl>
              <c:idx val="0"/>
              <c:layout>
                <c:manualLayout>
                  <c:x val="7.2377406542596376E-2"/>
                  <c:y val="-0.17283954351004904"/>
                </c:manualLayout>
              </c:layout>
              <c:dLblPos val="ct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10A2-45BA-AE4B-588ACF04F8D2}"/>
                </c:ext>
              </c:extLst>
            </c:dLbl>
            <c:dLbl>
              <c:idx val="1"/>
              <c:layout>
                <c:manualLayout>
                  <c:x val="-0.12929792412924651"/>
                  <c:y val="-0.17563904537575184"/>
                </c:manualLayout>
              </c:layout>
              <c:dLblPos val="ct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10A2-45BA-AE4B-588ACF04F8D2}"/>
                </c:ext>
              </c:extLst>
            </c:dLbl>
            <c:dLbl>
              <c:idx val="2"/>
              <c:dLblPos val="ctr"/>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10A2-45BA-AE4B-588ACF04F8D2}"/>
                </c:ext>
              </c:extLst>
            </c:dLbl>
            <c:numFmt formatCode="#,##0_);[Red]\(#,##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ctr"/>
            <c:showLegendKey val="0"/>
            <c:showVal val="1"/>
            <c:showCatName val="1"/>
            <c:showSerName val="0"/>
            <c:showPercent val="0"/>
            <c:showBubbleSize val="0"/>
            <c:showLeaderLines val="0"/>
            <c:extLst>
              <c:ext xmlns:c15="http://schemas.microsoft.com/office/drawing/2012/chart" uri="{CE6537A1-D6FC-4f65-9D91-7224C49458BB}">
                <c15:showLeaderLines val="1"/>
              </c:ext>
            </c:extLst>
          </c:dLbls>
          <c:cat>
            <c:strRef>
              <c:f>'P(M)'!$BY$15:$BZ$16</c:f>
              <c:strCache>
                <c:ptCount val="2"/>
                <c:pt idx="0">
                  <c:v>「初稿案」申請服務費</c:v>
                </c:pt>
                <c:pt idx="1">
                  <c:v>專利布局總成本(T = A+C+R+M)</c:v>
                </c:pt>
              </c:strCache>
            </c:strRef>
          </c:cat>
          <c:val>
            <c:numRef>
              <c:f>'P(M)'!$BY$38:$BZ$38</c:f>
              <c:numCache>
                <c:formatCode>#,##0_ </c:formatCode>
                <c:ptCount val="2"/>
                <c:pt idx="0">
                  <c:v>85000</c:v>
                </c:pt>
                <c:pt idx="1">
                  <c:v>6325524.9550000001</c:v>
                </c:pt>
              </c:numCache>
            </c:numRef>
          </c:val>
          <c:extLst>
            <c:ext xmlns:c16="http://schemas.microsoft.com/office/drawing/2014/chart" uri="{C3380CC4-5D6E-409C-BE32-E72D297353CC}">
              <c16:uniqueId val="{00000006-10A2-45BA-AE4B-588ACF04F8D2}"/>
            </c:ext>
          </c:extLst>
        </c:ser>
        <c:dLbls>
          <c:showLegendKey val="0"/>
          <c:showVal val="0"/>
          <c:showCatName val="0"/>
          <c:showSerName val="0"/>
          <c:showPercent val="0"/>
          <c:showBubbleSize val="0"/>
        </c:dLbls>
        <c:gapWidth val="200"/>
        <c:overlap val="100"/>
        <c:axId val="2034351887"/>
        <c:axId val="2034352719"/>
      </c:barChart>
      <c:valAx>
        <c:axId val="2034352719"/>
        <c:scaling>
          <c:orientation val="minMax"/>
        </c:scaling>
        <c:delete val="0"/>
        <c:axPos val="b"/>
        <c:majorGridlines>
          <c:spPr>
            <a:ln>
              <a:prstDash val="sysDot"/>
            </a:ln>
          </c:spPr>
        </c:majorGridlines>
        <c:numFmt formatCode="#,##0_ " sourceLinked="1"/>
        <c:majorTickMark val="out"/>
        <c:minorTickMark val="none"/>
        <c:tickLblPos val="nextTo"/>
        <c:txPr>
          <a:bodyPr/>
          <a:lstStyle/>
          <a:p>
            <a:pPr>
              <a:defRPr sz="1200" b="1">
                <a:latin typeface="Times New Roman" panose="02020603050405020304" pitchFamily="18" charset="0"/>
                <a:cs typeface="Times New Roman" panose="02020603050405020304" pitchFamily="18" charset="0"/>
              </a:defRPr>
            </a:pPr>
            <a:endParaRPr lang="zh-TW"/>
          </a:p>
        </c:txPr>
        <c:crossAx val="2034351887"/>
        <c:crosses val="autoZero"/>
        <c:crossBetween val="between"/>
      </c:valAx>
      <c:catAx>
        <c:axId val="2034351887"/>
        <c:scaling>
          <c:orientation val="minMax"/>
        </c:scaling>
        <c:delete val="1"/>
        <c:axPos val="l"/>
        <c:numFmt formatCode="General" sourceLinked="1"/>
        <c:majorTickMark val="out"/>
        <c:minorTickMark val="none"/>
        <c:tickLblPos val="nextTo"/>
        <c:crossAx val="2034352719"/>
        <c:crosses val="autoZero"/>
        <c:auto val="1"/>
        <c:lblAlgn val="ctr"/>
        <c:lblOffset val="100"/>
        <c:noMultiLvlLbl val="0"/>
      </c:catAx>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a:latin typeface="Times New Roman" panose="02020603050405020304" pitchFamily="18" charset="0"/>
                <a:ea typeface="標楷體" panose="03000509000000000000" pitchFamily="65" charset="-120"/>
                <a:cs typeface="Times New Roman" panose="02020603050405020304" pitchFamily="18" charset="0"/>
              </a:rPr>
              <a:t>「申請費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答辯費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(R)+</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領證費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」與「後續年費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(M)</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」之比較</a:t>
            </a:r>
          </a:p>
        </c:rich>
      </c:tx>
      <c:layout>
        <c:manualLayout>
          <c:xMode val="edge"/>
          <c:yMode val="edge"/>
          <c:x val="0.15435140761661775"/>
          <c:y val="1.8833564674757684E-2"/>
        </c:manualLayout>
      </c:layout>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clustered"/>
        <c:varyColors val="0"/>
        <c:ser>
          <c:idx val="0"/>
          <c:order val="0"/>
          <c:tx>
            <c:strRef>
              <c:f>'P(M)'!$BM$15:$BM$16</c:f>
              <c:strCache>
                <c:ptCount val="2"/>
                <c:pt idx="0">
                  <c:v>申請+答辯+領證費(A+R+C)</c:v>
                </c:pt>
              </c:strCache>
            </c:strRef>
          </c:tx>
          <c:spPr>
            <a:solidFill>
              <a:srgbClr val="99C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'P(M)'!$BM$17:$BM$37</c:f>
              <c:numCache>
                <c:formatCode>#,##0_ </c:formatCode>
                <c:ptCount val="21"/>
                <c:pt idx="0">
                  <c:v>121800</c:v>
                </c:pt>
                <c:pt idx="1">
                  <c:v>0</c:v>
                </c:pt>
                <c:pt idx="2">
                  <c:v>79293</c:v>
                </c:pt>
                <c:pt idx="3">
                  <c:v>0</c:v>
                </c:pt>
                <c:pt idx="4">
                  <c:v>214112</c:v>
                </c:pt>
                <c:pt idx="5">
                  <c:v>461437.5</c:v>
                </c:pt>
                <c:pt idx="6">
                  <c:v>229264</c:v>
                </c:pt>
                <c:pt idx="7">
                  <c:v>0</c:v>
                </c:pt>
                <c:pt idx="8">
                  <c:v>259725</c:v>
                </c:pt>
                <c:pt idx="9">
                  <c:v>0</c:v>
                </c:pt>
                <c:pt idx="10">
                  <c:v>195516.79</c:v>
                </c:pt>
                <c:pt idx="11">
                  <c:v>257000</c:v>
                </c:pt>
                <c:pt idx="12">
                  <c:v>129096</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697F-41A7-938B-6026BD735F62}"/>
            </c:ext>
          </c:extLst>
        </c:ser>
        <c:ser>
          <c:idx val="1"/>
          <c:order val="1"/>
          <c:tx>
            <c:strRef>
              <c:f>'P(M)'!$BJ$15:$BJ$16</c:f>
              <c:strCache>
                <c:ptCount val="2"/>
                <c:pt idx="0">
                  <c:v>後續年費(M)</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'P(M)'!$BJ$17:$BJ$37</c:f>
              <c:numCache>
                <c:formatCode>#,##0_ </c:formatCode>
                <c:ptCount val="21"/>
                <c:pt idx="0">
                  <c:v>271800</c:v>
                </c:pt>
                <c:pt idx="1">
                  <c:v>0</c:v>
                </c:pt>
                <c:pt idx="2">
                  <c:v>448920</c:v>
                </c:pt>
                <c:pt idx="3">
                  <c:v>0</c:v>
                </c:pt>
                <c:pt idx="4">
                  <c:v>212312</c:v>
                </c:pt>
                <c:pt idx="5">
                  <c:v>1518651.2000000002</c:v>
                </c:pt>
                <c:pt idx="6">
                  <c:v>408547</c:v>
                </c:pt>
                <c:pt idx="7">
                  <c:v>0</c:v>
                </c:pt>
                <c:pt idx="8">
                  <c:v>453420</c:v>
                </c:pt>
                <c:pt idx="9">
                  <c:v>0</c:v>
                </c:pt>
                <c:pt idx="10">
                  <c:v>247947.96500000003</c:v>
                </c:pt>
                <c:pt idx="11">
                  <c:v>478700</c:v>
                </c:pt>
                <c:pt idx="12">
                  <c:v>337982.5</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697F-41A7-938B-6026BD735F62}"/>
            </c:ext>
          </c:extLst>
        </c:ser>
        <c:dLbls>
          <c:showLegendKey val="0"/>
          <c:showVal val="0"/>
          <c:showCatName val="0"/>
          <c:showSerName val="0"/>
          <c:showPercent val="0"/>
          <c:showBubbleSize val="0"/>
        </c:dLbls>
        <c:gapWidth val="30"/>
        <c:axId val="185535104"/>
        <c:axId val="185561472"/>
      </c:barChart>
      <c:catAx>
        <c:axId val="185535104"/>
        <c:scaling>
          <c:orientation val="minMax"/>
        </c:scaling>
        <c:delete val="0"/>
        <c:axPos val="b"/>
        <c:numFmt formatCode="General" sourceLinked="0"/>
        <c:majorTickMark val="out"/>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5561472"/>
        <c:crosses val="autoZero"/>
        <c:auto val="1"/>
        <c:lblAlgn val="ctr"/>
        <c:lblOffset val="0"/>
        <c:tickLblSkip val="1"/>
        <c:tickMarkSkip val="1"/>
        <c:noMultiLvlLbl val="0"/>
      </c:catAx>
      <c:valAx>
        <c:axId val="185561472"/>
        <c:scaling>
          <c:orientation val="minMax"/>
        </c:scaling>
        <c:delete val="0"/>
        <c:axPos val="l"/>
        <c:majorGridlines/>
        <c:title>
          <c:tx>
            <c:rich>
              <a:bodyPr rot="0" vert="horz"/>
              <a:lstStyle/>
              <a:p>
                <a:pPr>
                  <a:defRPr sz="1200" b="1">
                    <a:latin typeface="Times New Roman" panose="02020603050405020304" pitchFamily="18" charset="0"/>
                    <a:ea typeface="+mn-ea"/>
                    <a:cs typeface="Times New Roman" panose="02020603050405020304" pitchFamily="18" charset="0"/>
                  </a:defRPr>
                </a:pPr>
                <a:r>
                  <a:rPr lang="en-US" altLang="zh-TW" sz="1200" b="1">
                    <a:latin typeface="Times New Roman" panose="02020603050405020304" pitchFamily="18" charset="0"/>
                    <a:ea typeface="+mn-ea"/>
                    <a:cs typeface="Times New Roman" panose="02020603050405020304" pitchFamily="18" charset="0"/>
                  </a:rPr>
                  <a:t>(NTD)</a:t>
                </a:r>
                <a:endParaRPr lang="zh-TW" altLang="en-US" sz="1200" b="1">
                  <a:latin typeface="Times New Roman" panose="02020603050405020304" pitchFamily="18" charset="0"/>
                  <a:ea typeface="+mn-ea"/>
                  <a:cs typeface="Times New Roman" panose="02020603050405020304" pitchFamily="18" charset="0"/>
                </a:endParaRPr>
              </a:p>
            </c:rich>
          </c:tx>
          <c:layout>
            <c:manualLayout>
              <c:xMode val="edge"/>
              <c:yMode val="edge"/>
              <c:x val="2.4441251154491753E-2"/>
              <c:y val="2.8549505859071088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ea typeface="+mn-ea"/>
                <a:cs typeface="Times New Roman" panose="02020603050405020304" pitchFamily="18" charset="0"/>
              </a:defRPr>
            </a:pPr>
            <a:endParaRPr lang="zh-TW"/>
          </a:p>
        </c:txPr>
        <c:crossAx val="185535104"/>
        <c:crosses val="autoZero"/>
        <c:crossBetween val="between"/>
      </c:valAx>
    </c:plotArea>
    <c:legend>
      <c:legendPos val="t"/>
      <c:layout>
        <c:manualLayout>
          <c:xMode val="edge"/>
          <c:yMode val="edge"/>
          <c:x val="0.65950119445613997"/>
          <c:y val="2.5702378268933419E-2"/>
          <c:w val="0.31709818705764609"/>
          <c:h val="6.5354039215686263E-2"/>
        </c:manualLayout>
      </c:layout>
      <c:overlay val="1"/>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ln>
      <a:noFill/>
    </a:ln>
  </c:sp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專利申請費用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與</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其他</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(C+R+M)</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加總分析</a:t>
            </a:r>
            <a:endParaRPr lang="zh-TW" altLang="zh-TW" sz="1400" b="0">
              <a:effectLst/>
              <a:latin typeface="Times New Roman" panose="02020603050405020304" pitchFamily="18" charset="0"/>
              <a:ea typeface="標楷體" panose="03000509000000000000" pitchFamily="65" charset="-120"/>
              <a:cs typeface="Times New Roman" panose="02020603050405020304" pitchFamily="18" charset="0"/>
            </a:endParaRPr>
          </a:p>
        </c:rich>
      </c:tx>
      <c:layout>
        <c:manualLayout>
          <c:xMode val="edge"/>
          <c:yMode val="edge"/>
          <c:x val="0.35504307462638812"/>
          <c:y val="6.9135600068488082E-2"/>
        </c:manualLayout>
      </c:layout>
      <c:overlay val="0"/>
    </c:title>
    <c:autoTitleDeleted val="0"/>
    <c:plotArea>
      <c:layout>
        <c:manualLayout>
          <c:layoutTarget val="inner"/>
          <c:xMode val="edge"/>
          <c:yMode val="edge"/>
          <c:x val="1.6645654116771994E-2"/>
          <c:y val="0.12911140612502564"/>
          <c:w val="0.94746854964802474"/>
          <c:h val="0.83101127094354932"/>
        </c:manualLayout>
      </c:layout>
      <c:ofPieChart>
        <c:ofPieType val="pie"/>
        <c:varyColors val="1"/>
        <c:ser>
          <c:idx val="0"/>
          <c:order val="0"/>
          <c:spPr>
            <a:ln>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162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88D8-47BD-8EC6-1CA8595C94B3}"/>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88D8-47BD-8EC6-1CA8595C94B3}"/>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88D8-47BD-8EC6-1CA8595C94B3}"/>
              </c:ext>
            </c:extLst>
          </c:dPt>
          <c:dPt>
            <c:idx val="3"/>
            <c:bubble3D val="0"/>
            <c:spPr>
              <a:gradFill>
                <a:gsLst>
                  <a:gs pos="0">
                    <a:srgbClr val="FFC000"/>
                  </a:gs>
                  <a:gs pos="50000">
                    <a:srgbClr val="FFCC99"/>
                  </a:gs>
                  <a:gs pos="100000">
                    <a:schemeClr val="bg1"/>
                  </a:gs>
                </a:gsLst>
                <a:lin ang="8100000" scaled="1"/>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7-88D8-47BD-8EC6-1CA8595C94B3}"/>
              </c:ext>
            </c:extLst>
          </c:dPt>
          <c:dPt>
            <c:idx val="4"/>
            <c:bubble3D val="0"/>
            <c:spPr>
              <a:gradFill>
                <a:gsLst>
                  <a:gs pos="0">
                    <a:srgbClr val="CCECFF"/>
                  </a:gs>
                  <a:gs pos="50000">
                    <a:srgbClr val="CCE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9-88D8-47BD-8EC6-1CA8595C94B3}"/>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88D8-47BD-8EC6-1CA8595C94B3}"/>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88D8-47BD-8EC6-1CA8595C94B3}"/>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88D8-47BD-8EC6-1CA8595C94B3}"/>
                </c:ext>
              </c:extLst>
            </c:dLbl>
            <c:dLbl>
              <c:idx val="3"/>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7-88D8-47BD-8EC6-1CA8595C94B3}"/>
                </c:ext>
              </c:extLst>
            </c:dLbl>
            <c:dLbl>
              <c:idx val="4"/>
              <c:tx>
                <c:rich>
                  <a:bodyPr/>
                  <a:lstStyle/>
                  <a:p>
                    <a:r>
                      <a:rPr lang="zh-TW" altLang="en-US" baseline="0"/>
                      <a:t>申請費用</a:t>
                    </a:r>
                    <a:r>
                      <a:rPr lang="en-US" altLang="zh-TW" baseline="0"/>
                      <a:t>(A)
</a:t>
                    </a:r>
                    <a:fld id="{97B56B14-ECD6-42B9-A444-BA392EE1FED0}" type="VALUE">
                      <a:rPr lang="en-US" altLang="zh-TW" baseline="0"/>
                      <a:pPr/>
                      <a:t>[值]</a:t>
                    </a:fld>
                    <a:r>
                      <a:rPr lang="en-US" altLang="zh-TW" baseline="0"/>
                      <a:t>
</a:t>
                    </a:r>
                    <a:fld id="{0344FA96-8415-4842-931B-A6AE0DA28647}" type="PERCENTAGE">
                      <a:rPr lang="en-US" altLang="zh-TW" baseline="0"/>
                      <a:pPr/>
                      <a:t>[百分比]</a:t>
                    </a:fld>
                    <a:endParaRPr lang="en-US" altLang="zh-TW" baseline="0"/>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10505621438085448"/>
                      <c:h val="0.20327832011613919"/>
                    </c:manualLayout>
                  </c15:layout>
                  <c15:dlblFieldTable/>
                  <c15:showDataLabelsRange val="0"/>
                </c:ext>
                <c:ext xmlns:c16="http://schemas.microsoft.com/office/drawing/2014/chart" uri="{C3380CC4-5D6E-409C-BE32-E72D297353CC}">
                  <c16:uniqueId val="{00000009-88D8-47BD-8EC6-1CA8595C94B3}"/>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'P(M)'!$BT$15:$BW$16</c:f>
              <c:strCache>
                <c:ptCount val="4"/>
                <c:pt idx="0">
                  <c:v>官方費用(A1)</c:v>
                </c:pt>
                <c:pt idx="1">
                  <c:v>外國代理人費用(A2)</c:v>
                </c:pt>
                <c:pt idx="2">
                  <c:v>慧盈服務費(A3)</c:v>
                </c:pt>
                <c:pt idx="3">
                  <c:v>領證+答辯+後續年費(C+R+M)</c:v>
                </c:pt>
              </c:strCache>
            </c:strRef>
          </c:cat>
          <c:val>
            <c:numRef>
              <c:f>'P(M)'!$BT$38:$BW$38</c:f>
              <c:numCache>
                <c:formatCode>#,##0_ </c:formatCode>
                <c:ptCount val="4"/>
                <c:pt idx="0">
                  <c:v>256957.45</c:v>
                </c:pt>
                <c:pt idx="1">
                  <c:v>287875</c:v>
                </c:pt>
                <c:pt idx="2">
                  <c:v>355000</c:v>
                </c:pt>
                <c:pt idx="3">
                  <c:v>5425692.5049999999</c:v>
                </c:pt>
              </c:numCache>
            </c:numRef>
          </c:val>
          <c:extLst>
            <c:ext xmlns:c16="http://schemas.microsoft.com/office/drawing/2014/chart" uri="{C3380CC4-5D6E-409C-BE32-E72D297353CC}">
              <c16:uniqueId val="{0000000A-88D8-47BD-8EC6-1CA8595C94B3}"/>
            </c:ext>
          </c:extLst>
        </c:ser>
        <c:dLbls>
          <c:dLblPos val="bestFit"/>
          <c:showLegendKey val="0"/>
          <c:showVal val="0"/>
          <c:showCatName val="1"/>
          <c:showSerName val="0"/>
          <c:showPercent val="1"/>
          <c:showBubbleSize val="0"/>
          <c:showLeaderLines val="1"/>
        </c:dLbls>
        <c:gapWidth val="105"/>
        <c:splitType val="cust"/>
        <c:custSplit>
          <c:secondPiePt val="0"/>
          <c:secondPiePt val="1"/>
          <c:secondPiePt val="2"/>
        </c:custSplit>
        <c:secondPieSize val="90"/>
        <c:serLines/>
      </c:of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領證</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(C)</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(C = C1+C2+C3)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245044439986952"/>
          <c:y val="0.14205565032868545"/>
          <c:w val="0.73672812910964747"/>
          <c:h val="0.79868026723932239"/>
        </c:manualLayout>
      </c:layout>
      <c:pieChart>
        <c:varyColors val="1"/>
        <c:ser>
          <c:idx val="0"/>
          <c:order val="0"/>
          <c:tx>
            <c:v>專利領證費之成本結構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68C7-4742-BA01-C4A74633B97F}"/>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68C7-4742-BA01-C4A74633B97F}"/>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68C7-4742-BA01-C4A74633B97F}"/>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68C7-4742-BA01-C4A74633B97F}"/>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68C7-4742-BA01-C4A74633B97F}"/>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68C7-4742-BA01-C4A74633B97F}"/>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'P(M)'!$BB$15:$BD$16</c:f>
              <c:strCache>
                <c:ptCount val="3"/>
                <c:pt idx="0">
                  <c:v>官方費用(C1)</c:v>
                </c:pt>
                <c:pt idx="1">
                  <c:v>外國代理人費用(C2)</c:v>
                </c:pt>
                <c:pt idx="2">
                  <c:v>慧盈服務費(C3)</c:v>
                </c:pt>
              </c:strCache>
            </c:strRef>
          </c:cat>
          <c:val>
            <c:numRef>
              <c:f>'P(M)'!$BB$38:$BD$38</c:f>
              <c:numCache>
                <c:formatCode>#,##0_ </c:formatCode>
                <c:ptCount val="3"/>
                <c:pt idx="0">
                  <c:v>87845.34</c:v>
                </c:pt>
                <c:pt idx="1">
                  <c:v>158496.5</c:v>
                </c:pt>
                <c:pt idx="2">
                  <c:v>25000</c:v>
                </c:pt>
              </c:numCache>
            </c:numRef>
          </c:val>
          <c:extLst>
            <c:ext xmlns:c16="http://schemas.microsoft.com/office/drawing/2014/chart" uri="{C3380CC4-5D6E-409C-BE32-E72D297353CC}">
              <c16:uniqueId val="{00000006-68C7-4742-BA01-C4A74633B97F}"/>
            </c:ext>
          </c:extLst>
        </c:ser>
        <c:dLbls>
          <c:showLegendKey val="0"/>
          <c:showVal val="0"/>
          <c:showCatName val="1"/>
          <c:showSerName val="0"/>
          <c:showPercent val="1"/>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專利申請費用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(A = A1+A2+A3)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884084477919722"/>
          <c:y val="0.14968570980392157"/>
          <c:w val="0.73672812910964747"/>
          <c:h val="0.79868026723932239"/>
        </c:manualLayout>
      </c:layout>
      <c:pieChart>
        <c:varyColors val="1"/>
        <c:ser>
          <c:idx val="0"/>
          <c:order val="0"/>
          <c:tx>
            <c:v>專利申請費之成本結構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5DC4-4D9C-B0A5-AFEAFF5CD650}"/>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5DC4-4D9C-B0A5-AFEAFF5CD650}"/>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5DC4-4D9C-B0A5-AFEAFF5CD650}"/>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5DC4-4D9C-B0A5-AFEAFF5CD650}"/>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5DC4-4D9C-B0A5-AFEAFF5CD650}"/>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5DC4-4D9C-B0A5-AFEAFF5CD650}"/>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'P(M)'!$AD$15:$AF$16</c:f>
              <c:strCache>
                <c:ptCount val="3"/>
                <c:pt idx="0">
                  <c:v>官方費用(A1)</c:v>
                </c:pt>
                <c:pt idx="1">
                  <c:v>外國代理人費用(A2)</c:v>
                </c:pt>
                <c:pt idx="2">
                  <c:v>慧盈服務費(A3)</c:v>
                </c:pt>
              </c:strCache>
            </c:strRef>
          </c:cat>
          <c:val>
            <c:numRef>
              <c:f>'P(M)'!$AD$38:$AF$38</c:f>
              <c:numCache>
                <c:formatCode>#,##0_ </c:formatCode>
                <c:ptCount val="3"/>
                <c:pt idx="0">
                  <c:v>256957.45</c:v>
                </c:pt>
                <c:pt idx="1">
                  <c:v>287875</c:v>
                </c:pt>
                <c:pt idx="2">
                  <c:v>355000</c:v>
                </c:pt>
              </c:numCache>
            </c:numRef>
          </c:val>
          <c:extLst>
            <c:ext xmlns:c16="http://schemas.microsoft.com/office/drawing/2014/chart" uri="{C3380CC4-5D6E-409C-BE32-E72D297353CC}">
              <c16:uniqueId val="{00000006-5DC4-4D9C-B0A5-AFEAFF5CD650}"/>
            </c:ext>
          </c:extLst>
        </c:ser>
        <c:dLbls>
          <c:showLegendKey val="0"/>
          <c:showVal val="0"/>
          <c:showCatName val="1"/>
          <c:showSerName val="0"/>
          <c:showPercent val="1"/>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答辯</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費用</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(R)</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(R = R1+R2+R3)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245044439986952"/>
          <c:y val="0.14205565032868545"/>
          <c:w val="0.73672812910964747"/>
          <c:h val="0.79868026723932239"/>
        </c:manualLayout>
      </c:layout>
      <c:pieChart>
        <c:varyColors val="1"/>
        <c:ser>
          <c:idx val="0"/>
          <c:order val="0"/>
          <c:tx>
            <c:v>專利答辯費之成本結構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68C7-4742-BA01-C4A74633B97F}"/>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68C7-4742-BA01-C4A74633B97F}"/>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68C7-4742-BA01-C4A74633B97F}"/>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68C7-4742-BA01-C4A74633B97F}"/>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68C7-4742-BA01-C4A74633B97F}"/>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68C7-4742-BA01-C4A74633B97F}"/>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'P(M)'!$AD$44:$AF$45</c:f>
              <c:strCache>
                <c:ptCount val="3"/>
                <c:pt idx="0">
                  <c:v>官方費用(R1)</c:v>
                </c:pt>
                <c:pt idx="1">
                  <c:v>外國代理人費用(R2)</c:v>
                </c:pt>
                <c:pt idx="2">
                  <c:v>慧盈服務費(R3)</c:v>
                </c:pt>
              </c:strCache>
            </c:strRef>
          </c:cat>
          <c:val>
            <c:numRef>
              <c:f>'P(M)'!$AD$67:$AF$67</c:f>
              <c:numCache>
                <c:formatCode>#,##0_ </c:formatCode>
                <c:ptCount val="3"/>
                <c:pt idx="0">
                  <c:v>93850</c:v>
                </c:pt>
                <c:pt idx="1">
                  <c:v>352220</c:v>
                </c:pt>
                <c:pt idx="2">
                  <c:v>330000</c:v>
                </c:pt>
              </c:numCache>
            </c:numRef>
          </c:val>
          <c:extLst>
            <c:ext xmlns:c16="http://schemas.microsoft.com/office/drawing/2014/chart" uri="{C3380CC4-5D6E-409C-BE32-E72D297353CC}">
              <c16:uniqueId val="{00000006-68C7-4742-BA01-C4A74633B97F}"/>
            </c:ext>
          </c:extLst>
        </c:ser>
        <c:dLbls>
          <c:showLegendKey val="0"/>
          <c:showVal val="0"/>
          <c:showCatName val="1"/>
          <c:showSerName val="0"/>
          <c:showPercent val="1"/>
          <c:showBubbleSize val="0"/>
          <c:showLeaderLines val="1"/>
        </c:dLbls>
        <c:firstSliceAng val="27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專利</a:t>
            </a:r>
            <a:r>
              <a:rPr lang="zh-TW" altLang="en-US" sz="1400" b="1" i="0" baseline="0">
                <a:effectLst/>
                <a:latin typeface="Times New Roman" panose="02020603050405020304" pitchFamily="18" charset="0"/>
                <a:ea typeface="標楷體" panose="03000509000000000000" pitchFamily="65" charset="-120"/>
                <a:cs typeface="Times New Roman" panose="02020603050405020304" pitchFamily="18" charset="0"/>
              </a:rPr>
              <a:t>後續年</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費</a:t>
            </a: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(M)</a:t>
            </a:r>
            <a:r>
              <a:rPr lang="zh-TW"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之組成結構</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en-US" altLang="zh-TW" sz="1400" b="1" i="0" baseline="0">
                <a:effectLst/>
                <a:latin typeface="Times New Roman" panose="02020603050405020304" pitchFamily="18" charset="0"/>
                <a:ea typeface="標楷體" panose="03000509000000000000" pitchFamily="65" charset="-120"/>
                <a:cs typeface="Times New Roman" panose="02020603050405020304" pitchFamily="18" charset="0"/>
              </a:rPr>
              <a:t>(M = M1+M2+M3)</a:t>
            </a:r>
            <a:endParaRPr lang="zh-TW" altLang="zh-TW" sz="1400">
              <a:effectLst/>
              <a:latin typeface="Times New Roman" panose="02020603050405020304" pitchFamily="18" charset="0"/>
              <a:ea typeface="標楷體" panose="03000509000000000000" pitchFamily="65" charset="-120"/>
              <a:cs typeface="Times New Roman" panose="02020603050405020304" pitchFamily="18" charset="0"/>
            </a:endParaRPr>
          </a:p>
        </c:rich>
      </c:tx>
      <c:overlay val="0"/>
    </c:title>
    <c:autoTitleDeleted val="0"/>
    <c:plotArea>
      <c:layout>
        <c:manualLayout>
          <c:layoutTarget val="inner"/>
          <c:xMode val="edge"/>
          <c:yMode val="edge"/>
          <c:x val="0.12884084477919722"/>
          <c:y val="0.14968570980392157"/>
          <c:w val="0.73672812910964747"/>
          <c:h val="0.79868026723932239"/>
        </c:manualLayout>
      </c:layout>
      <c:pieChart>
        <c:varyColors val="1"/>
        <c:ser>
          <c:idx val="0"/>
          <c:order val="0"/>
          <c:tx>
            <c:v>專利後續年費之成本結構</c:v>
          </c:tx>
          <c:spPr>
            <a:ln>
              <a:solidFill>
                <a:schemeClr val="accent1"/>
              </a:solidFill>
            </a:ln>
          </c:spPr>
          <c:explosion val="10"/>
          <c:dPt>
            <c:idx val="0"/>
            <c:bubble3D val="0"/>
            <c:spPr>
              <a:gradFill>
                <a:gsLst>
                  <a:gs pos="0">
                    <a:srgbClr val="FFFF99"/>
                  </a:gs>
                  <a:gs pos="60000">
                    <a:srgbClr val="FF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1-5DC4-4D9C-B0A5-AFEAFF5CD650}"/>
              </c:ext>
            </c:extLst>
          </c:dPt>
          <c:dPt>
            <c:idx val="1"/>
            <c:bubble3D val="0"/>
            <c:spPr>
              <a:gradFill>
                <a:gsLst>
                  <a:gs pos="0">
                    <a:srgbClr val="FF99FF"/>
                  </a:gs>
                  <a:gs pos="50000">
                    <a:srgbClr val="FFCCFF"/>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3-5DC4-4D9C-B0A5-AFEAFF5CD650}"/>
              </c:ext>
            </c:extLst>
          </c:dPt>
          <c:dPt>
            <c:idx val="2"/>
            <c:bubble3D val="0"/>
            <c:spPr>
              <a:gradFill>
                <a:gsLst>
                  <a:gs pos="0">
                    <a:srgbClr val="99FF99"/>
                  </a:gs>
                  <a:gs pos="50000">
                    <a:srgbClr val="CCFFCC"/>
                  </a:gs>
                  <a:gs pos="100000">
                    <a:schemeClr val="bg1"/>
                  </a:gs>
                </a:gsLst>
                <a:lin ang="8100000" scaled="0"/>
              </a:gradFill>
              <a:ln>
                <a:solidFill>
                  <a:schemeClr val="accent1"/>
                </a:solidFill>
              </a:ln>
              <a:effectLst>
                <a:outerShdw blurRad="40005" dist="22860" dir="5400000" algn="ctr" rotWithShape="0">
                  <a:srgbClr val="000000">
                    <a:alpha val="35000"/>
                  </a:srgbClr>
                </a:outerShdw>
              </a:effectLst>
              <a:scene3d>
                <a:camera prst="orthographicFront"/>
                <a:lightRig rig="threePt" dir="t">
                  <a:rot lat="0" lon="0" rev="1200000"/>
                </a:lightRig>
              </a:scene3d>
              <a:sp3d>
                <a:bevelT w="63500" h="25400"/>
              </a:sp3d>
            </c:spPr>
            <c:extLst>
              <c:ext xmlns:c16="http://schemas.microsoft.com/office/drawing/2014/chart" uri="{C3380CC4-5D6E-409C-BE32-E72D297353CC}">
                <c16:uniqueId val="{00000005-5DC4-4D9C-B0A5-AFEAFF5CD650}"/>
              </c:ext>
            </c:extLst>
          </c:dPt>
          <c:dLbls>
            <c:dLbl>
              <c:idx val="0"/>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5DC4-4D9C-B0A5-AFEAFF5CD650}"/>
                </c:ext>
              </c:extLst>
            </c:dLbl>
            <c:dLbl>
              <c:idx val="1"/>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5DC4-4D9C-B0A5-AFEAFF5CD650}"/>
                </c:ext>
              </c:extLst>
            </c:dLbl>
            <c:dLbl>
              <c:idx val="2"/>
              <c:dLblPos val="bestFi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5DC4-4D9C-B0A5-AFEAFF5CD650}"/>
                </c:ext>
              </c:extLst>
            </c:dLbl>
            <c:numFmt formatCode="0.0%" sourceLinked="0"/>
            <c:spPr>
              <a:noFill/>
              <a:ln>
                <a:noFill/>
              </a:ln>
              <a:effectLst/>
            </c:spPr>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dLblPos val="bestFit"/>
            <c:showLegendKey val="0"/>
            <c:showVal val="1"/>
            <c:showCatName val="1"/>
            <c:showSerName val="0"/>
            <c:showPercent val="1"/>
            <c:showBubbleSize val="0"/>
            <c:showLeaderLines val="1"/>
            <c:extLst>
              <c:ext xmlns:c15="http://schemas.microsoft.com/office/drawing/2012/chart" uri="{CE6537A1-D6FC-4f65-9D91-7224C49458BB}"/>
            </c:extLst>
          </c:dLbls>
          <c:cat>
            <c:strRef>
              <c:f>'P(M)'!$BB$44:$BD$45</c:f>
              <c:strCache>
                <c:ptCount val="3"/>
                <c:pt idx="0">
                  <c:v>官方費用(M1)</c:v>
                </c:pt>
                <c:pt idx="1">
                  <c:v>外國代理人費用(M2)</c:v>
                </c:pt>
                <c:pt idx="2">
                  <c:v>慧盈服務費(M3)</c:v>
                </c:pt>
              </c:strCache>
            </c:strRef>
          </c:cat>
          <c:val>
            <c:numRef>
              <c:f>'P(M)'!$BB$67:$BD$67</c:f>
              <c:numCache>
                <c:formatCode>#,##0_ </c:formatCode>
                <c:ptCount val="3"/>
                <c:pt idx="0">
                  <c:v>2872561.8449999997</c:v>
                </c:pt>
                <c:pt idx="1">
                  <c:v>686718.82000000007</c:v>
                </c:pt>
                <c:pt idx="2">
                  <c:v>819000</c:v>
                </c:pt>
              </c:numCache>
            </c:numRef>
          </c:val>
          <c:extLst>
            <c:ext xmlns:c16="http://schemas.microsoft.com/office/drawing/2014/chart" uri="{C3380CC4-5D6E-409C-BE32-E72D297353CC}">
              <c16:uniqueId val="{00000006-5DC4-4D9C-B0A5-AFEAFF5CD650}"/>
            </c:ext>
          </c:extLst>
        </c:ser>
        <c:dLbls>
          <c:showLegendKey val="0"/>
          <c:showVal val="0"/>
          <c:showCatName val="1"/>
          <c:showSerName val="0"/>
          <c:showPercent val="1"/>
          <c:showBubbleSize val="0"/>
          <c:showLeaderLines val="1"/>
        </c:dLbls>
        <c:firstSliceAng val="0"/>
      </c:pieChart>
      <c:spPr>
        <a:noFill/>
      </c:spPr>
    </c:plotArea>
    <c:plotVisOnly val="1"/>
    <c:dispBlanksAs val="gap"/>
    <c:showDLblsOverMax val="0"/>
  </c:chart>
  <c:spPr>
    <a:noFill/>
    <a:ln>
      <a:noFill/>
    </a:ln>
  </c:sp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a:latin typeface="Times New Roman" panose="02020603050405020304" pitchFamily="18" charset="0"/>
                <a:ea typeface="標楷體" panose="03000509000000000000" pitchFamily="65" charset="-120"/>
                <a:cs typeface="Times New Roman" panose="02020603050405020304" pitchFamily="18" charset="0"/>
              </a:rPr>
              <a:t>「專利申請費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」與「領證費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＋後續年費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(M)</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」之比較</a:t>
            </a:r>
          </a:p>
        </c:rich>
      </c:tx>
      <c:layout>
        <c:manualLayout>
          <c:xMode val="edge"/>
          <c:yMode val="edge"/>
          <c:x val="0.15435140761661775"/>
          <c:y val="1.8833564674757684E-2"/>
        </c:manualLayout>
      </c:layout>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clustered"/>
        <c:varyColors val="0"/>
        <c:ser>
          <c:idx val="0"/>
          <c:order val="0"/>
          <c:tx>
            <c:strRef>
              <c:f>'P(M)'!$BG$15:$BG$16</c:f>
              <c:strCache>
                <c:ptCount val="2"/>
                <c:pt idx="0">
                  <c:v>申請費用(A)</c:v>
                </c:pt>
              </c:strCache>
            </c:strRef>
          </c:tx>
          <c:spPr>
            <a:solidFill>
              <a:srgbClr val="CCE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'P(M)'!$BG$17:$BG$37</c:f>
              <c:numCache>
                <c:formatCode>#,##0_ </c:formatCode>
                <c:ptCount val="21"/>
                <c:pt idx="0">
                  <c:v>94100</c:v>
                </c:pt>
                <c:pt idx="1">
                  <c:v>0</c:v>
                </c:pt>
                <c:pt idx="2">
                  <c:v>43690</c:v>
                </c:pt>
                <c:pt idx="3">
                  <c:v>0</c:v>
                </c:pt>
                <c:pt idx="4">
                  <c:v>104160</c:v>
                </c:pt>
                <c:pt idx="5">
                  <c:v>119312.5</c:v>
                </c:pt>
                <c:pt idx="6">
                  <c:v>134265</c:v>
                </c:pt>
                <c:pt idx="7">
                  <c:v>0</c:v>
                </c:pt>
                <c:pt idx="8">
                  <c:v>137330</c:v>
                </c:pt>
                <c:pt idx="9">
                  <c:v>0</c:v>
                </c:pt>
                <c:pt idx="10">
                  <c:v>83337.95</c:v>
                </c:pt>
                <c:pt idx="11">
                  <c:v>125500</c:v>
                </c:pt>
                <c:pt idx="12">
                  <c:v>58137</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E86E-47FD-86A4-BCCC4FA228A8}"/>
            </c:ext>
          </c:extLst>
        </c:ser>
        <c:ser>
          <c:idx val="1"/>
          <c:order val="1"/>
          <c:tx>
            <c:strRef>
              <c:f>'P(M)'!$BN$15:$BN$16</c:f>
              <c:strCache>
                <c:ptCount val="2"/>
                <c:pt idx="0">
                  <c:v>領證+後續年費(C+M)</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'P(M)'!$BN$17:$BN$37</c:f>
              <c:numCache>
                <c:formatCode>#,##0_ </c:formatCode>
                <c:ptCount val="21"/>
                <c:pt idx="0">
                  <c:v>274500</c:v>
                </c:pt>
                <c:pt idx="1">
                  <c:v>0</c:v>
                </c:pt>
                <c:pt idx="2">
                  <c:v>454003</c:v>
                </c:pt>
                <c:pt idx="3">
                  <c:v>0</c:v>
                </c:pt>
                <c:pt idx="4">
                  <c:v>240024</c:v>
                </c:pt>
                <c:pt idx="5">
                  <c:v>1652776.2000000002</c:v>
                </c:pt>
                <c:pt idx="6">
                  <c:v>418396</c:v>
                </c:pt>
                <c:pt idx="7">
                  <c:v>0</c:v>
                </c:pt>
                <c:pt idx="8">
                  <c:v>471715</c:v>
                </c:pt>
                <c:pt idx="9">
                  <c:v>0</c:v>
                </c:pt>
                <c:pt idx="10">
                  <c:v>273126.80500000005</c:v>
                </c:pt>
                <c:pt idx="11">
                  <c:v>522700</c:v>
                </c:pt>
                <c:pt idx="12">
                  <c:v>342381.5</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E86E-47FD-86A4-BCCC4FA228A8}"/>
            </c:ext>
          </c:extLst>
        </c:ser>
        <c:dLbls>
          <c:showLegendKey val="0"/>
          <c:showVal val="0"/>
          <c:showCatName val="0"/>
          <c:showSerName val="0"/>
          <c:showPercent val="0"/>
          <c:showBubbleSize val="0"/>
        </c:dLbls>
        <c:gapWidth val="30"/>
        <c:axId val="185535104"/>
        <c:axId val="185561472"/>
      </c:barChart>
      <c:catAx>
        <c:axId val="185535104"/>
        <c:scaling>
          <c:orientation val="minMax"/>
        </c:scaling>
        <c:delete val="0"/>
        <c:axPos val="b"/>
        <c:numFmt formatCode="General" sourceLinked="0"/>
        <c:majorTickMark val="out"/>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5561472"/>
        <c:crosses val="autoZero"/>
        <c:auto val="1"/>
        <c:lblAlgn val="ctr"/>
        <c:lblOffset val="0"/>
        <c:tickLblSkip val="1"/>
        <c:tickMarkSkip val="1"/>
        <c:noMultiLvlLbl val="0"/>
      </c:catAx>
      <c:valAx>
        <c:axId val="185561472"/>
        <c:scaling>
          <c:orientation val="minMax"/>
        </c:scaling>
        <c:delete val="0"/>
        <c:axPos val="l"/>
        <c:majorGridlines/>
        <c:title>
          <c:tx>
            <c:rich>
              <a:bodyPr rot="0" vert="horz"/>
              <a:lstStyle/>
              <a:p>
                <a:pPr>
                  <a:defRPr sz="1200" b="1">
                    <a:latin typeface="Times New Roman" panose="02020603050405020304" pitchFamily="18" charset="0"/>
                    <a:ea typeface="+mn-ea"/>
                    <a:cs typeface="Times New Roman" panose="02020603050405020304" pitchFamily="18" charset="0"/>
                  </a:defRPr>
                </a:pPr>
                <a:r>
                  <a:rPr lang="en-US" altLang="zh-TW" sz="1200" b="1">
                    <a:latin typeface="Times New Roman" panose="02020603050405020304" pitchFamily="18" charset="0"/>
                    <a:ea typeface="+mn-ea"/>
                    <a:cs typeface="Times New Roman" panose="02020603050405020304" pitchFamily="18" charset="0"/>
                  </a:rPr>
                  <a:t>(NTD)</a:t>
                </a:r>
                <a:endParaRPr lang="zh-TW" altLang="en-US" sz="1200" b="1">
                  <a:latin typeface="Times New Roman" panose="02020603050405020304" pitchFamily="18" charset="0"/>
                  <a:ea typeface="+mn-ea"/>
                  <a:cs typeface="Times New Roman" panose="02020603050405020304" pitchFamily="18" charset="0"/>
                </a:endParaRPr>
              </a:p>
            </c:rich>
          </c:tx>
          <c:layout>
            <c:manualLayout>
              <c:xMode val="edge"/>
              <c:yMode val="edge"/>
              <c:x val="2.4441251154491753E-2"/>
              <c:y val="2.8549505859071088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ea typeface="+mn-ea"/>
                <a:cs typeface="Times New Roman" panose="02020603050405020304" pitchFamily="18" charset="0"/>
              </a:defRPr>
            </a:pPr>
            <a:endParaRPr lang="zh-TW"/>
          </a:p>
        </c:txPr>
        <c:crossAx val="185535104"/>
        <c:crosses val="autoZero"/>
        <c:crossBetween val="between"/>
      </c:valAx>
      <c:spPr>
        <a:noFill/>
      </c:spPr>
    </c:plotArea>
    <c:legend>
      <c:legendPos val="t"/>
      <c:layout>
        <c:manualLayout>
          <c:xMode val="edge"/>
          <c:yMode val="edge"/>
          <c:x val="0.65950119445613997"/>
          <c:y val="2.5702378268933419E-2"/>
          <c:w val="0.31709818705764609"/>
          <c:h val="6.5354039215686263E-2"/>
        </c:manualLayout>
      </c:layout>
      <c:overlay val="1"/>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noFill/>
    <a:ln>
      <a:noFill/>
    </a:ln>
  </c:sp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mn-lt"/>
                <a:ea typeface="+mn-ea"/>
              </a:defRPr>
            </a:pPr>
            <a:r>
              <a:rPr lang="zh-TW" altLang="en-US" sz="1400">
                <a:latin typeface="+mn-lt"/>
                <a:ea typeface="+mn-ea"/>
              </a:rPr>
              <a:t>各地區之專利申請費用</a:t>
            </a:r>
            <a:r>
              <a:rPr lang="en-US" altLang="zh-TW" sz="1400">
                <a:latin typeface="+mn-lt"/>
                <a:ea typeface="+mn-ea"/>
              </a:rPr>
              <a:t>(C)</a:t>
            </a:r>
            <a:r>
              <a:rPr lang="zh-TW" altLang="en-US" sz="1400">
                <a:latin typeface="+mn-lt"/>
                <a:ea typeface="+mn-ea"/>
              </a:rPr>
              <a:t>與專利維護費用</a:t>
            </a:r>
            <a:r>
              <a:rPr lang="en-US" altLang="zh-TW" sz="1400">
                <a:latin typeface="+mn-lt"/>
                <a:ea typeface="+mn-ea"/>
              </a:rPr>
              <a:t>(F)</a:t>
            </a:r>
            <a:r>
              <a:rPr lang="zh-TW" altLang="en-US" sz="1400">
                <a:latin typeface="+mn-lt"/>
                <a:ea typeface="+mn-ea"/>
              </a:rPr>
              <a:t>比較</a:t>
            </a:r>
          </a:p>
        </c:rich>
      </c:tx>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stacked"/>
        <c:varyColors val="0"/>
        <c:ser>
          <c:idx val="0"/>
          <c:order val="0"/>
          <c:tx>
            <c:strRef>
              <c:f>'P(M)'!$BG$15:$BG$16</c:f>
              <c:strCache>
                <c:ptCount val="2"/>
                <c:pt idx="0">
                  <c:v>申請費用(A)</c:v>
                </c:pt>
              </c:strCache>
            </c:strRef>
          </c:tx>
          <c:spPr>
            <a:solidFill>
              <a:srgbClr val="99C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'P(M)'!$BG$17:$BG$37</c:f>
              <c:numCache>
                <c:formatCode>#,##0_ </c:formatCode>
                <c:ptCount val="21"/>
                <c:pt idx="0">
                  <c:v>94100</c:v>
                </c:pt>
                <c:pt idx="1">
                  <c:v>0</c:v>
                </c:pt>
                <c:pt idx="2">
                  <c:v>43690</c:v>
                </c:pt>
                <c:pt idx="3">
                  <c:v>0</c:v>
                </c:pt>
                <c:pt idx="4">
                  <c:v>104160</c:v>
                </c:pt>
                <c:pt idx="5">
                  <c:v>119312.5</c:v>
                </c:pt>
                <c:pt idx="6">
                  <c:v>134265</c:v>
                </c:pt>
                <c:pt idx="7">
                  <c:v>0</c:v>
                </c:pt>
                <c:pt idx="8">
                  <c:v>137330</c:v>
                </c:pt>
                <c:pt idx="9">
                  <c:v>0</c:v>
                </c:pt>
                <c:pt idx="10">
                  <c:v>83337.95</c:v>
                </c:pt>
                <c:pt idx="11">
                  <c:v>125500</c:v>
                </c:pt>
                <c:pt idx="12">
                  <c:v>58137</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DF02-4146-A80F-9F626C967CE2}"/>
            </c:ext>
          </c:extLst>
        </c:ser>
        <c:ser>
          <c:idx val="1"/>
          <c:order val="1"/>
          <c:tx>
            <c:strRef>
              <c:f>'P(M)'!$BI$15:$BI$16</c:f>
              <c:strCache>
                <c:ptCount val="2"/>
                <c:pt idx="0">
                  <c:v>領證費用(C)</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'P(M)'!$BI$17:$BI$37</c:f>
              <c:numCache>
                <c:formatCode>#,##0_ </c:formatCode>
                <c:ptCount val="21"/>
                <c:pt idx="0">
                  <c:v>2700</c:v>
                </c:pt>
                <c:pt idx="1">
                  <c:v>0</c:v>
                </c:pt>
                <c:pt idx="2">
                  <c:v>5083</c:v>
                </c:pt>
                <c:pt idx="3">
                  <c:v>0</c:v>
                </c:pt>
                <c:pt idx="4">
                  <c:v>27712</c:v>
                </c:pt>
                <c:pt idx="5">
                  <c:v>134125</c:v>
                </c:pt>
                <c:pt idx="6">
                  <c:v>9849</c:v>
                </c:pt>
                <c:pt idx="7">
                  <c:v>0</c:v>
                </c:pt>
                <c:pt idx="8">
                  <c:v>18295</c:v>
                </c:pt>
                <c:pt idx="9">
                  <c:v>0</c:v>
                </c:pt>
                <c:pt idx="10">
                  <c:v>25178.84</c:v>
                </c:pt>
                <c:pt idx="11">
                  <c:v>44000</c:v>
                </c:pt>
                <c:pt idx="12">
                  <c:v>4399</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DF02-4146-A80F-9F626C967CE2}"/>
            </c:ext>
          </c:extLst>
        </c:ser>
        <c:dLbls>
          <c:showLegendKey val="0"/>
          <c:showVal val="0"/>
          <c:showCatName val="0"/>
          <c:showSerName val="0"/>
          <c:showPercent val="0"/>
          <c:showBubbleSize val="0"/>
        </c:dLbls>
        <c:gapWidth val="30"/>
        <c:overlap val="100"/>
        <c:axId val="187956224"/>
        <c:axId val="183689984"/>
      </c:barChart>
      <c:catAx>
        <c:axId val="187956224"/>
        <c:scaling>
          <c:orientation val="minMax"/>
        </c:scaling>
        <c:delete val="0"/>
        <c:axPos val="b"/>
        <c:numFmt formatCode="General" sourceLinked="0"/>
        <c:majorTickMark val="out"/>
        <c:minorTickMark val="none"/>
        <c:tickLblPos val="nextTo"/>
        <c:txPr>
          <a:bodyPr/>
          <a:lstStyle/>
          <a:p>
            <a:pPr>
              <a:defRPr sz="1200" b="1">
                <a:latin typeface="+mn-ea"/>
                <a:ea typeface="+mn-ea"/>
              </a:defRPr>
            </a:pPr>
            <a:endParaRPr lang="zh-TW"/>
          </a:p>
        </c:txPr>
        <c:crossAx val="183689984"/>
        <c:crosses val="autoZero"/>
        <c:auto val="1"/>
        <c:lblAlgn val="ctr"/>
        <c:lblOffset val="0"/>
        <c:noMultiLvlLbl val="0"/>
      </c:catAx>
      <c:valAx>
        <c:axId val="183689984"/>
        <c:scaling>
          <c:orientation val="minMax"/>
        </c:scaling>
        <c:delete val="0"/>
        <c:axPos val="l"/>
        <c:majorGridlines/>
        <c:title>
          <c:tx>
            <c:rich>
              <a:bodyPr rot="0" vert="horz"/>
              <a:lstStyle/>
              <a:p>
                <a:pPr>
                  <a:defRPr sz="1200" b="1">
                    <a:latin typeface="+mn-lt"/>
                    <a:ea typeface="+mn-ea"/>
                  </a:defRPr>
                </a:pPr>
                <a:r>
                  <a:rPr lang="en-US" altLang="zh-TW" sz="1200" b="1">
                    <a:latin typeface="+mn-lt"/>
                    <a:ea typeface="+mn-ea"/>
                    <a:cs typeface="Times New Roman" panose="02020603050405020304" pitchFamily="18" charset="0"/>
                  </a:rPr>
                  <a:t>(NTD)</a:t>
                </a:r>
                <a:endParaRPr lang="zh-TW" altLang="en-US" sz="1200" b="1">
                  <a:latin typeface="+mn-lt"/>
                  <a:ea typeface="+mn-ea"/>
                  <a:cs typeface="Times New Roman" panose="02020603050405020304" pitchFamily="18" charset="0"/>
                </a:endParaRPr>
              </a:p>
            </c:rich>
          </c:tx>
          <c:layout>
            <c:manualLayout>
              <c:xMode val="edge"/>
              <c:yMode val="edge"/>
              <c:x val="2.8849639564705067E-2"/>
              <c:y val="3.1716458825774368E-2"/>
            </c:manualLayout>
          </c:layout>
          <c:overlay val="0"/>
        </c:title>
        <c:numFmt formatCode="#,##0_ " sourceLinked="1"/>
        <c:majorTickMark val="none"/>
        <c:minorTickMark val="none"/>
        <c:tickLblPos val="nextTo"/>
        <c:spPr>
          <a:ln w="9525">
            <a:noFill/>
          </a:ln>
        </c:spPr>
        <c:txPr>
          <a:bodyPr/>
          <a:lstStyle/>
          <a:p>
            <a:pPr>
              <a:defRPr sz="1200" b="1">
                <a:latin typeface="+mn-lt"/>
                <a:ea typeface="+mn-ea"/>
                <a:cs typeface="Times New Roman" panose="02020603050405020304" pitchFamily="18" charset="0"/>
              </a:defRPr>
            </a:pPr>
            <a:endParaRPr lang="zh-TW"/>
          </a:p>
        </c:txPr>
        <c:crossAx val="187956224"/>
        <c:crosses val="autoZero"/>
        <c:crossBetween val="between"/>
        <c:majorUnit val="200000"/>
      </c:valAx>
    </c:plotArea>
    <c:legend>
      <c:legendPos val="t"/>
      <c:layout>
        <c:manualLayout>
          <c:xMode val="edge"/>
          <c:yMode val="edge"/>
          <c:x val="0.70527083496741005"/>
          <c:y val="0.1152985542482918"/>
          <c:w val="0.26053623414431276"/>
          <c:h val="6.5354039215686263E-2"/>
        </c:manualLayout>
      </c:layout>
      <c:overlay val="1"/>
      <c:txPr>
        <a:bodyPr/>
        <a:lstStyle/>
        <a:p>
          <a:pPr>
            <a:defRPr sz="1200" b="1">
              <a:latin typeface="+mn-lt"/>
            </a:defRPr>
          </a:pPr>
          <a:endParaRPr lang="zh-TW"/>
        </a:p>
      </c:txPr>
    </c:legend>
    <c:plotVisOnly val="1"/>
    <c:dispBlanksAs val="gap"/>
    <c:showDLblsOverMax val="0"/>
  </c:chart>
  <c:spPr>
    <a:ln>
      <a:noFill/>
    </a:ln>
  </c:sp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latin typeface="Times New Roman" panose="02020603050405020304" pitchFamily="18" charset="0"/>
                <a:ea typeface="標楷體" panose="03000509000000000000" pitchFamily="65" charset="-120"/>
                <a:cs typeface="Times New Roman" panose="02020603050405020304" pitchFamily="18" charset="0"/>
              </a:defRPr>
            </a:pPr>
            <a:r>
              <a:rPr lang="zh-TW" altLang="en-US" sz="1400">
                <a:latin typeface="Times New Roman" panose="02020603050405020304" pitchFamily="18" charset="0"/>
                <a:ea typeface="標楷體" panose="03000509000000000000" pitchFamily="65" charset="-120"/>
                <a:cs typeface="Times New Roman" panose="02020603050405020304" pitchFamily="18" charset="0"/>
              </a:rPr>
              <a:t>「專利申請費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(A)+</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領證費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(C)</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」與「後續年費</a:t>
            </a:r>
            <a:r>
              <a:rPr lang="en-US" altLang="zh-TW" sz="1400">
                <a:latin typeface="Times New Roman" panose="02020603050405020304" pitchFamily="18" charset="0"/>
                <a:ea typeface="標楷體" panose="03000509000000000000" pitchFamily="65" charset="-120"/>
                <a:cs typeface="Times New Roman" panose="02020603050405020304" pitchFamily="18" charset="0"/>
              </a:rPr>
              <a:t>(M)</a:t>
            </a:r>
            <a:r>
              <a:rPr lang="zh-TW" altLang="en-US" sz="1400">
                <a:latin typeface="Times New Roman" panose="02020603050405020304" pitchFamily="18" charset="0"/>
                <a:ea typeface="標楷體" panose="03000509000000000000" pitchFamily="65" charset="-120"/>
                <a:cs typeface="Times New Roman" panose="02020603050405020304" pitchFamily="18" charset="0"/>
              </a:rPr>
              <a:t>」之比較</a:t>
            </a:r>
          </a:p>
        </c:rich>
      </c:tx>
      <c:layout>
        <c:manualLayout>
          <c:xMode val="edge"/>
          <c:yMode val="edge"/>
          <c:x val="0.15435140761661775"/>
          <c:y val="1.8833564674757684E-2"/>
        </c:manualLayout>
      </c:layout>
      <c:overlay val="0"/>
    </c:title>
    <c:autoTitleDeleted val="0"/>
    <c:plotArea>
      <c:layout>
        <c:manualLayout>
          <c:layoutTarget val="inner"/>
          <c:xMode val="edge"/>
          <c:yMode val="edge"/>
          <c:x val="7.9696688826387127E-2"/>
          <c:y val="0.1112350945951523"/>
          <c:w val="0.91280110753744503"/>
          <c:h val="0.63886158704634144"/>
        </c:manualLayout>
      </c:layout>
      <c:barChart>
        <c:barDir val="col"/>
        <c:grouping val="clustered"/>
        <c:varyColors val="0"/>
        <c:ser>
          <c:idx val="0"/>
          <c:order val="0"/>
          <c:tx>
            <c:strRef>
              <c:f>'P(M)'!$BL$15:$BL$16</c:f>
              <c:strCache>
                <c:ptCount val="2"/>
                <c:pt idx="0">
                  <c:v>申請+領證費用(A+C)</c:v>
                </c:pt>
              </c:strCache>
            </c:strRef>
          </c:tx>
          <c:spPr>
            <a:solidFill>
              <a:srgbClr val="99CCFF"/>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'P(M)'!$BL$17:$BL$37</c:f>
              <c:numCache>
                <c:formatCode>#,##0_ </c:formatCode>
                <c:ptCount val="21"/>
                <c:pt idx="0">
                  <c:v>96800</c:v>
                </c:pt>
                <c:pt idx="1">
                  <c:v>0</c:v>
                </c:pt>
                <c:pt idx="2">
                  <c:v>48773</c:v>
                </c:pt>
                <c:pt idx="3">
                  <c:v>0</c:v>
                </c:pt>
                <c:pt idx="4">
                  <c:v>131872</c:v>
                </c:pt>
                <c:pt idx="5">
                  <c:v>253437.5</c:v>
                </c:pt>
                <c:pt idx="6">
                  <c:v>144114</c:v>
                </c:pt>
                <c:pt idx="7">
                  <c:v>0</c:v>
                </c:pt>
                <c:pt idx="8">
                  <c:v>155625</c:v>
                </c:pt>
                <c:pt idx="9">
                  <c:v>0</c:v>
                </c:pt>
                <c:pt idx="10">
                  <c:v>108516.79</c:v>
                </c:pt>
                <c:pt idx="11">
                  <c:v>169500</c:v>
                </c:pt>
                <c:pt idx="12">
                  <c:v>62536</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0-9AFD-4D2E-A07F-9E5B711DCC51}"/>
            </c:ext>
          </c:extLst>
        </c:ser>
        <c:ser>
          <c:idx val="1"/>
          <c:order val="1"/>
          <c:tx>
            <c:strRef>
              <c:f>'P(M)'!$BJ$15:$BJ$16</c:f>
              <c:strCache>
                <c:ptCount val="2"/>
                <c:pt idx="0">
                  <c:v>後續年費(M)</c:v>
                </c:pt>
              </c:strCache>
            </c:strRef>
          </c:tx>
          <c:spPr>
            <a:solidFill>
              <a:srgbClr val="FFC000"/>
            </a:solidFill>
            <a:ln w="12700">
              <a:solidFill>
                <a:schemeClr val="accent1"/>
              </a:solidFill>
            </a:ln>
            <a:effectLst/>
            <a:scene3d>
              <a:camera prst="orthographicFront"/>
              <a:lightRig rig="threePt" dir="t">
                <a:rot lat="0" lon="0" rev="1200000"/>
              </a:lightRig>
            </a:scene3d>
            <a:sp3d>
              <a:bevelT w="63500" h="25400"/>
            </a:sp3d>
          </c:spPr>
          <c:invertIfNegative val="0"/>
          <c:cat>
            <c:strRef>
              <c:f>'P(M)'!$BF$17:$BF$37</c:f>
              <c:strCache>
                <c:ptCount val="21"/>
                <c:pt idx="0">
                  <c:v>台灣-發明</c:v>
                </c:pt>
                <c:pt idx="1">
                  <c:v>台灣-新型</c:v>
                </c:pt>
                <c:pt idx="2">
                  <c:v>大陸-發明</c:v>
                </c:pt>
                <c:pt idx="3">
                  <c:v>大陸-新型</c:v>
                </c:pt>
                <c:pt idx="4">
                  <c:v>美國</c:v>
                </c:pt>
                <c:pt idx="5">
                  <c:v>歐洲</c:v>
                </c:pt>
                <c:pt idx="6">
                  <c:v>日本-發明</c:v>
                </c:pt>
                <c:pt idx="7">
                  <c:v>日本-新型</c:v>
                </c:pt>
                <c:pt idx="8">
                  <c:v>韓國-發明</c:v>
                </c:pt>
                <c:pt idx="9">
                  <c:v>韓國-新型</c:v>
                </c:pt>
                <c:pt idx="10">
                  <c:v>加拿大</c:v>
                </c:pt>
                <c:pt idx="11">
                  <c:v>新加坡</c:v>
                </c:pt>
                <c:pt idx="12">
                  <c:v>馬來西亞-發明</c:v>
                </c:pt>
                <c:pt idx="13">
                  <c:v>馬來西亞-新型</c:v>
                </c:pt>
                <c:pt idx="14">
                  <c:v>菲律賓</c:v>
                </c:pt>
                <c:pt idx="15">
                  <c:v>印尼-發明</c:v>
                </c:pt>
                <c:pt idx="16">
                  <c:v>印尼-新型</c:v>
                </c:pt>
                <c:pt idx="17">
                  <c:v>越南-發明</c:v>
                </c:pt>
                <c:pt idx="18">
                  <c:v>越南-新型</c:v>
                </c:pt>
                <c:pt idx="19">
                  <c:v>泰國-發明</c:v>
                </c:pt>
                <c:pt idx="20">
                  <c:v>泰國-新型</c:v>
                </c:pt>
              </c:strCache>
            </c:strRef>
          </c:cat>
          <c:val>
            <c:numRef>
              <c:f>'P(M)'!$BJ$17:$BJ$37</c:f>
              <c:numCache>
                <c:formatCode>#,##0_ </c:formatCode>
                <c:ptCount val="21"/>
                <c:pt idx="0">
                  <c:v>271800</c:v>
                </c:pt>
                <c:pt idx="1">
                  <c:v>0</c:v>
                </c:pt>
                <c:pt idx="2">
                  <c:v>448920</c:v>
                </c:pt>
                <c:pt idx="3">
                  <c:v>0</c:v>
                </c:pt>
                <c:pt idx="4">
                  <c:v>212312</c:v>
                </c:pt>
                <c:pt idx="5">
                  <c:v>1518651.2000000002</c:v>
                </c:pt>
                <c:pt idx="6">
                  <c:v>408547</c:v>
                </c:pt>
                <c:pt idx="7">
                  <c:v>0</c:v>
                </c:pt>
                <c:pt idx="8">
                  <c:v>453420</c:v>
                </c:pt>
                <c:pt idx="9">
                  <c:v>0</c:v>
                </c:pt>
                <c:pt idx="10">
                  <c:v>247947.96500000003</c:v>
                </c:pt>
                <c:pt idx="11">
                  <c:v>478700</c:v>
                </c:pt>
                <c:pt idx="12">
                  <c:v>337982.5</c:v>
                </c:pt>
                <c:pt idx="13">
                  <c:v>0</c:v>
                </c:pt>
                <c:pt idx="14">
                  <c:v>0</c:v>
                </c:pt>
                <c:pt idx="15">
                  <c:v>0</c:v>
                </c:pt>
                <c:pt idx="16">
                  <c:v>0</c:v>
                </c:pt>
                <c:pt idx="17">
                  <c:v>0</c:v>
                </c:pt>
                <c:pt idx="18">
                  <c:v>0</c:v>
                </c:pt>
                <c:pt idx="19">
                  <c:v>0</c:v>
                </c:pt>
                <c:pt idx="20">
                  <c:v>0</c:v>
                </c:pt>
              </c:numCache>
            </c:numRef>
          </c:val>
          <c:extLst>
            <c:ext xmlns:c16="http://schemas.microsoft.com/office/drawing/2014/chart" uri="{C3380CC4-5D6E-409C-BE32-E72D297353CC}">
              <c16:uniqueId val="{00000001-9AFD-4D2E-A07F-9E5B711DCC51}"/>
            </c:ext>
          </c:extLst>
        </c:ser>
        <c:dLbls>
          <c:showLegendKey val="0"/>
          <c:showVal val="0"/>
          <c:showCatName val="0"/>
          <c:showSerName val="0"/>
          <c:showPercent val="0"/>
          <c:showBubbleSize val="0"/>
        </c:dLbls>
        <c:gapWidth val="30"/>
        <c:axId val="185535104"/>
        <c:axId val="185561472"/>
      </c:barChart>
      <c:catAx>
        <c:axId val="185535104"/>
        <c:scaling>
          <c:orientation val="minMax"/>
        </c:scaling>
        <c:delete val="0"/>
        <c:axPos val="b"/>
        <c:numFmt formatCode="General" sourceLinked="0"/>
        <c:majorTickMark val="out"/>
        <c:minorTickMark val="none"/>
        <c:tickLblPos val="nextTo"/>
        <c:txPr>
          <a:bodyPr/>
          <a:lstStyle/>
          <a:p>
            <a:pPr>
              <a:defRPr sz="1200" b="1">
                <a:latin typeface="標楷體" panose="03000509000000000000" pitchFamily="65" charset="-120"/>
                <a:ea typeface="標楷體" panose="03000509000000000000" pitchFamily="65" charset="-120"/>
              </a:defRPr>
            </a:pPr>
            <a:endParaRPr lang="zh-TW"/>
          </a:p>
        </c:txPr>
        <c:crossAx val="185561472"/>
        <c:crosses val="autoZero"/>
        <c:auto val="1"/>
        <c:lblAlgn val="ctr"/>
        <c:lblOffset val="0"/>
        <c:tickLblSkip val="1"/>
        <c:tickMarkSkip val="1"/>
        <c:noMultiLvlLbl val="0"/>
      </c:catAx>
      <c:valAx>
        <c:axId val="185561472"/>
        <c:scaling>
          <c:orientation val="minMax"/>
        </c:scaling>
        <c:delete val="0"/>
        <c:axPos val="l"/>
        <c:majorGridlines/>
        <c:title>
          <c:tx>
            <c:rich>
              <a:bodyPr rot="0" vert="horz"/>
              <a:lstStyle/>
              <a:p>
                <a:pPr>
                  <a:defRPr sz="1200" b="1">
                    <a:latin typeface="Times New Roman" panose="02020603050405020304" pitchFamily="18" charset="0"/>
                    <a:ea typeface="+mn-ea"/>
                    <a:cs typeface="Times New Roman" panose="02020603050405020304" pitchFamily="18" charset="0"/>
                  </a:defRPr>
                </a:pPr>
                <a:r>
                  <a:rPr lang="en-US" altLang="zh-TW" sz="1200" b="1">
                    <a:latin typeface="Times New Roman" panose="02020603050405020304" pitchFamily="18" charset="0"/>
                    <a:ea typeface="+mn-ea"/>
                    <a:cs typeface="Times New Roman" panose="02020603050405020304" pitchFamily="18" charset="0"/>
                  </a:rPr>
                  <a:t>(NTD)</a:t>
                </a:r>
                <a:endParaRPr lang="zh-TW" altLang="en-US" sz="1200" b="1">
                  <a:latin typeface="Times New Roman" panose="02020603050405020304" pitchFamily="18" charset="0"/>
                  <a:ea typeface="+mn-ea"/>
                  <a:cs typeface="Times New Roman" panose="02020603050405020304" pitchFamily="18" charset="0"/>
                </a:endParaRPr>
              </a:p>
            </c:rich>
          </c:tx>
          <c:layout>
            <c:manualLayout>
              <c:xMode val="edge"/>
              <c:yMode val="edge"/>
              <c:x val="2.4441251154491753E-2"/>
              <c:y val="2.8549505859071088E-2"/>
            </c:manualLayout>
          </c:layout>
          <c:overlay val="0"/>
        </c:title>
        <c:numFmt formatCode="#,##0_ " sourceLinked="1"/>
        <c:majorTickMark val="none"/>
        <c:minorTickMark val="none"/>
        <c:tickLblPos val="nextTo"/>
        <c:spPr>
          <a:ln w="9525">
            <a:noFill/>
          </a:ln>
        </c:spPr>
        <c:txPr>
          <a:bodyPr/>
          <a:lstStyle/>
          <a:p>
            <a:pPr>
              <a:defRPr sz="1200" b="1">
                <a:latin typeface="Times New Roman" panose="02020603050405020304" pitchFamily="18" charset="0"/>
                <a:ea typeface="+mn-ea"/>
                <a:cs typeface="Times New Roman" panose="02020603050405020304" pitchFamily="18" charset="0"/>
              </a:defRPr>
            </a:pPr>
            <a:endParaRPr lang="zh-TW"/>
          </a:p>
        </c:txPr>
        <c:crossAx val="185535104"/>
        <c:crosses val="autoZero"/>
        <c:crossBetween val="between"/>
      </c:valAx>
    </c:plotArea>
    <c:legend>
      <c:legendPos val="t"/>
      <c:layout>
        <c:manualLayout>
          <c:xMode val="edge"/>
          <c:yMode val="edge"/>
          <c:x val="0.65950119445613997"/>
          <c:y val="2.5702378268933419E-2"/>
          <c:w val="0.31709818705764609"/>
          <c:h val="6.5354039215686263E-2"/>
        </c:manualLayout>
      </c:layout>
      <c:overlay val="1"/>
      <c:txPr>
        <a:bodyPr/>
        <a:lstStyle/>
        <a:p>
          <a:pPr>
            <a:defRPr sz="1200" b="1">
              <a:latin typeface="Times New Roman" panose="02020603050405020304" pitchFamily="18" charset="0"/>
              <a:ea typeface="標楷體" panose="03000509000000000000" pitchFamily="65" charset="-120"/>
              <a:cs typeface="Times New Roman" panose="02020603050405020304" pitchFamily="18" charset="0"/>
            </a:defRPr>
          </a:pPr>
          <a:endParaRPr lang="zh-TW"/>
        </a:p>
      </c:txPr>
    </c:legend>
    <c:plotVisOnly val="1"/>
    <c:dispBlanksAs val="gap"/>
    <c:showDLblsOverMax val="0"/>
  </c:chart>
  <c:spPr>
    <a:ln>
      <a:noFill/>
    </a:ln>
  </c:sp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CheckBox" checked="Checked" fmlaLink="'P(M)'!$W$5" lockText="1" noThreeD="1"/>
</file>

<file path=xl/ctrlProps/ctrlProp10.xml><?xml version="1.0" encoding="utf-8"?>
<formControlPr xmlns="http://schemas.microsoft.com/office/spreadsheetml/2009/9/main" objectType="Radio" lockText="1" noThreeD="1"/>
</file>

<file path=xl/ctrlProps/ctrlProp100.xml><?xml version="1.0" encoding="utf-8"?>
<formControlPr xmlns="http://schemas.microsoft.com/office/spreadsheetml/2009/9/main" objectType="CheckBox" fmlaLink="'P(M)'!$C$32" lockText="1" noThreeD="1"/>
</file>

<file path=xl/ctrlProps/ctrlProp101.xml><?xml version="1.0" encoding="utf-8"?>
<formControlPr xmlns="http://schemas.microsoft.com/office/spreadsheetml/2009/9/main" objectType="CheckBox" fmlaLink="'P(M)'!$C$33" lockText="1" noThreeD="1"/>
</file>

<file path=xl/ctrlProps/ctrlProp102.xml><?xml version="1.0" encoding="utf-8"?>
<formControlPr xmlns="http://schemas.microsoft.com/office/spreadsheetml/2009/9/main" objectType="CheckBox" checked="Checked" fmlaLink="'P(M)'!$C$28" lockText="1" noThreeD="1"/>
</file>

<file path=xl/ctrlProps/ctrlProp103.xml><?xml version="1.0" encoding="utf-8"?>
<formControlPr xmlns="http://schemas.microsoft.com/office/spreadsheetml/2009/9/main" objectType="CheckBox" fmlaLink="'P(M)'!$C$31" lockText="1" noThreeD="1"/>
</file>

<file path=xl/ctrlProps/ctrlProp104.xml><?xml version="1.0" encoding="utf-8"?>
<formControlPr xmlns="http://schemas.microsoft.com/office/spreadsheetml/2009/9/main" objectType="CheckBox" checked="Checked" fmlaLink="'P(M)'!$C$27" lockText="1" noThreeD="1"/>
</file>

<file path=xl/ctrlProps/ctrlProp105.xml><?xml version="1.0" encoding="utf-8"?>
<formControlPr xmlns="http://schemas.microsoft.com/office/spreadsheetml/2009/9/main" objectType="CheckBox" checked="Checked" fmlaLink="'P(M)'!$C$17" lockText="1" noThreeD="1"/>
</file>

<file path=xl/ctrlProps/ctrlProp106.xml><?xml version="1.0" encoding="utf-8"?>
<formControlPr xmlns="http://schemas.microsoft.com/office/spreadsheetml/2009/9/main" objectType="CheckBox" fmlaLink="'P(M)'!$C$18" lockText="1" noThreeD="1"/>
</file>

<file path=xl/ctrlProps/ctrlProp107.xml><?xml version="1.0" encoding="utf-8"?>
<formControlPr xmlns="http://schemas.microsoft.com/office/spreadsheetml/2009/9/main" objectType="CheckBox" checked="Checked" fmlaLink="'P(M)'!$C$19" lockText="1" noThreeD="1"/>
</file>

<file path=xl/ctrlProps/ctrlProp108.xml><?xml version="1.0" encoding="utf-8"?>
<formControlPr xmlns="http://schemas.microsoft.com/office/spreadsheetml/2009/9/main" objectType="CheckBox" fmlaLink="'P(M)'!$C$20" lockText="1" noThreeD="1"/>
</file>

<file path=xl/ctrlProps/ctrlProp109.xml><?xml version="1.0" encoding="utf-8"?>
<formControlPr xmlns="http://schemas.microsoft.com/office/spreadsheetml/2009/9/main" objectType="CheckBox" checked="Checked" fmlaLink="'P(M)'!$C$21"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CheckBox" checked="Checked" fmlaLink="'P(M)'!$C$22" lockText="1" noThreeD="1"/>
</file>

<file path=xl/ctrlProps/ctrlProp111.xml><?xml version="1.0" encoding="utf-8"?>
<formControlPr xmlns="http://schemas.microsoft.com/office/spreadsheetml/2009/9/main" objectType="CheckBox" checked="Checked" fmlaLink="'P(M)'!$C$23" lockText="1" noThreeD="1"/>
</file>

<file path=xl/ctrlProps/ctrlProp112.xml><?xml version="1.0" encoding="utf-8"?>
<formControlPr xmlns="http://schemas.microsoft.com/office/spreadsheetml/2009/9/main" objectType="CheckBox" fmlaLink="'P(M)'!$C$24" lockText="1" noThreeD="1"/>
</file>

<file path=xl/ctrlProps/ctrlProp113.xml><?xml version="1.0" encoding="utf-8"?>
<formControlPr xmlns="http://schemas.microsoft.com/office/spreadsheetml/2009/9/main" objectType="CheckBox" checked="Checked" fmlaLink="'P(M)'!$C$25" lockText="1" noThreeD="1"/>
</file>

<file path=xl/ctrlProps/ctrlProp114.xml><?xml version="1.0" encoding="utf-8"?>
<formControlPr xmlns="http://schemas.microsoft.com/office/spreadsheetml/2009/9/main" objectType="CheckBox" fmlaLink="'P(M)'!$C$26" lockText="1" noThreeD="1"/>
</file>

<file path=xl/ctrlProps/ctrlProp115.xml><?xml version="1.0" encoding="utf-8"?>
<formControlPr xmlns="http://schemas.microsoft.com/office/spreadsheetml/2009/9/main" objectType="CheckBox" fmlaLink="'P(M)'!$C$34" lockText="1" noThreeD="1"/>
</file>

<file path=xl/ctrlProps/ctrlProp116.xml><?xml version="1.0" encoding="utf-8"?>
<formControlPr xmlns="http://schemas.microsoft.com/office/spreadsheetml/2009/9/main" objectType="CheckBox" fmlaLink="'P(M)'!$C$35" lockText="1" noThreeD="1"/>
</file>

<file path=xl/ctrlProps/ctrlProp117.xml><?xml version="1.0" encoding="utf-8"?>
<formControlPr xmlns="http://schemas.microsoft.com/office/spreadsheetml/2009/9/main" objectType="CheckBox" fmlaLink="'P(M)'!$C$36" lockText="1" noThreeD="1"/>
</file>

<file path=xl/ctrlProps/ctrlProp118.xml><?xml version="1.0" encoding="utf-8"?>
<formControlPr xmlns="http://schemas.microsoft.com/office/spreadsheetml/2009/9/main" objectType="CheckBox" fmlaLink="'P(M)'!$C$37" lockText="1" noThreeD="1"/>
</file>

<file path=xl/ctrlProps/ctrlProp119.xml><?xml version="1.0" encoding="utf-8"?>
<formControlPr xmlns="http://schemas.microsoft.com/office/spreadsheetml/2009/9/main" objectType="CheckBox" checked="Checked" fmlaLink="'P(M)'!$C$29"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CheckBox" fmlaLink="'P(M)'!$C$30" lockText="1" noThreeD="1"/>
</file>

<file path=xl/ctrlProps/ctrlProp121.xml><?xml version="1.0" encoding="utf-8"?>
<formControlPr xmlns="http://schemas.microsoft.com/office/spreadsheetml/2009/9/main" objectType="CheckBox" fmlaLink="'P(M)'!$C$32" lockText="1" noThreeD="1"/>
</file>

<file path=xl/ctrlProps/ctrlProp122.xml><?xml version="1.0" encoding="utf-8"?>
<formControlPr xmlns="http://schemas.microsoft.com/office/spreadsheetml/2009/9/main" objectType="CheckBox" fmlaLink="'P(M)'!$C$33" lockText="1" noThreeD="1"/>
</file>

<file path=xl/ctrlProps/ctrlProp123.xml><?xml version="1.0" encoding="utf-8"?>
<formControlPr xmlns="http://schemas.microsoft.com/office/spreadsheetml/2009/9/main" objectType="CheckBox" checked="Checked" fmlaLink="'P(M)'!$C$28" lockText="1" noThreeD="1"/>
</file>

<file path=xl/ctrlProps/ctrlProp124.xml><?xml version="1.0" encoding="utf-8"?>
<formControlPr xmlns="http://schemas.microsoft.com/office/spreadsheetml/2009/9/main" objectType="CheckBox" fmlaLink="'P(M)'!$C$31" lockText="1" noThreeD="1"/>
</file>

<file path=xl/ctrlProps/ctrlProp125.xml><?xml version="1.0" encoding="utf-8"?>
<formControlPr xmlns="http://schemas.microsoft.com/office/spreadsheetml/2009/9/main" objectType="CheckBox" checked="Checked" fmlaLink="'P(M)'!$C$27"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checked="Checked" fmlaLink="'P(M)'!$W$6"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checked="Checked" fmlaLink="'P(M)'!$W$7"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checked="Checked" lockText="1" noThreeD="1"/>
</file>

<file path=xl/ctrlProps/ctrlProp34.xml><?xml version="1.0" encoding="utf-8"?>
<formControlPr xmlns="http://schemas.microsoft.com/office/spreadsheetml/2009/9/main" objectType="CheckBox" checked="Checked" fmlaLink="'P(M)'!$C$17" lockText="1" noThreeD="1"/>
</file>

<file path=xl/ctrlProps/ctrlProp35.xml><?xml version="1.0" encoding="utf-8"?>
<formControlPr xmlns="http://schemas.microsoft.com/office/spreadsheetml/2009/9/main" objectType="CheckBox" fmlaLink="'P(M)'!$C$18" lockText="1" noThreeD="1"/>
</file>

<file path=xl/ctrlProps/ctrlProp36.xml><?xml version="1.0" encoding="utf-8"?>
<formControlPr xmlns="http://schemas.microsoft.com/office/spreadsheetml/2009/9/main" objectType="CheckBox" checked="Checked" fmlaLink="'P(M)'!$C$19" lockText="1" noThreeD="1"/>
</file>

<file path=xl/ctrlProps/ctrlProp37.xml><?xml version="1.0" encoding="utf-8"?>
<formControlPr xmlns="http://schemas.microsoft.com/office/spreadsheetml/2009/9/main" objectType="CheckBox" fmlaLink="'P(M)'!$C$20" lockText="1" noThreeD="1"/>
</file>

<file path=xl/ctrlProps/ctrlProp38.xml><?xml version="1.0" encoding="utf-8"?>
<formControlPr xmlns="http://schemas.microsoft.com/office/spreadsheetml/2009/9/main" objectType="CheckBox" checked="Checked" fmlaLink="'P(M)'!$C$21" lockText="1" noThreeD="1"/>
</file>

<file path=xl/ctrlProps/ctrlProp39.xml><?xml version="1.0" encoding="utf-8"?>
<formControlPr xmlns="http://schemas.microsoft.com/office/spreadsheetml/2009/9/main" objectType="CheckBox" checked="Checked" fmlaLink="'P(M)'!$C$22" lockText="1" noThreeD="1"/>
</file>

<file path=xl/ctrlProps/ctrlProp4.xml><?xml version="1.0" encoding="utf-8"?>
<formControlPr xmlns="http://schemas.microsoft.com/office/spreadsheetml/2009/9/main" objectType="CheckBox" checked="Checked" fmlaLink="'P(M)'!$U$5" lockText="1" noThreeD="1"/>
</file>

<file path=xl/ctrlProps/ctrlProp40.xml><?xml version="1.0" encoding="utf-8"?>
<formControlPr xmlns="http://schemas.microsoft.com/office/spreadsheetml/2009/9/main" objectType="CheckBox" checked="Checked" fmlaLink="'P(M)'!$C$23" lockText="1" noThreeD="1"/>
</file>

<file path=xl/ctrlProps/ctrlProp41.xml><?xml version="1.0" encoding="utf-8"?>
<formControlPr xmlns="http://schemas.microsoft.com/office/spreadsheetml/2009/9/main" objectType="CheckBox" fmlaLink="'P(M)'!$C$24" lockText="1" noThreeD="1"/>
</file>

<file path=xl/ctrlProps/ctrlProp42.xml><?xml version="1.0" encoding="utf-8"?>
<formControlPr xmlns="http://schemas.microsoft.com/office/spreadsheetml/2009/9/main" objectType="CheckBox" checked="Checked" fmlaLink="'P(M)'!$C$25" lockText="1" noThreeD="1"/>
</file>

<file path=xl/ctrlProps/ctrlProp43.xml><?xml version="1.0" encoding="utf-8"?>
<formControlPr xmlns="http://schemas.microsoft.com/office/spreadsheetml/2009/9/main" objectType="CheckBox" fmlaLink="'P(M)'!$C$26" lockText="1" noThreeD="1"/>
</file>

<file path=xl/ctrlProps/ctrlProp44.xml><?xml version="1.0" encoding="utf-8"?>
<formControlPr xmlns="http://schemas.microsoft.com/office/spreadsheetml/2009/9/main" objectType="CheckBox" fmlaLink="'P(M)'!$C$34" lockText="1" noThreeD="1"/>
</file>

<file path=xl/ctrlProps/ctrlProp45.xml><?xml version="1.0" encoding="utf-8"?>
<formControlPr xmlns="http://schemas.microsoft.com/office/spreadsheetml/2009/9/main" objectType="CheckBox" fmlaLink="'P(M)'!$C$35" lockText="1" noThreeD="1"/>
</file>

<file path=xl/ctrlProps/ctrlProp46.xml><?xml version="1.0" encoding="utf-8"?>
<formControlPr xmlns="http://schemas.microsoft.com/office/spreadsheetml/2009/9/main" objectType="CheckBox" fmlaLink="'P(M)'!$C$36" lockText="1" noThreeD="1"/>
</file>

<file path=xl/ctrlProps/ctrlProp47.xml><?xml version="1.0" encoding="utf-8"?>
<formControlPr xmlns="http://schemas.microsoft.com/office/spreadsheetml/2009/9/main" objectType="CheckBox" fmlaLink="'P(M)'!$C$37" lockText="1" noThreeD="1"/>
</file>

<file path=xl/ctrlProps/ctrlProp48.xml><?xml version="1.0" encoding="utf-8"?>
<formControlPr xmlns="http://schemas.microsoft.com/office/spreadsheetml/2009/9/main" objectType="CheckBox" checked="Checked" fmlaLink="'P(M)'!$C$29" lockText="1" noThreeD="1"/>
</file>

<file path=xl/ctrlProps/ctrlProp49.xml><?xml version="1.0" encoding="utf-8"?>
<formControlPr xmlns="http://schemas.microsoft.com/office/spreadsheetml/2009/9/main" objectType="CheckBox" fmlaLink="'P(M)'!$C$30" lockText="1" noThreeD="1"/>
</file>

<file path=xl/ctrlProps/ctrlProp5.xml><?xml version="1.0" encoding="utf-8"?>
<formControlPr xmlns="http://schemas.microsoft.com/office/spreadsheetml/2009/9/main" objectType="CheckBox" checked="Checked" fmlaLink="'P(M)'!$U$6" lockText="1" noThreeD="1"/>
</file>

<file path=xl/ctrlProps/ctrlProp50.xml><?xml version="1.0" encoding="utf-8"?>
<formControlPr xmlns="http://schemas.microsoft.com/office/spreadsheetml/2009/9/main" objectType="CheckBox" fmlaLink="'P(M)'!$C$32" lockText="1" noThreeD="1"/>
</file>

<file path=xl/ctrlProps/ctrlProp51.xml><?xml version="1.0" encoding="utf-8"?>
<formControlPr xmlns="http://schemas.microsoft.com/office/spreadsheetml/2009/9/main" objectType="CheckBox" fmlaLink="'P(M)'!$C$33" lockText="1" noThreeD="1"/>
</file>

<file path=xl/ctrlProps/ctrlProp52.xml><?xml version="1.0" encoding="utf-8"?>
<formControlPr xmlns="http://schemas.microsoft.com/office/spreadsheetml/2009/9/main" objectType="CheckBox" checked="Checked" fmlaLink="'P(M)'!$C$28" lockText="1" noThreeD="1"/>
</file>

<file path=xl/ctrlProps/ctrlProp53.xml><?xml version="1.0" encoding="utf-8"?>
<formControlPr xmlns="http://schemas.microsoft.com/office/spreadsheetml/2009/9/main" objectType="CheckBox" fmlaLink="'P(M)'!$C$31" lockText="1" noThreeD="1"/>
</file>

<file path=xl/ctrlProps/ctrlProp54.xml><?xml version="1.0" encoding="utf-8"?>
<formControlPr xmlns="http://schemas.microsoft.com/office/spreadsheetml/2009/9/main" objectType="CheckBox" checked="Checked" fmlaLink="'P(M)'!$C$27" lockText="1" noThreeD="1"/>
</file>

<file path=xl/ctrlProps/ctrlProp55.xml><?xml version="1.0" encoding="utf-8"?>
<formControlPr xmlns="http://schemas.microsoft.com/office/spreadsheetml/2009/9/main" objectType="Radio" checked="Checked" firstButton="1" fmlaLink="'P(M)'!$D$17"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checked="Checked" fmlaLink="'P(M)'!$U$7"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GBox"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CheckBox" checked="Checked" fmlaLink="'P(M)'!$C$17" lockText="1" noThreeD="1"/>
</file>

<file path=xl/ctrlProps/ctrlProp64.xml><?xml version="1.0" encoding="utf-8"?>
<formControlPr xmlns="http://schemas.microsoft.com/office/spreadsheetml/2009/9/main" objectType="CheckBox" fmlaLink="'P(M)'!$C$18" lockText="1" noThreeD="1"/>
</file>

<file path=xl/ctrlProps/ctrlProp65.xml><?xml version="1.0" encoding="utf-8"?>
<formControlPr xmlns="http://schemas.microsoft.com/office/spreadsheetml/2009/9/main" objectType="CheckBox" checked="Checked" fmlaLink="'P(M)'!$C$19" lockText="1" noThreeD="1"/>
</file>

<file path=xl/ctrlProps/ctrlProp66.xml><?xml version="1.0" encoding="utf-8"?>
<formControlPr xmlns="http://schemas.microsoft.com/office/spreadsheetml/2009/9/main" objectType="CheckBox" fmlaLink="'P(M)'!$C$20" lockText="1" noThreeD="1"/>
</file>

<file path=xl/ctrlProps/ctrlProp67.xml><?xml version="1.0" encoding="utf-8"?>
<formControlPr xmlns="http://schemas.microsoft.com/office/spreadsheetml/2009/9/main" objectType="CheckBox" checked="Checked" fmlaLink="'P(M)'!$C$21" lockText="1" noThreeD="1"/>
</file>

<file path=xl/ctrlProps/ctrlProp68.xml><?xml version="1.0" encoding="utf-8"?>
<formControlPr xmlns="http://schemas.microsoft.com/office/spreadsheetml/2009/9/main" objectType="CheckBox" checked="Checked" fmlaLink="'P(M)'!$C$22" lockText="1" noThreeD="1"/>
</file>

<file path=xl/ctrlProps/ctrlProp69.xml><?xml version="1.0" encoding="utf-8"?>
<formControlPr xmlns="http://schemas.microsoft.com/office/spreadsheetml/2009/9/main" objectType="CheckBox" checked="Checked" fmlaLink="'P(M)'!$C$23" lockText="1" noThreeD="1"/>
</file>

<file path=xl/ctrlProps/ctrlProp7.xml><?xml version="1.0" encoding="utf-8"?>
<formControlPr xmlns="http://schemas.microsoft.com/office/spreadsheetml/2009/9/main" objectType="CheckBox" checked="Checked" fmlaLink="'P(M)'!$U$8" lockText="1" noThreeD="1"/>
</file>

<file path=xl/ctrlProps/ctrlProp70.xml><?xml version="1.0" encoding="utf-8"?>
<formControlPr xmlns="http://schemas.microsoft.com/office/spreadsheetml/2009/9/main" objectType="CheckBox" fmlaLink="'P(M)'!$C$24" lockText="1" noThreeD="1"/>
</file>

<file path=xl/ctrlProps/ctrlProp71.xml><?xml version="1.0" encoding="utf-8"?>
<formControlPr xmlns="http://schemas.microsoft.com/office/spreadsheetml/2009/9/main" objectType="CheckBox" checked="Checked" fmlaLink="'P(M)'!$C$25" lockText="1" noThreeD="1"/>
</file>

<file path=xl/ctrlProps/ctrlProp72.xml><?xml version="1.0" encoding="utf-8"?>
<formControlPr xmlns="http://schemas.microsoft.com/office/spreadsheetml/2009/9/main" objectType="CheckBox" fmlaLink="'P(M)'!$C$26" lockText="1" noThreeD="1"/>
</file>

<file path=xl/ctrlProps/ctrlProp73.xml><?xml version="1.0" encoding="utf-8"?>
<formControlPr xmlns="http://schemas.microsoft.com/office/spreadsheetml/2009/9/main" objectType="CheckBox" fmlaLink="'P(M)'!$C$34" lockText="1" noThreeD="1"/>
</file>

<file path=xl/ctrlProps/ctrlProp74.xml><?xml version="1.0" encoding="utf-8"?>
<formControlPr xmlns="http://schemas.microsoft.com/office/spreadsheetml/2009/9/main" objectType="CheckBox" fmlaLink="'P(M)'!$C$35" lockText="1" noThreeD="1"/>
</file>

<file path=xl/ctrlProps/ctrlProp75.xml><?xml version="1.0" encoding="utf-8"?>
<formControlPr xmlns="http://schemas.microsoft.com/office/spreadsheetml/2009/9/main" objectType="CheckBox" fmlaLink="'P(M)'!$C$36" lockText="1" noThreeD="1"/>
</file>

<file path=xl/ctrlProps/ctrlProp76.xml><?xml version="1.0" encoding="utf-8"?>
<formControlPr xmlns="http://schemas.microsoft.com/office/spreadsheetml/2009/9/main" objectType="CheckBox" fmlaLink="'P(M)'!$C$37" lockText="1" noThreeD="1"/>
</file>

<file path=xl/ctrlProps/ctrlProp77.xml><?xml version="1.0" encoding="utf-8"?>
<formControlPr xmlns="http://schemas.microsoft.com/office/spreadsheetml/2009/9/main" objectType="CheckBox" checked="Checked" fmlaLink="'P(M)'!$C$29" lockText="1" noThreeD="1"/>
</file>

<file path=xl/ctrlProps/ctrlProp78.xml><?xml version="1.0" encoding="utf-8"?>
<formControlPr xmlns="http://schemas.microsoft.com/office/spreadsheetml/2009/9/main" objectType="CheckBox" fmlaLink="'P(M)'!$C$30" lockText="1" noThreeD="1"/>
</file>

<file path=xl/ctrlProps/ctrlProp79.xml><?xml version="1.0" encoding="utf-8"?>
<formControlPr xmlns="http://schemas.microsoft.com/office/spreadsheetml/2009/9/main" objectType="CheckBox" fmlaLink="'P(M)'!$C$32" lockText="1" noThreeD="1"/>
</file>

<file path=xl/ctrlProps/ctrlProp8.xml><?xml version="1.0" encoding="utf-8"?>
<formControlPr xmlns="http://schemas.microsoft.com/office/spreadsheetml/2009/9/main" objectType="Radio" firstButton="1" fmlaLink="選項!$M$2" lockText="1" noThreeD="1"/>
</file>

<file path=xl/ctrlProps/ctrlProp80.xml><?xml version="1.0" encoding="utf-8"?>
<formControlPr xmlns="http://schemas.microsoft.com/office/spreadsheetml/2009/9/main" objectType="CheckBox" fmlaLink="'P(M)'!$C$33" lockText="1" noThreeD="1"/>
</file>

<file path=xl/ctrlProps/ctrlProp81.xml><?xml version="1.0" encoding="utf-8"?>
<formControlPr xmlns="http://schemas.microsoft.com/office/spreadsheetml/2009/9/main" objectType="CheckBox" checked="Checked" fmlaLink="'P(M)'!$C$28" lockText="1" noThreeD="1"/>
</file>

<file path=xl/ctrlProps/ctrlProp82.xml><?xml version="1.0" encoding="utf-8"?>
<formControlPr xmlns="http://schemas.microsoft.com/office/spreadsheetml/2009/9/main" objectType="CheckBox" fmlaLink="'P(M)'!$C$31" lockText="1" noThreeD="1"/>
</file>

<file path=xl/ctrlProps/ctrlProp83.xml><?xml version="1.0" encoding="utf-8"?>
<formControlPr xmlns="http://schemas.microsoft.com/office/spreadsheetml/2009/9/main" objectType="CheckBox" checked="Checked" fmlaLink="'P(M)'!$C$27" lockText="1" noThreeD="1"/>
</file>

<file path=xl/ctrlProps/ctrlProp84.xml><?xml version="1.0" encoding="utf-8"?>
<formControlPr xmlns="http://schemas.microsoft.com/office/spreadsheetml/2009/9/main" objectType="CheckBox" checked="Checked" fmlaLink="'P(M)'!$C$17" lockText="1" noThreeD="1"/>
</file>

<file path=xl/ctrlProps/ctrlProp85.xml><?xml version="1.0" encoding="utf-8"?>
<formControlPr xmlns="http://schemas.microsoft.com/office/spreadsheetml/2009/9/main" objectType="CheckBox" fmlaLink="'P(M)'!$C$18" lockText="1" noThreeD="1"/>
</file>

<file path=xl/ctrlProps/ctrlProp86.xml><?xml version="1.0" encoding="utf-8"?>
<formControlPr xmlns="http://schemas.microsoft.com/office/spreadsheetml/2009/9/main" objectType="CheckBox" checked="Checked" fmlaLink="'P(M)'!$C$19" lockText="1" noThreeD="1"/>
</file>

<file path=xl/ctrlProps/ctrlProp87.xml><?xml version="1.0" encoding="utf-8"?>
<formControlPr xmlns="http://schemas.microsoft.com/office/spreadsheetml/2009/9/main" objectType="CheckBox" fmlaLink="'P(M)'!$C$20" lockText="1" noThreeD="1"/>
</file>

<file path=xl/ctrlProps/ctrlProp88.xml><?xml version="1.0" encoding="utf-8"?>
<formControlPr xmlns="http://schemas.microsoft.com/office/spreadsheetml/2009/9/main" objectType="CheckBox" checked="Checked" fmlaLink="'P(M)'!$C$21" lockText="1" noThreeD="1"/>
</file>

<file path=xl/ctrlProps/ctrlProp89.xml><?xml version="1.0" encoding="utf-8"?>
<formControlPr xmlns="http://schemas.microsoft.com/office/spreadsheetml/2009/9/main" objectType="CheckBox" checked="Checked" fmlaLink="'P(M)'!$C$22"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CheckBox" checked="Checked" fmlaLink="'P(M)'!$C$23" lockText="1" noThreeD="1"/>
</file>

<file path=xl/ctrlProps/ctrlProp91.xml><?xml version="1.0" encoding="utf-8"?>
<formControlPr xmlns="http://schemas.microsoft.com/office/spreadsheetml/2009/9/main" objectType="CheckBox" fmlaLink="'P(M)'!$C$24" lockText="1" noThreeD="1"/>
</file>

<file path=xl/ctrlProps/ctrlProp92.xml><?xml version="1.0" encoding="utf-8"?>
<formControlPr xmlns="http://schemas.microsoft.com/office/spreadsheetml/2009/9/main" objectType="CheckBox" checked="Checked" fmlaLink="'P(M)'!$C$25" lockText="1" noThreeD="1"/>
</file>

<file path=xl/ctrlProps/ctrlProp93.xml><?xml version="1.0" encoding="utf-8"?>
<formControlPr xmlns="http://schemas.microsoft.com/office/spreadsheetml/2009/9/main" objectType="CheckBox" fmlaLink="'P(M)'!$C$26" lockText="1" noThreeD="1"/>
</file>

<file path=xl/ctrlProps/ctrlProp94.xml><?xml version="1.0" encoding="utf-8"?>
<formControlPr xmlns="http://schemas.microsoft.com/office/spreadsheetml/2009/9/main" objectType="CheckBox" fmlaLink="'P(M)'!$C$34" lockText="1" noThreeD="1"/>
</file>

<file path=xl/ctrlProps/ctrlProp95.xml><?xml version="1.0" encoding="utf-8"?>
<formControlPr xmlns="http://schemas.microsoft.com/office/spreadsheetml/2009/9/main" objectType="CheckBox" fmlaLink="'P(M)'!$C$35" lockText="1" noThreeD="1"/>
</file>

<file path=xl/ctrlProps/ctrlProp96.xml><?xml version="1.0" encoding="utf-8"?>
<formControlPr xmlns="http://schemas.microsoft.com/office/spreadsheetml/2009/9/main" objectType="CheckBox" fmlaLink="'P(M)'!$C$36" lockText="1" noThreeD="1"/>
</file>

<file path=xl/ctrlProps/ctrlProp97.xml><?xml version="1.0" encoding="utf-8"?>
<formControlPr xmlns="http://schemas.microsoft.com/office/spreadsheetml/2009/9/main" objectType="CheckBox" fmlaLink="'P(M)'!$C$37" lockText="1" noThreeD="1"/>
</file>

<file path=xl/ctrlProps/ctrlProp98.xml><?xml version="1.0" encoding="utf-8"?>
<formControlPr xmlns="http://schemas.microsoft.com/office/spreadsheetml/2009/9/main" objectType="CheckBox" checked="Checked" fmlaLink="'P(M)'!$C$29" lockText="1" noThreeD="1"/>
</file>

<file path=xl/ctrlProps/ctrlProp99.xml><?xml version="1.0" encoding="utf-8"?>
<formControlPr xmlns="http://schemas.microsoft.com/office/spreadsheetml/2009/9/main" objectType="CheckBox" fmlaLink="'P(M)'!$C$30" lockText="1" noThreeD="1"/>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238</xdr:row>
      <xdr:rowOff>111489</xdr:rowOff>
    </xdr:from>
    <xdr:to>
      <xdr:col>13</xdr:col>
      <xdr:colOff>2495</xdr:colOff>
      <xdr:row>257</xdr:row>
      <xdr:rowOff>16565</xdr:rowOff>
    </xdr:to>
    <xdr:graphicFrame macro="">
      <xdr:nvGraphicFramePr>
        <xdr:cNvPr id="21" name="圖表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5603</xdr:colOff>
      <xdr:row>216</xdr:row>
      <xdr:rowOff>0</xdr:rowOff>
    </xdr:from>
    <xdr:to>
      <xdr:col>12</xdr:col>
      <xdr:colOff>669952</xdr:colOff>
      <xdr:row>237</xdr:row>
      <xdr:rowOff>5181</xdr:rowOff>
    </xdr:to>
    <xdr:graphicFrame macro="">
      <xdr:nvGraphicFramePr>
        <xdr:cNvPr id="24" name="圖表 23">
          <a:extLst>
            <a:ext uri="{FF2B5EF4-FFF2-40B4-BE49-F238E27FC236}">
              <a16:creationId xmlns:a16="http://schemas.microsoft.com/office/drawing/2014/main" id="{00000000-0008-0000-00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33617</xdr:colOff>
      <xdr:row>172</xdr:row>
      <xdr:rowOff>27214</xdr:rowOff>
    </xdr:from>
    <xdr:to>
      <xdr:col>12</xdr:col>
      <xdr:colOff>78440</xdr:colOff>
      <xdr:row>192</xdr:row>
      <xdr:rowOff>13809</xdr:rowOff>
    </xdr:to>
    <xdr:graphicFrame macro="">
      <xdr:nvGraphicFramePr>
        <xdr:cNvPr id="10" name="圖表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112059</xdr:colOff>
      <xdr:row>172</xdr:row>
      <xdr:rowOff>27214</xdr:rowOff>
    </xdr:from>
    <xdr:to>
      <xdr:col>7</xdr:col>
      <xdr:colOff>246529</xdr:colOff>
      <xdr:row>192</xdr:row>
      <xdr:rowOff>13809</xdr:rowOff>
    </xdr:to>
    <xdr:graphicFrame macro="">
      <xdr:nvGraphicFramePr>
        <xdr:cNvPr id="11" name="圖表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xdr:from>
          <xdr:col>4</xdr:col>
          <xdr:colOff>38100</xdr:colOff>
          <xdr:row>5</xdr:row>
          <xdr:rowOff>49751</xdr:rowOff>
        </xdr:from>
        <xdr:to>
          <xdr:col>5</xdr:col>
          <xdr:colOff>781050</xdr:colOff>
          <xdr:row>8</xdr:row>
          <xdr:rowOff>192882</xdr:rowOff>
        </xdr:to>
        <xdr:grpSp>
          <xdr:nvGrpSpPr>
            <xdr:cNvPr id="4" name="群組 3">
              <a:extLst>
                <a:ext uri="{FF2B5EF4-FFF2-40B4-BE49-F238E27FC236}">
                  <a16:creationId xmlns:a16="http://schemas.microsoft.com/office/drawing/2014/main" id="{00000000-0008-0000-0000-000004000000}"/>
                </a:ext>
              </a:extLst>
            </xdr:cNvPr>
            <xdr:cNvGrpSpPr/>
          </xdr:nvGrpSpPr>
          <xdr:grpSpPr>
            <a:xfrm>
              <a:off x="3265394" y="1103104"/>
              <a:ext cx="1785097" cy="815484"/>
              <a:chOff x="3062288" y="1107009"/>
              <a:chExt cx="1714500" cy="828932"/>
            </a:xfrm>
          </xdr:grpSpPr>
          <xdr:sp macro="" textlink="">
            <xdr:nvSpPr>
              <xdr:cNvPr id="1025" name="Check Box 1" descr="官方費用"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4033838" y="1107009"/>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官方費用</a:t>
                </a:r>
              </a:p>
            </xdr:txBody>
          </xdr:sp>
          <xdr:sp macro="" textlink="">
            <xdr:nvSpPr>
              <xdr:cNvPr id="1026" name="Check Box 2" descr="官方費用"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4033838" y="1332887"/>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外國代理費</a:t>
                </a:r>
              </a:p>
            </xdr:txBody>
          </xdr:sp>
          <xdr:sp macro="" textlink="">
            <xdr:nvSpPr>
              <xdr:cNvPr id="1027" name="Check Box 3" descr="官方費用"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4033838" y="1561486"/>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慧盈服務費</a:t>
                </a:r>
              </a:p>
            </xdr:txBody>
          </xdr:sp>
          <xdr:sp macro="" textlink="">
            <xdr:nvSpPr>
              <xdr:cNvPr id="1028" name="Check Box 4" descr="官方費用"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3062288" y="1107009"/>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申請費</a:t>
                </a:r>
              </a:p>
            </xdr:txBody>
          </xdr:sp>
          <xdr:sp macro="" textlink="">
            <xdr:nvSpPr>
              <xdr:cNvPr id="1029" name="Check Box 5" descr="官方費用"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3062288" y="1332887"/>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領證費</a:t>
                </a:r>
              </a:p>
            </xdr:txBody>
          </xdr:sp>
          <xdr:sp macro="" textlink="">
            <xdr:nvSpPr>
              <xdr:cNvPr id="1030" name="Check Box 6" descr="官方費用"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3062288" y="1561486"/>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後續年費</a:t>
                </a:r>
              </a:p>
            </xdr:txBody>
          </xdr:sp>
          <xdr:sp macro="" textlink="">
            <xdr:nvSpPr>
              <xdr:cNvPr id="1031" name="Check Box 7" descr="官方費用"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3062288" y="1793066"/>
                <a:ext cx="742950"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答辯費</a:t>
                </a:r>
              </a:p>
            </xdr:txBody>
          </xdr:sp>
        </xdr:grpSp>
        <xdr:clientData/>
      </xdr:twoCellAnchor>
    </mc:Choice>
    <mc:Fallback/>
  </mc:AlternateContent>
  <xdr:twoCellAnchor>
    <xdr:from>
      <xdr:col>6</xdr:col>
      <xdr:colOff>33617</xdr:colOff>
      <xdr:row>194</xdr:row>
      <xdr:rowOff>103054</xdr:rowOff>
    </xdr:from>
    <xdr:to>
      <xdr:col>12</xdr:col>
      <xdr:colOff>78440</xdr:colOff>
      <xdr:row>214</xdr:row>
      <xdr:rowOff>89648</xdr:rowOff>
    </xdr:to>
    <xdr:graphicFrame macro="">
      <xdr:nvGraphicFramePr>
        <xdr:cNvPr id="17" name="圖表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112059</xdr:colOff>
      <xdr:row>194</xdr:row>
      <xdr:rowOff>103054</xdr:rowOff>
    </xdr:from>
    <xdr:to>
      <xdr:col>7</xdr:col>
      <xdr:colOff>246529</xdr:colOff>
      <xdr:row>214</xdr:row>
      <xdr:rowOff>89648</xdr:rowOff>
    </xdr:to>
    <xdr:graphicFrame macro="">
      <xdr:nvGraphicFramePr>
        <xdr:cNvPr id="18" name="圖表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xdr:from>
          <xdr:col>2</xdr:col>
          <xdr:colOff>76200</xdr:colOff>
          <xdr:row>142</xdr:row>
          <xdr:rowOff>0</xdr:rowOff>
        </xdr:from>
        <xdr:to>
          <xdr:col>12</xdr:col>
          <xdr:colOff>761999</xdr:colOff>
          <xdr:row>143</xdr:row>
          <xdr:rowOff>248478</xdr:rowOff>
        </xdr:to>
        <xdr:grpSp>
          <xdr:nvGrpSpPr>
            <xdr:cNvPr id="6" name="群組 5">
              <a:extLst>
                <a:ext uri="{FF2B5EF4-FFF2-40B4-BE49-F238E27FC236}">
                  <a16:creationId xmlns:a16="http://schemas.microsoft.com/office/drawing/2014/main" id="{00000000-0008-0000-0000-000006000000}"/>
                </a:ext>
              </a:extLst>
            </xdr:cNvPr>
            <xdr:cNvGrpSpPr/>
          </xdr:nvGrpSpPr>
          <xdr:grpSpPr>
            <a:xfrm>
              <a:off x="1969994" y="31197176"/>
              <a:ext cx="10020299" cy="495008"/>
              <a:chOff x="1972917" y="31010087"/>
              <a:chExt cx="9987170" cy="496956"/>
            </a:xfrm>
          </xdr:grpSpPr>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2861711" y="31010087"/>
                <a:ext cx="49606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1年</a:t>
                </a:r>
              </a:p>
            </xdr:txBody>
          </xdr:sp>
          <xdr:sp macro="" textlink="">
            <xdr:nvSpPr>
              <xdr:cNvPr id="1060" name="Option Button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3476638" y="31010087"/>
                <a:ext cx="49490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2年</a:t>
                </a:r>
              </a:p>
            </xdr:txBody>
          </xdr:sp>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4087858" y="31010087"/>
                <a:ext cx="492475"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3年</a:t>
                </a:r>
              </a:p>
            </xdr:txBody>
          </xdr:sp>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4676006"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4年</a:t>
                </a:r>
              </a:p>
            </xdr:txBody>
          </xdr:sp>
          <xdr:sp macro="" textlink="">
            <xdr:nvSpPr>
              <xdr:cNvPr id="1063" name="Option Button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5286850" y="31010087"/>
                <a:ext cx="496141"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5年</a:t>
                </a:r>
              </a:p>
            </xdr:txBody>
          </xdr:sp>
          <xdr:sp macro="" textlink="">
            <xdr:nvSpPr>
              <xdr:cNvPr id="1064" name="Option Button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5910172"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6年</a:t>
                </a:r>
              </a:p>
            </xdr:txBody>
          </xdr:sp>
          <xdr:sp macro="" textlink="">
            <xdr:nvSpPr>
              <xdr:cNvPr id="1065" name="Option Button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6506711" y="31010087"/>
                <a:ext cx="49502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7年</a:t>
                </a:r>
              </a:p>
            </xdr:txBody>
          </xdr:sp>
          <xdr:sp macro="" textlink="">
            <xdr:nvSpPr>
              <xdr:cNvPr id="1066" name="Option Button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7118044" y="31010087"/>
                <a:ext cx="49519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8年</a:t>
                </a:r>
              </a:p>
            </xdr:txBody>
          </xdr:sp>
          <xdr:sp macro="" textlink="">
            <xdr:nvSpPr>
              <xdr:cNvPr id="1067" name="Option Button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7719815"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9年</a:t>
                </a:r>
              </a:p>
            </xdr:txBody>
          </xdr:sp>
          <xdr:sp macro="" textlink="">
            <xdr:nvSpPr>
              <xdr:cNvPr id="1068" name="Option Button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8334517" y="31010087"/>
                <a:ext cx="493870"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10年</a:t>
                </a:r>
              </a:p>
            </xdr:txBody>
          </xdr:sp>
          <xdr:sp macro="" textlink="">
            <xdr:nvSpPr>
              <xdr:cNvPr id="1069" name="Option Button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8948304" y="31010087"/>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11年</a:t>
                </a:r>
              </a:p>
            </xdr:txBody>
          </xdr:sp>
          <xdr:sp macro="" textlink="">
            <xdr:nvSpPr>
              <xdr:cNvPr id="1070" name="Option Button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9552108" y="31010087"/>
                <a:ext cx="493775"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12年</a:t>
                </a:r>
              </a:p>
            </xdr:txBody>
          </xdr:sp>
          <xdr:sp macro="" textlink="">
            <xdr:nvSpPr>
              <xdr:cNvPr id="1071" name="Option Button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10151296" y="31010087"/>
                <a:ext cx="495426"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13年</a:t>
                </a:r>
              </a:p>
            </xdr:txBody>
          </xdr:sp>
          <xdr:sp macro="" textlink="">
            <xdr:nvSpPr>
              <xdr:cNvPr id="1072" name="Option Button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10753293" y="31010087"/>
                <a:ext cx="492890"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14年</a:t>
                </a:r>
              </a:p>
            </xdr:txBody>
          </xdr:sp>
          <xdr:sp macro="" textlink="">
            <xdr:nvSpPr>
              <xdr:cNvPr id="1073" name="Option Butto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11354144" y="31010087"/>
                <a:ext cx="60594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15年</a:t>
                </a:r>
              </a:p>
            </xdr:txBody>
          </xdr:sp>
          <xdr:sp macro="" textlink="">
            <xdr:nvSpPr>
              <xdr:cNvPr id="1074" name="Option Button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2861711" y="31267476"/>
                <a:ext cx="49606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16年</a:t>
                </a:r>
              </a:p>
            </xdr:txBody>
          </xdr:sp>
          <xdr:sp macro="" textlink="">
            <xdr:nvSpPr>
              <xdr:cNvPr id="1075" name="Option Button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3476638" y="31267476"/>
                <a:ext cx="49490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17年</a:t>
                </a:r>
              </a:p>
            </xdr:txBody>
          </xdr:sp>
          <xdr:sp macro="" textlink="">
            <xdr:nvSpPr>
              <xdr:cNvPr id="1076" name="Option Button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4076960" y="31267476"/>
                <a:ext cx="492475"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18年</a:t>
                </a:r>
              </a:p>
            </xdr:txBody>
          </xdr:sp>
          <xdr:sp macro="" textlink="">
            <xdr:nvSpPr>
              <xdr:cNvPr id="1077" name="Option Button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4676006" y="31267476"/>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19年</a:t>
                </a:r>
              </a:p>
            </xdr:txBody>
          </xdr:sp>
          <xdr:sp macro="" textlink="">
            <xdr:nvSpPr>
              <xdr:cNvPr id="1078" name="Option Button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5286850" y="31267476"/>
                <a:ext cx="496141"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20年</a:t>
                </a:r>
              </a:p>
            </xdr:txBody>
          </xdr:sp>
          <xdr:sp macro="" textlink="">
            <xdr:nvSpPr>
              <xdr:cNvPr id="1079" name="Option Button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5910172" y="31267476"/>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21年</a:t>
                </a:r>
              </a:p>
            </xdr:txBody>
          </xdr:sp>
          <xdr:sp macro="" textlink="">
            <xdr:nvSpPr>
              <xdr:cNvPr id="1080" name="Option Button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6506711" y="31267476"/>
                <a:ext cx="49502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22年</a:t>
                </a:r>
              </a:p>
            </xdr:txBody>
          </xdr:sp>
          <xdr:sp macro="" textlink="">
            <xdr:nvSpPr>
              <xdr:cNvPr id="1081" name="Option Button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7118044" y="31267476"/>
                <a:ext cx="495199"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23年</a:t>
                </a:r>
              </a:p>
            </xdr:txBody>
          </xdr:sp>
          <xdr:sp macro="" textlink="">
            <xdr:nvSpPr>
              <xdr:cNvPr id="1082" name="Option Button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7719815" y="31267476"/>
                <a:ext cx="495842"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24年</a:t>
                </a:r>
              </a:p>
            </xdr:txBody>
          </xdr:sp>
          <xdr:sp macro="" textlink="">
            <xdr:nvSpPr>
              <xdr:cNvPr id="1083" name="Option Button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8334517" y="31267476"/>
                <a:ext cx="493870"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25年</a:t>
                </a:r>
              </a:p>
            </xdr:txBody>
          </xdr:sp>
          <xdr:sp macro="" textlink="">
            <xdr:nvSpPr>
              <xdr:cNvPr id="1084" name="Option Button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1972917" y="31010087"/>
                <a:ext cx="852443" cy="2395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最大年限</a:t>
                </a:r>
              </a:p>
            </xdr:txBody>
          </xdr:sp>
        </xdr:grpSp>
        <xdr:clientData/>
      </xdr:twoCellAnchor>
    </mc:Choice>
    <mc:Fallback/>
  </mc:AlternateContent>
  <xdr:twoCellAnchor editAs="oneCell">
    <xdr:from>
      <xdr:col>0</xdr:col>
      <xdr:colOff>0</xdr:colOff>
      <xdr:row>151</xdr:row>
      <xdr:rowOff>0</xdr:rowOff>
    </xdr:from>
    <xdr:to>
      <xdr:col>13</xdr:col>
      <xdr:colOff>640</xdr:colOff>
      <xdr:row>171</xdr:row>
      <xdr:rowOff>11849</xdr:rowOff>
    </xdr:to>
    <xdr:graphicFrame macro="">
      <xdr:nvGraphicFramePr>
        <xdr:cNvPr id="44" name="圖表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mc:AlternateContent xmlns:mc="http://schemas.openxmlformats.org/markup-compatibility/2006">
    <mc:Choice xmlns:a14="http://schemas.microsoft.com/office/drawing/2010/main" Requires="a14">
      <xdr:twoCellAnchor>
        <xdr:from>
          <xdr:col>1</xdr:col>
          <xdr:colOff>171450</xdr:colOff>
          <xdr:row>15</xdr:row>
          <xdr:rowOff>38100</xdr:rowOff>
        </xdr:from>
        <xdr:to>
          <xdr:col>1</xdr:col>
          <xdr:colOff>695325</xdr:colOff>
          <xdr:row>35</xdr:row>
          <xdr:rowOff>185738</xdr:rowOff>
        </xdr:to>
        <xdr:grpSp>
          <xdr:nvGrpSpPr>
            <xdr:cNvPr id="3" name="群組 2">
              <a:extLst>
                <a:ext uri="{FF2B5EF4-FFF2-40B4-BE49-F238E27FC236}">
                  <a16:creationId xmlns:a16="http://schemas.microsoft.com/office/drawing/2014/main" id="{00000000-0008-0000-0000-000003000000}"/>
                </a:ext>
              </a:extLst>
            </xdr:cNvPr>
            <xdr:cNvGrpSpPr/>
          </xdr:nvGrpSpPr>
          <xdr:grpSpPr>
            <a:xfrm>
              <a:off x="1168774" y="3500718"/>
              <a:ext cx="523875" cy="4405873"/>
              <a:chOff x="1111527" y="3516798"/>
              <a:chExt cx="523875" cy="4206117"/>
            </a:xfrm>
          </xdr:grpSpPr>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0</xdr:rowOff>
        </xdr:from>
        <xdr:to>
          <xdr:col>13</xdr:col>
          <xdr:colOff>5043</xdr:colOff>
          <xdr:row>37</xdr:row>
          <xdr:rowOff>2802</xdr:rowOff>
        </xdr:to>
        <xdr:sp macro="" textlink="">
          <xdr:nvSpPr>
            <xdr:cNvPr id="1670" name="Group Box 646" hidden="1">
              <a:extLst>
                <a:ext uri="{63B3BB69-23CF-44E3-9099-C40C66FF867C}">
                  <a14:compatExt spid="_x0000_s1670"/>
                </a:ext>
                <a:ext uri="{FF2B5EF4-FFF2-40B4-BE49-F238E27FC236}">
                  <a16:creationId xmlns:a16="http://schemas.microsoft.com/office/drawing/2014/main" id="{00000000-0008-0000-0000-00008606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xdr:col>
          <xdr:colOff>52388</xdr:colOff>
          <xdr:row>15</xdr:row>
          <xdr:rowOff>123825</xdr:rowOff>
        </xdr:from>
        <xdr:to>
          <xdr:col>2</xdr:col>
          <xdr:colOff>695325</xdr:colOff>
          <xdr:row>29</xdr:row>
          <xdr:rowOff>187788</xdr:rowOff>
        </xdr:to>
        <xdr:grpSp>
          <xdr:nvGrpSpPr>
            <xdr:cNvPr id="2" name="群組 1">
              <a:extLst>
                <a:ext uri="{FF2B5EF4-FFF2-40B4-BE49-F238E27FC236}">
                  <a16:creationId xmlns:a16="http://schemas.microsoft.com/office/drawing/2014/main" id="{00000000-0008-0000-0000-000002000000}"/>
                </a:ext>
              </a:extLst>
            </xdr:cNvPr>
            <xdr:cNvGrpSpPr/>
          </xdr:nvGrpSpPr>
          <xdr:grpSpPr>
            <a:xfrm>
              <a:off x="1946182" y="3586443"/>
              <a:ext cx="642937" cy="3044727"/>
              <a:chOff x="1829008" y="3602522"/>
              <a:chExt cx="642937" cy="2904890"/>
            </a:xfrm>
          </xdr:grpSpPr>
          <xdr:sp macro="" textlink="">
            <xdr:nvSpPr>
              <xdr:cNvPr id="1281" name="Option Button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1829008" y="3602522"/>
                <a:ext cx="642937" cy="1743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台灣</a:t>
                </a:r>
              </a:p>
            </xdr:txBody>
          </xdr:sp>
          <xdr:sp macro="" textlink="">
            <xdr:nvSpPr>
              <xdr:cNvPr id="1287" name="Option Button 263" hidden="1">
                <a:extLst>
                  <a:ext uri="{63B3BB69-23CF-44E3-9099-C40C66FF867C}">
                    <a14:compatExt spid="_x0000_s1287"/>
                  </a:ext>
                  <a:ext uri="{FF2B5EF4-FFF2-40B4-BE49-F238E27FC236}">
                    <a16:creationId xmlns:a16="http://schemas.microsoft.com/office/drawing/2014/main" id="{00000000-0008-0000-0000-000007050000}"/>
                  </a:ext>
                </a:extLst>
              </xdr:cNvPr>
              <xdr:cNvSpPr/>
            </xdr:nvSpPr>
            <xdr:spPr bwMode="auto">
              <a:xfrm>
                <a:off x="1829008" y="4008368"/>
                <a:ext cx="642937" cy="164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大陸</a:t>
                </a:r>
              </a:p>
            </xdr:txBody>
          </xdr:sp>
          <xdr:sp macro="" textlink="">
            <xdr:nvSpPr>
              <xdr:cNvPr id="1288" name="Option Button 264" hidden="1">
                <a:extLst>
                  <a:ext uri="{63B3BB69-23CF-44E3-9099-C40C66FF867C}">
                    <a14:compatExt spid="_x0000_s1288"/>
                  </a:ext>
                  <a:ext uri="{FF2B5EF4-FFF2-40B4-BE49-F238E27FC236}">
                    <a16:creationId xmlns:a16="http://schemas.microsoft.com/office/drawing/2014/main" id="{00000000-0008-0000-0000-000008050000}"/>
                  </a:ext>
                </a:extLst>
              </xdr:cNvPr>
              <xdr:cNvSpPr/>
            </xdr:nvSpPr>
            <xdr:spPr bwMode="auto">
              <a:xfrm>
                <a:off x="1829008" y="4314204"/>
                <a:ext cx="642937" cy="1666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美國</a:t>
                </a:r>
              </a:p>
            </xdr:txBody>
          </xdr:sp>
          <xdr:sp macro="" textlink="">
            <xdr:nvSpPr>
              <xdr:cNvPr id="1289" name="Option Button 265" hidden="1">
                <a:extLst>
                  <a:ext uri="{63B3BB69-23CF-44E3-9099-C40C66FF867C}">
                    <a14:compatExt spid="_x0000_s1289"/>
                  </a:ext>
                  <a:ext uri="{FF2B5EF4-FFF2-40B4-BE49-F238E27FC236}">
                    <a16:creationId xmlns:a16="http://schemas.microsoft.com/office/drawing/2014/main" id="{00000000-0008-0000-0000-000009050000}"/>
                  </a:ext>
                </a:extLst>
              </xdr:cNvPr>
              <xdr:cNvSpPr/>
            </xdr:nvSpPr>
            <xdr:spPr bwMode="auto">
              <a:xfrm>
                <a:off x="1829008" y="5530414"/>
                <a:ext cx="642937" cy="1674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加拿大</a:t>
                </a:r>
              </a:p>
            </xdr:txBody>
          </xdr:sp>
          <xdr:sp macro="" textlink="">
            <xdr:nvSpPr>
              <xdr:cNvPr id="1291" name="Option Button 267" hidden="1">
                <a:extLst>
                  <a:ext uri="{63B3BB69-23CF-44E3-9099-C40C66FF867C}">
                    <a14:compatExt spid="_x0000_s1291"/>
                  </a:ext>
                  <a:ext uri="{FF2B5EF4-FFF2-40B4-BE49-F238E27FC236}">
                    <a16:creationId xmlns:a16="http://schemas.microsoft.com/office/drawing/2014/main" id="{00000000-0008-0000-0000-00000B050000}"/>
                  </a:ext>
                </a:extLst>
              </xdr:cNvPr>
              <xdr:cNvSpPr/>
            </xdr:nvSpPr>
            <xdr:spPr bwMode="auto">
              <a:xfrm>
                <a:off x="1829008" y="5730554"/>
                <a:ext cx="642937" cy="1715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新加坡</a:t>
                </a:r>
              </a:p>
            </xdr:txBody>
          </xdr:sp>
          <xdr:sp macro="" textlink="">
            <xdr:nvSpPr>
              <xdr:cNvPr id="1293" name="Option Button 269" hidden="1">
                <a:extLst>
                  <a:ext uri="{63B3BB69-23CF-44E3-9099-C40C66FF867C}">
                    <a14:compatExt spid="_x0000_s1293"/>
                  </a:ext>
                  <a:ext uri="{FF2B5EF4-FFF2-40B4-BE49-F238E27FC236}">
                    <a16:creationId xmlns:a16="http://schemas.microsoft.com/office/drawing/2014/main" id="{00000000-0008-0000-0000-00000D050000}"/>
                  </a:ext>
                </a:extLst>
              </xdr:cNvPr>
              <xdr:cNvSpPr/>
            </xdr:nvSpPr>
            <xdr:spPr bwMode="auto">
              <a:xfrm>
                <a:off x="1829008" y="6035773"/>
                <a:ext cx="642937" cy="1655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馬來西亞</a:t>
                </a:r>
              </a:p>
            </xdr:txBody>
          </xdr:sp>
          <xdr:sp macro="" textlink="">
            <xdr:nvSpPr>
              <xdr:cNvPr id="1671" name="Option Button 647" hidden="1">
                <a:extLst>
                  <a:ext uri="{63B3BB69-23CF-44E3-9099-C40C66FF867C}">
                    <a14:compatExt spid="_x0000_s1671"/>
                  </a:ext>
                  <a:ext uri="{FF2B5EF4-FFF2-40B4-BE49-F238E27FC236}">
                    <a16:creationId xmlns:a16="http://schemas.microsoft.com/office/drawing/2014/main" id="{00000000-0008-0000-0000-000087060000}"/>
                  </a:ext>
                </a:extLst>
              </xdr:cNvPr>
              <xdr:cNvSpPr/>
            </xdr:nvSpPr>
            <xdr:spPr bwMode="auto">
              <a:xfrm>
                <a:off x="1829008" y="6340725"/>
                <a:ext cx="642937" cy="16668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zh-TW" altLang="en-US" sz="900" b="0" i="0" u="none" strike="noStrike" baseline="0">
                    <a:solidFill>
                      <a:srgbClr val="000000"/>
                    </a:solidFill>
                    <a:latin typeface="Microsoft JhengHei UI"/>
                    <a:ea typeface="Microsoft JhengHei UI"/>
                  </a:rPr>
                  <a:t>  菲律賓</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171450</xdr:colOff>
          <xdr:row>59</xdr:row>
          <xdr:rowOff>38100</xdr:rowOff>
        </xdr:from>
        <xdr:to>
          <xdr:col>1</xdr:col>
          <xdr:colOff>695325</xdr:colOff>
          <xdr:row>79</xdr:row>
          <xdr:rowOff>185738</xdr:rowOff>
        </xdr:to>
        <xdr:grpSp>
          <xdr:nvGrpSpPr>
            <xdr:cNvPr id="185" name="群組 184">
              <a:extLst>
                <a:ext uri="{FF2B5EF4-FFF2-40B4-BE49-F238E27FC236}">
                  <a16:creationId xmlns:a16="http://schemas.microsoft.com/office/drawing/2014/main" id="{00000000-0008-0000-0000-0000B9000000}"/>
                </a:ext>
              </a:extLst>
            </xdr:cNvPr>
            <xdr:cNvGrpSpPr/>
          </xdr:nvGrpSpPr>
          <xdr:grpSpPr>
            <a:xfrm>
              <a:off x="1168774" y="13092953"/>
              <a:ext cx="523875" cy="4405873"/>
              <a:chOff x="1111527" y="3516798"/>
              <a:chExt cx="523875" cy="4206117"/>
            </a:xfrm>
          </xdr:grpSpPr>
          <xdr:sp macro="" textlink="">
            <xdr:nvSpPr>
              <xdr:cNvPr id="1672" name="Check Box 648" hidden="1">
                <a:extLst>
                  <a:ext uri="{63B3BB69-23CF-44E3-9099-C40C66FF867C}">
                    <a14:compatExt spid="_x0000_s1672"/>
                  </a:ext>
                  <a:ext uri="{FF2B5EF4-FFF2-40B4-BE49-F238E27FC236}">
                    <a16:creationId xmlns:a16="http://schemas.microsoft.com/office/drawing/2014/main" id="{00000000-0008-0000-0000-00008806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3" name="Check Box 649" hidden="1">
                <a:extLst>
                  <a:ext uri="{63B3BB69-23CF-44E3-9099-C40C66FF867C}">
                    <a14:compatExt spid="_x0000_s1673"/>
                  </a:ext>
                  <a:ext uri="{FF2B5EF4-FFF2-40B4-BE49-F238E27FC236}">
                    <a16:creationId xmlns:a16="http://schemas.microsoft.com/office/drawing/2014/main" id="{00000000-0008-0000-0000-00008906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74" name="Check Box 650" hidden="1">
                <a:extLst>
                  <a:ext uri="{63B3BB69-23CF-44E3-9099-C40C66FF867C}">
                    <a14:compatExt spid="_x0000_s1674"/>
                  </a:ext>
                  <a:ext uri="{FF2B5EF4-FFF2-40B4-BE49-F238E27FC236}">
                    <a16:creationId xmlns:a16="http://schemas.microsoft.com/office/drawing/2014/main" id="{00000000-0008-0000-0000-00008A06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5" name="Check Box 651" hidden="1">
                <a:extLst>
                  <a:ext uri="{63B3BB69-23CF-44E3-9099-C40C66FF867C}">
                    <a14:compatExt spid="_x0000_s1675"/>
                  </a:ext>
                  <a:ext uri="{FF2B5EF4-FFF2-40B4-BE49-F238E27FC236}">
                    <a16:creationId xmlns:a16="http://schemas.microsoft.com/office/drawing/2014/main" id="{00000000-0008-0000-0000-00008B06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76" name="Check Box 652" hidden="1">
                <a:extLst>
                  <a:ext uri="{63B3BB69-23CF-44E3-9099-C40C66FF867C}">
                    <a14:compatExt spid="_x0000_s1676"/>
                  </a:ext>
                  <a:ext uri="{FF2B5EF4-FFF2-40B4-BE49-F238E27FC236}">
                    <a16:creationId xmlns:a16="http://schemas.microsoft.com/office/drawing/2014/main" id="{00000000-0008-0000-0000-00008C06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7" name="Check Box 653" hidden="1">
                <a:extLst>
                  <a:ext uri="{63B3BB69-23CF-44E3-9099-C40C66FF867C}">
                    <a14:compatExt spid="_x0000_s1677"/>
                  </a:ext>
                  <a:ext uri="{FF2B5EF4-FFF2-40B4-BE49-F238E27FC236}">
                    <a16:creationId xmlns:a16="http://schemas.microsoft.com/office/drawing/2014/main" id="{00000000-0008-0000-0000-00008D06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8" name="Check Box 654" hidden="1">
                <a:extLst>
                  <a:ext uri="{63B3BB69-23CF-44E3-9099-C40C66FF867C}">
                    <a14:compatExt spid="_x0000_s1678"/>
                  </a:ext>
                  <a:ext uri="{FF2B5EF4-FFF2-40B4-BE49-F238E27FC236}">
                    <a16:creationId xmlns:a16="http://schemas.microsoft.com/office/drawing/2014/main" id="{00000000-0008-0000-0000-00008E06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79" name="Check Box 655" hidden="1">
                <a:extLst>
                  <a:ext uri="{63B3BB69-23CF-44E3-9099-C40C66FF867C}">
                    <a14:compatExt spid="_x0000_s1679"/>
                  </a:ext>
                  <a:ext uri="{FF2B5EF4-FFF2-40B4-BE49-F238E27FC236}">
                    <a16:creationId xmlns:a16="http://schemas.microsoft.com/office/drawing/2014/main" id="{00000000-0008-0000-0000-00008F06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0" name="Check Box 656" hidden="1">
                <a:extLst>
                  <a:ext uri="{63B3BB69-23CF-44E3-9099-C40C66FF867C}">
                    <a14:compatExt spid="_x0000_s1680"/>
                  </a:ext>
                  <a:ext uri="{FF2B5EF4-FFF2-40B4-BE49-F238E27FC236}">
                    <a16:creationId xmlns:a16="http://schemas.microsoft.com/office/drawing/2014/main" id="{00000000-0008-0000-0000-00009006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1" name="Check Box 657" hidden="1">
                <a:extLst>
                  <a:ext uri="{63B3BB69-23CF-44E3-9099-C40C66FF867C}">
                    <a14:compatExt spid="_x0000_s1681"/>
                  </a:ext>
                  <a:ext uri="{FF2B5EF4-FFF2-40B4-BE49-F238E27FC236}">
                    <a16:creationId xmlns:a16="http://schemas.microsoft.com/office/drawing/2014/main" id="{00000000-0008-0000-0000-00009106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2" name="Check Box 658" hidden="1">
                <a:extLst>
                  <a:ext uri="{63B3BB69-23CF-44E3-9099-C40C66FF867C}">
                    <a14:compatExt spid="_x0000_s1682"/>
                  </a:ext>
                  <a:ext uri="{FF2B5EF4-FFF2-40B4-BE49-F238E27FC236}">
                    <a16:creationId xmlns:a16="http://schemas.microsoft.com/office/drawing/2014/main" id="{00000000-0008-0000-0000-00009206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3" name="Check Box 659" hidden="1">
                <a:extLst>
                  <a:ext uri="{63B3BB69-23CF-44E3-9099-C40C66FF867C}">
                    <a14:compatExt spid="_x0000_s1683"/>
                  </a:ext>
                  <a:ext uri="{FF2B5EF4-FFF2-40B4-BE49-F238E27FC236}">
                    <a16:creationId xmlns:a16="http://schemas.microsoft.com/office/drawing/2014/main" id="{00000000-0008-0000-0000-00009306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4" name="Check Box 660" hidden="1">
                <a:extLst>
                  <a:ext uri="{63B3BB69-23CF-44E3-9099-C40C66FF867C}">
                    <a14:compatExt spid="_x0000_s1684"/>
                  </a:ext>
                  <a:ext uri="{FF2B5EF4-FFF2-40B4-BE49-F238E27FC236}">
                    <a16:creationId xmlns:a16="http://schemas.microsoft.com/office/drawing/2014/main" id="{00000000-0008-0000-0000-00009406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5" name="Check Box 661" hidden="1">
                <a:extLst>
                  <a:ext uri="{63B3BB69-23CF-44E3-9099-C40C66FF867C}">
                    <a14:compatExt spid="_x0000_s1685"/>
                  </a:ext>
                  <a:ext uri="{FF2B5EF4-FFF2-40B4-BE49-F238E27FC236}">
                    <a16:creationId xmlns:a16="http://schemas.microsoft.com/office/drawing/2014/main" id="{00000000-0008-0000-0000-00009506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6" name="Check Box 662" hidden="1">
                <a:extLst>
                  <a:ext uri="{63B3BB69-23CF-44E3-9099-C40C66FF867C}">
                    <a14:compatExt spid="_x0000_s1686"/>
                  </a:ext>
                  <a:ext uri="{FF2B5EF4-FFF2-40B4-BE49-F238E27FC236}">
                    <a16:creationId xmlns:a16="http://schemas.microsoft.com/office/drawing/2014/main" id="{00000000-0008-0000-0000-00009606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7" name="Check Box 663" hidden="1">
                <a:extLst>
                  <a:ext uri="{63B3BB69-23CF-44E3-9099-C40C66FF867C}">
                    <a14:compatExt spid="_x0000_s1687"/>
                  </a:ext>
                  <a:ext uri="{FF2B5EF4-FFF2-40B4-BE49-F238E27FC236}">
                    <a16:creationId xmlns:a16="http://schemas.microsoft.com/office/drawing/2014/main" id="{00000000-0008-0000-0000-00009706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88" name="Check Box 664" hidden="1">
                <a:extLst>
                  <a:ext uri="{63B3BB69-23CF-44E3-9099-C40C66FF867C}">
                    <a14:compatExt spid="_x0000_s1688"/>
                  </a:ext>
                  <a:ext uri="{FF2B5EF4-FFF2-40B4-BE49-F238E27FC236}">
                    <a16:creationId xmlns:a16="http://schemas.microsoft.com/office/drawing/2014/main" id="{00000000-0008-0000-0000-00009806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89" name="Check Box 665" hidden="1">
                <a:extLst>
                  <a:ext uri="{63B3BB69-23CF-44E3-9099-C40C66FF867C}">
                    <a14:compatExt spid="_x0000_s1689"/>
                  </a:ext>
                  <a:ext uri="{FF2B5EF4-FFF2-40B4-BE49-F238E27FC236}">
                    <a16:creationId xmlns:a16="http://schemas.microsoft.com/office/drawing/2014/main" id="{00000000-0008-0000-0000-00009906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90" name="Check Box 666" hidden="1">
                <a:extLst>
                  <a:ext uri="{63B3BB69-23CF-44E3-9099-C40C66FF867C}">
                    <a14:compatExt spid="_x0000_s1690"/>
                  </a:ext>
                  <a:ext uri="{FF2B5EF4-FFF2-40B4-BE49-F238E27FC236}">
                    <a16:creationId xmlns:a16="http://schemas.microsoft.com/office/drawing/2014/main" id="{00000000-0008-0000-0000-00009A06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1" name="Check Box 667" hidden="1">
                <a:extLst>
                  <a:ext uri="{63B3BB69-23CF-44E3-9099-C40C66FF867C}">
                    <a14:compatExt spid="_x0000_s1691"/>
                  </a:ext>
                  <a:ext uri="{FF2B5EF4-FFF2-40B4-BE49-F238E27FC236}">
                    <a16:creationId xmlns:a16="http://schemas.microsoft.com/office/drawing/2014/main" id="{00000000-0008-0000-0000-00009B06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2" name="Check Box 668" hidden="1">
                <a:extLst>
                  <a:ext uri="{63B3BB69-23CF-44E3-9099-C40C66FF867C}">
                    <a14:compatExt spid="_x0000_s1692"/>
                  </a:ext>
                  <a:ext uri="{FF2B5EF4-FFF2-40B4-BE49-F238E27FC236}">
                    <a16:creationId xmlns:a16="http://schemas.microsoft.com/office/drawing/2014/main" id="{00000000-0008-0000-0000-00009C06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171450</xdr:colOff>
          <xdr:row>89</xdr:row>
          <xdr:rowOff>38100</xdr:rowOff>
        </xdr:from>
        <xdr:to>
          <xdr:col>1</xdr:col>
          <xdr:colOff>695325</xdr:colOff>
          <xdr:row>109</xdr:row>
          <xdr:rowOff>185738</xdr:rowOff>
        </xdr:to>
        <xdr:grpSp>
          <xdr:nvGrpSpPr>
            <xdr:cNvPr id="207" name="群組 206">
              <a:extLst>
                <a:ext uri="{FF2B5EF4-FFF2-40B4-BE49-F238E27FC236}">
                  <a16:creationId xmlns:a16="http://schemas.microsoft.com/office/drawing/2014/main" id="{00000000-0008-0000-0000-0000CF000000}"/>
                </a:ext>
              </a:extLst>
            </xdr:cNvPr>
            <xdr:cNvGrpSpPr/>
          </xdr:nvGrpSpPr>
          <xdr:grpSpPr>
            <a:xfrm>
              <a:off x="1168774" y="19704424"/>
              <a:ext cx="523875" cy="4405873"/>
              <a:chOff x="1111527" y="3516798"/>
              <a:chExt cx="523875" cy="4206117"/>
            </a:xfrm>
          </xdr:grpSpPr>
          <xdr:sp macro="" textlink="">
            <xdr:nvSpPr>
              <xdr:cNvPr id="1693" name="Check Box 669" hidden="1">
                <a:extLst>
                  <a:ext uri="{63B3BB69-23CF-44E3-9099-C40C66FF867C}">
                    <a14:compatExt spid="_x0000_s1693"/>
                  </a:ext>
                  <a:ext uri="{FF2B5EF4-FFF2-40B4-BE49-F238E27FC236}">
                    <a16:creationId xmlns:a16="http://schemas.microsoft.com/office/drawing/2014/main" id="{00000000-0008-0000-0000-00009D06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4" name="Check Box 670" hidden="1">
                <a:extLst>
                  <a:ext uri="{63B3BB69-23CF-44E3-9099-C40C66FF867C}">
                    <a14:compatExt spid="_x0000_s1694"/>
                  </a:ext>
                  <a:ext uri="{FF2B5EF4-FFF2-40B4-BE49-F238E27FC236}">
                    <a16:creationId xmlns:a16="http://schemas.microsoft.com/office/drawing/2014/main" id="{00000000-0008-0000-0000-00009E06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95" name="Check Box 671" hidden="1">
                <a:extLst>
                  <a:ext uri="{63B3BB69-23CF-44E3-9099-C40C66FF867C}">
                    <a14:compatExt spid="_x0000_s1695"/>
                  </a:ext>
                  <a:ext uri="{FF2B5EF4-FFF2-40B4-BE49-F238E27FC236}">
                    <a16:creationId xmlns:a16="http://schemas.microsoft.com/office/drawing/2014/main" id="{00000000-0008-0000-0000-00009F06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6" name="Check Box 672" hidden="1">
                <a:extLst>
                  <a:ext uri="{63B3BB69-23CF-44E3-9099-C40C66FF867C}">
                    <a14:compatExt spid="_x0000_s1696"/>
                  </a:ext>
                  <a:ext uri="{FF2B5EF4-FFF2-40B4-BE49-F238E27FC236}">
                    <a16:creationId xmlns:a16="http://schemas.microsoft.com/office/drawing/2014/main" id="{00000000-0008-0000-0000-0000A006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697" name="Check Box 673" hidden="1">
                <a:extLst>
                  <a:ext uri="{63B3BB69-23CF-44E3-9099-C40C66FF867C}">
                    <a14:compatExt spid="_x0000_s1697"/>
                  </a:ext>
                  <a:ext uri="{FF2B5EF4-FFF2-40B4-BE49-F238E27FC236}">
                    <a16:creationId xmlns:a16="http://schemas.microsoft.com/office/drawing/2014/main" id="{00000000-0008-0000-0000-0000A106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8" name="Check Box 674" hidden="1">
                <a:extLst>
                  <a:ext uri="{63B3BB69-23CF-44E3-9099-C40C66FF867C}">
                    <a14:compatExt spid="_x0000_s1698"/>
                  </a:ext>
                  <a:ext uri="{FF2B5EF4-FFF2-40B4-BE49-F238E27FC236}">
                    <a16:creationId xmlns:a16="http://schemas.microsoft.com/office/drawing/2014/main" id="{00000000-0008-0000-0000-0000A206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699" name="Check Box 675" hidden="1">
                <a:extLst>
                  <a:ext uri="{63B3BB69-23CF-44E3-9099-C40C66FF867C}">
                    <a14:compatExt spid="_x0000_s1699"/>
                  </a:ext>
                  <a:ext uri="{FF2B5EF4-FFF2-40B4-BE49-F238E27FC236}">
                    <a16:creationId xmlns:a16="http://schemas.microsoft.com/office/drawing/2014/main" id="{00000000-0008-0000-0000-0000A306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0" name="Check Box 676" hidden="1">
                <a:extLst>
                  <a:ext uri="{63B3BB69-23CF-44E3-9099-C40C66FF867C}">
                    <a14:compatExt spid="_x0000_s1700"/>
                  </a:ext>
                  <a:ext uri="{FF2B5EF4-FFF2-40B4-BE49-F238E27FC236}">
                    <a16:creationId xmlns:a16="http://schemas.microsoft.com/office/drawing/2014/main" id="{00000000-0008-0000-0000-0000A406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1" name="Check Box 677" hidden="1">
                <a:extLst>
                  <a:ext uri="{63B3BB69-23CF-44E3-9099-C40C66FF867C}">
                    <a14:compatExt spid="_x0000_s1701"/>
                  </a:ext>
                  <a:ext uri="{FF2B5EF4-FFF2-40B4-BE49-F238E27FC236}">
                    <a16:creationId xmlns:a16="http://schemas.microsoft.com/office/drawing/2014/main" id="{00000000-0008-0000-0000-0000A506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2" name="Check Box 678" hidden="1">
                <a:extLst>
                  <a:ext uri="{63B3BB69-23CF-44E3-9099-C40C66FF867C}">
                    <a14:compatExt spid="_x0000_s1702"/>
                  </a:ext>
                  <a:ext uri="{FF2B5EF4-FFF2-40B4-BE49-F238E27FC236}">
                    <a16:creationId xmlns:a16="http://schemas.microsoft.com/office/drawing/2014/main" id="{00000000-0008-0000-0000-0000A606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3" name="Check Box 679" hidden="1">
                <a:extLst>
                  <a:ext uri="{63B3BB69-23CF-44E3-9099-C40C66FF867C}">
                    <a14:compatExt spid="_x0000_s1703"/>
                  </a:ext>
                  <a:ext uri="{FF2B5EF4-FFF2-40B4-BE49-F238E27FC236}">
                    <a16:creationId xmlns:a16="http://schemas.microsoft.com/office/drawing/2014/main" id="{00000000-0008-0000-0000-0000A706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4" name="Check Box 680" hidden="1">
                <a:extLst>
                  <a:ext uri="{63B3BB69-23CF-44E3-9099-C40C66FF867C}">
                    <a14:compatExt spid="_x0000_s1704"/>
                  </a:ext>
                  <a:ext uri="{FF2B5EF4-FFF2-40B4-BE49-F238E27FC236}">
                    <a16:creationId xmlns:a16="http://schemas.microsoft.com/office/drawing/2014/main" id="{00000000-0008-0000-0000-0000A806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5" name="Check Box 681" hidden="1">
                <a:extLst>
                  <a:ext uri="{63B3BB69-23CF-44E3-9099-C40C66FF867C}">
                    <a14:compatExt spid="_x0000_s1705"/>
                  </a:ext>
                  <a:ext uri="{FF2B5EF4-FFF2-40B4-BE49-F238E27FC236}">
                    <a16:creationId xmlns:a16="http://schemas.microsoft.com/office/drawing/2014/main" id="{00000000-0008-0000-0000-0000A906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6" name="Check Box 682" hidden="1">
                <a:extLst>
                  <a:ext uri="{63B3BB69-23CF-44E3-9099-C40C66FF867C}">
                    <a14:compatExt spid="_x0000_s1706"/>
                  </a:ext>
                  <a:ext uri="{FF2B5EF4-FFF2-40B4-BE49-F238E27FC236}">
                    <a16:creationId xmlns:a16="http://schemas.microsoft.com/office/drawing/2014/main" id="{00000000-0008-0000-0000-0000AA06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7" name="Check Box 683" hidden="1">
                <a:extLst>
                  <a:ext uri="{63B3BB69-23CF-44E3-9099-C40C66FF867C}">
                    <a14:compatExt spid="_x0000_s1707"/>
                  </a:ext>
                  <a:ext uri="{FF2B5EF4-FFF2-40B4-BE49-F238E27FC236}">
                    <a16:creationId xmlns:a16="http://schemas.microsoft.com/office/drawing/2014/main" id="{00000000-0008-0000-0000-0000AB06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08" name="Check Box 684" hidden="1">
                <a:extLst>
                  <a:ext uri="{63B3BB69-23CF-44E3-9099-C40C66FF867C}">
                    <a14:compatExt spid="_x0000_s1708"/>
                  </a:ext>
                  <a:ext uri="{FF2B5EF4-FFF2-40B4-BE49-F238E27FC236}">
                    <a16:creationId xmlns:a16="http://schemas.microsoft.com/office/drawing/2014/main" id="{00000000-0008-0000-0000-0000AC06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09" name="Check Box 685" hidden="1">
                <a:extLst>
                  <a:ext uri="{63B3BB69-23CF-44E3-9099-C40C66FF867C}">
                    <a14:compatExt spid="_x0000_s1709"/>
                  </a:ext>
                  <a:ext uri="{FF2B5EF4-FFF2-40B4-BE49-F238E27FC236}">
                    <a16:creationId xmlns:a16="http://schemas.microsoft.com/office/drawing/2014/main" id="{00000000-0008-0000-0000-0000AD06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0" name="Check Box 686" hidden="1">
                <a:extLst>
                  <a:ext uri="{63B3BB69-23CF-44E3-9099-C40C66FF867C}">
                    <a14:compatExt spid="_x0000_s1710"/>
                  </a:ext>
                  <a:ext uri="{FF2B5EF4-FFF2-40B4-BE49-F238E27FC236}">
                    <a16:creationId xmlns:a16="http://schemas.microsoft.com/office/drawing/2014/main" id="{00000000-0008-0000-0000-0000AE06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11" name="Check Box 687" hidden="1">
                <a:extLst>
                  <a:ext uri="{63B3BB69-23CF-44E3-9099-C40C66FF867C}">
                    <a14:compatExt spid="_x0000_s1711"/>
                  </a:ext>
                  <a:ext uri="{FF2B5EF4-FFF2-40B4-BE49-F238E27FC236}">
                    <a16:creationId xmlns:a16="http://schemas.microsoft.com/office/drawing/2014/main" id="{00000000-0008-0000-0000-0000AF06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2" name="Check Box 688" hidden="1">
                <a:extLst>
                  <a:ext uri="{63B3BB69-23CF-44E3-9099-C40C66FF867C}">
                    <a14:compatExt spid="_x0000_s1712"/>
                  </a:ext>
                  <a:ext uri="{FF2B5EF4-FFF2-40B4-BE49-F238E27FC236}">
                    <a16:creationId xmlns:a16="http://schemas.microsoft.com/office/drawing/2014/main" id="{00000000-0008-0000-0000-0000B006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3" name="Check Box 689" hidden="1">
                <a:extLst>
                  <a:ext uri="{63B3BB69-23CF-44E3-9099-C40C66FF867C}">
                    <a14:compatExt spid="_x0000_s1713"/>
                  </a:ext>
                  <a:ext uri="{FF2B5EF4-FFF2-40B4-BE49-F238E27FC236}">
                    <a16:creationId xmlns:a16="http://schemas.microsoft.com/office/drawing/2014/main" id="{00000000-0008-0000-0000-0000B106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171450</xdr:colOff>
          <xdr:row>120</xdr:row>
          <xdr:rowOff>38100</xdr:rowOff>
        </xdr:from>
        <xdr:to>
          <xdr:col>1</xdr:col>
          <xdr:colOff>695325</xdr:colOff>
          <xdr:row>140</xdr:row>
          <xdr:rowOff>185738</xdr:rowOff>
        </xdr:to>
        <xdr:grpSp>
          <xdr:nvGrpSpPr>
            <xdr:cNvPr id="229" name="群組 228">
              <a:extLst>
                <a:ext uri="{FF2B5EF4-FFF2-40B4-BE49-F238E27FC236}">
                  <a16:creationId xmlns:a16="http://schemas.microsoft.com/office/drawing/2014/main" id="{00000000-0008-0000-0000-0000E5000000}"/>
                </a:ext>
              </a:extLst>
            </xdr:cNvPr>
            <xdr:cNvGrpSpPr/>
          </xdr:nvGrpSpPr>
          <xdr:grpSpPr>
            <a:xfrm>
              <a:off x="1168774" y="26528806"/>
              <a:ext cx="523875" cy="4405873"/>
              <a:chOff x="1111527" y="3516798"/>
              <a:chExt cx="523875" cy="4206117"/>
            </a:xfrm>
          </xdr:grpSpPr>
          <xdr:sp macro="" textlink="">
            <xdr:nvSpPr>
              <xdr:cNvPr id="1714" name="Check Box 690" hidden="1">
                <a:extLst>
                  <a:ext uri="{63B3BB69-23CF-44E3-9099-C40C66FF867C}">
                    <a14:compatExt spid="_x0000_s1714"/>
                  </a:ext>
                  <a:ext uri="{FF2B5EF4-FFF2-40B4-BE49-F238E27FC236}">
                    <a16:creationId xmlns:a16="http://schemas.microsoft.com/office/drawing/2014/main" id="{00000000-0008-0000-0000-0000B2060000}"/>
                  </a:ext>
                </a:extLst>
              </xdr:cNvPr>
              <xdr:cNvSpPr/>
            </xdr:nvSpPr>
            <xdr:spPr bwMode="auto">
              <a:xfrm>
                <a:off x="1111527" y="351679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5" name="Check Box 691" hidden="1">
                <a:extLst>
                  <a:ext uri="{63B3BB69-23CF-44E3-9099-C40C66FF867C}">
                    <a14:compatExt spid="_x0000_s1715"/>
                  </a:ext>
                  <a:ext uri="{FF2B5EF4-FFF2-40B4-BE49-F238E27FC236}">
                    <a16:creationId xmlns:a16="http://schemas.microsoft.com/office/drawing/2014/main" id="{00000000-0008-0000-0000-0000B3060000}"/>
                  </a:ext>
                </a:extLst>
              </xdr:cNvPr>
              <xdr:cNvSpPr/>
            </xdr:nvSpPr>
            <xdr:spPr bwMode="auto">
              <a:xfrm>
                <a:off x="1111527" y="3719720"/>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16" name="Check Box 692" hidden="1">
                <a:extLst>
                  <a:ext uri="{63B3BB69-23CF-44E3-9099-C40C66FF867C}">
                    <a14:compatExt spid="_x0000_s1716"/>
                  </a:ext>
                  <a:ext uri="{FF2B5EF4-FFF2-40B4-BE49-F238E27FC236}">
                    <a16:creationId xmlns:a16="http://schemas.microsoft.com/office/drawing/2014/main" id="{00000000-0008-0000-0000-0000B4060000}"/>
                  </a:ext>
                </a:extLst>
              </xdr:cNvPr>
              <xdr:cNvSpPr/>
            </xdr:nvSpPr>
            <xdr:spPr bwMode="auto">
              <a:xfrm>
                <a:off x="1111527" y="3922643"/>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7" name="Check Box 693" hidden="1">
                <a:extLst>
                  <a:ext uri="{63B3BB69-23CF-44E3-9099-C40C66FF867C}">
                    <a14:compatExt spid="_x0000_s1717"/>
                  </a:ext>
                  <a:ext uri="{FF2B5EF4-FFF2-40B4-BE49-F238E27FC236}">
                    <a16:creationId xmlns:a16="http://schemas.microsoft.com/office/drawing/2014/main" id="{00000000-0008-0000-0000-0000B5060000}"/>
                  </a:ext>
                </a:extLst>
              </xdr:cNvPr>
              <xdr:cNvSpPr/>
            </xdr:nvSpPr>
            <xdr:spPr bwMode="auto">
              <a:xfrm>
                <a:off x="1111527" y="4125568"/>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18" name="Check Box 694" hidden="1">
                <a:extLst>
                  <a:ext uri="{63B3BB69-23CF-44E3-9099-C40C66FF867C}">
                    <a14:compatExt spid="_x0000_s1718"/>
                  </a:ext>
                  <a:ext uri="{FF2B5EF4-FFF2-40B4-BE49-F238E27FC236}">
                    <a16:creationId xmlns:a16="http://schemas.microsoft.com/office/drawing/2014/main" id="{00000000-0008-0000-0000-0000B6060000}"/>
                  </a:ext>
                </a:extLst>
              </xdr:cNvPr>
              <xdr:cNvSpPr/>
            </xdr:nvSpPr>
            <xdr:spPr bwMode="auto">
              <a:xfrm>
                <a:off x="1111527" y="4328491"/>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19" name="Check Box 695" hidden="1">
                <a:extLst>
                  <a:ext uri="{63B3BB69-23CF-44E3-9099-C40C66FF867C}">
                    <a14:compatExt spid="_x0000_s1719"/>
                  </a:ext>
                  <a:ext uri="{FF2B5EF4-FFF2-40B4-BE49-F238E27FC236}">
                    <a16:creationId xmlns:a16="http://schemas.microsoft.com/office/drawing/2014/main" id="{00000000-0008-0000-0000-0000B7060000}"/>
                  </a:ext>
                </a:extLst>
              </xdr:cNvPr>
              <xdr:cNvSpPr/>
            </xdr:nvSpPr>
            <xdr:spPr bwMode="auto">
              <a:xfrm>
                <a:off x="1111527" y="4531416"/>
                <a:ext cx="523875" cy="1381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0" name="Check Box 696" hidden="1">
                <a:extLst>
                  <a:ext uri="{63B3BB69-23CF-44E3-9099-C40C66FF867C}">
                    <a14:compatExt spid="_x0000_s1720"/>
                  </a:ext>
                  <a:ext uri="{FF2B5EF4-FFF2-40B4-BE49-F238E27FC236}">
                    <a16:creationId xmlns:a16="http://schemas.microsoft.com/office/drawing/2014/main" id="{00000000-0008-0000-0000-0000B8060000}"/>
                  </a:ext>
                </a:extLst>
              </xdr:cNvPr>
              <xdr:cNvSpPr/>
            </xdr:nvSpPr>
            <xdr:spPr bwMode="auto">
              <a:xfrm>
                <a:off x="1111527" y="473433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1" name="Check Box 697" hidden="1">
                <a:extLst>
                  <a:ext uri="{63B3BB69-23CF-44E3-9099-C40C66FF867C}">
                    <a14:compatExt spid="_x0000_s1721"/>
                  </a:ext>
                  <a:ext uri="{FF2B5EF4-FFF2-40B4-BE49-F238E27FC236}">
                    <a16:creationId xmlns:a16="http://schemas.microsoft.com/office/drawing/2014/main" id="{00000000-0008-0000-0000-0000B9060000}"/>
                  </a:ext>
                </a:extLst>
              </xdr:cNvPr>
              <xdr:cNvSpPr/>
            </xdr:nvSpPr>
            <xdr:spPr bwMode="auto">
              <a:xfrm>
                <a:off x="1111527" y="494202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2" name="Check Box 698" hidden="1">
                <a:extLst>
                  <a:ext uri="{63B3BB69-23CF-44E3-9099-C40C66FF867C}">
                    <a14:compatExt spid="_x0000_s1722"/>
                  </a:ext>
                  <a:ext uri="{FF2B5EF4-FFF2-40B4-BE49-F238E27FC236}">
                    <a16:creationId xmlns:a16="http://schemas.microsoft.com/office/drawing/2014/main" id="{00000000-0008-0000-0000-0000BA060000}"/>
                  </a:ext>
                </a:extLst>
              </xdr:cNvPr>
              <xdr:cNvSpPr/>
            </xdr:nvSpPr>
            <xdr:spPr bwMode="auto">
              <a:xfrm>
                <a:off x="1111527" y="514495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3" name="Check Box 699" hidden="1">
                <a:extLst>
                  <a:ext uri="{63B3BB69-23CF-44E3-9099-C40C66FF867C}">
                    <a14:compatExt spid="_x0000_s1723"/>
                  </a:ext>
                  <a:ext uri="{FF2B5EF4-FFF2-40B4-BE49-F238E27FC236}">
                    <a16:creationId xmlns:a16="http://schemas.microsoft.com/office/drawing/2014/main" id="{00000000-0008-0000-0000-0000BB060000}"/>
                  </a:ext>
                </a:extLst>
              </xdr:cNvPr>
              <xdr:cNvSpPr/>
            </xdr:nvSpPr>
            <xdr:spPr bwMode="auto">
              <a:xfrm>
                <a:off x="1111527" y="5347874"/>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4" name="Check Box 700" hidden="1">
                <a:extLst>
                  <a:ext uri="{63B3BB69-23CF-44E3-9099-C40C66FF867C}">
                    <a14:compatExt spid="_x0000_s1724"/>
                  </a:ext>
                  <a:ext uri="{FF2B5EF4-FFF2-40B4-BE49-F238E27FC236}">
                    <a16:creationId xmlns:a16="http://schemas.microsoft.com/office/drawing/2014/main" id="{00000000-0008-0000-0000-0000BC060000}"/>
                  </a:ext>
                </a:extLst>
              </xdr:cNvPr>
              <xdr:cNvSpPr/>
            </xdr:nvSpPr>
            <xdr:spPr bwMode="auto">
              <a:xfrm>
                <a:off x="1111527" y="697126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5" name="Check Box 701" hidden="1">
                <a:extLst>
                  <a:ext uri="{63B3BB69-23CF-44E3-9099-C40C66FF867C}">
                    <a14:compatExt spid="_x0000_s1725"/>
                  </a:ext>
                  <a:ext uri="{FF2B5EF4-FFF2-40B4-BE49-F238E27FC236}">
                    <a16:creationId xmlns:a16="http://schemas.microsoft.com/office/drawing/2014/main" id="{00000000-0008-0000-0000-0000BD060000}"/>
                  </a:ext>
                </a:extLst>
              </xdr:cNvPr>
              <xdr:cNvSpPr/>
            </xdr:nvSpPr>
            <xdr:spPr bwMode="auto">
              <a:xfrm>
                <a:off x="1111527" y="7174189"/>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6" name="Check Box 702" hidden="1">
                <a:extLst>
                  <a:ext uri="{63B3BB69-23CF-44E3-9099-C40C66FF867C}">
                    <a14:compatExt spid="_x0000_s1726"/>
                  </a:ext>
                  <a:ext uri="{FF2B5EF4-FFF2-40B4-BE49-F238E27FC236}">
                    <a16:creationId xmlns:a16="http://schemas.microsoft.com/office/drawing/2014/main" id="{00000000-0008-0000-0000-0000BE060000}"/>
                  </a:ext>
                </a:extLst>
              </xdr:cNvPr>
              <xdr:cNvSpPr/>
            </xdr:nvSpPr>
            <xdr:spPr bwMode="auto">
              <a:xfrm>
                <a:off x="1111527" y="737711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7" name="Check Box 703" hidden="1">
                <a:extLst>
                  <a:ext uri="{63B3BB69-23CF-44E3-9099-C40C66FF867C}">
                    <a14:compatExt spid="_x0000_s1727"/>
                  </a:ext>
                  <a:ext uri="{FF2B5EF4-FFF2-40B4-BE49-F238E27FC236}">
                    <a16:creationId xmlns:a16="http://schemas.microsoft.com/office/drawing/2014/main" id="{00000000-0008-0000-0000-0000BF060000}"/>
                  </a:ext>
                </a:extLst>
              </xdr:cNvPr>
              <xdr:cNvSpPr/>
            </xdr:nvSpPr>
            <xdr:spPr bwMode="auto">
              <a:xfrm>
                <a:off x="1111527" y="758004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28" name="Check Box 704" hidden="1">
                <a:extLst>
                  <a:ext uri="{63B3BB69-23CF-44E3-9099-C40C66FF867C}">
                    <a14:compatExt spid="_x0000_s1728"/>
                  </a:ext>
                  <a:ext uri="{FF2B5EF4-FFF2-40B4-BE49-F238E27FC236}">
                    <a16:creationId xmlns:a16="http://schemas.microsoft.com/office/drawing/2014/main" id="{00000000-0008-0000-0000-0000C0060000}"/>
                  </a:ext>
                </a:extLst>
              </xdr:cNvPr>
              <xdr:cNvSpPr/>
            </xdr:nvSpPr>
            <xdr:spPr bwMode="auto">
              <a:xfrm>
                <a:off x="1111527" y="5956646"/>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29" name="Check Box 705" hidden="1">
                <a:extLst>
                  <a:ext uri="{63B3BB69-23CF-44E3-9099-C40C66FF867C}">
                    <a14:compatExt spid="_x0000_s1729"/>
                  </a:ext>
                  <a:ext uri="{FF2B5EF4-FFF2-40B4-BE49-F238E27FC236}">
                    <a16:creationId xmlns:a16="http://schemas.microsoft.com/office/drawing/2014/main" id="{00000000-0008-0000-0000-0000C1060000}"/>
                  </a:ext>
                </a:extLst>
              </xdr:cNvPr>
              <xdr:cNvSpPr/>
            </xdr:nvSpPr>
            <xdr:spPr bwMode="auto">
              <a:xfrm>
                <a:off x="1111527" y="6159570"/>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30" name="Check Box 706" hidden="1">
                <a:extLst>
                  <a:ext uri="{63B3BB69-23CF-44E3-9099-C40C66FF867C}">
                    <a14:compatExt spid="_x0000_s1730"/>
                  </a:ext>
                  <a:ext uri="{FF2B5EF4-FFF2-40B4-BE49-F238E27FC236}">
                    <a16:creationId xmlns:a16="http://schemas.microsoft.com/office/drawing/2014/main" id="{00000000-0008-0000-0000-0000C2060000}"/>
                  </a:ext>
                </a:extLst>
              </xdr:cNvPr>
              <xdr:cNvSpPr/>
            </xdr:nvSpPr>
            <xdr:spPr bwMode="auto">
              <a:xfrm>
                <a:off x="1111527" y="656541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31" name="Check Box 707" hidden="1">
                <a:extLst>
                  <a:ext uri="{63B3BB69-23CF-44E3-9099-C40C66FF867C}">
                    <a14:compatExt spid="_x0000_s1731"/>
                  </a:ext>
                  <a:ext uri="{FF2B5EF4-FFF2-40B4-BE49-F238E27FC236}">
                    <a16:creationId xmlns:a16="http://schemas.microsoft.com/office/drawing/2014/main" id="{00000000-0008-0000-0000-0000C3060000}"/>
                  </a:ext>
                </a:extLst>
              </xdr:cNvPr>
              <xdr:cNvSpPr/>
            </xdr:nvSpPr>
            <xdr:spPr bwMode="auto">
              <a:xfrm>
                <a:off x="1111527" y="6768341"/>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新型</a:t>
                </a:r>
              </a:p>
            </xdr:txBody>
          </xdr:sp>
          <xdr:sp macro="" textlink="">
            <xdr:nvSpPr>
              <xdr:cNvPr id="1732" name="Check Box 708" hidden="1">
                <a:extLst>
                  <a:ext uri="{63B3BB69-23CF-44E3-9099-C40C66FF867C}">
                    <a14:compatExt spid="_x0000_s1732"/>
                  </a:ext>
                  <a:ext uri="{FF2B5EF4-FFF2-40B4-BE49-F238E27FC236}">
                    <a16:creationId xmlns:a16="http://schemas.microsoft.com/office/drawing/2014/main" id="{00000000-0008-0000-0000-0000C4060000}"/>
                  </a:ext>
                </a:extLst>
              </xdr:cNvPr>
              <xdr:cNvSpPr/>
            </xdr:nvSpPr>
            <xdr:spPr bwMode="auto">
              <a:xfrm>
                <a:off x="1111527" y="5753722"/>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33" name="Check Box 709" hidden="1">
                <a:extLst>
                  <a:ext uri="{63B3BB69-23CF-44E3-9099-C40C66FF867C}">
                    <a14:compatExt spid="_x0000_s1733"/>
                  </a:ext>
                  <a:ext uri="{FF2B5EF4-FFF2-40B4-BE49-F238E27FC236}">
                    <a16:creationId xmlns:a16="http://schemas.microsoft.com/office/drawing/2014/main" id="{00000000-0008-0000-0000-0000C5060000}"/>
                  </a:ext>
                </a:extLst>
              </xdr:cNvPr>
              <xdr:cNvSpPr/>
            </xdr:nvSpPr>
            <xdr:spPr bwMode="auto">
              <a:xfrm>
                <a:off x="1111527" y="6362493"/>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sp macro="" textlink="">
            <xdr:nvSpPr>
              <xdr:cNvPr id="1734" name="Check Box 710" hidden="1">
                <a:extLst>
                  <a:ext uri="{63B3BB69-23CF-44E3-9099-C40C66FF867C}">
                    <a14:compatExt spid="_x0000_s1734"/>
                  </a:ext>
                  <a:ext uri="{FF2B5EF4-FFF2-40B4-BE49-F238E27FC236}">
                    <a16:creationId xmlns:a16="http://schemas.microsoft.com/office/drawing/2014/main" id="{00000000-0008-0000-0000-0000C6060000}"/>
                  </a:ext>
                </a:extLst>
              </xdr:cNvPr>
              <xdr:cNvSpPr/>
            </xdr:nvSpPr>
            <xdr:spPr bwMode="auto">
              <a:xfrm>
                <a:off x="1111527" y="5550798"/>
                <a:ext cx="523875" cy="1428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zh-TW" altLang="en-US" sz="900" b="0" i="0" u="none" strike="noStrike" baseline="0">
                    <a:solidFill>
                      <a:srgbClr val="000000"/>
                    </a:solidFill>
                    <a:latin typeface="新細明體"/>
                    <a:ea typeface="新細明體"/>
                  </a:rPr>
                  <a:t>  發明</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57</xdr:col>
      <xdr:colOff>0</xdr:colOff>
      <xdr:row>86</xdr:row>
      <xdr:rowOff>0</xdr:rowOff>
    </xdr:from>
    <xdr:to>
      <xdr:col>68</xdr:col>
      <xdr:colOff>997425</xdr:colOff>
      <xdr:row>105</xdr:row>
      <xdr:rowOff>21974</xdr:rowOff>
    </xdr:to>
    <xdr:graphicFrame macro="">
      <xdr:nvGraphicFramePr>
        <xdr:cNvPr id="2" name="圖表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57</xdr:col>
      <xdr:colOff>0</xdr:colOff>
      <xdr:row>39</xdr:row>
      <xdr:rowOff>0</xdr:rowOff>
    </xdr:from>
    <xdr:to>
      <xdr:col>69</xdr:col>
      <xdr:colOff>389965</xdr:colOff>
      <xdr:row>56</xdr:row>
      <xdr:rowOff>159768</xdr:rowOff>
    </xdr:to>
    <xdr:graphicFrame macro="">
      <xdr:nvGraphicFramePr>
        <xdr:cNvPr id="3" name="圖表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57</xdr:col>
      <xdr:colOff>0</xdr:colOff>
      <xdr:row>63</xdr:row>
      <xdr:rowOff>0</xdr:rowOff>
    </xdr:from>
    <xdr:to>
      <xdr:col>69</xdr:col>
      <xdr:colOff>389965</xdr:colOff>
      <xdr:row>81</xdr:row>
      <xdr:rowOff>132877</xdr:rowOff>
    </xdr:to>
    <xdr:graphicFrame macro="">
      <xdr:nvGraphicFramePr>
        <xdr:cNvPr id="4" name="圖表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3.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84" Type="http://schemas.openxmlformats.org/officeDocument/2006/relationships/ctrlProp" Target="../ctrlProps/ctrlProp80.xml"/><Relationship Id="rId89" Type="http://schemas.openxmlformats.org/officeDocument/2006/relationships/ctrlProp" Target="../ctrlProps/ctrlProp85.xml"/><Relationship Id="rId112" Type="http://schemas.openxmlformats.org/officeDocument/2006/relationships/ctrlProp" Target="../ctrlProps/ctrlProp108.xml"/><Relationship Id="rId16" Type="http://schemas.openxmlformats.org/officeDocument/2006/relationships/ctrlProp" Target="../ctrlProps/ctrlProp12.xml"/><Relationship Id="rId107" Type="http://schemas.openxmlformats.org/officeDocument/2006/relationships/ctrlProp" Target="../ctrlProps/ctrlProp103.xml"/><Relationship Id="rId11" Type="http://schemas.openxmlformats.org/officeDocument/2006/relationships/ctrlProp" Target="../ctrlProps/ctrlProp7.xml"/><Relationship Id="rId32" Type="http://schemas.openxmlformats.org/officeDocument/2006/relationships/ctrlProp" Target="../ctrlProps/ctrlProp28.xml"/><Relationship Id="rId37" Type="http://schemas.openxmlformats.org/officeDocument/2006/relationships/ctrlProp" Target="../ctrlProps/ctrlProp33.xml"/><Relationship Id="rId53" Type="http://schemas.openxmlformats.org/officeDocument/2006/relationships/ctrlProp" Target="../ctrlProps/ctrlProp49.xml"/><Relationship Id="rId58" Type="http://schemas.openxmlformats.org/officeDocument/2006/relationships/ctrlProp" Target="../ctrlProps/ctrlProp54.xml"/><Relationship Id="rId74" Type="http://schemas.openxmlformats.org/officeDocument/2006/relationships/ctrlProp" Target="../ctrlProps/ctrlProp70.xml"/><Relationship Id="rId79" Type="http://schemas.openxmlformats.org/officeDocument/2006/relationships/ctrlProp" Target="../ctrlProps/ctrlProp75.xml"/><Relationship Id="rId102" Type="http://schemas.openxmlformats.org/officeDocument/2006/relationships/ctrlProp" Target="../ctrlProps/ctrlProp98.xml"/><Relationship Id="rId123" Type="http://schemas.openxmlformats.org/officeDocument/2006/relationships/ctrlProp" Target="../ctrlProps/ctrlProp119.xml"/><Relationship Id="rId128" Type="http://schemas.openxmlformats.org/officeDocument/2006/relationships/ctrlProp" Target="../ctrlProps/ctrlProp124.xml"/><Relationship Id="rId5" Type="http://schemas.openxmlformats.org/officeDocument/2006/relationships/ctrlProp" Target="../ctrlProps/ctrlProp1.xml"/><Relationship Id="rId90" Type="http://schemas.openxmlformats.org/officeDocument/2006/relationships/ctrlProp" Target="../ctrlProps/ctrlProp86.xml"/><Relationship Id="rId95" Type="http://schemas.openxmlformats.org/officeDocument/2006/relationships/ctrlProp" Target="../ctrlProps/ctrlProp91.xml"/><Relationship Id="rId22" Type="http://schemas.openxmlformats.org/officeDocument/2006/relationships/ctrlProp" Target="../ctrlProps/ctrlProp18.xml"/><Relationship Id="rId27" Type="http://schemas.openxmlformats.org/officeDocument/2006/relationships/ctrlProp" Target="../ctrlProps/ctrlProp23.xml"/><Relationship Id="rId43" Type="http://schemas.openxmlformats.org/officeDocument/2006/relationships/ctrlProp" Target="../ctrlProps/ctrlProp39.xml"/><Relationship Id="rId48" Type="http://schemas.openxmlformats.org/officeDocument/2006/relationships/ctrlProp" Target="../ctrlProps/ctrlProp44.xml"/><Relationship Id="rId64" Type="http://schemas.openxmlformats.org/officeDocument/2006/relationships/ctrlProp" Target="../ctrlProps/ctrlProp60.xml"/><Relationship Id="rId69" Type="http://schemas.openxmlformats.org/officeDocument/2006/relationships/ctrlProp" Target="../ctrlProps/ctrlProp65.xml"/><Relationship Id="rId113" Type="http://schemas.openxmlformats.org/officeDocument/2006/relationships/ctrlProp" Target="../ctrlProps/ctrlProp109.xml"/><Relationship Id="rId118" Type="http://schemas.openxmlformats.org/officeDocument/2006/relationships/ctrlProp" Target="../ctrlProps/ctrlProp114.xml"/><Relationship Id="rId80" Type="http://schemas.openxmlformats.org/officeDocument/2006/relationships/ctrlProp" Target="../ctrlProps/ctrlProp76.xml"/><Relationship Id="rId85" Type="http://schemas.openxmlformats.org/officeDocument/2006/relationships/ctrlProp" Target="../ctrlProps/ctrlProp81.xml"/><Relationship Id="rId12" Type="http://schemas.openxmlformats.org/officeDocument/2006/relationships/ctrlProp" Target="../ctrlProps/ctrlProp8.xml"/><Relationship Id="rId17" Type="http://schemas.openxmlformats.org/officeDocument/2006/relationships/ctrlProp" Target="../ctrlProps/ctrlProp13.xml"/><Relationship Id="rId33" Type="http://schemas.openxmlformats.org/officeDocument/2006/relationships/ctrlProp" Target="../ctrlProps/ctrlProp29.xml"/><Relationship Id="rId38" Type="http://schemas.openxmlformats.org/officeDocument/2006/relationships/ctrlProp" Target="../ctrlProps/ctrlProp34.xml"/><Relationship Id="rId59" Type="http://schemas.openxmlformats.org/officeDocument/2006/relationships/ctrlProp" Target="../ctrlProps/ctrlProp55.xml"/><Relationship Id="rId103" Type="http://schemas.openxmlformats.org/officeDocument/2006/relationships/ctrlProp" Target="../ctrlProps/ctrlProp99.xml"/><Relationship Id="rId108" Type="http://schemas.openxmlformats.org/officeDocument/2006/relationships/ctrlProp" Target="../ctrlProps/ctrlProp104.xml"/><Relationship Id="rId124" Type="http://schemas.openxmlformats.org/officeDocument/2006/relationships/ctrlProp" Target="../ctrlProps/ctrlProp120.xml"/><Relationship Id="rId129" Type="http://schemas.openxmlformats.org/officeDocument/2006/relationships/ctrlProp" Target="../ctrlProps/ctrlProp125.xml"/><Relationship Id="rId54" Type="http://schemas.openxmlformats.org/officeDocument/2006/relationships/ctrlProp" Target="../ctrlProps/ctrlProp50.xml"/><Relationship Id="rId70" Type="http://schemas.openxmlformats.org/officeDocument/2006/relationships/ctrlProp" Target="../ctrlProps/ctrlProp66.xml"/><Relationship Id="rId75" Type="http://schemas.openxmlformats.org/officeDocument/2006/relationships/ctrlProp" Target="../ctrlProps/ctrlProp71.xml"/><Relationship Id="rId91" Type="http://schemas.openxmlformats.org/officeDocument/2006/relationships/ctrlProp" Target="../ctrlProps/ctrlProp87.xml"/><Relationship Id="rId96" Type="http://schemas.openxmlformats.org/officeDocument/2006/relationships/ctrlProp" Target="../ctrlProps/ctrlProp92.xml"/><Relationship Id="rId1" Type="http://schemas.openxmlformats.org/officeDocument/2006/relationships/printerSettings" Target="../printerSettings/printerSettings1.bin"/><Relationship Id="rId6" Type="http://schemas.openxmlformats.org/officeDocument/2006/relationships/ctrlProp" Target="../ctrlProps/ctrlProp2.xml"/><Relationship Id="rId23" Type="http://schemas.openxmlformats.org/officeDocument/2006/relationships/ctrlProp" Target="../ctrlProps/ctrlProp19.xml"/><Relationship Id="rId28" Type="http://schemas.openxmlformats.org/officeDocument/2006/relationships/ctrlProp" Target="../ctrlProps/ctrlProp24.xml"/><Relationship Id="rId49" Type="http://schemas.openxmlformats.org/officeDocument/2006/relationships/ctrlProp" Target="../ctrlProps/ctrlProp45.xml"/><Relationship Id="rId114" Type="http://schemas.openxmlformats.org/officeDocument/2006/relationships/ctrlProp" Target="../ctrlProps/ctrlProp110.xml"/><Relationship Id="rId119" Type="http://schemas.openxmlformats.org/officeDocument/2006/relationships/ctrlProp" Target="../ctrlProps/ctrlProp115.xml"/><Relationship Id="rId44" Type="http://schemas.openxmlformats.org/officeDocument/2006/relationships/ctrlProp" Target="../ctrlProps/ctrlProp40.xml"/><Relationship Id="rId60" Type="http://schemas.openxmlformats.org/officeDocument/2006/relationships/ctrlProp" Target="../ctrlProps/ctrlProp56.xml"/><Relationship Id="rId65" Type="http://schemas.openxmlformats.org/officeDocument/2006/relationships/ctrlProp" Target="../ctrlProps/ctrlProp61.xml"/><Relationship Id="rId81" Type="http://schemas.openxmlformats.org/officeDocument/2006/relationships/ctrlProp" Target="../ctrlProps/ctrlProp77.xml"/><Relationship Id="rId86" Type="http://schemas.openxmlformats.org/officeDocument/2006/relationships/ctrlProp" Target="../ctrlProps/ctrlProp82.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109" Type="http://schemas.openxmlformats.org/officeDocument/2006/relationships/ctrlProp" Target="../ctrlProps/ctrlProp10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6" Type="http://schemas.openxmlformats.org/officeDocument/2006/relationships/ctrlProp" Target="../ctrlProps/ctrlProp72.xml"/><Relationship Id="rId97" Type="http://schemas.openxmlformats.org/officeDocument/2006/relationships/ctrlProp" Target="../ctrlProps/ctrlProp93.xml"/><Relationship Id="rId104" Type="http://schemas.openxmlformats.org/officeDocument/2006/relationships/ctrlProp" Target="../ctrlProps/ctrlProp100.xml"/><Relationship Id="rId120" Type="http://schemas.openxmlformats.org/officeDocument/2006/relationships/ctrlProp" Target="../ctrlProps/ctrlProp116.xml"/><Relationship Id="rId125" Type="http://schemas.openxmlformats.org/officeDocument/2006/relationships/ctrlProp" Target="../ctrlProps/ctrlProp121.xml"/><Relationship Id="rId7" Type="http://schemas.openxmlformats.org/officeDocument/2006/relationships/ctrlProp" Target="../ctrlProps/ctrlProp3.xml"/><Relationship Id="rId71" Type="http://schemas.openxmlformats.org/officeDocument/2006/relationships/ctrlProp" Target="../ctrlProps/ctrlProp67.xml"/><Relationship Id="rId92" Type="http://schemas.openxmlformats.org/officeDocument/2006/relationships/ctrlProp" Target="../ctrlProps/ctrlProp88.xml"/><Relationship Id="rId2" Type="http://schemas.openxmlformats.org/officeDocument/2006/relationships/drawing" Target="../drawings/drawing1.xml"/><Relationship Id="rId29" Type="http://schemas.openxmlformats.org/officeDocument/2006/relationships/ctrlProp" Target="../ctrlProps/ctrlProp25.xml"/><Relationship Id="rId24" Type="http://schemas.openxmlformats.org/officeDocument/2006/relationships/ctrlProp" Target="../ctrlProps/ctrlProp20.xml"/><Relationship Id="rId40" Type="http://schemas.openxmlformats.org/officeDocument/2006/relationships/ctrlProp" Target="../ctrlProps/ctrlProp36.xml"/><Relationship Id="rId45" Type="http://schemas.openxmlformats.org/officeDocument/2006/relationships/ctrlProp" Target="../ctrlProps/ctrlProp41.xml"/><Relationship Id="rId66" Type="http://schemas.openxmlformats.org/officeDocument/2006/relationships/ctrlProp" Target="../ctrlProps/ctrlProp62.xml"/><Relationship Id="rId87" Type="http://schemas.openxmlformats.org/officeDocument/2006/relationships/ctrlProp" Target="../ctrlProps/ctrlProp83.xml"/><Relationship Id="rId110" Type="http://schemas.openxmlformats.org/officeDocument/2006/relationships/ctrlProp" Target="../ctrlProps/ctrlProp106.xml"/><Relationship Id="rId115" Type="http://schemas.openxmlformats.org/officeDocument/2006/relationships/ctrlProp" Target="../ctrlProps/ctrlProp111.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14" Type="http://schemas.openxmlformats.org/officeDocument/2006/relationships/ctrlProp" Target="../ctrlProps/ctrlProp10.xml"/><Relationship Id="rId30" Type="http://schemas.openxmlformats.org/officeDocument/2006/relationships/ctrlProp" Target="../ctrlProps/ctrlProp26.xml"/><Relationship Id="rId35" Type="http://schemas.openxmlformats.org/officeDocument/2006/relationships/ctrlProp" Target="../ctrlProps/ctrlProp31.xml"/><Relationship Id="rId56" Type="http://schemas.openxmlformats.org/officeDocument/2006/relationships/ctrlProp" Target="../ctrlProps/ctrlProp52.xml"/><Relationship Id="rId77" Type="http://schemas.openxmlformats.org/officeDocument/2006/relationships/ctrlProp" Target="../ctrlProps/ctrlProp73.xml"/><Relationship Id="rId100" Type="http://schemas.openxmlformats.org/officeDocument/2006/relationships/ctrlProp" Target="../ctrlProps/ctrlProp96.xml"/><Relationship Id="rId105" Type="http://schemas.openxmlformats.org/officeDocument/2006/relationships/ctrlProp" Target="../ctrlProps/ctrlProp101.xml"/><Relationship Id="rId126" Type="http://schemas.openxmlformats.org/officeDocument/2006/relationships/ctrlProp" Target="../ctrlProps/ctrlProp122.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93" Type="http://schemas.openxmlformats.org/officeDocument/2006/relationships/ctrlProp" Target="../ctrlProps/ctrlProp89.xml"/><Relationship Id="rId98" Type="http://schemas.openxmlformats.org/officeDocument/2006/relationships/ctrlProp" Target="../ctrlProps/ctrlProp94.xml"/><Relationship Id="rId121" Type="http://schemas.openxmlformats.org/officeDocument/2006/relationships/ctrlProp" Target="../ctrlProps/ctrlProp117.xml"/><Relationship Id="rId3" Type="http://schemas.openxmlformats.org/officeDocument/2006/relationships/vmlDrawing" Target="../drawings/vmlDrawing1.vml"/><Relationship Id="rId25" Type="http://schemas.openxmlformats.org/officeDocument/2006/relationships/ctrlProp" Target="../ctrlProps/ctrlProp21.xml"/><Relationship Id="rId46" Type="http://schemas.openxmlformats.org/officeDocument/2006/relationships/ctrlProp" Target="../ctrlProps/ctrlProp42.xml"/><Relationship Id="rId67" Type="http://schemas.openxmlformats.org/officeDocument/2006/relationships/ctrlProp" Target="../ctrlProps/ctrlProp63.xml"/><Relationship Id="rId116" Type="http://schemas.openxmlformats.org/officeDocument/2006/relationships/ctrlProp" Target="../ctrlProps/ctrlProp112.xml"/><Relationship Id="rId20" Type="http://schemas.openxmlformats.org/officeDocument/2006/relationships/ctrlProp" Target="../ctrlProps/ctrlProp16.xml"/><Relationship Id="rId41" Type="http://schemas.openxmlformats.org/officeDocument/2006/relationships/ctrlProp" Target="../ctrlProps/ctrlProp37.xml"/><Relationship Id="rId62" Type="http://schemas.openxmlformats.org/officeDocument/2006/relationships/ctrlProp" Target="../ctrlProps/ctrlProp58.xml"/><Relationship Id="rId83" Type="http://schemas.openxmlformats.org/officeDocument/2006/relationships/ctrlProp" Target="../ctrlProps/ctrlProp79.xml"/><Relationship Id="rId88" Type="http://schemas.openxmlformats.org/officeDocument/2006/relationships/ctrlProp" Target="../ctrlProps/ctrlProp84.xml"/><Relationship Id="rId111" Type="http://schemas.openxmlformats.org/officeDocument/2006/relationships/ctrlProp" Target="../ctrlProps/ctrlProp107.xml"/><Relationship Id="rId15" Type="http://schemas.openxmlformats.org/officeDocument/2006/relationships/ctrlProp" Target="../ctrlProps/ctrlProp11.xml"/><Relationship Id="rId36" Type="http://schemas.openxmlformats.org/officeDocument/2006/relationships/ctrlProp" Target="../ctrlProps/ctrlProp32.xml"/><Relationship Id="rId57" Type="http://schemas.openxmlformats.org/officeDocument/2006/relationships/ctrlProp" Target="../ctrlProps/ctrlProp53.xml"/><Relationship Id="rId106" Type="http://schemas.openxmlformats.org/officeDocument/2006/relationships/ctrlProp" Target="../ctrlProps/ctrlProp102.xml"/><Relationship Id="rId127" Type="http://schemas.openxmlformats.org/officeDocument/2006/relationships/ctrlProp" Target="../ctrlProps/ctrlProp123.xml"/><Relationship Id="rId10" Type="http://schemas.openxmlformats.org/officeDocument/2006/relationships/ctrlProp" Target="../ctrlProps/ctrlProp6.xml"/><Relationship Id="rId31" Type="http://schemas.openxmlformats.org/officeDocument/2006/relationships/ctrlProp" Target="../ctrlProps/ctrlProp27.xml"/><Relationship Id="rId52" Type="http://schemas.openxmlformats.org/officeDocument/2006/relationships/ctrlProp" Target="../ctrlProps/ctrlProp48.xml"/><Relationship Id="rId73" Type="http://schemas.openxmlformats.org/officeDocument/2006/relationships/ctrlProp" Target="../ctrlProps/ctrlProp69.xml"/><Relationship Id="rId78" Type="http://schemas.openxmlformats.org/officeDocument/2006/relationships/ctrlProp" Target="../ctrlProps/ctrlProp74.xml"/><Relationship Id="rId94" Type="http://schemas.openxmlformats.org/officeDocument/2006/relationships/ctrlProp" Target="../ctrlProps/ctrlProp90.xml"/><Relationship Id="rId99" Type="http://schemas.openxmlformats.org/officeDocument/2006/relationships/ctrlProp" Target="../ctrlProps/ctrlProp95.xml"/><Relationship Id="rId101" Type="http://schemas.openxmlformats.org/officeDocument/2006/relationships/ctrlProp" Target="../ctrlProps/ctrlProp97.xml"/><Relationship Id="rId122" Type="http://schemas.openxmlformats.org/officeDocument/2006/relationships/ctrlProp" Target="../ctrlProps/ctrlProp118.xml"/><Relationship Id="rId4" Type="http://schemas.openxmlformats.org/officeDocument/2006/relationships/vmlDrawing" Target="../drawings/vmlDrawing2.vml"/><Relationship Id="rId9" Type="http://schemas.openxmlformats.org/officeDocument/2006/relationships/ctrlProp" Target="../ctrlProps/ctrlProp5.xml"/><Relationship Id="rId26" Type="http://schemas.openxmlformats.org/officeDocument/2006/relationships/ctrlProp" Target="../ctrlProps/ctrlProp2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DJ401"/>
  <sheetViews>
    <sheetView tabSelected="1" view="pageBreakPreview" zoomScale="85" zoomScaleNormal="100" zoomScaleSheetLayoutView="85" workbookViewId="0"/>
  </sheetViews>
  <sheetFormatPr defaultColWidth="9" defaultRowHeight="15.75" x14ac:dyDescent="0.25"/>
  <cols>
    <col min="1" max="1" width="13.125" style="40" customWidth="1"/>
    <col min="2" max="2" width="11.75" style="40" customWidth="1"/>
    <col min="3" max="3" width="11.625" style="40" customWidth="1"/>
    <col min="4" max="4" width="5.875" style="40" customWidth="1"/>
    <col min="5" max="6" width="13.625" style="40" customWidth="1"/>
    <col min="7" max="7" width="5.875" style="40" customWidth="1"/>
    <col min="8" max="11" width="13.625" style="40" customWidth="1"/>
    <col min="12" max="12" width="17.125" style="40" customWidth="1"/>
    <col min="13" max="13" width="12.125" style="40" customWidth="1"/>
    <col min="14" max="14" width="9.5" style="36" bestFit="1" customWidth="1"/>
    <col min="15" max="15" width="11.5" style="36" customWidth="1"/>
    <col min="16" max="16" width="12.25" style="36" customWidth="1"/>
    <col min="17" max="17" width="12.375" style="36" customWidth="1"/>
    <col min="18" max="19" width="9" style="36"/>
    <col min="20" max="31" width="9.75" style="36" bestFit="1" customWidth="1"/>
    <col min="32" max="38" width="10.875" style="36" bestFit="1" customWidth="1"/>
    <col min="39" max="43" width="9" style="36"/>
    <col min="44" max="44" width="11.75" style="36" bestFit="1" customWidth="1"/>
    <col min="45" max="16384" width="9" style="36"/>
  </cols>
  <sheetData>
    <row r="1" spans="1:114" s="35" customFormat="1" ht="15.95" customHeight="1" x14ac:dyDescent="0.25">
      <c r="A1" s="37"/>
      <c r="B1" s="37"/>
      <c r="C1" s="37"/>
      <c r="D1" s="37"/>
      <c r="E1" s="37"/>
      <c r="F1" s="37"/>
      <c r="G1" s="37"/>
      <c r="H1" s="37"/>
      <c r="I1" s="37"/>
      <c r="J1" s="37"/>
      <c r="K1" s="37"/>
      <c r="L1" s="37"/>
      <c r="M1" s="37"/>
    </row>
    <row r="2" spans="1:114" ht="15.95" customHeight="1" x14ac:dyDescent="0.25">
      <c r="A2" s="45" t="s">
        <v>184</v>
      </c>
      <c r="B2" s="45"/>
      <c r="C2" s="45"/>
      <c r="D2" s="45"/>
      <c r="E2" s="45"/>
      <c r="F2" s="45"/>
      <c r="G2" s="45"/>
      <c r="H2" s="45"/>
      <c r="I2" s="45"/>
      <c r="J2" s="45"/>
      <c r="K2" s="45"/>
      <c r="L2" s="45"/>
      <c r="M2" s="37"/>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row>
    <row r="3" spans="1:114" ht="15.95" customHeight="1" x14ac:dyDescent="0.25">
      <c r="A3" s="45"/>
      <c r="B3" s="45"/>
      <c r="C3" s="45"/>
      <c r="D3" s="45"/>
      <c r="E3" s="45"/>
      <c r="F3" s="45"/>
      <c r="G3" s="45"/>
      <c r="H3" s="45"/>
      <c r="I3" s="45"/>
      <c r="J3" s="45"/>
      <c r="K3" s="45"/>
      <c r="L3" s="45"/>
      <c r="M3" s="37"/>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row>
    <row r="4" spans="1:114" ht="18" customHeight="1" x14ac:dyDescent="0.25">
      <c r="A4" s="183" t="s">
        <v>150</v>
      </c>
      <c r="B4" s="183"/>
      <c r="C4" s="45"/>
      <c r="D4" s="45"/>
      <c r="E4" s="120" t="s">
        <v>221</v>
      </c>
      <c r="F4" s="121" t="s">
        <v>151</v>
      </c>
      <c r="G4" s="45"/>
      <c r="H4" s="45"/>
      <c r="I4" s="45"/>
      <c r="J4" s="183" t="s">
        <v>152</v>
      </c>
      <c r="K4" s="183"/>
      <c r="L4" s="189"/>
      <c r="M4" s="189"/>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row>
    <row r="5" spans="1:114" ht="18" customHeight="1" x14ac:dyDescent="0.25">
      <c r="A5" s="122" t="s">
        <v>185</v>
      </c>
      <c r="B5" s="127">
        <v>7500</v>
      </c>
      <c r="C5" s="107"/>
      <c r="D5" s="45"/>
      <c r="E5" s="123" t="s">
        <v>294</v>
      </c>
      <c r="F5" s="123" t="s">
        <v>153</v>
      </c>
      <c r="G5" s="45"/>
      <c r="H5" s="45"/>
      <c r="I5" s="45"/>
      <c r="J5" s="124" t="s">
        <v>154</v>
      </c>
      <c r="K5" s="43">
        <v>32</v>
      </c>
      <c r="L5" s="124" t="s">
        <v>155</v>
      </c>
      <c r="M5" s="43">
        <v>4.5999999999999996</v>
      </c>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row>
    <row r="6" spans="1:114" ht="18" customHeight="1" x14ac:dyDescent="0.25">
      <c r="A6" s="122" t="s">
        <v>186</v>
      </c>
      <c r="B6" s="127">
        <v>5000</v>
      </c>
      <c r="C6" s="107"/>
      <c r="D6" s="45"/>
      <c r="E6" s="54"/>
      <c r="F6" s="54"/>
      <c r="G6" s="45"/>
      <c r="H6" s="45"/>
      <c r="I6" s="45"/>
      <c r="J6" s="124" t="s">
        <v>156</v>
      </c>
      <c r="K6" s="43">
        <v>37.5</v>
      </c>
      <c r="L6" s="124" t="s">
        <v>157</v>
      </c>
      <c r="M6" s="43">
        <v>25</v>
      </c>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row>
    <row r="7" spans="1:114" ht="18" customHeight="1" x14ac:dyDescent="0.25">
      <c r="A7" s="122" t="s">
        <v>187</v>
      </c>
      <c r="B7" s="127">
        <v>10</v>
      </c>
      <c r="C7" s="107"/>
      <c r="D7" s="45"/>
      <c r="E7" s="54"/>
      <c r="F7" s="54"/>
      <c r="G7" s="45"/>
      <c r="H7" s="45"/>
      <c r="I7" s="45"/>
      <c r="J7" s="124" t="s">
        <v>158</v>
      </c>
      <c r="K7" s="43">
        <v>0.21</v>
      </c>
      <c r="L7" s="124" t="s">
        <v>159</v>
      </c>
      <c r="M7" s="43">
        <v>1.4E-3</v>
      </c>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row>
    <row r="8" spans="1:114" ht="18" customHeight="1" x14ac:dyDescent="0.25">
      <c r="A8" s="122" t="s">
        <v>188</v>
      </c>
      <c r="B8" s="127">
        <v>3</v>
      </c>
      <c r="C8" s="107"/>
      <c r="D8" s="45"/>
      <c r="E8" s="54"/>
      <c r="F8" s="54"/>
      <c r="G8" s="45"/>
      <c r="H8" s="45"/>
      <c r="I8" s="45"/>
      <c r="J8" s="124" t="s">
        <v>160</v>
      </c>
      <c r="K8" s="43">
        <v>2.5000000000000001E-2</v>
      </c>
      <c r="L8" s="124" t="s">
        <v>161</v>
      </c>
      <c r="M8" s="43">
        <v>8.3000000000000007</v>
      </c>
      <c r="N8" s="35"/>
      <c r="O8" s="35"/>
      <c r="P8" s="35"/>
      <c r="Q8" s="35"/>
      <c r="R8" s="35"/>
      <c r="S8" s="35"/>
      <c r="T8" s="35"/>
      <c r="U8" s="35"/>
      <c r="V8" s="35"/>
      <c r="W8" s="35"/>
      <c r="X8" s="35"/>
      <c r="Y8" s="35"/>
      <c r="Z8" s="35"/>
      <c r="AA8" s="35"/>
      <c r="AB8" s="35"/>
      <c r="AC8" s="35"/>
      <c r="AD8" s="35"/>
      <c r="AE8" s="35"/>
      <c r="AF8" s="35"/>
      <c r="AG8" s="35"/>
      <c r="AH8" s="35"/>
      <c r="AI8" s="35"/>
      <c r="AJ8" s="35"/>
      <c r="AK8" s="35"/>
      <c r="AL8" s="35"/>
      <c r="AM8" s="35"/>
      <c r="AN8" s="35"/>
      <c r="AO8" s="35"/>
      <c r="AP8" s="35"/>
      <c r="AQ8" s="35"/>
      <c r="AR8" s="35"/>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row>
    <row r="9" spans="1:114" ht="18" customHeight="1" x14ac:dyDescent="0.25">
      <c r="A9" s="122" t="s">
        <v>189</v>
      </c>
      <c r="B9" s="127">
        <v>10</v>
      </c>
      <c r="C9" s="107"/>
      <c r="D9" s="45"/>
      <c r="E9" s="54"/>
      <c r="F9" s="119"/>
      <c r="G9" s="45"/>
      <c r="H9" s="45"/>
      <c r="I9" s="45"/>
      <c r="J9" s="124" t="s">
        <v>163</v>
      </c>
      <c r="K9" s="43">
        <v>1.1000000000000001</v>
      </c>
      <c r="L9" s="124" t="s">
        <v>164</v>
      </c>
      <c r="M9" s="43">
        <v>23.5</v>
      </c>
      <c r="N9" s="35"/>
      <c r="O9" s="35"/>
      <c r="P9" s="35"/>
      <c r="Q9" s="35"/>
      <c r="R9" s="35"/>
      <c r="S9" s="35"/>
      <c r="T9" s="35"/>
      <c r="U9" s="35"/>
      <c r="V9" s="35"/>
      <c r="W9" s="35"/>
      <c r="X9" s="35"/>
      <c r="Y9" s="35"/>
      <c r="Z9" s="35"/>
      <c r="AA9" s="35"/>
      <c r="AB9" s="35"/>
      <c r="AC9" s="35"/>
      <c r="AD9" s="35"/>
      <c r="AE9" s="35"/>
      <c r="AF9" s="35"/>
      <c r="AG9" s="35"/>
      <c r="AH9" s="35"/>
      <c r="AI9" s="35"/>
      <c r="AJ9" s="35"/>
      <c r="AK9" s="35"/>
      <c r="AL9" s="35"/>
      <c r="AM9" s="35"/>
      <c r="AN9" s="35"/>
      <c r="AO9" s="35"/>
      <c r="AP9" s="35"/>
      <c r="AQ9" s="35"/>
      <c r="AR9" s="35"/>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row>
    <row r="10" spans="1:114" ht="18" customHeight="1" x14ac:dyDescent="0.25">
      <c r="A10" s="122" t="s">
        <v>162</v>
      </c>
      <c r="B10" s="72" t="s">
        <v>340</v>
      </c>
      <c r="C10" s="107"/>
      <c r="D10" s="45"/>
      <c r="E10" s="45"/>
      <c r="F10" s="45"/>
      <c r="G10" s="45"/>
      <c r="H10" s="45"/>
      <c r="I10" s="45"/>
      <c r="J10" s="45"/>
      <c r="K10" s="45"/>
      <c r="L10" s="45"/>
      <c r="M10" s="37"/>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row>
    <row r="11" spans="1:114" ht="18" customHeight="1" x14ac:dyDescent="0.25">
      <c r="A11" s="122" t="s">
        <v>165</v>
      </c>
      <c r="B11" s="72" t="s">
        <v>192</v>
      </c>
      <c r="C11" s="107"/>
      <c r="D11" s="45"/>
      <c r="E11" s="45"/>
      <c r="F11" s="45"/>
      <c r="G11" s="45"/>
      <c r="H11" s="45"/>
      <c r="I11" s="45"/>
      <c r="J11" s="45"/>
      <c r="K11" s="45"/>
      <c r="L11" s="45"/>
      <c r="M11" s="37"/>
      <c r="N11" s="35"/>
      <c r="O11" s="35"/>
      <c r="P11" s="35"/>
      <c r="Q11" s="35"/>
      <c r="R11" s="35"/>
      <c r="S11" s="35"/>
      <c r="T11" s="35"/>
      <c r="U11" s="35"/>
      <c r="V11" s="35"/>
      <c r="W11" s="35"/>
      <c r="X11" s="35"/>
      <c r="Y11" s="35"/>
      <c r="Z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row>
    <row r="12" spans="1:114" ht="18" customHeight="1" x14ac:dyDescent="0.25">
      <c r="A12" s="37"/>
      <c r="B12" s="37"/>
      <c r="C12" s="37"/>
      <c r="D12" s="37"/>
      <c r="E12" s="37"/>
      <c r="F12" s="37"/>
      <c r="G12" s="37"/>
      <c r="H12" s="37"/>
      <c r="I12" s="37"/>
      <c r="J12" s="37"/>
      <c r="K12" s="37"/>
      <c r="L12" s="37"/>
      <c r="M12" s="37"/>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row>
    <row r="13" spans="1:114" s="66" customFormat="1" ht="16.5" customHeight="1" x14ac:dyDescent="0.25">
      <c r="A13" s="110" t="s">
        <v>268</v>
      </c>
      <c r="B13" s="111"/>
      <c r="C13" s="111"/>
      <c r="D13" s="111"/>
      <c r="E13" s="111"/>
      <c r="F13" s="111"/>
      <c r="G13" s="111"/>
      <c r="H13" s="111"/>
      <c r="I13" s="111"/>
      <c r="J13" s="111"/>
      <c r="K13" s="111"/>
      <c r="L13" s="111"/>
      <c r="M13" s="111"/>
      <c r="N13" s="65"/>
      <c r="O13" s="35"/>
      <c r="P13" s="35"/>
      <c r="Q13" s="35"/>
      <c r="R13" s="35"/>
      <c r="S13" s="35"/>
      <c r="T13" s="35"/>
      <c r="U13" s="35"/>
      <c r="V13" s="35"/>
      <c r="W13" s="35"/>
      <c r="X13" s="35"/>
      <c r="Y13" s="35"/>
      <c r="Z13" s="3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5"/>
      <c r="CK13" s="65"/>
      <c r="CL13" s="65"/>
      <c r="CM13" s="65"/>
      <c r="CN13" s="65"/>
      <c r="CO13" s="65"/>
      <c r="CP13" s="65"/>
      <c r="CQ13" s="65"/>
      <c r="CR13" s="65"/>
      <c r="CS13" s="65"/>
      <c r="CT13" s="65"/>
      <c r="CU13" s="65"/>
      <c r="CV13" s="65"/>
      <c r="CW13" s="65"/>
      <c r="CX13" s="65"/>
      <c r="CY13" s="65"/>
      <c r="CZ13" s="65"/>
      <c r="DA13" s="65"/>
      <c r="DB13" s="65"/>
      <c r="DC13" s="65"/>
      <c r="DD13" s="65"/>
      <c r="DE13" s="65"/>
      <c r="DF13" s="65"/>
      <c r="DG13" s="65"/>
      <c r="DH13" s="65"/>
      <c r="DI13" s="65"/>
      <c r="DJ13" s="65"/>
    </row>
    <row r="14" spans="1:114" ht="33" customHeight="1" x14ac:dyDescent="0.25">
      <c r="A14" s="184" t="s">
        <v>166</v>
      </c>
      <c r="B14" s="185" t="s">
        <v>167</v>
      </c>
      <c r="C14" s="186" t="s">
        <v>307</v>
      </c>
      <c r="D14" s="185" t="s">
        <v>168</v>
      </c>
      <c r="E14" s="184"/>
      <c r="F14" s="184"/>
      <c r="G14" s="185" t="s">
        <v>169</v>
      </c>
      <c r="H14" s="184"/>
      <c r="I14" s="184"/>
      <c r="J14" s="105" t="s">
        <v>224</v>
      </c>
      <c r="K14" s="188" t="s">
        <v>225</v>
      </c>
      <c r="L14" s="188" t="s">
        <v>226</v>
      </c>
      <c r="M14" s="185" t="s">
        <v>166</v>
      </c>
      <c r="N14" s="137"/>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row>
    <row r="15" spans="1:114" ht="16.5" x14ac:dyDescent="0.25">
      <c r="A15" s="184"/>
      <c r="B15" s="184"/>
      <c r="C15" s="187"/>
      <c r="D15" s="106" t="s">
        <v>170</v>
      </c>
      <c r="E15" s="106" t="s">
        <v>171</v>
      </c>
      <c r="F15" s="106" t="s">
        <v>172</v>
      </c>
      <c r="G15" s="106" t="s">
        <v>170</v>
      </c>
      <c r="H15" s="106" t="s">
        <v>171</v>
      </c>
      <c r="I15" s="106" t="s">
        <v>172</v>
      </c>
      <c r="J15" s="106" t="s">
        <v>172</v>
      </c>
      <c r="K15" s="184"/>
      <c r="L15" s="184"/>
      <c r="M15" s="184"/>
      <c r="N15" s="129"/>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row>
    <row r="16" spans="1:114" ht="16.5" x14ac:dyDescent="0.25">
      <c r="A16" s="161" t="s">
        <v>173</v>
      </c>
      <c r="B16" s="154"/>
      <c r="C16" s="161"/>
      <c r="D16" s="62" t="s">
        <v>14</v>
      </c>
      <c r="E16" s="64">
        <f>'P(M)'!K17</f>
        <v>9100</v>
      </c>
      <c r="F16" s="104">
        <f>E16</f>
        <v>9100</v>
      </c>
      <c r="G16" s="62" t="s">
        <v>14</v>
      </c>
      <c r="H16" s="64">
        <f>'P(M)'!T17</f>
        <v>0</v>
      </c>
      <c r="I16" s="104">
        <f>H16</f>
        <v>0</v>
      </c>
      <c r="J16" s="104">
        <f>F16+I16</f>
        <v>9100</v>
      </c>
      <c r="K16" s="39">
        <f>'P(M)'!AA17</f>
        <v>85000</v>
      </c>
      <c r="L16" s="104">
        <f>J16+K16</f>
        <v>94100</v>
      </c>
      <c r="M16" s="161" t="s">
        <v>173</v>
      </c>
      <c r="N16" s="129" t="str">
        <f>IF(K16=999999,"初稿案申請地區選擇有誤，請加以調整！",IF(AND('P(M)'!$D$17=1,'P(M)'!C17=FALSE,'P(M)'!C18=FALSE),"以台灣案做為初稿案時，需勾選發明與新型的至少其一！",""))</f>
        <v/>
      </c>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row>
    <row r="17" spans="1:114" ht="16.5" x14ac:dyDescent="0.25">
      <c r="A17" s="162"/>
      <c r="B17" s="154"/>
      <c r="C17" s="162"/>
      <c r="D17" s="62" t="s">
        <v>14</v>
      </c>
      <c r="E17" s="64">
        <f>'P(M)'!K18</f>
        <v>0</v>
      </c>
      <c r="F17" s="104">
        <f>E17</f>
        <v>0</v>
      </c>
      <c r="G17" s="62" t="s">
        <v>14</v>
      </c>
      <c r="H17" s="64">
        <f>'P(M)'!T18</f>
        <v>0</v>
      </c>
      <c r="I17" s="104">
        <f>H17</f>
        <v>0</v>
      </c>
      <c r="J17" s="104">
        <f t="shared" ref="J17:J36" si="0">F17+I17</f>
        <v>0</v>
      </c>
      <c r="K17" s="39">
        <f>'P(M)'!AA18</f>
        <v>0</v>
      </c>
      <c r="L17" s="104">
        <f t="shared" ref="L17:L36" si="1">J17+K17</f>
        <v>0</v>
      </c>
      <c r="M17" s="162"/>
      <c r="N17" s="129" t="str">
        <f>IF(K17=999999,"初稿案申請地區選擇有誤，請加以調整！",IF(AND('P(M)'!$D$17=1,'P(M)'!C17=FALSE,'P(M)'!C18=FALSE),"以台灣案做為初稿案時，需勾選發明與新型的至少其一！",""))</f>
        <v/>
      </c>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row>
    <row r="18" spans="1:114" ht="16.5" x14ac:dyDescent="0.25">
      <c r="A18" s="161" t="s">
        <v>174</v>
      </c>
      <c r="B18" s="154"/>
      <c r="C18" s="161"/>
      <c r="D18" s="62" t="s">
        <v>15</v>
      </c>
      <c r="E18" s="64">
        <f>'P(M)'!K19</f>
        <v>3450</v>
      </c>
      <c r="F18" s="104">
        <f>E18*$M$5</f>
        <v>15869.999999999998</v>
      </c>
      <c r="G18" s="62" t="s">
        <v>15</v>
      </c>
      <c r="H18" s="64">
        <f>'P(M)'!T19</f>
        <v>1700</v>
      </c>
      <c r="I18" s="104">
        <f>H18*$M$5</f>
        <v>7819.9999999999991</v>
      </c>
      <c r="J18" s="104">
        <f t="shared" si="0"/>
        <v>23689.999999999996</v>
      </c>
      <c r="K18" s="39">
        <f>'P(M)'!AA19</f>
        <v>20000</v>
      </c>
      <c r="L18" s="104">
        <f t="shared" si="1"/>
        <v>43690</v>
      </c>
      <c r="M18" s="161" t="s">
        <v>174</v>
      </c>
      <c r="N18" s="129" t="str">
        <f>IF(K18=999999,"初稿案申請地區選擇有誤，請加以調整！",IF(AND('P(M)'!$D$17=2,'P(M)'!C19=FALSE,'P(M)'!C20=FALSE),"以大陸案做為初稿案時，需勾選發明與新型的至少其一！",""))</f>
        <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row>
    <row r="19" spans="1:114" ht="16.5" x14ac:dyDescent="0.25">
      <c r="A19" s="162"/>
      <c r="B19" s="154"/>
      <c r="C19" s="162"/>
      <c r="D19" s="62" t="s">
        <v>15</v>
      </c>
      <c r="E19" s="64">
        <f>'P(M)'!K20</f>
        <v>0</v>
      </c>
      <c r="F19" s="104">
        <f>E19*$M$5</f>
        <v>0</v>
      </c>
      <c r="G19" s="62" t="s">
        <v>15</v>
      </c>
      <c r="H19" s="64">
        <f>'P(M)'!T20</f>
        <v>0</v>
      </c>
      <c r="I19" s="104">
        <f>H19*$M$5</f>
        <v>0</v>
      </c>
      <c r="J19" s="104">
        <f t="shared" si="0"/>
        <v>0</v>
      </c>
      <c r="K19" s="39">
        <f>'P(M)'!AA20</f>
        <v>0</v>
      </c>
      <c r="L19" s="104">
        <f t="shared" si="1"/>
        <v>0</v>
      </c>
      <c r="M19" s="162"/>
      <c r="N19" s="129" t="str">
        <f>IF(K19=999999,"初稿案申請地區選擇有誤，請加以調整！",IF(AND('P(M)'!$D$17=2,'P(M)'!C19=FALSE,'P(M)'!C20=FALSE),"以大陸案做為初稿案時，需勾選發明與新型的至少其一！",""))</f>
        <v/>
      </c>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row>
    <row r="20" spans="1:114" ht="16.5" x14ac:dyDescent="0.25">
      <c r="A20" s="62" t="s">
        <v>175</v>
      </c>
      <c r="B20" s="154"/>
      <c r="C20" s="62"/>
      <c r="D20" s="62" t="s">
        <v>75</v>
      </c>
      <c r="E20" s="64">
        <f>'P(M)'!K21</f>
        <v>730</v>
      </c>
      <c r="F20" s="104">
        <f>E20*$K$5</f>
        <v>23360</v>
      </c>
      <c r="G20" s="62" t="s">
        <v>16</v>
      </c>
      <c r="H20" s="64">
        <f>'P(M)'!T21</f>
        <v>650</v>
      </c>
      <c r="I20" s="104">
        <f>H20*$K$5</f>
        <v>20800</v>
      </c>
      <c r="J20" s="104">
        <f t="shared" si="0"/>
        <v>44160</v>
      </c>
      <c r="K20" s="39">
        <f>'P(M)'!AA21</f>
        <v>60000</v>
      </c>
      <c r="L20" s="104">
        <f t="shared" si="1"/>
        <v>104160</v>
      </c>
      <c r="M20" s="62" t="s">
        <v>175</v>
      </c>
      <c r="N20" s="129" t="str">
        <f>IF(K20=999999,"初稿案申請地區選擇有誤，請加以調整！",IF(AND('P(M)'!$D$17=3,'P(M)'!C21=FALSE),"以美國案做為初稿案時，需勾選發明！",""))</f>
        <v/>
      </c>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row>
    <row r="21" spans="1:114" ht="16.5" x14ac:dyDescent="0.25">
      <c r="A21" s="62" t="s">
        <v>190</v>
      </c>
      <c r="B21" s="154"/>
      <c r="C21" s="62"/>
      <c r="D21" s="62" t="s">
        <v>17</v>
      </c>
      <c r="E21" s="64">
        <f>'P(M)'!K22</f>
        <v>1655</v>
      </c>
      <c r="F21" s="104">
        <f>E21*$K$6</f>
        <v>62062.5</v>
      </c>
      <c r="G21" s="62" t="s">
        <v>17</v>
      </c>
      <c r="H21" s="64">
        <f>'P(M)'!T22</f>
        <v>460</v>
      </c>
      <c r="I21" s="104">
        <f>H21*$K$6</f>
        <v>17250</v>
      </c>
      <c r="J21" s="104">
        <f t="shared" si="0"/>
        <v>79312.5</v>
      </c>
      <c r="K21" s="39">
        <f>'P(M)'!AA22</f>
        <v>40000</v>
      </c>
      <c r="L21" s="104">
        <f t="shared" si="1"/>
        <v>119312.5</v>
      </c>
      <c r="M21" s="62" t="s">
        <v>190</v>
      </c>
      <c r="N21" s="129" t="str">
        <f>IF(K21=999999,"需勾選至少一件中文案或一件其他地區的英文案，才能勾選歐洲發明案！","")</f>
        <v/>
      </c>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row>
    <row r="22" spans="1:114" ht="16.5" x14ac:dyDescent="0.25">
      <c r="A22" s="161" t="s">
        <v>176</v>
      </c>
      <c r="B22" s="154"/>
      <c r="C22" s="161"/>
      <c r="D22" s="62" t="s">
        <v>18</v>
      </c>
      <c r="E22" s="64">
        <f>'P(M)'!K23</f>
        <v>192000</v>
      </c>
      <c r="F22" s="104">
        <f>E22*$K$7</f>
        <v>40320</v>
      </c>
      <c r="G22" s="62" t="s">
        <v>18</v>
      </c>
      <c r="H22" s="64">
        <f>'P(M)'!T23</f>
        <v>304500</v>
      </c>
      <c r="I22" s="104">
        <f>H22*$K$7</f>
        <v>63945</v>
      </c>
      <c r="J22" s="104">
        <f t="shared" si="0"/>
        <v>104265</v>
      </c>
      <c r="K22" s="39">
        <f>'P(M)'!AA23</f>
        <v>30000</v>
      </c>
      <c r="L22" s="104">
        <f t="shared" si="1"/>
        <v>134265</v>
      </c>
      <c r="M22" s="161" t="s">
        <v>176</v>
      </c>
      <c r="N22" s="129" t="str">
        <f>IF(K22=999999,"需勾選至少一件英文案或一件中文案，才能勾選日本案！",IF(AND('P(M)'!C23=TRUE,'P(M)'!C24=TRUE),"日本不允許同時申請發明專利與新型專利，請擇一申請！",""))</f>
        <v/>
      </c>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row>
    <row r="23" spans="1:114" ht="16.5" x14ac:dyDescent="0.25">
      <c r="A23" s="162"/>
      <c r="B23" s="154"/>
      <c r="C23" s="162"/>
      <c r="D23" s="62" t="s">
        <v>18</v>
      </c>
      <c r="E23" s="64">
        <f>'P(M)'!K24</f>
        <v>0</v>
      </c>
      <c r="F23" s="104">
        <f>E23*$K$7</f>
        <v>0</v>
      </c>
      <c r="G23" s="62" t="s">
        <v>18</v>
      </c>
      <c r="H23" s="64">
        <f>'P(M)'!T24</f>
        <v>0</v>
      </c>
      <c r="I23" s="104">
        <f>H23*$K$7</f>
        <v>0</v>
      </c>
      <c r="J23" s="104">
        <f t="shared" si="0"/>
        <v>0</v>
      </c>
      <c r="K23" s="39">
        <f>'P(M)'!AA24</f>
        <v>0</v>
      </c>
      <c r="L23" s="104">
        <f t="shared" si="1"/>
        <v>0</v>
      </c>
      <c r="M23" s="162"/>
      <c r="N23" s="129" t="str">
        <f>IF(K23=999999,"需勾選至少一件英文案或一件中文案，才能勾選日本案！",IF(AND('P(M)'!C23=TRUE,'P(M)'!C24=TRUE),"日本不允許同時申請發明專利與新型專利，請擇一申請！",""))</f>
        <v/>
      </c>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row>
    <row r="24" spans="1:114" ht="16.5" x14ac:dyDescent="0.25">
      <c r="A24" s="161" t="s">
        <v>177</v>
      </c>
      <c r="B24" s="154"/>
      <c r="C24" s="161"/>
      <c r="D24" s="62" t="s">
        <v>19</v>
      </c>
      <c r="E24" s="64">
        <f>'P(M)'!K25</f>
        <v>722000</v>
      </c>
      <c r="F24" s="104">
        <f>E24*$K$8</f>
        <v>18050</v>
      </c>
      <c r="G24" s="62" t="s">
        <v>16</v>
      </c>
      <c r="H24" s="64">
        <f>'P(M)'!T25</f>
        <v>2790</v>
      </c>
      <c r="I24" s="104">
        <f>H24*$K$5</f>
        <v>89280</v>
      </c>
      <c r="J24" s="104">
        <f t="shared" si="0"/>
        <v>107330</v>
      </c>
      <c r="K24" s="39">
        <f>'P(M)'!AA25</f>
        <v>30000</v>
      </c>
      <c r="L24" s="104">
        <f t="shared" si="1"/>
        <v>137330</v>
      </c>
      <c r="M24" s="161" t="s">
        <v>177</v>
      </c>
      <c r="N24" s="129" t="str">
        <f>IF(K24=999999,"需勾選至少一件英文案或一件中文案，才能勾選韓國案！",IF(AND('P(M)'!C25=TRUE,'P(M)'!C26=TRUE),"韓國不允許同時申請發明專利與新型專利，請擇一申請！",""))</f>
        <v/>
      </c>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row>
    <row r="25" spans="1:114" ht="16.5" x14ac:dyDescent="0.25">
      <c r="A25" s="162"/>
      <c r="B25" s="154"/>
      <c r="C25" s="162"/>
      <c r="D25" s="62" t="s">
        <v>19</v>
      </c>
      <c r="E25" s="64">
        <f>'P(M)'!K26</f>
        <v>0</v>
      </c>
      <c r="F25" s="104">
        <f>E25*$K$8</f>
        <v>0</v>
      </c>
      <c r="G25" s="62" t="s">
        <v>16</v>
      </c>
      <c r="H25" s="64">
        <f>'P(M)'!T26</f>
        <v>0</v>
      </c>
      <c r="I25" s="104">
        <f>H25*$K$5</f>
        <v>0</v>
      </c>
      <c r="J25" s="104">
        <f t="shared" si="0"/>
        <v>0</v>
      </c>
      <c r="K25" s="39">
        <f>'P(M)'!AA26</f>
        <v>0</v>
      </c>
      <c r="L25" s="104">
        <f t="shared" si="1"/>
        <v>0</v>
      </c>
      <c r="M25" s="162"/>
      <c r="N25" s="129" t="str">
        <f>IF(K25=999999,"需勾選至少一件英文案或一件中文案，才能勾選韓國案！",IF(AND('P(M)'!C25=TRUE,'P(M)'!C26=TRUE),"韓國不允許同時申請發明專利與新型專利，請擇一申請！",""))</f>
        <v/>
      </c>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row>
    <row r="26" spans="1:114" ht="16.5" x14ac:dyDescent="0.25">
      <c r="A26" s="62" t="s">
        <v>191</v>
      </c>
      <c r="B26" s="154"/>
      <c r="C26" s="62"/>
      <c r="D26" s="62" t="s">
        <v>43</v>
      </c>
      <c r="E26" s="64">
        <f>'P(M)'!K27</f>
        <v>829.7</v>
      </c>
      <c r="F26" s="104">
        <f>E26*$M$9</f>
        <v>19497.95</v>
      </c>
      <c r="G26" s="62" t="s">
        <v>43</v>
      </c>
      <c r="H26" s="64">
        <f>'P(M)'!T27</f>
        <v>1440</v>
      </c>
      <c r="I26" s="104">
        <f>H26*$M$9</f>
        <v>33840</v>
      </c>
      <c r="J26" s="104">
        <f>F26+I26</f>
        <v>53337.95</v>
      </c>
      <c r="K26" s="39">
        <f>'P(M)'!AA27</f>
        <v>30000</v>
      </c>
      <c r="L26" s="104">
        <f>J26+K26</f>
        <v>83337.95</v>
      </c>
      <c r="M26" s="62" t="s">
        <v>191</v>
      </c>
      <c r="N26" s="129" t="str">
        <f>IF(K26=999999,"初稿案申請地區選擇有誤，請加以調整！",IF(AND('P(M)'!$D$17=4,'P(M)'!C27=FALSE),"以加拿大案做為初稿案時，需勾選發明！",""))</f>
        <v/>
      </c>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row>
    <row r="27" spans="1:114" ht="16.5" x14ac:dyDescent="0.25">
      <c r="A27" s="62" t="s">
        <v>178</v>
      </c>
      <c r="B27" s="154"/>
      <c r="C27" s="62"/>
      <c r="D27" s="62" t="s">
        <v>20</v>
      </c>
      <c r="E27" s="64">
        <f>'P(M)'!K28</f>
        <v>2220</v>
      </c>
      <c r="F27" s="104">
        <f>E27*$M$6</f>
        <v>55500</v>
      </c>
      <c r="G27" s="62" t="s">
        <v>20</v>
      </c>
      <c r="H27" s="64">
        <f>'P(M)'!T28</f>
        <v>1600</v>
      </c>
      <c r="I27" s="104">
        <f>H27*$M$6</f>
        <v>40000</v>
      </c>
      <c r="J27" s="104">
        <f t="shared" si="0"/>
        <v>95500</v>
      </c>
      <c r="K27" s="39">
        <f>'P(M)'!AA28</f>
        <v>30000</v>
      </c>
      <c r="L27" s="104">
        <f t="shared" si="1"/>
        <v>125500</v>
      </c>
      <c r="M27" s="62" t="s">
        <v>178</v>
      </c>
      <c r="N27" s="129" t="str">
        <f>IF(K27=999999,"初稿案申請地區選擇有誤，請加以調整！",IF(AND('P(M)'!$D$17=5,'P(M)'!C28=FALSE),"以新加坡案做為初稿案時，需勾選發明！",""))</f>
        <v/>
      </c>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row>
    <row r="28" spans="1:114" ht="16.5" x14ac:dyDescent="0.25">
      <c r="A28" s="161" t="s">
        <v>181</v>
      </c>
      <c r="B28" s="154"/>
      <c r="C28" s="161"/>
      <c r="D28" s="62" t="s">
        <v>23</v>
      </c>
      <c r="E28" s="64">
        <f>'P(M)'!K29</f>
        <v>1590</v>
      </c>
      <c r="F28" s="104">
        <f>E28*$M$8</f>
        <v>13197.000000000002</v>
      </c>
      <c r="G28" s="62" t="s">
        <v>23</v>
      </c>
      <c r="H28" s="64">
        <f>'P(M)'!T29</f>
        <v>1800</v>
      </c>
      <c r="I28" s="104">
        <f>H28*$M$8</f>
        <v>14940.000000000002</v>
      </c>
      <c r="J28" s="104">
        <f>F28+I28</f>
        <v>28137.000000000004</v>
      </c>
      <c r="K28" s="39">
        <f>'P(M)'!AA29</f>
        <v>30000</v>
      </c>
      <c r="L28" s="104">
        <f>J28+K28</f>
        <v>58137</v>
      </c>
      <c r="M28" s="161" t="s">
        <v>181</v>
      </c>
      <c r="N28" s="129" t="str">
        <f>IF(K28=999999,"初稿案申請地區選擇有誤，請加以調整！",IF(AND('P(M)'!$D$17=6,'P(M)'!C29=FALSE,'P(M)'!C30=FALSE),"以馬來西亞案做為初稿案時，需勾選發明與新型的至少其一！",""))</f>
        <v/>
      </c>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row>
    <row r="29" spans="1:114" ht="16.5" x14ac:dyDescent="0.25">
      <c r="A29" s="162"/>
      <c r="B29" s="154"/>
      <c r="C29" s="162"/>
      <c r="D29" s="62" t="s">
        <v>23</v>
      </c>
      <c r="E29" s="64">
        <f>'P(M)'!K30</f>
        <v>0</v>
      </c>
      <c r="F29" s="104">
        <f>E29*$M$8</f>
        <v>0</v>
      </c>
      <c r="G29" s="62" t="s">
        <v>23</v>
      </c>
      <c r="H29" s="64">
        <f>'P(M)'!T30</f>
        <v>0</v>
      </c>
      <c r="I29" s="104">
        <f>H29*$M$8</f>
        <v>0</v>
      </c>
      <c r="J29" s="104">
        <f>F29+I29</f>
        <v>0</v>
      </c>
      <c r="K29" s="39">
        <f>'P(M)'!AA30</f>
        <v>0</v>
      </c>
      <c r="L29" s="104">
        <f>J29+K29</f>
        <v>0</v>
      </c>
      <c r="M29" s="162"/>
      <c r="N29" s="129" t="str">
        <f>IF(K29=999999,"初稿案申請地區選擇有誤，請加以調整！",IF(AND('P(M)'!$D$17=6,'P(M)'!C29=FALSE,'P(M)'!C30=FALSE),"以馬來西亞案做為初稿案時，需勾選發明與新型的至少其一！",""))</f>
        <v/>
      </c>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row>
    <row r="30" spans="1:114" ht="16.5" x14ac:dyDescent="0.25">
      <c r="A30" s="68" t="s">
        <v>146</v>
      </c>
      <c r="B30" s="154"/>
      <c r="C30" s="68"/>
      <c r="D30" s="62" t="s">
        <v>16</v>
      </c>
      <c r="E30" s="64">
        <f>'P(M)'!K31</f>
        <v>0</v>
      </c>
      <c r="F30" s="104">
        <f>E30*$K$5</f>
        <v>0</v>
      </c>
      <c r="G30" s="62" t="s">
        <v>16</v>
      </c>
      <c r="H30" s="64">
        <f>'P(M)'!T31</f>
        <v>0</v>
      </c>
      <c r="I30" s="104">
        <f>H30*$K$5</f>
        <v>0</v>
      </c>
      <c r="J30" s="104">
        <f t="shared" si="0"/>
        <v>0</v>
      </c>
      <c r="K30" s="39">
        <f>'P(M)'!AA31</f>
        <v>0</v>
      </c>
      <c r="L30" s="104">
        <f t="shared" si="1"/>
        <v>0</v>
      </c>
      <c r="M30" s="68" t="s">
        <v>146</v>
      </c>
      <c r="N30" s="129" t="str">
        <f>IF(K30=999999,"初稿案申請地區選擇有誤，請加以調整！",IF(AND('P(M)'!$D$17=7,'P(M)'!C31=FALSE),"以菲律賓案做為初稿案時，需勾選發明！",""))</f>
        <v/>
      </c>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row>
    <row r="31" spans="1:114" ht="16.5" x14ac:dyDescent="0.25">
      <c r="A31" s="161" t="s">
        <v>182</v>
      </c>
      <c r="B31" s="154"/>
      <c r="C31" s="161"/>
      <c r="D31" s="62" t="s">
        <v>16</v>
      </c>
      <c r="E31" s="64">
        <f>'P(M)'!K32</f>
        <v>0</v>
      </c>
      <c r="F31" s="104">
        <f>E31*$K$5</f>
        <v>0</v>
      </c>
      <c r="G31" s="62" t="s">
        <v>16</v>
      </c>
      <c r="H31" s="64">
        <f>'P(M)'!T32</f>
        <v>0</v>
      </c>
      <c r="I31" s="104">
        <f>H31*$K$5</f>
        <v>0</v>
      </c>
      <c r="J31" s="104">
        <f>F31+I31</f>
        <v>0</v>
      </c>
      <c r="K31" s="39">
        <f>'P(M)'!AA32</f>
        <v>0</v>
      </c>
      <c r="L31" s="104">
        <f>J31+K31</f>
        <v>0</v>
      </c>
      <c r="M31" s="161" t="s">
        <v>182</v>
      </c>
      <c r="N31" s="129" t="str">
        <f>IF(K31=999999,"需勾選至少一件英文案，才能勾選印尼案！",IF(AND('P(M)'!C32=TRUE,'P(M)'!C33=TRUE),"印尼不允許同時申請發明專利與新型專利，請擇一申請！",""))</f>
        <v/>
      </c>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row>
    <row r="32" spans="1:114" ht="16.5" x14ac:dyDescent="0.25">
      <c r="A32" s="162"/>
      <c r="B32" s="154"/>
      <c r="C32" s="162"/>
      <c r="D32" s="62" t="s">
        <v>16</v>
      </c>
      <c r="E32" s="64">
        <f>'P(M)'!K33</f>
        <v>0</v>
      </c>
      <c r="F32" s="104">
        <f>E32*$K$5</f>
        <v>0</v>
      </c>
      <c r="G32" s="62" t="s">
        <v>16</v>
      </c>
      <c r="H32" s="64">
        <f>'P(M)'!T33</f>
        <v>0</v>
      </c>
      <c r="I32" s="104">
        <f>H32*$K$5</f>
        <v>0</v>
      </c>
      <c r="J32" s="104">
        <f>F32+I32</f>
        <v>0</v>
      </c>
      <c r="K32" s="39">
        <f>'P(M)'!AA33</f>
        <v>0</v>
      </c>
      <c r="L32" s="104">
        <f>J32+K32</f>
        <v>0</v>
      </c>
      <c r="M32" s="162"/>
      <c r="N32" s="129" t="str">
        <f>IF(K32=999999,"需勾選至少一件英文案，才能勾選印尼案！",IF(AND('P(M)'!C32=TRUE,'P(M)'!C33=TRUE),"印尼不允許同時申請發明專利與新型專利，請擇一申請！",""))</f>
        <v/>
      </c>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row>
    <row r="33" spans="1:114" ht="16.5" x14ac:dyDescent="0.25">
      <c r="A33" s="161" t="s">
        <v>179</v>
      </c>
      <c r="B33" s="154"/>
      <c r="C33" s="161"/>
      <c r="D33" s="62" t="s">
        <v>21</v>
      </c>
      <c r="E33" s="64">
        <f>'P(M)'!K34</f>
        <v>0</v>
      </c>
      <c r="F33" s="104">
        <f>E33*$M$7</f>
        <v>0</v>
      </c>
      <c r="G33" s="62" t="s">
        <v>16</v>
      </c>
      <c r="H33" s="64">
        <f>'P(M)'!T34</f>
        <v>0</v>
      </c>
      <c r="I33" s="104">
        <f>H33*$K$5</f>
        <v>0</v>
      </c>
      <c r="J33" s="104">
        <f t="shared" si="0"/>
        <v>0</v>
      </c>
      <c r="K33" s="39">
        <f>'P(M)'!AA34</f>
        <v>0</v>
      </c>
      <c r="L33" s="104">
        <f t="shared" si="1"/>
        <v>0</v>
      </c>
      <c r="M33" s="161" t="s">
        <v>179</v>
      </c>
      <c r="N33" s="129" t="str">
        <f>IF(K33=999999,"需勾選至少一件英文案，才能勾選越南案！","")</f>
        <v/>
      </c>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row>
    <row r="34" spans="1:114" ht="16.5" x14ac:dyDescent="0.25">
      <c r="A34" s="162"/>
      <c r="B34" s="154"/>
      <c r="C34" s="162"/>
      <c r="D34" s="62" t="s">
        <v>21</v>
      </c>
      <c r="E34" s="64">
        <f>'P(M)'!K35</f>
        <v>0</v>
      </c>
      <c r="F34" s="104">
        <f>E34*$M$7</f>
        <v>0</v>
      </c>
      <c r="G34" s="62" t="s">
        <v>16</v>
      </c>
      <c r="H34" s="64">
        <f>'P(M)'!T35</f>
        <v>0</v>
      </c>
      <c r="I34" s="104">
        <f>H34*$K$5</f>
        <v>0</v>
      </c>
      <c r="J34" s="104">
        <f t="shared" si="0"/>
        <v>0</v>
      </c>
      <c r="K34" s="39">
        <f>'P(M)'!AA35</f>
        <v>0</v>
      </c>
      <c r="L34" s="104">
        <f t="shared" si="1"/>
        <v>0</v>
      </c>
      <c r="M34" s="162"/>
      <c r="N34" s="129" t="str">
        <f>IF(K34=999999,"需勾選至少一件英文案，才能勾選越南案！","")</f>
        <v/>
      </c>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row>
    <row r="35" spans="1:114" ht="16.5" x14ac:dyDescent="0.25">
      <c r="A35" s="161" t="s">
        <v>180</v>
      </c>
      <c r="B35" s="154"/>
      <c r="C35" s="161"/>
      <c r="D35" s="62" t="s">
        <v>22</v>
      </c>
      <c r="E35" s="64">
        <f>'P(M)'!K36</f>
        <v>0</v>
      </c>
      <c r="F35" s="104">
        <f>E35*$K$9</f>
        <v>0</v>
      </c>
      <c r="G35" s="62" t="s">
        <v>22</v>
      </c>
      <c r="H35" s="64">
        <f>'P(M)'!T36</f>
        <v>0</v>
      </c>
      <c r="I35" s="104">
        <f>H35*$K$9</f>
        <v>0</v>
      </c>
      <c r="J35" s="104">
        <f t="shared" si="0"/>
        <v>0</v>
      </c>
      <c r="K35" s="39">
        <f>'P(M)'!AA36</f>
        <v>0</v>
      </c>
      <c r="L35" s="104">
        <f t="shared" si="1"/>
        <v>0</v>
      </c>
      <c r="M35" s="161" t="s">
        <v>180</v>
      </c>
      <c r="N35" s="129" t="str">
        <f>IF(K35=999999,"需勾選至少一件英文案，才能勾選泰國案！",IF(AND('P(M)'!C36=TRUE,'P(M)'!C37=TRUE),"泰國不允許同時申請發明專利與新型專利，請擇一申請！",""))</f>
        <v/>
      </c>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row>
    <row r="36" spans="1:114" ht="16.5" x14ac:dyDescent="0.25">
      <c r="A36" s="162"/>
      <c r="B36" s="154"/>
      <c r="C36" s="162"/>
      <c r="D36" s="62" t="s">
        <v>22</v>
      </c>
      <c r="E36" s="64">
        <f>'P(M)'!K37</f>
        <v>0</v>
      </c>
      <c r="F36" s="104">
        <f>E36*$K$9</f>
        <v>0</v>
      </c>
      <c r="G36" s="62" t="s">
        <v>22</v>
      </c>
      <c r="H36" s="64">
        <f>'P(M)'!T37</f>
        <v>0</v>
      </c>
      <c r="I36" s="104">
        <f>H36*$K$9</f>
        <v>0</v>
      </c>
      <c r="J36" s="104">
        <f t="shared" si="0"/>
        <v>0</v>
      </c>
      <c r="K36" s="39">
        <f>'P(M)'!AA37</f>
        <v>0</v>
      </c>
      <c r="L36" s="104">
        <f t="shared" si="1"/>
        <v>0</v>
      </c>
      <c r="M36" s="162"/>
      <c r="N36" s="129" t="str">
        <f>IF(K36=999999,"需勾選至少一件英文案，才能勾選泰國案！",IF(AND('P(M)'!C36=TRUE,'P(M)'!C37=TRUE),"泰國不允許同時申請發明專利與新型專利，請擇一申請！",""))</f>
        <v/>
      </c>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row>
    <row r="37" spans="1:114" ht="18.75" x14ac:dyDescent="0.25">
      <c r="A37" s="55"/>
      <c r="B37" s="55"/>
      <c r="C37" s="56"/>
      <c r="D37" s="55"/>
      <c r="E37" s="56" t="s">
        <v>183</v>
      </c>
      <c r="F37" s="57">
        <f>SUM(F16:F36)</f>
        <v>256957.45</v>
      </c>
      <c r="G37" s="55"/>
      <c r="H37" s="56" t="s">
        <v>183</v>
      </c>
      <c r="I37" s="58">
        <f>SUM(I16:I36)</f>
        <v>287875</v>
      </c>
      <c r="J37" s="59">
        <f>SUM(J16:J36)</f>
        <v>544832.45000000007</v>
      </c>
      <c r="K37" s="60">
        <f>SUM(K16:K36)</f>
        <v>355000</v>
      </c>
      <c r="L37" s="61">
        <f>SUM(L16:L36)</f>
        <v>899832.45</v>
      </c>
      <c r="M37" s="62"/>
      <c r="N37" s="129"/>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row>
    <row r="38" spans="1:114" s="147" customFormat="1" ht="16.5" x14ac:dyDescent="0.25">
      <c r="A38" s="107" t="s">
        <v>48</v>
      </c>
      <c r="B38" s="107"/>
      <c r="C38" s="107"/>
      <c r="D38" s="107"/>
      <c r="E38" s="107"/>
      <c r="F38" s="107"/>
      <c r="G38" s="107"/>
      <c r="H38" s="107"/>
      <c r="I38" s="107"/>
      <c r="J38" s="107"/>
      <c r="K38" s="107"/>
      <c r="L38" s="107"/>
      <c r="M38" s="107"/>
      <c r="N38" s="129"/>
      <c r="O38" s="145"/>
      <c r="P38" s="145"/>
      <c r="Q38" s="145"/>
      <c r="R38" s="145"/>
      <c r="S38" s="145"/>
      <c r="T38" s="145"/>
      <c r="U38" s="146"/>
      <c r="V38" s="146"/>
      <c r="W38" s="146"/>
      <c r="X38" s="146"/>
      <c r="Y38" s="146"/>
      <c r="Z38" s="146"/>
      <c r="AA38" s="146"/>
      <c r="AB38" s="146"/>
      <c r="AC38" s="146"/>
      <c r="AD38" s="146"/>
      <c r="AE38" s="146"/>
      <c r="AF38" s="146"/>
      <c r="AG38" s="146"/>
      <c r="AH38" s="146"/>
      <c r="AI38" s="146"/>
      <c r="AJ38" s="146"/>
      <c r="AK38" s="146"/>
      <c r="AL38" s="146"/>
      <c r="AM38" s="146"/>
      <c r="AN38" s="146"/>
      <c r="AO38" s="146"/>
      <c r="AP38" s="146"/>
      <c r="AQ38" s="146"/>
      <c r="AR38" s="146"/>
      <c r="AS38" s="146"/>
      <c r="AT38" s="146"/>
      <c r="AU38" s="146"/>
      <c r="AV38" s="146"/>
      <c r="AW38" s="146"/>
      <c r="AX38" s="146"/>
      <c r="AY38" s="146"/>
      <c r="AZ38" s="146"/>
      <c r="BA38" s="146"/>
      <c r="BB38" s="146"/>
      <c r="BC38" s="146"/>
      <c r="BD38" s="146"/>
      <c r="BE38" s="146"/>
      <c r="BF38" s="146"/>
      <c r="BG38" s="146"/>
      <c r="BH38" s="146"/>
      <c r="BI38" s="146"/>
      <c r="BJ38" s="146"/>
      <c r="BK38" s="146"/>
      <c r="BL38" s="146"/>
      <c r="BM38" s="146"/>
      <c r="BN38" s="146"/>
      <c r="BO38" s="146"/>
      <c r="BP38" s="146"/>
      <c r="BQ38" s="146"/>
      <c r="BR38" s="146"/>
      <c r="BS38" s="146"/>
      <c r="BT38" s="146"/>
      <c r="BU38" s="146"/>
      <c r="BV38" s="146"/>
      <c r="BW38" s="146"/>
      <c r="BX38" s="146"/>
      <c r="BY38" s="146"/>
      <c r="BZ38" s="146"/>
      <c r="CA38" s="146"/>
      <c r="CB38" s="146"/>
      <c r="CC38" s="146"/>
      <c r="CD38" s="146"/>
      <c r="CE38" s="146"/>
      <c r="CF38" s="146"/>
      <c r="CG38" s="146"/>
      <c r="CH38" s="146"/>
      <c r="CI38" s="146"/>
      <c r="CJ38" s="146"/>
      <c r="CK38" s="146"/>
      <c r="CL38" s="146"/>
      <c r="CM38" s="146"/>
      <c r="CN38" s="146"/>
      <c r="CO38" s="146"/>
      <c r="CP38" s="146"/>
      <c r="CQ38" s="146"/>
      <c r="CR38" s="146"/>
      <c r="CS38" s="146"/>
      <c r="CT38" s="146"/>
      <c r="CU38" s="146"/>
      <c r="CV38" s="146"/>
      <c r="CW38" s="146"/>
      <c r="CX38" s="146"/>
      <c r="CY38" s="146"/>
      <c r="CZ38" s="146"/>
      <c r="DA38" s="146"/>
      <c r="DB38" s="146"/>
      <c r="DC38" s="146"/>
      <c r="DD38" s="146"/>
      <c r="DE38" s="146"/>
      <c r="DF38" s="146"/>
      <c r="DG38" s="146"/>
      <c r="DH38" s="146"/>
      <c r="DI38" s="146"/>
      <c r="DJ38" s="146"/>
    </row>
    <row r="39" spans="1:114" s="147" customFormat="1" ht="16.5" x14ac:dyDescent="0.25">
      <c r="A39" s="107" t="s">
        <v>311</v>
      </c>
      <c r="B39" s="107"/>
      <c r="C39" s="107"/>
      <c r="D39" s="107"/>
      <c r="E39" s="107"/>
      <c r="F39" s="107"/>
      <c r="G39" s="107"/>
      <c r="H39" s="107"/>
      <c r="I39" s="107"/>
      <c r="J39" s="107"/>
      <c r="K39" s="107"/>
      <c r="L39" s="107"/>
      <c r="M39" s="107"/>
      <c r="N39" s="129"/>
      <c r="O39" s="145"/>
      <c r="P39" s="145"/>
      <c r="Q39" s="145"/>
      <c r="R39" s="145"/>
      <c r="S39" s="145"/>
      <c r="T39" s="145"/>
      <c r="U39" s="146"/>
      <c r="V39" s="146"/>
      <c r="W39" s="146"/>
      <c r="X39" s="146"/>
      <c r="Y39" s="146"/>
      <c r="Z39" s="146"/>
      <c r="AA39" s="146"/>
      <c r="AB39" s="146"/>
      <c r="AC39" s="146"/>
      <c r="AD39" s="146"/>
      <c r="AE39" s="146"/>
      <c r="AF39" s="146"/>
      <c r="AG39" s="146"/>
      <c r="AH39" s="146"/>
      <c r="AI39" s="146"/>
      <c r="AJ39" s="146"/>
      <c r="AK39" s="146"/>
      <c r="AL39" s="146"/>
      <c r="AM39" s="146"/>
      <c r="AN39" s="146"/>
      <c r="AO39" s="146"/>
      <c r="AP39" s="146"/>
      <c r="AQ39" s="146"/>
      <c r="AR39" s="146"/>
      <c r="AS39" s="146"/>
      <c r="AT39" s="146"/>
      <c r="AU39" s="146"/>
      <c r="AV39" s="146"/>
      <c r="AW39" s="146"/>
      <c r="AX39" s="146"/>
      <c r="AY39" s="146"/>
      <c r="AZ39" s="146"/>
      <c r="BA39" s="146"/>
      <c r="BB39" s="146"/>
      <c r="BC39" s="146"/>
      <c r="BD39" s="146"/>
      <c r="BE39" s="146"/>
      <c r="BF39" s="146"/>
      <c r="BG39" s="146"/>
      <c r="BH39" s="146"/>
      <c r="BI39" s="146"/>
      <c r="BJ39" s="146"/>
      <c r="BK39" s="146"/>
      <c r="BL39" s="146"/>
      <c r="BM39" s="146"/>
      <c r="BN39" s="146"/>
      <c r="BO39" s="146"/>
      <c r="BP39" s="146"/>
      <c r="BQ39" s="146"/>
      <c r="BR39" s="146"/>
      <c r="BS39" s="146"/>
      <c r="BT39" s="146"/>
      <c r="BU39" s="146"/>
      <c r="BV39" s="146"/>
      <c r="BW39" s="146"/>
      <c r="BX39" s="146"/>
      <c r="BY39" s="146"/>
      <c r="BZ39" s="146"/>
      <c r="CA39" s="146"/>
      <c r="CB39" s="146"/>
      <c r="CC39" s="146"/>
      <c r="CD39" s="146"/>
      <c r="CE39" s="146"/>
      <c r="CF39" s="146"/>
      <c r="CG39" s="146"/>
      <c r="CH39" s="146"/>
      <c r="CI39" s="146"/>
      <c r="CJ39" s="146"/>
      <c r="CK39" s="146"/>
      <c r="CL39" s="146"/>
      <c r="CM39" s="146"/>
      <c r="CN39" s="146"/>
      <c r="CO39" s="146"/>
      <c r="CP39" s="146"/>
      <c r="CQ39" s="146"/>
      <c r="CR39" s="146"/>
      <c r="CS39" s="146"/>
      <c r="CT39" s="146"/>
      <c r="CU39" s="146"/>
      <c r="CV39" s="146"/>
      <c r="CW39" s="146"/>
      <c r="CX39" s="146"/>
      <c r="CY39" s="146"/>
      <c r="CZ39" s="146"/>
      <c r="DA39" s="146"/>
      <c r="DB39" s="146"/>
      <c r="DC39" s="146"/>
      <c r="DD39" s="146"/>
      <c r="DE39" s="146"/>
      <c r="DF39" s="146"/>
      <c r="DG39" s="146"/>
      <c r="DH39" s="146"/>
      <c r="DI39" s="146"/>
      <c r="DJ39" s="146"/>
    </row>
    <row r="40" spans="1:114" s="147" customFormat="1" ht="16.5" x14ac:dyDescent="0.25">
      <c r="A40" s="107" t="s">
        <v>335</v>
      </c>
      <c r="B40" s="107"/>
      <c r="C40" s="107"/>
      <c r="D40" s="107"/>
      <c r="E40" s="148"/>
      <c r="F40" s="107"/>
      <c r="G40" s="107"/>
      <c r="H40" s="107"/>
      <c r="I40" s="107"/>
      <c r="J40" s="107"/>
      <c r="K40" s="107"/>
      <c r="L40" s="107"/>
      <c r="M40" s="107"/>
      <c r="N40" s="129"/>
      <c r="O40" s="146"/>
      <c r="P40" s="146"/>
      <c r="Q40" s="146"/>
      <c r="R40" s="146"/>
      <c r="S40" s="146"/>
      <c r="T40" s="146"/>
      <c r="U40" s="146"/>
      <c r="V40" s="146"/>
      <c r="W40" s="146"/>
      <c r="X40" s="146"/>
      <c r="Y40" s="146"/>
      <c r="Z40" s="146"/>
      <c r="AA40" s="146"/>
      <c r="AB40" s="146"/>
      <c r="AC40" s="146"/>
      <c r="AD40" s="146"/>
      <c r="AE40" s="146"/>
      <c r="AF40" s="146"/>
      <c r="AG40" s="146"/>
      <c r="AH40" s="146"/>
      <c r="AI40" s="146"/>
      <c r="AJ40" s="146"/>
      <c r="AK40" s="146"/>
      <c r="AL40" s="146"/>
      <c r="AM40" s="146"/>
      <c r="AN40" s="146"/>
      <c r="AO40" s="146"/>
      <c r="AP40" s="146"/>
      <c r="AQ40" s="146"/>
      <c r="AR40" s="146"/>
      <c r="AS40" s="146"/>
      <c r="AT40" s="146"/>
      <c r="AU40" s="146"/>
      <c r="AV40" s="146"/>
      <c r="AW40" s="146"/>
      <c r="AX40" s="146"/>
      <c r="AY40" s="146"/>
      <c r="AZ40" s="146"/>
      <c r="BA40" s="146"/>
      <c r="BB40" s="146"/>
      <c r="BC40" s="146"/>
      <c r="BD40" s="146"/>
      <c r="BE40" s="146"/>
      <c r="BF40" s="146"/>
      <c r="BG40" s="146"/>
      <c r="BH40" s="146"/>
      <c r="BI40" s="146"/>
      <c r="BJ40" s="146"/>
      <c r="BK40" s="146"/>
      <c r="BL40" s="146"/>
      <c r="BM40" s="146"/>
      <c r="BN40" s="146"/>
      <c r="BO40" s="146"/>
      <c r="BP40" s="146"/>
      <c r="BQ40" s="146"/>
      <c r="BR40" s="146"/>
      <c r="BS40" s="146"/>
      <c r="BT40" s="146"/>
      <c r="BU40" s="146"/>
      <c r="BV40" s="146"/>
      <c r="BW40" s="146"/>
      <c r="BX40" s="146"/>
      <c r="BY40" s="146"/>
      <c r="BZ40" s="146"/>
      <c r="CA40" s="146"/>
      <c r="CB40" s="146"/>
      <c r="CC40" s="146"/>
      <c r="CD40" s="146"/>
      <c r="CE40" s="146"/>
      <c r="CF40" s="146"/>
      <c r="CG40" s="146"/>
      <c r="CH40" s="146"/>
      <c r="CI40" s="146"/>
      <c r="CJ40" s="146"/>
      <c r="CK40" s="146"/>
      <c r="CL40" s="146"/>
      <c r="CM40" s="146"/>
      <c r="CN40" s="146"/>
      <c r="CO40" s="146"/>
      <c r="CP40" s="146"/>
      <c r="CQ40" s="146"/>
      <c r="CR40" s="146"/>
      <c r="CS40" s="146"/>
      <c r="CT40" s="146"/>
      <c r="CU40" s="146"/>
      <c r="CV40" s="146"/>
      <c r="CW40" s="146"/>
      <c r="CX40" s="146"/>
      <c r="CY40" s="146"/>
      <c r="CZ40" s="146"/>
      <c r="DA40" s="146"/>
      <c r="DB40" s="146"/>
      <c r="DC40" s="146"/>
      <c r="DD40" s="146"/>
      <c r="DE40" s="146"/>
      <c r="DF40" s="146"/>
      <c r="DG40" s="146"/>
      <c r="DH40" s="146"/>
      <c r="DI40" s="146"/>
      <c r="DJ40" s="146"/>
    </row>
    <row r="41" spans="1:114" s="147" customFormat="1" ht="16.5" x14ac:dyDescent="0.25">
      <c r="A41" s="107" t="s">
        <v>323</v>
      </c>
      <c r="B41" s="107"/>
      <c r="C41" s="107"/>
      <c r="D41" s="107"/>
      <c r="E41" s="148"/>
      <c r="F41" s="107"/>
      <c r="G41" s="107"/>
      <c r="H41" s="107"/>
      <c r="I41" s="107"/>
      <c r="J41" s="107"/>
      <c r="K41" s="107"/>
      <c r="L41" s="107"/>
      <c r="M41" s="107"/>
      <c r="N41" s="129"/>
      <c r="O41" s="146"/>
      <c r="P41" s="149"/>
      <c r="Q41" s="146"/>
      <c r="R41" s="146"/>
      <c r="S41" s="146"/>
      <c r="T41" s="146"/>
      <c r="U41" s="146"/>
      <c r="V41" s="146"/>
      <c r="W41" s="146"/>
      <c r="X41" s="146"/>
      <c r="Y41" s="146"/>
      <c r="Z41" s="146"/>
      <c r="AA41" s="146"/>
      <c r="AB41" s="146"/>
      <c r="AC41" s="146"/>
      <c r="AD41" s="146"/>
      <c r="AE41" s="146"/>
      <c r="AF41" s="146"/>
      <c r="AG41" s="146"/>
      <c r="AH41" s="146"/>
      <c r="AI41" s="146"/>
      <c r="AJ41" s="146"/>
      <c r="AK41" s="146"/>
      <c r="AL41" s="146"/>
      <c r="AM41" s="146"/>
      <c r="AN41" s="146"/>
      <c r="AO41" s="146"/>
      <c r="AP41" s="146"/>
      <c r="AQ41" s="146"/>
      <c r="AR41" s="146"/>
      <c r="AS41" s="146"/>
      <c r="AT41" s="146"/>
      <c r="AU41" s="146"/>
      <c r="AV41" s="146"/>
      <c r="AW41" s="146"/>
      <c r="AX41" s="146"/>
      <c r="AY41" s="146"/>
      <c r="AZ41" s="146"/>
      <c r="BA41" s="146"/>
      <c r="BB41" s="146"/>
      <c r="BC41" s="146"/>
      <c r="BD41" s="146"/>
      <c r="BE41" s="146"/>
      <c r="BF41" s="146"/>
      <c r="BG41" s="146"/>
      <c r="BH41" s="146"/>
      <c r="BI41" s="146"/>
      <c r="BJ41" s="146"/>
      <c r="BK41" s="146"/>
      <c r="BL41" s="146"/>
      <c r="BM41" s="146"/>
      <c r="BN41" s="146"/>
      <c r="BO41" s="146"/>
      <c r="BP41" s="146"/>
      <c r="BQ41" s="146"/>
      <c r="BR41" s="146"/>
      <c r="BS41" s="146"/>
      <c r="BT41" s="146"/>
      <c r="BU41" s="146"/>
      <c r="BV41" s="146"/>
      <c r="BW41" s="146"/>
      <c r="BX41" s="146"/>
      <c r="BY41" s="146"/>
      <c r="BZ41" s="146"/>
      <c r="CA41" s="146"/>
      <c r="CB41" s="146"/>
      <c r="CC41" s="146"/>
      <c r="CD41" s="146"/>
      <c r="CE41" s="146"/>
      <c r="CF41" s="146"/>
      <c r="CG41" s="146"/>
      <c r="CH41" s="146"/>
      <c r="CI41" s="146"/>
      <c r="CJ41" s="146"/>
      <c r="CK41" s="146"/>
      <c r="CL41" s="146"/>
      <c r="CM41" s="146"/>
      <c r="CN41" s="146"/>
      <c r="CO41" s="146"/>
      <c r="CP41" s="146"/>
      <c r="CQ41" s="146"/>
      <c r="CR41" s="146"/>
      <c r="CS41" s="146"/>
      <c r="CT41" s="146"/>
      <c r="CU41" s="146"/>
      <c r="CV41" s="146"/>
      <c r="CW41" s="146"/>
      <c r="CX41" s="146"/>
      <c r="CY41" s="146"/>
      <c r="CZ41" s="146"/>
      <c r="DA41" s="146"/>
      <c r="DB41" s="146"/>
      <c r="DC41" s="146"/>
      <c r="DD41" s="146"/>
      <c r="DE41" s="146"/>
      <c r="DF41" s="146"/>
      <c r="DG41" s="146"/>
      <c r="DH41" s="146"/>
      <c r="DI41" s="146"/>
      <c r="DJ41" s="146"/>
    </row>
    <row r="42" spans="1:114" s="147" customFormat="1" ht="16.5" x14ac:dyDescent="0.25">
      <c r="A42" s="107" t="s">
        <v>324</v>
      </c>
      <c r="B42" s="107"/>
      <c r="C42" s="107"/>
      <c r="D42" s="107"/>
      <c r="E42" s="148"/>
      <c r="F42" s="107"/>
      <c r="G42" s="107"/>
      <c r="H42" s="107"/>
      <c r="I42" s="107"/>
      <c r="J42" s="107"/>
      <c r="K42" s="107"/>
      <c r="L42" s="107"/>
      <c r="M42" s="107"/>
      <c r="N42" s="129"/>
      <c r="O42" s="146"/>
      <c r="P42" s="146"/>
      <c r="Q42" s="146"/>
      <c r="R42" s="146"/>
      <c r="S42" s="146"/>
      <c r="T42" s="146"/>
      <c r="U42" s="146"/>
      <c r="V42" s="146"/>
      <c r="W42" s="146"/>
      <c r="X42" s="146"/>
      <c r="Y42" s="146"/>
      <c r="Z42" s="146"/>
      <c r="AA42" s="146"/>
      <c r="AB42" s="146"/>
      <c r="AC42" s="146"/>
      <c r="AD42" s="146"/>
      <c r="AE42" s="146"/>
      <c r="AF42" s="146"/>
      <c r="AG42" s="146"/>
      <c r="AH42" s="146"/>
      <c r="AI42" s="146"/>
      <c r="AJ42" s="146"/>
      <c r="AK42" s="146"/>
      <c r="AL42" s="146"/>
      <c r="AM42" s="146"/>
      <c r="AN42" s="146"/>
      <c r="AO42" s="146"/>
      <c r="AP42" s="146"/>
      <c r="AQ42" s="146"/>
      <c r="AR42" s="146"/>
      <c r="AS42" s="146"/>
      <c r="AT42" s="146"/>
      <c r="AU42" s="146"/>
      <c r="AV42" s="146"/>
      <c r="AW42" s="146"/>
      <c r="AX42" s="146"/>
      <c r="AY42" s="146"/>
      <c r="AZ42" s="146"/>
      <c r="BA42" s="146"/>
      <c r="BB42" s="146"/>
      <c r="BC42" s="146"/>
      <c r="BD42" s="146"/>
      <c r="BE42" s="146"/>
      <c r="BF42" s="146"/>
      <c r="BG42" s="146"/>
      <c r="BH42" s="146"/>
      <c r="BI42" s="146"/>
      <c r="BJ42" s="146"/>
      <c r="BK42" s="146"/>
      <c r="BL42" s="146"/>
      <c r="BM42" s="146"/>
      <c r="BN42" s="146"/>
      <c r="BO42" s="146"/>
      <c r="BP42" s="146"/>
      <c r="BQ42" s="146"/>
      <c r="BR42" s="146"/>
      <c r="BS42" s="146"/>
      <c r="BT42" s="146"/>
      <c r="BU42" s="146"/>
      <c r="BV42" s="146"/>
      <c r="BW42" s="146"/>
      <c r="BX42" s="146"/>
      <c r="BY42" s="146"/>
      <c r="BZ42" s="146"/>
      <c r="CA42" s="146"/>
      <c r="CB42" s="146"/>
      <c r="CC42" s="146"/>
      <c r="CD42" s="146"/>
      <c r="CE42" s="146"/>
      <c r="CF42" s="146"/>
      <c r="CG42" s="146"/>
      <c r="CH42" s="146"/>
      <c r="CI42" s="146"/>
      <c r="CJ42" s="146"/>
      <c r="CK42" s="146"/>
      <c r="CL42" s="146"/>
      <c r="CM42" s="146"/>
      <c r="CN42" s="146"/>
      <c r="CO42" s="146"/>
      <c r="CP42" s="146"/>
      <c r="CQ42" s="146"/>
      <c r="CR42" s="146"/>
      <c r="CS42" s="146"/>
      <c r="CT42" s="146"/>
      <c r="CU42" s="146"/>
      <c r="CV42" s="146"/>
      <c r="CW42" s="146"/>
      <c r="CX42" s="146"/>
      <c r="CY42" s="146"/>
      <c r="CZ42" s="146"/>
      <c r="DA42" s="146"/>
      <c r="DB42" s="146"/>
      <c r="DC42" s="146"/>
      <c r="DD42" s="146"/>
      <c r="DE42" s="146"/>
      <c r="DF42" s="146"/>
      <c r="DG42" s="146"/>
      <c r="DH42" s="146"/>
      <c r="DI42" s="146"/>
      <c r="DJ42" s="146"/>
    </row>
    <row r="43" spans="1:114" s="147" customFormat="1" ht="16.5" x14ac:dyDescent="0.25">
      <c r="A43" s="107" t="s">
        <v>325</v>
      </c>
      <c r="B43" s="107"/>
      <c r="C43" s="107"/>
      <c r="D43" s="107"/>
      <c r="E43" s="107"/>
      <c r="F43" s="107"/>
      <c r="G43" s="107"/>
      <c r="H43" s="107"/>
      <c r="I43" s="107"/>
      <c r="J43" s="107"/>
      <c r="K43" s="107"/>
      <c r="L43" s="107"/>
      <c r="M43" s="107"/>
      <c r="N43" s="129"/>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146"/>
      <c r="BN43" s="146"/>
      <c r="BO43" s="146"/>
      <c r="BP43" s="146"/>
      <c r="BQ43" s="146"/>
      <c r="BR43" s="146"/>
      <c r="BS43" s="146"/>
      <c r="BT43" s="146"/>
      <c r="BU43" s="146"/>
      <c r="BV43" s="146"/>
      <c r="BW43" s="146"/>
      <c r="BX43" s="146"/>
      <c r="BY43" s="146"/>
      <c r="BZ43" s="146"/>
      <c r="CA43" s="146"/>
      <c r="CB43" s="146"/>
      <c r="CC43" s="146"/>
      <c r="CD43" s="146"/>
      <c r="CE43" s="146"/>
      <c r="CF43" s="146"/>
      <c r="CG43" s="146"/>
      <c r="CH43" s="146"/>
      <c r="CI43" s="146"/>
      <c r="CJ43" s="146"/>
      <c r="CK43" s="146"/>
      <c r="CL43" s="146"/>
      <c r="CM43" s="146"/>
      <c r="CN43" s="146"/>
      <c r="CO43" s="146"/>
      <c r="CP43" s="146"/>
      <c r="CQ43" s="146"/>
      <c r="CR43" s="146"/>
      <c r="CS43" s="146"/>
      <c r="CT43" s="146"/>
      <c r="CU43" s="146"/>
      <c r="CV43" s="146"/>
      <c r="CW43" s="146"/>
      <c r="CX43" s="146"/>
      <c r="CY43" s="146"/>
      <c r="CZ43" s="146"/>
      <c r="DA43" s="146"/>
      <c r="DB43" s="146"/>
      <c r="DC43" s="146"/>
      <c r="DD43" s="146"/>
      <c r="DE43" s="146"/>
      <c r="DF43" s="146"/>
      <c r="DG43" s="146"/>
      <c r="DH43" s="146"/>
      <c r="DI43" s="146"/>
      <c r="DJ43" s="146"/>
    </row>
    <row r="44" spans="1:114" s="147" customFormat="1" ht="16.5" x14ac:dyDescent="0.25">
      <c r="A44" s="107" t="s">
        <v>312</v>
      </c>
      <c r="B44" s="107"/>
      <c r="C44" s="107"/>
      <c r="D44" s="107"/>
      <c r="E44" s="107"/>
      <c r="F44" s="107"/>
      <c r="G44" s="107"/>
      <c r="H44" s="107"/>
      <c r="I44" s="107"/>
      <c r="J44" s="107"/>
      <c r="K44" s="107"/>
      <c r="L44" s="107"/>
      <c r="M44" s="107"/>
      <c r="N44" s="129"/>
      <c r="O44" s="146"/>
      <c r="P44" s="146"/>
      <c r="Q44" s="146"/>
      <c r="R44" s="146"/>
      <c r="S44" s="146"/>
      <c r="T44" s="146"/>
      <c r="U44" s="146"/>
      <c r="V44" s="146"/>
      <c r="W44" s="146"/>
      <c r="X44" s="146"/>
      <c r="Y44" s="146"/>
      <c r="Z44" s="146"/>
      <c r="AA44" s="146"/>
      <c r="AB44" s="146"/>
      <c r="AC44" s="146"/>
      <c r="AD44" s="146"/>
      <c r="AE44" s="146"/>
      <c r="AF44" s="146"/>
      <c r="AG44" s="146"/>
      <c r="AH44" s="146"/>
      <c r="AI44" s="146"/>
      <c r="AJ44" s="146"/>
      <c r="AK44" s="146"/>
      <c r="AL44" s="146"/>
      <c r="AM44" s="146"/>
      <c r="AN44" s="146"/>
      <c r="AO44" s="146"/>
      <c r="AP44" s="146"/>
      <c r="AQ44" s="146"/>
      <c r="AR44" s="146"/>
      <c r="AS44" s="146"/>
      <c r="AT44" s="146"/>
      <c r="AU44" s="146"/>
      <c r="AV44" s="146"/>
      <c r="AW44" s="146"/>
      <c r="AX44" s="146"/>
      <c r="AY44" s="146"/>
      <c r="AZ44" s="146"/>
      <c r="BA44" s="146"/>
      <c r="BB44" s="146"/>
      <c r="BC44" s="146"/>
      <c r="BD44" s="146"/>
      <c r="BE44" s="146"/>
      <c r="BF44" s="146"/>
      <c r="BG44" s="146"/>
      <c r="BH44" s="146"/>
      <c r="BI44" s="146"/>
      <c r="BJ44" s="146"/>
      <c r="BK44" s="146"/>
      <c r="BL44" s="146"/>
      <c r="BM44" s="146"/>
      <c r="BN44" s="146"/>
      <c r="BO44" s="146"/>
      <c r="BP44" s="146"/>
      <c r="BQ44" s="146"/>
      <c r="BR44" s="146"/>
      <c r="BS44" s="146"/>
      <c r="BT44" s="146"/>
      <c r="BU44" s="146"/>
      <c r="BV44" s="146"/>
      <c r="BW44" s="146"/>
      <c r="BX44" s="146"/>
      <c r="BY44" s="146"/>
      <c r="BZ44" s="146"/>
      <c r="CA44" s="146"/>
      <c r="CB44" s="146"/>
      <c r="CC44" s="146"/>
      <c r="CD44" s="146"/>
      <c r="CE44" s="146"/>
      <c r="CF44" s="146"/>
      <c r="CG44" s="146"/>
      <c r="CH44" s="146"/>
      <c r="CI44" s="146"/>
      <c r="CJ44" s="146"/>
      <c r="CK44" s="146"/>
      <c r="CL44" s="146"/>
      <c r="CM44" s="146"/>
      <c r="CN44" s="146"/>
      <c r="CO44" s="146"/>
      <c r="CP44" s="146"/>
      <c r="CQ44" s="146"/>
      <c r="CR44" s="146"/>
      <c r="CS44" s="146"/>
      <c r="CT44" s="146"/>
      <c r="CU44" s="146"/>
      <c r="CV44" s="146"/>
      <c r="CW44" s="146"/>
      <c r="CX44" s="146"/>
      <c r="CY44" s="146"/>
      <c r="CZ44" s="146"/>
      <c r="DA44" s="146"/>
      <c r="DB44" s="146"/>
      <c r="DC44" s="146"/>
      <c r="DD44" s="146"/>
      <c r="DE44" s="146"/>
      <c r="DF44" s="146"/>
      <c r="DG44" s="146"/>
      <c r="DH44" s="146"/>
      <c r="DI44" s="146"/>
      <c r="DJ44" s="146"/>
    </row>
    <row r="45" spans="1:114" s="147" customFormat="1" ht="16.5" x14ac:dyDescent="0.25">
      <c r="A45" s="107" t="s">
        <v>326</v>
      </c>
      <c r="B45" s="107"/>
      <c r="C45" s="107"/>
      <c r="D45" s="107"/>
      <c r="E45" s="107"/>
      <c r="F45" s="107"/>
      <c r="G45" s="107"/>
      <c r="H45" s="107"/>
      <c r="I45" s="107"/>
      <c r="J45" s="107"/>
      <c r="K45" s="107"/>
      <c r="L45" s="107"/>
      <c r="M45" s="107"/>
      <c r="N45" s="129"/>
      <c r="O45" s="146"/>
      <c r="P45" s="146"/>
      <c r="Q45" s="146"/>
      <c r="R45" s="146"/>
      <c r="S45" s="146"/>
      <c r="T45" s="146"/>
      <c r="U45" s="146"/>
      <c r="V45" s="146"/>
      <c r="W45" s="146"/>
      <c r="X45" s="146"/>
      <c r="Y45" s="146"/>
      <c r="Z45" s="146"/>
      <c r="AA45" s="146"/>
      <c r="AB45" s="146"/>
      <c r="AC45" s="146"/>
      <c r="AD45" s="146"/>
      <c r="AE45" s="146"/>
      <c r="AF45" s="146"/>
      <c r="AG45" s="146"/>
      <c r="AH45" s="146"/>
      <c r="AI45" s="146"/>
      <c r="AJ45" s="146"/>
      <c r="AK45" s="146"/>
      <c r="AL45" s="146"/>
      <c r="AM45" s="146"/>
      <c r="AN45" s="146"/>
      <c r="AO45" s="146"/>
      <c r="AP45" s="146"/>
      <c r="AQ45" s="146"/>
      <c r="AR45" s="146"/>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c r="BP45" s="146"/>
      <c r="BQ45" s="146"/>
      <c r="BR45" s="146"/>
      <c r="BS45" s="146"/>
      <c r="BT45" s="146"/>
      <c r="BU45" s="146"/>
      <c r="BV45" s="146"/>
      <c r="BW45" s="146"/>
      <c r="BX45" s="146"/>
      <c r="BY45" s="146"/>
      <c r="BZ45" s="146"/>
      <c r="CA45" s="146"/>
      <c r="CB45" s="146"/>
      <c r="CC45" s="146"/>
      <c r="CD45" s="146"/>
      <c r="CE45" s="146"/>
      <c r="CF45" s="146"/>
      <c r="CG45" s="146"/>
      <c r="CH45" s="146"/>
      <c r="CI45" s="146"/>
      <c r="CJ45" s="146"/>
      <c r="CK45" s="146"/>
      <c r="CL45" s="146"/>
      <c r="CM45" s="146"/>
      <c r="CN45" s="146"/>
      <c r="CO45" s="146"/>
      <c r="CP45" s="146"/>
      <c r="CQ45" s="146"/>
      <c r="CR45" s="146"/>
      <c r="CS45" s="146"/>
      <c r="CT45" s="146"/>
      <c r="CU45" s="146"/>
      <c r="CV45" s="146"/>
      <c r="CW45" s="146"/>
      <c r="CX45" s="146"/>
      <c r="CY45" s="146"/>
      <c r="CZ45" s="146"/>
      <c r="DA45" s="146"/>
      <c r="DB45" s="146"/>
      <c r="DC45" s="146"/>
      <c r="DD45" s="146"/>
      <c r="DE45" s="146"/>
      <c r="DF45" s="146"/>
      <c r="DG45" s="146"/>
      <c r="DH45" s="146"/>
      <c r="DI45" s="146"/>
      <c r="DJ45" s="146"/>
    </row>
    <row r="46" spans="1:114" s="147" customFormat="1" ht="16.5" x14ac:dyDescent="0.25">
      <c r="A46" s="107" t="s">
        <v>327</v>
      </c>
      <c r="B46" s="107"/>
      <c r="C46" s="107"/>
      <c r="D46" s="107"/>
      <c r="E46" s="107"/>
      <c r="F46" s="107"/>
      <c r="G46" s="107"/>
      <c r="H46" s="107"/>
      <c r="I46" s="107"/>
      <c r="J46" s="107"/>
      <c r="K46" s="107"/>
      <c r="L46" s="107"/>
      <c r="M46" s="107"/>
      <c r="N46" s="129"/>
      <c r="O46" s="146"/>
      <c r="P46" s="146"/>
      <c r="Q46" s="146"/>
      <c r="R46" s="146"/>
      <c r="S46" s="146"/>
      <c r="T46" s="146"/>
      <c r="U46" s="146"/>
      <c r="V46" s="146"/>
      <c r="W46" s="146"/>
      <c r="X46" s="146"/>
      <c r="Y46" s="146"/>
      <c r="Z46" s="146"/>
      <c r="AA46" s="146"/>
      <c r="AB46" s="146"/>
      <c r="AC46" s="146"/>
      <c r="AD46" s="146"/>
      <c r="AE46" s="146"/>
      <c r="AF46" s="146"/>
      <c r="AG46" s="146"/>
      <c r="AH46" s="146"/>
      <c r="AI46" s="146"/>
      <c r="AJ46" s="146"/>
      <c r="AK46" s="146"/>
      <c r="AL46" s="146"/>
      <c r="AM46" s="146"/>
      <c r="AN46" s="146"/>
      <c r="AO46" s="146"/>
      <c r="AP46" s="146"/>
      <c r="AQ46" s="146"/>
      <c r="AR46" s="146"/>
      <c r="AS46" s="146"/>
      <c r="AT46" s="146"/>
      <c r="AU46" s="146"/>
      <c r="AV46" s="146"/>
      <c r="AW46" s="146"/>
      <c r="AX46" s="146"/>
      <c r="AY46" s="146"/>
      <c r="AZ46" s="146"/>
      <c r="BA46" s="146"/>
      <c r="BB46" s="146"/>
      <c r="BC46" s="146"/>
      <c r="BD46" s="146"/>
      <c r="BE46" s="146"/>
      <c r="BF46" s="146"/>
      <c r="BG46" s="146"/>
      <c r="BH46" s="146"/>
      <c r="BI46" s="146"/>
      <c r="BJ46" s="146"/>
      <c r="BK46" s="146"/>
      <c r="BL46" s="146"/>
      <c r="BM46" s="146"/>
      <c r="BN46" s="146"/>
      <c r="BO46" s="146"/>
      <c r="BP46" s="146"/>
      <c r="BQ46" s="146"/>
      <c r="BR46" s="146"/>
      <c r="BS46" s="146"/>
      <c r="BT46" s="146"/>
      <c r="BU46" s="146"/>
      <c r="BV46" s="146"/>
      <c r="BW46" s="146"/>
      <c r="BX46" s="146"/>
      <c r="BY46" s="146"/>
      <c r="BZ46" s="146"/>
      <c r="CA46" s="146"/>
      <c r="CB46" s="146"/>
      <c r="CC46" s="146"/>
      <c r="CD46" s="146"/>
      <c r="CE46" s="146"/>
      <c r="CF46" s="146"/>
      <c r="CG46" s="146"/>
      <c r="CH46" s="146"/>
      <c r="CI46" s="146"/>
      <c r="CJ46" s="146"/>
      <c r="CK46" s="146"/>
      <c r="CL46" s="146"/>
      <c r="CM46" s="146"/>
      <c r="CN46" s="146"/>
      <c r="CO46" s="146"/>
      <c r="CP46" s="146"/>
      <c r="CQ46" s="146"/>
      <c r="CR46" s="146"/>
      <c r="CS46" s="146"/>
      <c r="CT46" s="146"/>
      <c r="CU46" s="146"/>
      <c r="CV46" s="146"/>
      <c r="CW46" s="146"/>
      <c r="CX46" s="146"/>
      <c r="CY46" s="146"/>
      <c r="CZ46" s="146"/>
      <c r="DA46" s="146"/>
      <c r="DB46" s="146"/>
      <c r="DC46" s="146"/>
      <c r="DD46" s="146"/>
      <c r="DE46" s="146"/>
      <c r="DF46" s="146"/>
      <c r="DG46" s="146"/>
      <c r="DH46" s="146"/>
      <c r="DI46" s="146"/>
      <c r="DJ46" s="146"/>
    </row>
    <row r="47" spans="1:114" s="147" customFormat="1" ht="16.5" x14ac:dyDescent="0.25">
      <c r="A47" s="107" t="s">
        <v>313</v>
      </c>
      <c r="B47" s="107"/>
      <c r="C47" s="107"/>
      <c r="D47" s="107"/>
      <c r="E47" s="107"/>
      <c r="F47" s="107"/>
      <c r="G47" s="107"/>
      <c r="H47" s="107"/>
      <c r="I47" s="107"/>
      <c r="J47" s="107"/>
      <c r="K47" s="107"/>
      <c r="L47" s="107"/>
      <c r="M47" s="107"/>
      <c r="N47" s="129"/>
      <c r="O47" s="146"/>
      <c r="P47" s="146"/>
      <c r="Q47" s="146"/>
      <c r="R47" s="146"/>
      <c r="S47" s="146"/>
      <c r="T47" s="146"/>
      <c r="U47" s="146"/>
      <c r="V47" s="146"/>
      <c r="W47" s="146"/>
      <c r="X47" s="146"/>
      <c r="Y47" s="146"/>
      <c r="Z47" s="146"/>
      <c r="AA47" s="146"/>
      <c r="AB47" s="146"/>
      <c r="AC47" s="146"/>
      <c r="AD47" s="146"/>
      <c r="AE47" s="146"/>
      <c r="AF47" s="146"/>
      <c r="AG47" s="146"/>
      <c r="AH47" s="146"/>
      <c r="AI47" s="146"/>
      <c r="AJ47" s="146"/>
      <c r="AK47" s="146"/>
      <c r="AL47" s="146"/>
      <c r="AM47" s="146"/>
      <c r="AN47" s="146"/>
      <c r="AO47" s="146"/>
      <c r="AP47" s="146"/>
      <c r="AQ47" s="146"/>
      <c r="AR47" s="146"/>
      <c r="AS47" s="146"/>
      <c r="AT47" s="146"/>
      <c r="AU47" s="146"/>
      <c r="AV47" s="146"/>
      <c r="AW47" s="146"/>
      <c r="AX47" s="146"/>
      <c r="AY47" s="146"/>
      <c r="AZ47" s="146"/>
      <c r="BA47" s="146"/>
      <c r="BB47" s="146"/>
      <c r="BC47" s="146"/>
      <c r="BD47" s="146"/>
      <c r="BE47" s="146"/>
      <c r="BF47" s="146"/>
      <c r="BG47" s="146"/>
      <c r="BH47" s="146"/>
      <c r="BI47" s="146"/>
      <c r="BJ47" s="146"/>
      <c r="BK47" s="146"/>
      <c r="BL47" s="146"/>
      <c r="BM47" s="146"/>
      <c r="BN47" s="146"/>
      <c r="BO47" s="146"/>
      <c r="BP47" s="146"/>
      <c r="BQ47" s="146"/>
      <c r="BR47" s="146"/>
      <c r="BS47" s="146"/>
      <c r="BT47" s="146"/>
      <c r="BU47" s="146"/>
      <c r="BV47" s="146"/>
      <c r="BW47" s="146"/>
      <c r="BX47" s="146"/>
      <c r="BY47" s="146"/>
      <c r="BZ47" s="146"/>
      <c r="CA47" s="146"/>
      <c r="CB47" s="146"/>
      <c r="CC47" s="146"/>
      <c r="CD47" s="146"/>
      <c r="CE47" s="146"/>
      <c r="CF47" s="146"/>
      <c r="CG47" s="146"/>
      <c r="CH47" s="146"/>
      <c r="CI47" s="146"/>
      <c r="CJ47" s="146"/>
      <c r="CK47" s="146"/>
      <c r="CL47" s="146"/>
      <c r="CM47" s="146"/>
      <c r="CN47" s="146"/>
      <c r="CO47" s="146"/>
      <c r="CP47" s="146"/>
      <c r="CQ47" s="146"/>
      <c r="CR47" s="146"/>
      <c r="CS47" s="146"/>
      <c r="CT47" s="146"/>
      <c r="CU47" s="146"/>
      <c r="CV47" s="146"/>
      <c r="CW47" s="146"/>
      <c r="CX47" s="146"/>
      <c r="CY47" s="146"/>
      <c r="CZ47" s="146"/>
      <c r="DA47" s="146"/>
      <c r="DB47" s="146"/>
      <c r="DC47" s="146"/>
      <c r="DD47" s="146"/>
      <c r="DE47" s="146"/>
      <c r="DF47" s="146"/>
      <c r="DG47" s="146"/>
      <c r="DH47" s="146"/>
      <c r="DI47" s="146"/>
      <c r="DJ47" s="146"/>
    </row>
    <row r="48" spans="1:114" s="147" customFormat="1" ht="16.5" x14ac:dyDescent="0.25">
      <c r="A48" s="107" t="s">
        <v>314</v>
      </c>
      <c r="B48" s="107"/>
      <c r="C48" s="107"/>
      <c r="D48" s="107"/>
      <c r="E48" s="107"/>
      <c r="F48" s="107"/>
      <c r="G48" s="107"/>
      <c r="H48" s="107"/>
      <c r="I48" s="107"/>
      <c r="J48" s="107"/>
      <c r="K48" s="107"/>
      <c r="L48" s="107"/>
      <c r="M48" s="107"/>
      <c r="N48" s="129"/>
      <c r="O48" s="146"/>
      <c r="P48" s="146"/>
      <c r="Q48" s="146"/>
      <c r="R48" s="146"/>
      <c r="S48" s="146"/>
      <c r="T48" s="146"/>
      <c r="U48" s="146"/>
      <c r="V48" s="146"/>
      <c r="W48" s="146"/>
      <c r="X48" s="146"/>
      <c r="Y48" s="146"/>
      <c r="Z48" s="146"/>
      <c r="AA48" s="146"/>
      <c r="AB48" s="146"/>
      <c r="AC48" s="146"/>
      <c r="AD48" s="146"/>
      <c r="AE48" s="146"/>
      <c r="AF48" s="146"/>
      <c r="AG48" s="146"/>
      <c r="AH48" s="146"/>
      <c r="AI48" s="146"/>
      <c r="AJ48" s="146"/>
      <c r="AK48" s="146"/>
      <c r="AL48" s="146"/>
      <c r="AM48" s="146"/>
      <c r="AN48" s="146"/>
      <c r="AO48" s="146"/>
      <c r="AP48" s="146"/>
      <c r="AQ48" s="146"/>
      <c r="AR48" s="146"/>
      <c r="AS48" s="146"/>
      <c r="AT48" s="146"/>
      <c r="AU48" s="146"/>
      <c r="AV48" s="146"/>
      <c r="AW48" s="146"/>
      <c r="AX48" s="146"/>
      <c r="AY48" s="146"/>
      <c r="AZ48" s="146"/>
      <c r="BA48" s="146"/>
      <c r="BB48" s="146"/>
      <c r="BC48" s="146"/>
      <c r="BD48" s="146"/>
      <c r="BE48" s="146"/>
      <c r="BF48" s="146"/>
      <c r="BG48" s="146"/>
      <c r="BH48" s="146"/>
      <c r="BI48" s="146"/>
      <c r="BJ48" s="146"/>
      <c r="BK48" s="146"/>
      <c r="BL48" s="146"/>
      <c r="BM48" s="146"/>
      <c r="BN48" s="146"/>
      <c r="BO48" s="146"/>
      <c r="BP48" s="146"/>
      <c r="BQ48" s="146"/>
      <c r="BR48" s="146"/>
      <c r="BS48" s="146"/>
      <c r="BT48" s="146"/>
      <c r="BU48" s="146"/>
      <c r="BV48" s="146"/>
      <c r="BW48" s="146"/>
      <c r="BX48" s="146"/>
      <c r="BY48" s="146"/>
      <c r="BZ48" s="146"/>
      <c r="CA48" s="146"/>
      <c r="CB48" s="146"/>
      <c r="CC48" s="146"/>
      <c r="CD48" s="146"/>
      <c r="CE48" s="146"/>
      <c r="CF48" s="146"/>
      <c r="CG48" s="146"/>
      <c r="CH48" s="146"/>
      <c r="CI48" s="146"/>
      <c r="CJ48" s="146"/>
      <c r="CK48" s="146"/>
      <c r="CL48" s="146"/>
      <c r="CM48" s="146"/>
      <c r="CN48" s="146"/>
      <c r="CO48" s="146"/>
      <c r="CP48" s="146"/>
      <c r="CQ48" s="146"/>
      <c r="CR48" s="146"/>
      <c r="CS48" s="146"/>
      <c r="CT48" s="146"/>
      <c r="CU48" s="146"/>
      <c r="CV48" s="146"/>
      <c r="CW48" s="146"/>
      <c r="CX48" s="146"/>
      <c r="CY48" s="146"/>
      <c r="CZ48" s="146"/>
      <c r="DA48" s="146"/>
      <c r="DB48" s="146"/>
      <c r="DC48" s="146"/>
      <c r="DD48" s="146"/>
      <c r="DE48" s="146"/>
      <c r="DF48" s="146"/>
      <c r="DG48" s="146"/>
      <c r="DH48" s="146"/>
      <c r="DI48" s="146"/>
      <c r="DJ48" s="146"/>
    </row>
    <row r="49" spans="1:114" s="147" customFormat="1" ht="16.5" x14ac:dyDescent="0.25">
      <c r="A49" s="107" t="s">
        <v>315</v>
      </c>
      <c r="B49" s="107"/>
      <c r="C49" s="107"/>
      <c r="D49" s="107"/>
      <c r="E49" s="107"/>
      <c r="F49" s="107"/>
      <c r="G49" s="107"/>
      <c r="H49" s="107"/>
      <c r="I49" s="107"/>
      <c r="J49" s="107"/>
      <c r="K49" s="107"/>
      <c r="L49" s="107"/>
      <c r="M49" s="107"/>
      <c r="N49" s="129"/>
      <c r="O49" s="146"/>
      <c r="P49" s="146"/>
      <c r="Q49" s="146"/>
      <c r="R49" s="146"/>
      <c r="S49" s="146"/>
      <c r="T49" s="146"/>
      <c r="U49" s="146"/>
      <c r="V49" s="146"/>
      <c r="W49" s="146"/>
      <c r="X49" s="146"/>
      <c r="Y49" s="146"/>
      <c r="Z49" s="146"/>
      <c r="AA49" s="146"/>
      <c r="AB49" s="146"/>
      <c r="AC49" s="146"/>
      <c r="AD49" s="146"/>
      <c r="AE49" s="146"/>
      <c r="AF49" s="146"/>
      <c r="AG49" s="146"/>
      <c r="AH49" s="146"/>
      <c r="AI49" s="146"/>
      <c r="AJ49" s="146"/>
      <c r="AK49" s="146"/>
      <c r="AL49" s="146"/>
      <c r="AM49" s="146"/>
      <c r="AN49" s="146"/>
      <c r="AO49" s="146"/>
      <c r="AP49" s="146"/>
      <c r="AQ49" s="146"/>
      <c r="AR49" s="146"/>
      <c r="AS49" s="146"/>
      <c r="AT49" s="146"/>
      <c r="AU49" s="146"/>
      <c r="AV49" s="146"/>
      <c r="AW49" s="146"/>
      <c r="AX49" s="146"/>
      <c r="AY49" s="146"/>
      <c r="AZ49" s="146"/>
      <c r="BA49" s="146"/>
      <c r="BB49" s="146"/>
      <c r="BC49" s="146"/>
      <c r="BD49" s="146"/>
      <c r="BE49" s="146"/>
      <c r="BF49" s="146"/>
      <c r="BG49" s="146"/>
      <c r="BH49" s="146"/>
      <c r="BI49" s="146"/>
      <c r="BJ49" s="146"/>
      <c r="BK49" s="146"/>
      <c r="BL49" s="146"/>
      <c r="BM49" s="146"/>
      <c r="BN49" s="146"/>
      <c r="BO49" s="146"/>
      <c r="BP49" s="146"/>
      <c r="BQ49" s="146"/>
      <c r="BR49" s="146"/>
      <c r="BS49" s="146"/>
      <c r="BT49" s="146"/>
      <c r="BU49" s="146"/>
      <c r="BV49" s="146"/>
      <c r="BW49" s="146"/>
      <c r="BX49" s="146"/>
      <c r="BY49" s="146"/>
      <c r="BZ49" s="146"/>
      <c r="CA49" s="146"/>
      <c r="CB49" s="146"/>
      <c r="CC49" s="146"/>
      <c r="CD49" s="146"/>
      <c r="CE49" s="146"/>
      <c r="CF49" s="146"/>
      <c r="CG49" s="146"/>
      <c r="CH49" s="146"/>
      <c r="CI49" s="146"/>
      <c r="CJ49" s="146"/>
      <c r="CK49" s="146"/>
      <c r="CL49" s="146"/>
      <c r="CM49" s="146"/>
      <c r="CN49" s="146"/>
      <c r="CO49" s="146"/>
      <c r="CP49" s="146"/>
      <c r="CQ49" s="146"/>
      <c r="CR49" s="146"/>
      <c r="CS49" s="146"/>
      <c r="CT49" s="146"/>
      <c r="CU49" s="146"/>
      <c r="CV49" s="146"/>
      <c r="CW49" s="146"/>
      <c r="CX49" s="146"/>
      <c r="CY49" s="146"/>
      <c r="CZ49" s="146"/>
      <c r="DA49" s="146"/>
      <c r="DB49" s="146"/>
      <c r="DC49" s="146"/>
      <c r="DD49" s="146"/>
      <c r="DE49" s="146"/>
      <c r="DF49" s="146"/>
      <c r="DG49" s="146"/>
      <c r="DH49" s="146"/>
      <c r="DI49" s="146"/>
      <c r="DJ49" s="146"/>
    </row>
    <row r="50" spans="1:114" s="147" customFormat="1" ht="16.5" x14ac:dyDescent="0.25">
      <c r="A50" s="107" t="s">
        <v>316</v>
      </c>
      <c r="B50" s="107"/>
      <c r="C50" s="107"/>
      <c r="D50" s="107"/>
      <c r="E50" s="107"/>
      <c r="F50" s="107"/>
      <c r="G50" s="107"/>
      <c r="H50" s="107"/>
      <c r="I50" s="107"/>
      <c r="J50" s="107"/>
      <c r="K50" s="107"/>
      <c r="L50" s="107"/>
      <c r="M50" s="107"/>
      <c r="N50" s="129"/>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146"/>
      <c r="AY50" s="146"/>
      <c r="AZ50" s="146"/>
      <c r="BA50" s="146"/>
      <c r="BB50" s="146"/>
      <c r="BC50" s="146"/>
      <c r="BD50" s="146"/>
      <c r="BE50" s="146"/>
      <c r="BF50" s="146"/>
      <c r="BG50" s="146"/>
      <c r="BH50" s="146"/>
      <c r="BI50" s="146"/>
      <c r="BJ50" s="146"/>
      <c r="BK50" s="146"/>
      <c r="BL50" s="146"/>
      <c r="BM50" s="146"/>
      <c r="BN50" s="146"/>
      <c r="BO50" s="146"/>
      <c r="BP50" s="146"/>
      <c r="BQ50" s="146"/>
      <c r="BR50" s="146"/>
      <c r="BS50" s="146"/>
      <c r="BT50" s="146"/>
      <c r="BU50" s="146"/>
      <c r="BV50" s="146"/>
      <c r="BW50" s="146"/>
      <c r="BX50" s="146"/>
      <c r="BY50" s="146"/>
      <c r="BZ50" s="146"/>
      <c r="CA50" s="146"/>
      <c r="CB50" s="146"/>
      <c r="CC50" s="146"/>
      <c r="CD50" s="146"/>
      <c r="CE50" s="146"/>
      <c r="CF50" s="146"/>
      <c r="CG50" s="146"/>
      <c r="CH50" s="146"/>
      <c r="CI50" s="146"/>
      <c r="CJ50" s="146"/>
      <c r="CK50" s="146"/>
      <c r="CL50" s="146"/>
      <c r="CM50" s="146"/>
      <c r="CN50" s="146"/>
      <c r="CO50" s="146"/>
      <c r="CP50" s="146"/>
      <c r="CQ50" s="146"/>
      <c r="CR50" s="146"/>
      <c r="CS50" s="146"/>
      <c r="CT50" s="146"/>
      <c r="CU50" s="146"/>
      <c r="CV50" s="146"/>
      <c r="CW50" s="146"/>
      <c r="CX50" s="146"/>
      <c r="CY50" s="146"/>
      <c r="CZ50" s="146"/>
      <c r="DA50" s="146"/>
      <c r="DB50" s="146"/>
      <c r="DC50" s="146"/>
      <c r="DD50" s="146"/>
      <c r="DE50" s="146"/>
      <c r="DF50" s="146"/>
      <c r="DG50" s="146"/>
      <c r="DH50" s="146"/>
      <c r="DI50" s="146"/>
      <c r="DJ50" s="146"/>
    </row>
    <row r="51" spans="1:114" s="147" customFormat="1" ht="16.5" x14ac:dyDescent="0.25">
      <c r="A51" s="107" t="s">
        <v>317</v>
      </c>
      <c r="B51" s="107"/>
      <c r="C51" s="107"/>
      <c r="D51" s="107"/>
      <c r="E51" s="107"/>
      <c r="F51" s="107"/>
      <c r="G51" s="107"/>
      <c r="H51" s="107"/>
      <c r="I51" s="107"/>
      <c r="J51" s="107"/>
      <c r="K51" s="107"/>
      <c r="L51" s="107"/>
      <c r="M51" s="107"/>
      <c r="N51" s="129"/>
      <c r="O51" s="146"/>
      <c r="P51" s="146"/>
      <c r="Q51" s="146"/>
      <c r="R51" s="146"/>
      <c r="S51" s="146"/>
      <c r="T51" s="146"/>
      <c r="U51" s="146"/>
      <c r="V51" s="146"/>
      <c r="W51" s="146"/>
      <c r="X51" s="146"/>
      <c r="Y51" s="146"/>
      <c r="Z51" s="146"/>
      <c r="AA51" s="146"/>
      <c r="AB51" s="146"/>
      <c r="AC51" s="146"/>
      <c r="AD51" s="146"/>
      <c r="AE51" s="146"/>
      <c r="AF51" s="146"/>
      <c r="AG51" s="146"/>
      <c r="AH51" s="146"/>
      <c r="AI51" s="146"/>
      <c r="AJ51" s="146"/>
      <c r="AK51" s="146"/>
      <c r="AL51" s="146"/>
      <c r="AM51" s="146"/>
      <c r="AN51" s="146"/>
      <c r="AO51" s="146"/>
      <c r="AP51" s="146"/>
      <c r="AQ51" s="146"/>
      <c r="AR51" s="146"/>
      <c r="AS51" s="146"/>
      <c r="AT51" s="146"/>
      <c r="AU51" s="146"/>
      <c r="AV51" s="146"/>
      <c r="AW51" s="146"/>
      <c r="AX51" s="146"/>
      <c r="AY51" s="146"/>
      <c r="AZ51" s="146"/>
      <c r="BA51" s="146"/>
      <c r="BB51" s="146"/>
      <c r="BC51" s="146"/>
      <c r="BD51" s="146"/>
      <c r="BE51" s="146"/>
      <c r="BF51" s="146"/>
      <c r="BG51" s="146"/>
      <c r="BH51" s="146"/>
      <c r="BI51" s="146"/>
      <c r="BJ51" s="146"/>
      <c r="BK51" s="146"/>
      <c r="BL51" s="146"/>
      <c r="BM51" s="146"/>
      <c r="BN51" s="146"/>
      <c r="BO51" s="146"/>
      <c r="BP51" s="146"/>
      <c r="BQ51" s="146"/>
      <c r="BR51" s="146"/>
      <c r="BS51" s="146"/>
      <c r="BT51" s="146"/>
      <c r="BU51" s="146"/>
      <c r="BV51" s="146"/>
      <c r="BW51" s="146"/>
      <c r="BX51" s="146"/>
      <c r="BY51" s="146"/>
      <c r="BZ51" s="146"/>
      <c r="CA51" s="146"/>
      <c r="CB51" s="146"/>
      <c r="CC51" s="146"/>
      <c r="CD51" s="146"/>
      <c r="CE51" s="146"/>
      <c r="CF51" s="146"/>
      <c r="CG51" s="146"/>
      <c r="CH51" s="146"/>
      <c r="CI51" s="146"/>
      <c r="CJ51" s="146"/>
      <c r="CK51" s="146"/>
      <c r="CL51" s="146"/>
      <c r="CM51" s="146"/>
      <c r="CN51" s="146"/>
      <c r="CO51" s="146"/>
      <c r="CP51" s="146"/>
      <c r="CQ51" s="146"/>
      <c r="CR51" s="146"/>
      <c r="CS51" s="146"/>
      <c r="CT51" s="146"/>
      <c r="CU51" s="146"/>
      <c r="CV51" s="146"/>
      <c r="CW51" s="146"/>
      <c r="CX51" s="146"/>
      <c r="CY51" s="146"/>
      <c r="CZ51" s="146"/>
      <c r="DA51" s="146"/>
      <c r="DB51" s="146"/>
      <c r="DC51" s="146"/>
      <c r="DD51" s="146"/>
      <c r="DE51" s="146"/>
      <c r="DF51" s="146"/>
      <c r="DG51" s="146"/>
      <c r="DH51" s="146"/>
      <c r="DI51" s="146"/>
      <c r="DJ51" s="146"/>
    </row>
    <row r="52" spans="1:114" s="147" customFormat="1" ht="16.5" x14ac:dyDescent="0.25">
      <c r="A52" s="107" t="s">
        <v>318</v>
      </c>
      <c r="B52" s="107"/>
      <c r="C52" s="107"/>
      <c r="D52" s="107"/>
      <c r="E52" s="107"/>
      <c r="F52" s="107"/>
      <c r="G52" s="107"/>
      <c r="H52" s="107"/>
      <c r="I52" s="107"/>
      <c r="J52" s="107"/>
      <c r="K52" s="107"/>
      <c r="L52" s="107"/>
      <c r="M52" s="107"/>
      <c r="N52" s="129"/>
      <c r="O52" s="146"/>
      <c r="P52" s="146"/>
      <c r="Q52" s="146"/>
      <c r="R52" s="146"/>
      <c r="S52" s="146"/>
      <c r="T52" s="146"/>
      <c r="U52" s="146"/>
      <c r="V52" s="146"/>
      <c r="W52" s="146"/>
      <c r="X52" s="146"/>
      <c r="Y52" s="146"/>
      <c r="Z52" s="146"/>
      <c r="AA52" s="146"/>
      <c r="AB52" s="146"/>
      <c r="AC52" s="146"/>
      <c r="AD52" s="146"/>
      <c r="AE52" s="146"/>
      <c r="AF52" s="146"/>
      <c r="AG52" s="146"/>
      <c r="AH52" s="146"/>
      <c r="AI52" s="146"/>
      <c r="AJ52" s="146"/>
      <c r="AK52" s="146"/>
      <c r="AL52" s="146"/>
      <c r="AM52" s="146"/>
      <c r="AN52" s="146"/>
      <c r="AO52" s="146"/>
      <c r="AP52" s="146"/>
      <c r="AQ52" s="146"/>
      <c r="AR52" s="146"/>
      <c r="AS52" s="146"/>
      <c r="AT52" s="146"/>
      <c r="AU52" s="146"/>
      <c r="AV52" s="146"/>
      <c r="AW52" s="146"/>
      <c r="AX52" s="146"/>
      <c r="AY52" s="146"/>
      <c r="AZ52" s="146"/>
      <c r="BA52" s="146"/>
      <c r="BB52" s="146"/>
      <c r="BC52" s="146"/>
      <c r="BD52" s="146"/>
      <c r="BE52" s="146"/>
      <c r="BF52" s="146"/>
      <c r="BG52" s="146"/>
      <c r="BH52" s="146"/>
      <c r="BI52" s="146"/>
      <c r="BJ52" s="146"/>
      <c r="BK52" s="146"/>
      <c r="BL52" s="146"/>
      <c r="BM52" s="146"/>
      <c r="BN52" s="146"/>
      <c r="BO52" s="146"/>
      <c r="BP52" s="146"/>
      <c r="BQ52" s="146"/>
      <c r="BR52" s="146"/>
      <c r="BS52" s="146"/>
      <c r="BT52" s="146"/>
      <c r="BU52" s="146"/>
      <c r="BV52" s="146"/>
      <c r="BW52" s="146"/>
      <c r="BX52" s="146"/>
      <c r="BY52" s="146"/>
      <c r="BZ52" s="146"/>
      <c r="CA52" s="146"/>
      <c r="CB52" s="146"/>
      <c r="CC52" s="146"/>
      <c r="CD52" s="146"/>
      <c r="CE52" s="146"/>
      <c r="CF52" s="146"/>
      <c r="CG52" s="146"/>
      <c r="CH52" s="146"/>
      <c r="CI52" s="146"/>
      <c r="CJ52" s="146"/>
      <c r="CK52" s="146"/>
      <c r="CL52" s="146"/>
      <c r="CM52" s="146"/>
      <c r="CN52" s="146"/>
      <c r="CO52" s="146"/>
      <c r="CP52" s="146"/>
      <c r="CQ52" s="146"/>
      <c r="CR52" s="146"/>
      <c r="CS52" s="146"/>
      <c r="CT52" s="146"/>
      <c r="CU52" s="146"/>
      <c r="CV52" s="146"/>
      <c r="CW52" s="146"/>
      <c r="CX52" s="146"/>
      <c r="CY52" s="146"/>
      <c r="CZ52" s="146"/>
      <c r="DA52" s="146"/>
      <c r="DB52" s="146"/>
      <c r="DC52" s="146"/>
      <c r="DD52" s="146"/>
      <c r="DE52" s="146"/>
      <c r="DF52" s="146"/>
      <c r="DG52" s="146"/>
      <c r="DH52" s="146"/>
      <c r="DI52" s="146"/>
      <c r="DJ52" s="146"/>
    </row>
    <row r="53" spans="1:114" s="147" customFormat="1" ht="16.5" x14ac:dyDescent="0.25">
      <c r="A53" s="109" t="s">
        <v>319</v>
      </c>
      <c r="B53" s="107"/>
      <c r="C53" s="107"/>
      <c r="D53" s="107"/>
      <c r="E53" s="107"/>
      <c r="F53" s="107"/>
      <c r="G53" s="107"/>
      <c r="H53" s="107"/>
      <c r="I53" s="107"/>
      <c r="J53" s="107"/>
      <c r="K53" s="107"/>
      <c r="L53" s="107"/>
      <c r="M53" s="107"/>
      <c r="N53" s="129"/>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c r="BA53" s="146"/>
      <c r="BB53" s="146"/>
      <c r="BC53" s="146"/>
      <c r="BD53" s="146"/>
      <c r="BE53" s="146"/>
      <c r="BF53" s="146"/>
      <c r="BG53" s="146"/>
      <c r="BH53" s="146"/>
      <c r="BI53" s="146"/>
      <c r="BJ53" s="146"/>
      <c r="BK53" s="146"/>
      <c r="BL53" s="146"/>
      <c r="BM53" s="146"/>
      <c r="BN53" s="146"/>
      <c r="BO53" s="146"/>
      <c r="BP53" s="146"/>
      <c r="BQ53" s="146"/>
      <c r="BR53" s="146"/>
      <c r="BS53" s="146"/>
      <c r="BT53" s="146"/>
      <c r="BU53" s="146"/>
      <c r="BV53" s="146"/>
      <c r="BW53" s="146"/>
      <c r="BX53" s="146"/>
      <c r="BY53" s="146"/>
      <c r="BZ53" s="146"/>
      <c r="CA53" s="146"/>
      <c r="CB53" s="146"/>
      <c r="CC53" s="146"/>
      <c r="CD53" s="146"/>
      <c r="CE53" s="146"/>
      <c r="CF53" s="146"/>
      <c r="CG53" s="146"/>
      <c r="CH53" s="146"/>
      <c r="CI53" s="146"/>
      <c r="CJ53" s="146"/>
      <c r="CK53" s="146"/>
      <c r="CL53" s="146"/>
      <c r="CM53" s="146"/>
      <c r="CN53" s="146"/>
      <c r="CO53" s="146"/>
      <c r="CP53" s="146"/>
      <c r="CQ53" s="146"/>
      <c r="CR53" s="146"/>
      <c r="CS53" s="146"/>
      <c r="CT53" s="146"/>
      <c r="CU53" s="146"/>
      <c r="CV53" s="146"/>
      <c r="CW53" s="146"/>
      <c r="CX53" s="146"/>
      <c r="CY53" s="146"/>
      <c r="CZ53" s="146"/>
      <c r="DA53" s="146"/>
      <c r="DB53" s="146"/>
      <c r="DC53" s="146"/>
      <c r="DD53" s="146"/>
      <c r="DE53" s="146"/>
      <c r="DF53" s="146"/>
      <c r="DG53" s="146"/>
      <c r="DH53" s="146"/>
      <c r="DI53" s="146"/>
      <c r="DJ53" s="146"/>
    </row>
    <row r="54" spans="1:114" s="147" customFormat="1" ht="16.5" x14ac:dyDescent="0.25">
      <c r="A54" s="109" t="s">
        <v>320</v>
      </c>
      <c r="B54" s="107"/>
      <c r="C54" s="107"/>
      <c r="D54" s="107"/>
      <c r="E54" s="107"/>
      <c r="F54" s="107"/>
      <c r="G54" s="107"/>
      <c r="H54" s="107"/>
      <c r="I54" s="107"/>
      <c r="J54" s="107"/>
      <c r="K54" s="107"/>
      <c r="L54" s="107"/>
      <c r="M54" s="107"/>
      <c r="N54" s="129"/>
      <c r="O54" s="146"/>
      <c r="P54" s="146"/>
      <c r="Q54" s="146"/>
      <c r="R54" s="146"/>
      <c r="S54" s="146"/>
      <c r="T54" s="146"/>
      <c r="U54" s="146"/>
      <c r="V54" s="146"/>
      <c r="W54" s="146"/>
      <c r="X54" s="146"/>
      <c r="Y54" s="146"/>
      <c r="Z54" s="146"/>
      <c r="AA54" s="146"/>
      <c r="AB54" s="146"/>
      <c r="AC54" s="146"/>
      <c r="AD54" s="146"/>
      <c r="AE54" s="146"/>
      <c r="AF54" s="146"/>
      <c r="AG54" s="146"/>
      <c r="AH54" s="146"/>
      <c r="AI54" s="146"/>
      <c r="AJ54" s="146"/>
      <c r="AK54" s="146"/>
      <c r="AL54" s="146"/>
      <c r="AM54" s="146"/>
      <c r="AN54" s="146"/>
      <c r="AO54" s="146"/>
      <c r="AP54" s="146"/>
      <c r="AQ54" s="146"/>
      <c r="AR54" s="146"/>
      <c r="AS54" s="146"/>
      <c r="AT54" s="146"/>
      <c r="AU54" s="146"/>
      <c r="AV54" s="146"/>
      <c r="AW54" s="146"/>
      <c r="AX54" s="146"/>
      <c r="AY54" s="146"/>
      <c r="AZ54" s="146"/>
      <c r="BA54" s="146"/>
      <c r="BB54" s="146"/>
      <c r="BC54" s="146"/>
      <c r="BD54" s="146"/>
      <c r="BE54" s="146"/>
      <c r="BF54" s="146"/>
      <c r="BG54" s="146"/>
      <c r="BH54" s="146"/>
      <c r="BI54" s="146"/>
      <c r="BJ54" s="146"/>
      <c r="BK54" s="146"/>
      <c r="BL54" s="146"/>
      <c r="BM54" s="146"/>
      <c r="BN54" s="146"/>
      <c r="BO54" s="146"/>
      <c r="BP54" s="146"/>
      <c r="BQ54" s="146"/>
      <c r="BR54" s="146"/>
      <c r="BS54" s="146"/>
      <c r="BT54" s="146"/>
      <c r="BU54" s="146"/>
      <c r="BV54" s="146"/>
      <c r="BW54" s="146"/>
      <c r="BX54" s="146"/>
      <c r="BY54" s="146"/>
      <c r="BZ54" s="146"/>
      <c r="CA54" s="146"/>
      <c r="CB54" s="146"/>
      <c r="CC54" s="146"/>
      <c r="CD54" s="146"/>
      <c r="CE54" s="146"/>
      <c r="CF54" s="146"/>
      <c r="CG54" s="146"/>
      <c r="CH54" s="146"/>
      <c r="CI54" s="146"/>
      <c r="CJ54" s="146"/>
      <c r="CK54" s="146"/>
      <c r="CL54" s="146"/>
      <c r="CM54" s="146"/>
      <c r="CN54" s="146"/>
      <c r="CO54" s="146"/>
      <c r="CP54" s="146"/>
      <c r="CQ54" s="146"/>
      <c r="CR54" s="146"/>
      <c r="CS54" s="146"/>
      <c r="CT54" s="146"/>
      <c r="CU54" s="146"/>
      <c r="CV54" s="146"/>
      <c r="CW54" s="146"/>
      <c r="CX54" s="146"/>
      <c r="CY54" s="146"/>
      <c r="CZ54" s="146"/>
      <c r="DA54" s="146"/>
      <c r="DB54" s="146"/>
      <c r="DC54" s="146"/>
      <c r="DD54" s="146"/>
      <c r="DE54" s="146"/>
      <c r="DF54" s="146"/>
      <c r="DG54" s="146"/>
      <c r="DH54" s="146"/>
      <c r="DI54" s="146"/>
      <c r="DJ54" s="146"/>
    </row>
    <row r="55" spans="1:114" s="147" customFormat="1" ht="16.5" x14ac:dyDescent="0.25">
      <c r="A55" s="107" t="s">
        <v>321</v>
      </c>
      <c r="B55" s="107"/>
      <c r="C55" s="107"/>
      <c r="D55" s="107"/>
      <c r="E55" s="107"/>
      <c r="F55" s="107"/>
      <c r="G55" s="107"/>
      <c r="H55" s="107"/>
      <c r="I55" s="107"/>
      <c r="J55" s="107"/>
      <c r="K55" s="107"/>
      <c r="L55" s="107"/>
      <c r="M55" s="107"/>
      <c r="N55" s="129"/>
      <c r="O55" s="146"/>
      <c r="P55" s="146"/>
      <c r="Q55" s="146"/>
      <c r="R55" s="146"/>
      <c r="S55" s="146"/>
      <c r="T55" s="146"/>
      <c r="U55" s="146"/>
      <c r="V55" s="146"/>
      <c r="W55" s="146"/>
      <c r="X55" s="146"/>
      <c r="Y55" s="146"/>
      <c r="Z55" s="146"/>
      <c r="AA55" s="146"/>
      <c r="AB55" s="146"/>
      <c r="AC55" s="146"/>
      <c r="AD55" s="146"/>
      <c r="AE55" s="146"/>
      <c r="AF55" s="146"/>
      <c r="AG55" s="146"/>
      <c r="AH55" s="146"/>
      <c r="AI55" s="146"/>
      <c r="AJ55" s="146"/>
      <c r="AK55" s="146"/>
      <c r="AL55" s="146"/>
      <c r="AM55" s="146"/>
      <c r="AN55" s="146"/>
      <c r="AO55" s="146"/>
      <c r="AP55" s="146"/>
      <c r="AQ55" s="146"/>
      <c r="AR55" s="146"/>
      <c r="AS55" s="146"/>
      <c r="AT55" s="146"/>
      <c r="AU55" s="146"/>
      <c r="AV55" s="146"/>
      <c r="AW55" s="146"/>
      <c r="AX55" s="146"/>
      <c r="AY55" s="146"/>
      <c r="AZ55" s="146"/>
      <c r="BA55" s="146"/>
      <c r="BB55" s="146"/>
      <c r="BC55" s="146"/>
      <c r="BD55" s="146"/>
      <c r="BE55" s="146"/>
      <c r="BF55" s="146"/>
      <c r="BG55" s="146"/>
      <c r="BH55" s="146"/>
      <c r="BI55" s="146"/>
      <c r="BJ55" s="146"/>
      <c r="BK55" s="146"/>
      <c r="BL55" s="146"/>
      <c r="BM55" s="146"/>
      <c r="BN55" s="146"/>
      <c r="BO55" s="146"/>
      <c r="BP55" s="146"/>
      <c r="BQ55" s="146"/>
      <c r="BR55" s="146"/>
      <c r="BS55" s="146"/>
      <c r="BT55" s="146"/>
      <c r="BU55" s="146"/>
      <c r="BV55" s="146"/>
      <c r="BW55" s="146"/>
      <c r="BX55" s="146"/>
      <c r="BY55" s="146"/>
      <c r="BZ55" s="146"/>
      <c r="CA55" s="146"/>
      <c r="CB55" s="146"/>
      <c r="CC55" s="146"/>
      <c r="CD55" s="146"/>
      <c r="CE55" s="146"/>
      <c r="CF55" s="146"/>
      <c r="CG55" s="146"/>
      <c r="CH55" s="146"/>
      <c r="CI55" s="146"/>
      <c r="CJ55" s="146"/>
      <c r="CK55" s="146"/>
      <c r="CL55" s="146"/>
      <c r="CM55" s="146"/>
      <c r="CN55" s="146"/>
      <c r="CO55" s="146"/>
      <c r="CP55" s="146"/>
      <c r="CQ55" s="146"/>
      <c r="CR55" s="146"/>
      <c r="CS55" s="146"/>
      <c r="CT55" s="146"/>
      <c r="CU55" s="146"/>
      <c r="CV55" s="146"/>
      <c r="CW55" s="146"/>
      <c r="CX55" s="146"/>
      <c r="CY55" s="146"/>
      <c r="CZ55" s="146"/>
      <c r="DA55" s="146"/>
      <c r="DB55" s="146"/>
      <c r="DC55" s="146"/>
      <c r="DD55" s="146"/>
      <c r="DE55" s="146"/>
      <c r="DF55" s="146"/>
      <c r="DG55" s="146"/>
      <c r="DH55" s="146"/>
      <c r="DI55" s="146"/>
      <c r="DJ55" s="146"/>
    </row>
    <row r="56" spans="1:114" s="114" customFormat="1" ht="16.5" x14ac:dyDescent="0.25">
      <c r="A56" s="37"/>
      <c r="B56" s="37"/>
      <c r="C56" s="37"/>
      <c r="D56" s="37"/>
      <c r="E56" s="37"/>
      <c r="F56" s="37"/>
      <c r="G56" s="37"/>
      <c r="H56" s="37"/>
      <c r="I56" s="37"/>
      <c r="J56" s="37"/>
      <c r="K56" s="37"/>
      <c r="L56" s="37"/>
      <c r="M56" s="37"/>
      <c r="N56" s="129"/>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2"/>
      <c r="CN56" s="42"/>
      <c r="CO56" s="42"/>
      <c r="CP56" s="42"/>
      <c r="CQ56" s="42"/>
      <c r="CR56" s="42"/>
      <c r="CS56" s="42"/>
      <c r="CT56" s="42"/>
      <c r="CU56" s="42"/>
      <c r="CV56" s="42"/>
      <c r="CW56" s="42"/>
      <c r="CX56" s="42"/>
      <c r="CY56" s="42"/>
      <c r="CZ56" s="42"/>
      <c r="DA56" s="42"/>
      <c r="DB56" s="42"/>
      <c r="DC56" s="42"/>
      <c r="DD56" s="42"/>
      <c r="DE56" s="42"/>
      <c r="DF56" s="42"/>
      <c r="DG56" s="42"/>
      <c r="DH56" s="42"/>
      <c r="DI56" s="42"/>
      <c r="DJ56" s="42"/>
    </row>
    <row r="57" spans="1:114" s="116" customFormat="1" ht="16.5" x14ac:dyDescent="0.25">
      <c r="A57" s="110" t="s">
        <v>223</v>
      </c>
      <c r="B57" s="111"/>
      <c r="C57" s="111"/>
      <c r="D57" s="111"/>
      <c r="E57" s="111"/>
      <c r="F57" s="111"/>
      <c r="G57" s="111"/>
      <c r="H57" s="111"/>
      <c r="I57" s="111"/>
      <c r="J57" s="111"/>
      <c r="K57" s="111"/>
      <c r="L57" s="111"/>
      <c r="M57" s="111"/>
      <c r="N57" s="129"/>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c r="BZ57" s="115"/>
      <c r="CA57" s="115"/>
      <c r="CB57" s="115"/>
      <c r="CC57" s="115"/>
      <c r="CD57" s="115"/>
      <c r="CE57" s="115"/>
      <c r="CF57" s="115"/>
      <c r="CG57" s="115"/>
      <c r="CH57" s="115"/>
      <c r="CI57" s="115"/>
      <c r="CJ57" s="115"/>
      <c r="CK57" s="115"/>
      <c r="CL57" s="115"/>
      <c r="CM57" s="115"/>
      <c r="CN57" s="115"/>
      <c r="CO57" s="115"/>
      <c r="CP57" s="115"/>
      <c r="CQ57" s="115"/>
      <c r="CR57" s="115"/>
      <c r="CS57" s="115"/>
      <c r="CT57" s="115"/>
      <c r="CU57" s="115"/>
      <c r="CV57" s="115"/>
      <c r="CW57" s="115"/>
      <c r="CX57" s="115"/>
      <c r="CY57" s="115"/>
      <c r="CZ57" s="115"/>
      <c r="DA57" s="115"/>
      <c r="DB57" s="115"/>
      <c r="DC57" s="115"/>
      <c r="DD57" s="115"/>
      <c r="DE57" s="115"/>
      <c r="DF57" s="115"/>
      <c r="DG57" s="115"/>
      <c r="DH57" s="115"/>
      <c r="DI57" s="115"/>
      <c r="DJ57" s="115"/>
    </row>
    <row r="58" spans="1:114" s="114" customFormat="1" ht="33" customHeight="1" x14ac:dyDescent="0.25">
      <c r="A58" s="163" t="s">
        <v>166</v>
      </c>
      <c r="B58" s="166" t="s">
        <v>167</v>
      </c>
      <c r="C58" s="167" t="s">
        <v>304</v>
      </c>
      <c r="D58" s="166" t="s">
        <v>271</v>
      </c>
      <c r="E58" s="163"/>
      <c r="F58" s="163"/>
      <c r="G58" s="166" t="s">
        <v>272</v>
      </c>
      <c r="H58" s="163"/>
      <c r="I58" s="163"/>
      <c r="J58" s="112" t="s">
        <v>273</v>
      </c>
      <c r="K58" s="166" t="s">
        <v>274</v>
      </c>
      <c r="L58" s="166" t="s">
        <v>275</v>
      </c>
      <c r="M58" s="190" t="s">
        <v>166</v>
      </c>
      <c r="N58" s="129"/>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2"/>
      <c r="CN58" s="42"/>
      <c r="CO58" s="42"/>
      <c r="CP58" s="42"/>
      <c r="CQ58" s="42"/>
      <c r="CR58" s="42"/>
      <c r="CS58" s="42"/>
      <c r="CT58" s="42"/>
      <c r="CU58" s="42"/>
      <c r="CV58" s="42"/>
      <c r="CW58" s="42"/>
      <c r="CX58" s="42"/>
      <c r="CY58" s="42"/>
      <c r="CZ58" s="42"/>
      <c r="DA58" s="42"/>
      <c r="DB58" s="42"/>
      <c r="DC58" s="42"/>
      <c r="DD58" s="42"/>
      <c r="DE58" s="42"/>
      <c r="DF58" s="42"/>
      <c r="DG58" s="42"/>
      <c r="DH58" s="42"/>
      <c r="DI58" s="42"/>
      <c r="DJ58" s="42"/>
    </row>
    <row r="59" spans="1:114" s="114" customFormat="1" ht="16.5" x14ac:dyDescent="0.25">
      <c r="A59" s="163"/>
      <c r="B59" s="163"/>
      <c r="C59" s="168"/>
      <c r="D59" s="113" t="s">
        <v>170</v>
      </c>
      <c r="E59" s="113" t="s">
        <v>171</v>
      </c>
      <c r="F59" s="113" t="s">
        <v>172</v>
      </c>
      <c r="G59" s="113" t="s">
        <v>170</v>
      </c>
      <c r="H59" s="113" t="s">
        <v>171</v>
      </c>
      <c r="I59" s="113" t="s">
        <v>172</v>
      </c>
      <c r="J59" s="113" t="s">
        <v>172</v>
      </c>
      <c r="K59" s="163"/>
      <c r="L59" s="163"/>
      <c r="M59" s="163"/>
      <c r="N59" s="129"/>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row>
    <row r="60" spans="1:114" ht="16.5" customHeight="1" x14ac:dyDescent="0.25">
      <c r="A60" s="161" t="s">
        <v>173</v>
      </c>
      <c r="B60" s="154"/>
      <c r="C60" s="164" t="str">
        <f>IF('P(M)'!$D$17=1,"●","○")</f>
        <v>●</v>
      </c>
      <c r="D60" s="62" t="s">
        <v>14</v>
      </c>
      <c r="E60" s="64">
        <f>'P(M)'!AO17</f>
        <v>2700</v>
      </c>
      <c r="F60" s="104">
        <f>E60</f>
        <v>2700</v>
      </c>
      <c r="G60" s="62" t="s">
        <v>14</v>
      </c>
      <c r="H60" s="64">
        <f>'P(M)'!AU17</f>
        <v>0</v>
      </c>
      <c r="I60" s="104">
        <f>H60</f>
        <v>0</v>
      </c>
      <c r="J60" s="104">
        <f>F60+I60</f>
        <v>2700</v>
      </c>
      <c r="K60" s="39">
        <f>'P(M)'!AY17</f>
        <v>0</v>
      </c>
      <c r="L60" s="104">
        <f>J60+K60</f>
        <v>2700</v>
      </c>
      <c r="M60" s="179" t="str">
        <f>A60</f>
        <v>台灣</v>
      </c>
      <c r="N60" s="129" t="str">
        <f t="shared" ref="N60:N80" si="2">N16</f>
        <v/>
      </c>
      <c r="O60" s="35"/>
      <c r="P60" s="35"/>
      <c r="Q60" s="35"/>
      <c r="R60" s="35"/>
      <c r="S60" s="35"/>
      <c r="T60" s="35"/>
      <c r="U60" s="35"/>
      <c r="V60" s="35"/>
      <c r="W60" s="35"/>
      <c r="X60" s="35"/>
      <c r="Y60" s="35"/>
      <c r="Z60" s="35"/>
      <c r="AA60" s="35"/>
      <c r="AB60" s="35"/>
      <c r="AC60" s="35"/>
      <c r="AD60" s="35"/>
      <c r="AE60" s="35"/>
      <c r="AF60" s="35"/>
      <c r="AG60" s="35"/>
      <c r="AH60" s="35"/>
      <c r="AI60" s="35"/>
      <c r="AJ60" s="35"/>
      <c r="AK60" s="35"/>
      <c r="AL60" s="35"/>
      <c r="AM60" s="35"/>
      <c r="AN60" s="35"/>
      <c r="AO60" s="35"/>
      <c r="AP60" s="35"/>
      <c r="AQ60" s="35"/>
      <c r="AR60" s="35"/>
      <c r="AS60" s="35"/>
      <c r="AT60" s="35"/>
      <c r="AU60" s="35"/>
      <c r="AV60" s="35"/>
      <c r="AW60" s="35"/>
      <c r="AX60" s="35"/>
      <c r="AY60" s="35"/>
      <c r="AZ60" s="35"/>
      <c r="BA60" s="35"/>
      <c r="BB60" s="35"/>
      <c r="BC60" s="35"/>
      <c r="BD60" s="35"/>
      <c r="BE60" s="35"/>
      <c r="BF60" s="35"/>
      <c r="BG60" s="35"/>
      <c r="BH60" s="35"/>
      <c r="BI60" s="35"/>
      <c r="BJ60" s="35"/>
      <c r="BK60" s="35"/>
      <c r="BL60" s="35"/>
      <c r="BM60" s="35"/>
      <c r="BN60" s="35"/>
      <c r="BO60" s="35"/>
      <c r="BP60" s="35"/>
      <c r="BQ60" s="35"/>
      <c r="BR60" s="35"/>
      <c r="BS60" s="35"/>
      <c r="BT60" s="35"/>
      <c r="BU60" s="35"/>
      <c r="BV60" s="35"/>
      <c r="BW60" s="35"/>
      <c r="BX60" s="35"/>
      <c r="BY60" s="35"/>
      <c r="BZ60" s="35"/>
      <c r="CA60" s="35"/>
      <c r="CB60" s="35"/>
      <c r="CC60" s="35"/>
      <c r="CD60" s="35"/>
      <c r="CE60" s="35"/>
      <c r="CF60" s="35"/>
      <c r="CG60" s="35"/>
      <c r="CH60" s="35"/>
      <c r="CI60" s="35"/>
      <c r="CJ60" s="35"/>
      <c r="CK60" s="35"/>
      <c r="CL60" s="35"/>
      <c r="CM60" s="35"/>
      <c r="CN60" s="35"/>
      <c r="CO60" s="35"/>
      <c r="CP60" s="35"/>
      <c r="CQ60" s="35"/>
      <c r="CR60" s="35"/>
      <c r="CS60" s="35"/>
      <c r="CT60" s="35"/>
      <c r="CU60" s="35"/>
      <c r="CV60" s="35"/>
      <c r="CW60" s="35"/>
      <c r="CX60" s="35"/>
      <c r="CY60" s="35"/>
      <c r="CZ60" s="35"/>
      <c r="DA60" s="35"/>
      <c r="DB60" s="35"/>
      <c r="DC60" s="35"/>
      <c r="DD60" s="35"/>
      <c r="DE60" s="35"/>
      <c r="DF60" s="35"/>
      <c r="DG60" s="35"/>
      <c r="DH60" s="35"/>
      <c r="DI60" s="35"/>
      <c r="DJ60" s="35"/>
    </row>
    <row r="61" spans="1:114" ht="16.5" customHeight="1" x14ac:dyDescent="0.25">
      <c r="A61" s="162"/>
      <c r="B61" s="154"/>
      <c r="C61" s="165"/>
      <c r="D61" s="62" t="s">
        <v>14</v>
      </c>
      <c r="E61" s="64">
        <f>'P(M)'!AO18</f>
        <v>0</v>
      </c>
      <c r="F61" s="104">
        <f>E61</f>
        <v>0</v>
      </c>
      <c r="G61" s="62" t="s">
        <v>14</v>
      </c>
      <c r="H61" s="64">
        <f>'P(M)'!AU18</f>
        <v>0</v>
      </c>
      <c r="I61" s="104">
        <f>H61</f>
        <v>0</v>
      </c>
      <c r="J61" s="104">
        <f t="shared" ref="J61:J80" si="3">F61+I61</f>
        <v>0</v>
      </c>
      <c r="K61" s="39">
        <f>'P(M)'!AY18</f>
        <v>0</v>
      </c>
      <c r="L61" s="104">
        <f t="shared" ref="L61:L80" si="4">J61+K61</f>
        <v>0</v>
      </c>
      <c r="M61" s="180"/>
      <c r="N61" s="129" t="str">
        <f t="shared" si="2"/>
        <v/>
      </c>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row>
    <row r="62" spans="1:114" ht="16.5" customHeight="1" x14ac:dyDescent="0.25">
      <c r="A62" s="161" t="s">
        <v>174</v>
      </c>
      <c r="B62" s="154"/>
      <c r="C62" s="164" t="str">
        <f>IF('P(M)'!$D$17=2,"●","○")</f>
        <v>○</v>
      </c>
      <c r="D62" s="62" t="s">
        <v>15</v>
      </c>
      <c r="E62" s="64">
        <f>'P(M)'!AO19</f>
        <v>905</v>
      </c>
      <c r="F62" s="104">
        <f>E62*$M$5</f>
        <v>4163</v>
      </c>
      <c r="G62" s="62" t="s">
        <v>15</v>
      </c>
      <c r="H62" s="64">
        <f>'P(M)'!AU19</f>
        <v>200</v>
      </c>
      <c r="I62" s="104">
        <f>H62*$M$5</f>
        <v>919.99999999999989</v>
      </c>
      <c r="J62" s="104">
        <f t="shared" si="3"/>
        <v>5083</v>
      </c>
      <c r="K62" s="39">
        <f>'P(M)'!AY19</f>
        <v>0</v>
      </c>
      <c r="L62" s="104">
        <f t="shared" si="4"/>
        <v>5083</v>
      </c>
      <c r="M62" s="179" t="s">
        <v>3</v>
      </c>
      <c r="N62" s="129" t="str">
        <f t="shared" si="2"/>
        <v/>
      </c>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row>
    <row r="63" spans="1:114" ht="16.5" customHeight="1" x14ac:dyDescent="0.25">
      <c r="A63" s="162"/>
      <c r="B63" s="154"/>
      <c r="C63" s="165"/>
      <c r="D63" s="62" t="s">
        <v>15</v>
      </c>
      <c r="E63" s="64">
        <f>'P(M)'!AO20</f>
        <v>0</v>
      </c>
      <c r="F63" s="104">
        <f>E63*$M$5</f>
        <v>0</v>
      </c>
      <c r="G63" s="62" t="s">
        <v>15</v>
      </c>
      <c r="H63" s="64">
        <f>'P(M)'!AU20</f>
        <v>0</v>
      </c>
      <c r="I63" s="104">
        <f>H63*$M$5</f>
        <v>0</v>
      </c>
      <c r="J63" s="104">
        <f t="shared" si="3"/>
        <v>0</v>
      </c>
      <c r="K63" s="39">
        <f>'P(M)'!AY20</f>
        <v>0</v>
      </c>
      <c r="L63" s="104">
        <f t="shared" si="4"/>
        <v>0</v>
      </c>
      <c r="M63" s="180"/>
      <c r="N63" s="129" t="str">
        <f t="shared" si="2"/>
        <v/>
      </c>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row>
    <row r="64" spans="1:114" ht="16.5" customHeight="1" x14ac:dyDescent="0.25">
      <c r="A64" s="62" t="s">
        <v>175</v>
      </c>
      <c r="B64" s="154"/>
      <c r="C64" s="159" t="str">
        <f>IF('P(M)'!$D$17=3,"●","○")</f>
        <v>○</v>
      </c>
      <c r="D64" s="62" t="s">
        <v>16</v>
      </c>
      <c r="E64" s="64">
        <f>'P(M)'!AO21</f>
        <v>516</v>
      </c>
      <c r="F64" s="104">
        <f>E64*$K$5</f>
        <v>16512</v>
      </c>
      <c r="G64" s="62" t="s">
        <v>16</v>
      </c>
      <c r="H64" s="64">
        <f>'P(M)'!AU21</f>
        <v>350</v>
      </c>
      <c r="I64" s="104">
        <f>H64*$K$5</f>
        <v>11200</v>
      </c>
      <c r="J64" s="104">
        <f t="shared" si="3"/>
        <v>27712</v>
      </c>
      <c r="K64" s="39">
        <f>'P(M)'!AY21</f>
        <v>0</v>
      </c>
      <c r="L64" s="104">
        <f t="shared" si="4"/>
        <v>27712</v>
      </c>
      <c r="M64" s="68" t="s">
        <v>4</v>
      </c>
      <c r="N64" s="129" t="str">
        <f t="shared" si="2"/>
        <v/>
      </c>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row>
    <row r="65" spans="1:114" ht="16.5" customHeight="1" x14ac:dyDescent="0.25">
      <c r="A65" s="62" t="s">
        <v>190</v>
      </c>
      <c r="B65" s="154"/>
      <c r="C65" s="159"/>
      <c r="D65" s="62" t="s">
        <v>17</v>
      </c>
      <c r="E65" s="64">
        <f>'P(M)'!AO22</f>
        <v>1080</v>
      </c>
      <c r="F65" s="104">
        <f>E65*$K$6</f>
        <v>40500</v>
      </c>
      <c r="G65" s="62" t="s">
        <v>17</v>
      </c>
      <c r="H65" s="64">
        <f>'P(M)'!AU22</f>
        <v>1830</v>
      </c>
      <c r="I65" s="104">
        <f>H65*$K$6</f>
        <v>68625</v>
      </c>
      <c r="J65" s="104">
        <f t="shared" si="3"/>
        <v>109125</v>
      </c>
      <c r="K65" s="39">
        <f>'P(M)'!AY22</f>
        <v>25000</v>
      </c>
      <c r="L65" s="104">
        <f t="shared" si="4"/>
        <v>134125</v>
      </c>
      <c r="M65" s="68" t="s">
        <v>5</v>
      </c>
      <c r="N65" s="129" t="str">
        <f t="shared" si="2"/>
        <v/>
      </c>
      <c r="O65" s="35"/>
      <c r="P65" s="35"/>
      <c r="Q65" s="35"/>
      <c r="R65" s="35"/>
      <c r="S65" s="35"/>
      <c r="T65" s="35"/>
      <c r="U65" s="35"/>
      <c r="V65" s="35"/>
      <c r="W65" s="35"/>
      <c r="X65" s="35"/>
      <c r="Y65" s="35"/>
      <c r="Z65" s="35"/>
      <c r="AA65" s="35"/>
      <c r="AB65" s="35"/>
      <c r="AC65" s="35"/>
      <c r="AD65" s="35"/>
      <c r="AE65" s="35"/>
      <c r="AF65" s="35"/>
      <c r="AG65" s="35"/>
      <c r="AH65" s="35"/>
      <c r="AI65" s="35"/>
      <c r="AJ65" s="35"/>
      <c r="AK65" s="35"/>
      <c r="AL65" s="35"/>
      <c r="AM65" s="35"/>
      <c r="AN65" s="35"/>
      <c r="AO65" s="35"/>
      <c r="AP65" s="35"/>
      <c r="AQ65" s="35"/>
      <c r="AR65" s="35"/>
      <c r="AS65" s="35"/>
      <c r="AT65" s="35"/>
      <c r="AU65" s="35"/>
      <c r="AV65" s="35"/>
      <c r="AW65" s="35"/>
      <c r="AX65" s="35"/>
      <c r="AY65" s="35"/>
      <c r="AZ65" s="35"/>
      <c r="BA65" s="35"/>
      <c r="BB65" s="35"/>
      <c r="BC65" s="35"/>
      <c r="BD65" s="35"/>
      <c r="BE65" s="35"/>
      <c r="BF65" s="35"/>
      <c r="BG65" s="35"/>
      <c r="BH65" s="35"/>
      <c r="BI65" s="35"/>
      <c r="BJ65" s="35"/>
      <c r="BK65" s="35"/>
      <c r="BL65" s="35"/>
      <c r="BM65" s="35"/>
      <c r="BN65" s="35"/>
      <c r="BO65" s="35"/>
      <c r="BP65" s="35"/>
      <c r="BQ65" s="35"/>
      <c r="BR65" s="35"/>
      <c r="BS65" s="35"/>
      <c r="BT65" s="35"/>
      <c r="BU65" s="35"/>
      <c r="BV65" s="35"/>
      <c r="BW65" s="35"/>
      <c r="BX65" s="35"/>
      <c r="BY65" s="35"/>
      <c r="BZ65" s="35"/>
      <c r="CA65" s="35"/>
      <c r="CB65" s="35"/>
      <c r="CC65" s="35"/>
      <c r="CD65" s="35"/>
      <c r="CE65" s="35"/>
      <c r="CF65" s="35"/>
      <c r="CG65" s="35"/>
      <c r="CH65" s="35"/>
      <c r="CI65" s="35"/>
      <c r="CJ65" s="35"/>
      <c r="CK65" s="35"/>
      <c r="CL65" s="35"/>
      <c r="CM65" s="35"/>
      <c r="CN65" s="35"/>
      <c r="CO65" s="35"/>
      <c r="CP65" s="35"/>
      <c r="CQ65" s="35"/>
      <c r="CR65" s="35"/>
      <c r="CS65" s="35"/>
      <c r="CT65" s="35"/>
      <c r="CU65" s="35"/>
      <c r="CV65" s="35"/>
      <c r="CW65" s="35"/>
      <c r="CX65" s="35"/>
      <c r="CY65" s="35"/>
      <c r="CZ65" s="35"/>
      <c r="DA65" s="35"/>
      <c r="DB65" s="35"/>
      <c r="DC65" s="35"/>
      <c r="DD65" s="35"/>
      <c r="DE65" s="35"/>
      <c r="DF65" s="35"/>
      <c r="DG65" s="35"/>
      <c r="DH65" s="35"/>
      <c r="DI65" s="35"/>
      <c r="DJ65" s="35"/>
    </row>
    <row r="66" spans="1:114" ht="16.5" customHeight="1" x14ac:dyDescent="0.25">
      <c r="A66" s="161" t="s">
        <v>176</v>
      </c>
      <c r="B66" s="154"/>
      <c r="C66" s="164"/>
      <c r="D66" s="62" t="s">
        <v>18</v>
      </c>
      <c r="E66" s="64">
        <f>'P(M)'!AO23</f>
        <v>21900</v>
      </c>
      <c r="F66" s="104">
        <f>E66*$K$7</f>
        <v>4599</v>
      </c>
      <c r="G66" s="62" t="s">
        <v>18</v>
      </c>
      <c r="H66" s="64">
        <f>'P(M)'!AU23</f>
        <v>25000</v>
      </c>
      <c r="I66" s="104">
        <f>H66*$K$7</f>
        <v>5250</v>
      </c>
      <c r="J66" s="104">
        <f t="shared" si="3"/>
        <v>9849</v>
      </c>
      <c r="K66" s="39">
        <f>'P(M)'!AY23</f>
        <v>0</v>
      </c>
      <c r="L66" s="104">
        <f t="shared" si="4"/>
        <v>9849</v>
      </c>
      <c r="M66" s="179" t="s">
        <v>6</v>
      </c>
      <c r="N66" s="129" t="str">
        <f t="shared" si="2"/>
        <v/>
      </c>
      <c r="O66" s="35"/>
      <c r="P66" s="35"/>
      <c r="Q66" s="35"/>
      <c r="R66" s="35"/>
      <c r="S66" s="35"/>
      <c r="T66" s="35"/>
      <c r="U66" s="35"/>
      <c r="V66" s="35"/>
      <c r="W66" s="35"/>
      <c r="X66" s="35"/>
      <c r="Y66" s="35"/>
      <c r="Z66" s="35"/>
      <c r="AA66" s="35"/>
      <c r="AB66" s="35"/>
      <c r="AC66" s="35"/>
      <c r="AD66" s="35"/>
      <c r="AE66" s="35"/>
      <c r="AF66" s="35"/>
      <c r="AG66" s="35"/>
      <c r="AH66" s="35"/>
      <c r="AI66" s="35"/>
      <c r="AJ66" s="35"/>
      <c r="AK66" s="35"/>
      <c r="AL66" s="35"/>
      <c r="AM66" s="35"/>
      <c r="AN66" s="35"/>
      <c r="AO66" s="35"/>
      <c r="AP66" s="35"/>
      <c r="AQ66" s="35"/>
      <c r="AR66" s="35"/>
      <c r="AS66" s="35"/>
      <c r="AT66" s="35"/>
      <c r="AU66" s="35"/>
      <c r="AV66" s="35"/>
      <c r="AW66" s="35"/>
      <c r="AX66" s="35"/>
      <c r="AY66" s="35"/>
      <c r="AZ66" s="35"/>
      <c r="BA66" s="35"/>
      <c r="BB66" s="35"/>
      <c r="BC66" s="35"/>
      <c r="BD66" s="35"/>
      <c r="BE66" s="35"/>
      <c r="BF66" s="35"/>
      <c r="BG66" s="35"/>
      <c r="BH66" s="35"/>
      <c r="BI66" s="35"/>
      <c r="BJ66" s="35"/>
      <c r="BK66" s="35"/>
      <c r="BL66" s="35"/>
      <c r="BM66" s="35"/>
      <c r="BN66" s="35"/>
      <c r="BO66" s="35"/>
      <c r="BP66" s="35"/>
      <c r="BQ66" s="35"/>
      <c r="BR66" s="35"/>
      <c r="BS66" s="35"/>
      <c r="BT66" s="35"/>
      <c r="BU66" s="35"/>
      <c r="BV66" s="35"/>
      <c r="BW66" s="35"/>
      <c r="BX66" s="35"/>
      <c r="BY66" s="35"/>
      <c r="BZ66" s="35"/>
      <c r="CA66" s="35"/>
      <c r="CB66" s="35"/>
      <c r="CC66" s="35"/>
      <c r="CD66" s="35"/>
      <c r="CE66" s="35"/>
      <c r="CF66" s="35"/>
      <c r="CG66" s="35"/>
      <c r="CH66" s="35"/>
      <c r="CI66" s="35"/>
      <c r="CJ66" s="35"/>
      <c r="CK66" s="35"/>
      <c r="CL66" s="35"/>
      <c r="CM66" s="35"/>
      <c r="CN66" s="35"/>
      <c r="CO66" s="35"/>
      <c r="CP66" s="35"/>
      <c r="CQ66" s="35"/>
      <c r="CR66" s="35"/>
      <c r="CS66" s="35"/>
      <c r="CT66" s="35"/>
      <c r="CU66" s="35"/>
      <c r="CV66" s="35"/>
      <c r="CW66" s="35"/>
      <c r="CX66" s="35"/>
      <c r="CY66" s="35"/>
      <c r="CZ66" s="35"/>
      <c r="DA66" s="35"/>
      <c r="DB66" s="35"/>
      <c r="DC66" s="35"/>
      <c r="DD66" s="35"/>
      <c r="DE66" s="35"/>
      <c r="DF66" s="35"/>
      <c r="DG66" s="35"/>
      <c r="DH66" s="35"/>
      <c r="DI66" s="35"/>
      <c r="DJ66" s="35"/>
    </row>
    <row r="67" spans="1:114" ht="16.5" customHeight="1" x14ac:dyDescent="0.25">
      <c r="A67" s="162"/>
      <c r="B67" s="154"/>
      <c r="C67" s="165"/>
      <c r="D67" s="62" t="s">
        <v>18</v>
      </c>
      <c r="E67" s="64">
        <f>'P(M)'!AO24</f>
        <v>0</v>
      </c>
      <c r="F67" s="104">
        <f>E67*$K$7</f>
        <v>0</v>
      </c>
      <c r="G67" s="62" t="s">
        <v>18</v>
      </c>
      <c r="H67" s="64">
        <f>'P(M)'!AU24</f>
        <v>0</v>
      </c>
      <c r="I67" s="104">
        <f>H67*$K$7</f>
        <v>0</v>
      </c>
      <c r="J67" s="104">
        <f t="shared" si="3"/>
        <v>0</v>
      </c>
      <c r="K67" s="39">
        <f>'P(M)'!AY24</f>
        <v>0</v>
      </c>
      <c r="L67" s="104">
        <f t="shared" si="4"/>
        <v>0</v>
      </c>
      <c r="M67" s="180"/>
      <c r="N67" s="129" t="str">
        <f t="shared" si="2"/>
        <v/>
      </c>
      <c r="O67" s="35"/>
      <c r="P67" s="35"/>
      <c r="Q67" s="35"/>
      <c r="R67" s="35"/>
      <c r="S67" s="35"/>
      <c r="T67" s="35"/>
      <c r="U67" s="35"/>
      <c r="V67" s="35"/>
      <c r="W67" s="35"/>
      <c r="X67" s="35"/>
      <c r="Y67" s="35"/>
      <c r="Z67" s="35"/>
      <c r="AA67" s="35"/>
      <c r="AB67" s="35"/>
      <c r="AC67" s="35"/>
      <c r="AD67" s="35"/>
      <c r="AE67" s="35"/>
      <c r="AF67" s="35"/>
      <c r="AG67" s="35"/>
      <c r="AH67" s="35"/>
      <c r="AI67" s="35"/>
      <c r="AJ67" s="35"/>
      <c r="AK67" s="35"/>
      <c r="AL67" s="35"/>
      <c r="AM67" s="35"/>
      <c r="AN67" s="35"/>
      <c r="AO67" s="35"/>
      <c r="AP67" s="35"/>
      <c r="AQ67" s="35"/>
      <c r="AR67" s="35"/>
      <c r="AS67" s="35"/>
      <c r="AT67" s="35"/>
      <c r="AU67" s="35"/>
      <c r="AV67" s="35"/>
      <c r="AW67" s="35"/>
      <c r="AX67" s="35"/>
      <c r="AY67" s="35"/>
      <c r="AZ67" s="35"/>
      <c r="BA67" s="35"/>
      <c r="BB67" s="35"/>
      <c r="BC67" s="35"/>
      <c r="BD67" s="35"/>
      <c r="BE67" s="35"/>
      <c r="BF67" s="35"/>
      <c r="BG67" s="35"/>
      <c r="BH67" s="35"/>
      <c r="BI67" s="35"/>
      <c r="BJ67" s="35"/>
      <c r="BK67" s="35"/>
      <c r="BL67" s="35"/>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35"/>
      <c r="CY67" s="35"/>
      <c r="CZ67" s="35"/>
      <c r="DA67" s="35"/>
      <c r="DB67" s="35"/>
      <c r="DC67" s="35"/>
      <c r="DD67" s="35"/>
      <c r="DE67" s="35"/>
      <c r="DF67" s="35"/>
      <c r="DG67" s="35"/>
      <c r="DH67" s="35"/>
      <c r="DI67" s="35"/>
      <c r="DJ67" s="35"/>
    </row>
    <row r="68" spans="1:114" ht="16.5" customHeight="1" x14ac:dyDescent="0.25">
      <c r="A68" s="161" t="s">
        <v>177</v>
      </c>
      <c r="B68" s="154"/>
      <c r="C68" s="164"/>
      <c r="D68" s="62" t="s">
        <v>19</v>
      </c>
      <c r="E68" s="64">
        <f>'P(M)'!AO25</f>
        <v>399000</v>
      </c>
      <c r="F68" s="104">
        <f>E68*$K$8</f>
        <v>9975</v>
      </c>
      <c r="G68" s="62" t="s">
        <v>16</v>
      </c>
      <c r="H68" s="64">
        <f>'P(M)'!AU25</f>
        <v>260</v>
      </c>
      <c r="I68" s="104">
        <f>H68*$K$5</f>
        <v>8320</v>
      </c>
      <c r="J68" s="104">
        <f t="shared" si="3"/>
        <v>18295</v>
      </c>
      <c r="K68" s="39">
        <f>'P(M)'!AY25</f>
        <v>0</v>
      </c>
      <c r="L68" s="104">
        <f t="shared" si="4"/>
        <v>18295</v>
      </c>
      <c r="M68" s="179" t="s">
        <v>7</v>
      </c>
      <c r="N68" s="129" t="str">
        <f t="shared" si="2"/>
        <v/>
      </c>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row>
    <row r="69" spans="1:114" ht="16.5" customHeight="1" x14ac:dyDescent="0.25">
      <c r="A69" s="162"/>
      <c r="B69" s="154"/>
      <c r="C69" s="165"/>
      <c r="D69" s="62" t="s">
        <v>19</v>
      </c>
      <c r="E69" s="64">
        <f>'P(M)'!AO26</f>
        <v>0</v>
      </c>
      <c r="F69" s="104">
        <f>E69*$K$8</f>
        <v>0</v>
      </c>
      <c r="G69" s="62" t="s">
        <v>16</v>
      </c>
      <c r="H69" s="64">
        <f>'P(M)'!AU26</f>
        <v>0</v>
      </c>
      <c r="I69" s="104">
        <f>H69*$K$5</f>
        <v>0</v>
      </c>
      <c r="J69" s="104">
        <f t="shared" si="3"/>
        <v>0</v>
      </c>
      <c r="K69" s="39">
        <f>'P(M)'!AY26</f>
        <v>0</v>
      </c>
      <c r="L69" s="104">
        <f t="shared" si="4"/>
        <v>0</v>
      </c>
      <c r="M69" s="180"/>
      <c r="N69" s="129" t="str">
        <f t="shared" si="2"/>
        <v/>
      </c>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row>
    <row r="70" spans="1:114" ht="16.5" customHeight="1" x14ac:dyDescent="0.25">
      <c r="A70" s="62" t="s">
        <v>191</v>
      </c>
      <c r="B70" s="154"/>
      <c r="C70" s="159" t="str">
        <f>IF('P(M)'!$D$17=4,"●","○")</f>
        <v>○</v>
      </c>
      <c r="D70" s="62" t="s">
        <v>43</v>
      </c>
      <c r="E70" s="64">
        <f>'P(M)'!AO27</f>
        <v>176.44</v>
      </c>
      <c r="F70" s="104">
        <f>E70*$M$9</f>
        <v>4146.34</v>
      </c>
      <c r="G70" s="62" t="s">
        <v>43</v>
      </c>
      <c r="H70" s="64">
        <f>'P(M)'!AU27</f>
        <v>895</v>
      </c>
      <c r="I70" s="104">
        <f>H70*$M$9</f>
        <v>21032.5</v>
      </c>
      <c r="J70" s="104">
        <f>F70+I70</f>
        <v>25178.84</v>
      </c>
      <c r="K70" s="39">
        <f>'P(M)'!AY27</f>
        <v>0</v>
      </c>
      <c r="L70" s="104">
        <f>J70+K70</f>
        <v>25178.84</v>
      </c>
      <c r="M70" s="68" t="s">
        <v>42</v>
      </c>
      <c r="N70" s="129" t="str">
        <f t="shared" si="2"/>
        <v/>
      </c>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row>
    <row r="71" spans="1:114" ht="16.5" customHeight="1" x14ac:dyDescent="0.25">
      <c r="A71" s="62" t="s">
        <v>178</v>
      </c>
      <c r="B71" s="154"/>
      <c r="C71" s="159" t="str">
        <f>IF('P(M)'!$D$17=5,"●","○")</f>
        <v>○</v>
      </c>
      <c r="D71" s="62" t="s">
        <v>20</v>
      </c>
      <c r="E71" s="64">
        <f>'P(M)'!AO28</f>
        <v>210</v>
      </c>
      <c r="F71" s="104">
        <f>E71*$M$6</f>
        <v>5250</v>
      </c>
      <c r="G71" s="62" t="s">
        <v>20</v>
      </c>
      <c r="H71" s="64">
        <f>'P(M)'!AU28</f>
        <v>1550</v>
      </c>
      <c r="I71" s="104">
        <f>H71*$M$6</f>
        <v>38750</v>
      </c>
      <c r="J71" s="104">
        <f t="shared" si="3"/>
        <v>44000</v>
      </c>
      <c r="K71" s="39">
        <f>'P(M)'!AY28</f>
        <v>0</v>
      </c>
      <c r="L71" s="104">
        <f t="shared" si="4"/>
        <v>44000</v>
      </c>
      <c r="M71" s="68" t="s">
        <v>8</v>
      </c>
      <c r="N71" s="129" t="str">
        <f t="shared" si="2"/>
        <v/>
      </c>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row>
    <row r="72" spans="1:114" ht="16.5" customHeight="1" x14ac:dyDescent="0.25">
      <c r="A72" s="161" t="s">
        <v>181</v>
      </c>
      <c r="B72" s="154"/>
      <c r="C72" s="164" t="str">
        <f>IF('P(M)'!$D$17=6,"●","○")</f>
        <v>○</v>
      </c>
      <c r="D72" s="62" t="s">
        <v>23</v>
      </c>
      <c r="E72" s="64">
        <f>'P(M)'!AO29</f>
        <v>0</v>
      </c>
      <c r="F72" s="104">
        <f>E72*$M$8</f>
        <v>0</v>
      </c>
      <c r="G72" s="62" t="s">
        <v>23</v>
      </c>
      <c r="H72" s="64">
        <f>'P(M)'!AU29</f>
        <v>530</v>
      </c>
      <c r="I72" s="104">
        <f>H72*$M$8</f>
        <v>4399</v>
      </c>
      <c r="J72" s="104">
        <f>F72+I72</f>
        <v>4399</v>
      </c>
      <c r="K72" s="39">
        <f>'P(M)'!AY29</f>
        <v>0</v>
      </c>
      <c r="L72" s="104">
        <f>J72+K72</f>
        <v>4399</v>
      </c>
      <c r="M72" s="179" t="s">
        <v>11</v>
      </c>
      <c r="N72" s="129" t="str">
        <f t="shared" si="2"/>
        <v/>
      </c>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row>
    <row r="73" spans="1:114" ht="16.5" customHeight="1" x14ac:dyDescent="0.25">
      <c r="A73" s="162"/>
      <c r="B73" s="154"/>
      <c r="C73" s="165"/>
      <c r="D73" s="62" t="s">
        <v>23</v>
      </c>
      <c r="E73" s="64">
        <f>'P(M)'!AO30</f>
        <v>0</v>
      </c>
      <c r="F73" s="104">
        <f>E73*$M$8</f>
        <v>0</v>
      </c>
      <c r="G73" s="62" t="s">
        <v>23</v>
      </c>
      <c r="H73" s="64">
        <f>'P(M)'!AU30</f>
        <v>0</v>
      </c>
      <c r="I73" s="104">
        <f>H73*$M$8</f>
        <v>0</v>
      </c>
      <c r="J73" s="104">
        <f>F73+I73</f>
        <v>0</v>
      </c>
      <c r="K73" s="39">
        <f>'P(M)'!AY30</f>
        <v>0</v>
      </c>
      <c r="L73" s="104">
        <f>J73+K73</f>
        <v>0</v>
      </c>
      <c r="M73" s="180"/>
      <c r="N73" s="129" t="str">
        <f t="shared" si="2"/>
        <v/>
      </c>
      <c r="O73" s="35"/>
      <c r="P73" s="35"/>
      <c r="Q73" s="35"/>
      <c r="R73" s="35"/>
      <c r="S73" s="35"/>
      <c r="T73" s="35"/>
      <c r="U73" s="35"/>
      <c r="V73" s="35"/>
      <c r="W73" s="35"/>
      <c r="X73" s="35"/>
      <c r="Y73" s="35"/>
      <c r="Z73" s="35"/>
      <c r="AA73" s="35"/>
      <c r="AB73" s="35"/>
      <c r="AC73" s="35"/>
      <c r="AD73" s="35"/>
      <c r="AE73" s="35"/>
      <c r="AF73" s="35"/>
      <c r="AG73" s="35"/>
      <c r="AH73" s="35"/>
      <c r="AI73" s="35"/>
      <c r="AJ73" s="35"/>
      <c r="AK73" s="35"/>
      <c r="AL73" s="35"/>
      <c r="AM73" s="35"/>
      <c r="AN73" s="35"/>
      <c r="AO73" s="35"/>
      <c r="AP73" s="35"/>
      <c r="AQ73" s="35"/>
      <c r="AR73" s="35"/>
      <c r="AS73" s="35"/>
      <c r="AT73" s="35"/>
      <c r="AU73" s="35"/>
      <c r="AV73" s="35"/>
      <c r="AW73" s="35"/>
      <c r="AX73" s="35"/>
      <c r="AY73" s="35"/>
      <c r="AZ73" s="35"/>
      <c r="BA73" s="35"/>
      <c r="BB73" s="35"/>
      <c r="BC73" s="35"/>
      <c r="BD73" s="35"/>
      <c r="BE73" s="35"/>
      <c r="BF73" s="35"/>
      <c r="BG73" s="35"/>
      <c r="BH73" s="35"/>
      <c r="BI73" s="35"/>
      <c r="BJ73" s="35"/>
      <c r="BK73" s="35"/>
      <c r="BL73" s="35"/>
      <c r="BM73" s="35"/>
      <c r="BN73" s="35"/>
      <c r="BO73" s="35"/>
      <c r="BP73" s="35"/>
      <c r="BQ73" s="35"/>
      <c r="BR73" s="35"/>
      <c r="BS73" s="35"/>
      <c r="BT73" s="35"/>
      <c r="BU73" s="35"/>
      <c r="BV73" s="35"/>
      <c r="BW73" s="35"/>
      <c r="BX73" s="35"/>
      <c r="BY73" s="35"/>
      <c r="BZ73" s="35"/>
      <c r="CA73" s="35"/>
      <c r="CB73" s="35"/>
      <c r="CC73" s="35"/>
      <c r="CD73" s="35"/>
      <c r="CE73" s="35"/>
      <c r="CF73" s="35"/>
      <c r="CG73" s="35"/>
      <c r="CH73" s="35"/>
      <c r="CI73" s="35"/>
      <c r="CJ73" s="35"/>
      <c r="CK73" s="35"/>
      <c r="CL73" s="35"/>
      <c r="CM73" s="35"/>
      <c r="CN73" s="35"/>
      <c r="CO73" s="35"/>
      <c r="CP73" s="35"/>
      <c r="CQ73" s="35"/>
      <c r="CR73" s="35"/>
      <c r="CS73" s="35"/>
      <c r="CT73" s="35"/>
      <c r="CU73" s="35"/>
      <c r="CV73" s="35"/>
      <c r="CW73" s="35"/>
      <c r="CX73" s="35"/>
      <c r="CY73" s="35"/>
      <c r="CZ73" s="35"/>
      <c r="DA73" s="35"/>
      <c r="DB73" s="35"/>
      <c r="DC73" s="35"/>
      <c r="DD73" s="35"/>
      <c r="DE73" s="35"/>
      <c r="DF73" s="35"/>
      <c r="DG73" s="35"/>
      <c r="DH73" s="35"/>
      <c r="DI73" s="35"/>
      <c r="DJ73" s="35"/>
    </row>
    <row r="74" spans="1:114" ht="16.5" customHeight="1" x14ac:dyDescent="0.25">
      <c r="A74" s="68" t="s">
        <v>146</v>
      </c>
      <c r="B74" s="154"/>
      <c r="C74" s="159" t="str">
        <f>IF('P(M)'!$D$17=7,"●","○")</f>
        <v>○</v>
      </c>
      <c r="D74" s="62" t="s">
        <v>16</v>
      </c>
      <c r="E74" s="64">
        <f>'P(M)'!AO31</f>
        <v>0</v>
      </c>
      <c r="F74" s="104">
        <f>E74*$K$5</f>
        <v>0</v>
      </c>
      <c r="G74" s="62" t="s">
        <v>16</v>
      </c>
      <c r="H74" s="64">
        <f>'P(M)'!AU31</f>
        <v>0</v>
      </c>
      <c r="I74" s="104">
        <f>H74*$K$5</f>
        <v>0</v>
      </c>
      <c r="J74" s="104">
        <f t="shared" si="3"/>
        <v>0</v>
      </c>
      <c r="K74" s="39">
        <f>'P(M)'!AY31</f>
        <v>0</v>
      </c>
      <c r="L74" s="104">
        <f t="shared" si="4"/>
        <v>0</v>
      </c>
      <c r="M74" s="68" t="s">
        <v>146</v>
      </c>
      <c r="N74" s="129" t="str">
        <f t="shared" si="2"/>
        <v/>
      </c>
      <c r="O74" s="35"/>
      <c r="P74" s="35"/>
      <c r="Q74" s="35"/>
      <c r="R74" s="35"/>
      <c r="S74" s="35"/>
      <c r="T74" s="35"/>
      <c r="U74" s="35"/>
      <c r="V74" s="35"/>
      <c r="W74" s="35"/>
      <c r="X74" s="35"/>
      <c r="Y74" s="35"/>
      <c r="Z74" s="35"/>
      <c r="AA74" s="35"/>
      <c r="AB74" s="35"/>
      <c r="AC74" s="35"/>
      <c r="AD74" s="35"/>
      <c r="AE74" s="35"/>
      <c r="AF74" s="35"/>
      <c r="AG74" s="35"/>
      <c r="AH74" s="35"/>
      <c r="AI74" s="35"/>
      <c r="AJ74" s="35"/>
      <c r="AK74" s="35"/>
      <c r="AL74" s="35"/>
      <c r="AM74" s="35"/>
      <c r="AN74" s="35"/>
      <c r="AO74" s="35"/>
      <c r="AP74" s="35"/>
      <c r="AQ74" s="35"/>
      <c r="AR74" s="35"/>
      <c r="AS74" s="35"/>
      <c r="AT74" s="35"/>
      <c r="AU74" s="35"/>
      <c r="AV74" s="35"/>
      <c r="AW74" s="35"/>
      <c r="AX74" s="35"/>
      <c r="AY74" s="35"/>
      <c r="AZ74" s="35"/>
      <c r="BA74" s="35"/>
      <c r="BB74" s="35"/>
      <c r="BC74" s="35"/>
      <c r="BD74" s="35"/>
      <c r="BE74" s="35"/>
      <c r="BF74" s="35"/>
      <c r="BG74" s="35"/>
      <c r="BH74" s="35"/>
      <c r="BI74" s="35"/>
      <c r="BJ74" s="35"/>
      <c r="BK74" s="35"/>
      <c r="BL74" s="35"/>
      <c r="BM74" s="35"/>
      <c r="BN74" s="35"/>
      <c r="BO74" s="35"/>
      <c r="BP74" s="35"/>
      <c r="BQ74" s="35"/>
      <c r="BR74" s="35"/>
      <c r="BS74" s="35"/>
      <c r="BT74" s="35"/>
      <c r="BU74" s="35"/>
      <c r="BV74" s="35"/>
      <c r="BW74" s="35"/>
      <c r="BX74" s="35"/>
      <c r="BY74" s="35"/>
      <c r="BZ74" s="35"/>
      <c r="CA74" s="35"/>
      <c r="CB74" s="35"/>
      <c r="CC74" s="35"/>
      <c r="CD74" s="35"/>
      <c r="CE74" s="35"/>
      <c r="CF74" s="35"/>
      <c r="CG74" s="35"/>
      <c r="CH74" s="35"/>
      <c r="CI74" s="35"/>
      <c r="CJ74" s="35"/>
      <c r="CK74" s="35"/>
      <c r="CL74" s="35"/>
      <c r="CM74" s="35"/>
      <c r="CN74" s="35"/>
      <c r="CO74" s="35"/>
      <c r="CP74" s="35"/>
      <c r="CQ74" s="35"/>
      <c r="CR74" s="35"/>
      <c r="CS74" s="35"/>
      <c r="CT74" s="35"/>
      <c r="CU74" s="35"/>
      <c r="CV74" s="35"/>
      <c r="CW74" s="35"/>
      <c r="CX74" s="35"/>
      <c r="CY74" s="35"/>
      <c r="CZ74" s="35"/>
      <c r="DA74" s="35"/>
      <c r="DB74" s="35"/>
      <c r="DC74" s="35"/>
      <c r="DD74" s="35"/>
      <c r="DE74" s="35"/>
      <c r="DF74" s="35"/>
      <c r="DG74" s="35"/>
      <c r="DH74" s="35"/>
      <c r="DI74" s="35"/>
      <c r="DJ74" s="35"/>
    </row>
    <row r="75" spans="1:114" ht="16.5" customHeight="1" x14ac:dyDescent="0.25">
      <c r="A75" s="161" t="s">
        <v>182</v>
      </c>
      <c r="B75" s="154"/>
      <c r="C75" s="164"/>
      <c r="D75" s="62" t="s">
        <v>16</v>
      </c>
      <c r="E75" s="64">
        <f>'P(M)'!AO32</f>
        <v>0</v>
      </c>
      <c r="F75" s="104">
        <f>E75*$K$5</f>
        <v>0</v>
      </c>
      <c r="G75" s="62" t="s">
        <v>16</v>
      </c>
      <c r="H75" s="64">
        <f>'P(M)'!AU32</f>
        <v>0</v>
      </c>
      <c r="I75" s="104">
        <f>H75*$K$5</f>
        <v>0</v>
      </c>
      <c r="J75" s="104">
        <f>F75+I75</f>
        <v>0</v>
      </c>
      <c r="K75" s="39">
        <f>'P(M)'!AY32</f>
        <v>0</v>
      </c>
      <c r="L75" s="104">
        <f>J75+K75</f>
        <v>0</v>
      </c>
      <c r="M75" s="179" t="s">
        <v>131</v>
      </c>
      <c r="N75" s="129" t="str">
        <f t="shared" si="2"/>
        <v/>
      </c>
      <c r="O75" s="35"/>
      <c r="P75" s="35"/>
      <c r="Q75" s="35"/>
      <c r="R75" s="35"/>
      <c r="S75" s="35"/>
      <c r="T75" s="35"/>
      <c r="U75" s="35"/>
      <c r="V75" s="35"/>
      <c r="W75" s="35"/>
      <c r="X75" s="35"/>
      <c r="Y75" s="35"/>
      <c r="Z75" s="35"/>
      <c r="AA75" s="35"/>
      <c r="AB75" s="35"/>
      <c r="AC75" s="35"/>
      <c r="AD75" s="35"/>
      <c r="AE75" s="35"/>
      <c r="AF75" s="35"/>
      <c r="AG75" s="35"/>
      <c r="AH75" s="35"/>
      <c r="AI75" s="35"/>
      <c r="AJ75" s="35"/>
      <c r="AK75" s="35"/>
      <c r="AL75" s="35"/>
      <c r="AM75" s="35"/>
      <c r="AN75" s="35"/>
      <c r="AO75" s="35"/>
      <c r="AP75" s="35"/>
      <c r="AQ75" s="35"/>
      <c r="AR75" s="35"/>
      <c r="AS75" s="35"/>
      <c r="AT75" s="35"/>
      <c r="AU75" s="35"/>
      <c r="AV75" s="35"/>
      <c r="AW75" s="35"/>
      <c r="AX75" s="35"/>
      <c r="AY75" s="35"/>
      <c r="AZ75" s="35"/>
      <c r="BA75" s="35"/>
      <c r="BB75" s="35"/>
      <c r="BC75" s="35"/>
      <c r="BD75" s="35"/>
      <c r="BE75" s="35"/>
      <c r="BF75" s="35"/>
      <c r="BG75" s="35"/>
      <c r="BH75" s="35"/>
      <c r="BI75" s="35"/>
      <c r="BJ75" s="35"/>
      <c r="BK75" s="35"/>
      <c r="BL75" s="35"/>
      <c r="BM75" s="35"/>
      <c r="BN75" s="35"/>
      <c r="BO75" s="35"/>
      <c r="BP75" s="35"/>
      <c r="BQ75" s="35"/>
      <c r="BR75" s="35"/>
      <c r="BS75" s="35"/>
      <c r="BT75" s="35"/>
      <c r="BU75" s="35"/>
      <c r="BV75" s="35"/>
      <c r="BW75" s="35"/>
      <c r="BX75" s="35"/>
      <c r="BY75" s="35"/>
      <c r="BZ75" s="35"/>
      <c r="CA75" s="35"/>
      <c r="CB75" s="35"/>
      <c r="CC75" s="35"/>
      <c r="CD75" s="35"/>
      <c r="CE75" s="35"/>
      <c r="CF75" s="35"/>
      <c r="CG75" s="35"/>
      <c r="CH75" s="35"/>
      <c r="CI75" s="35"/>
      <c r="CJ75" s="35"/>
      <c r="CK75" s="35"/>
      <c r="CL75" s="35"/>
      <c r="CM75" s="35"/>
      <c r="CN75" s="35"/>
      <c r="CO75" s="35"/>
      <c r="CP75" s="35"/>
      <c r="CQ75" s="35"/>
      <c r="CR75" s="35"/>
      <c r="CS75" s="35"/>
      <c r="CT75" s="35"/>
      <c r="CU75" s="35"/>
      <c r="CV75" s="35"/>
      <c r="CW75" s="35"/>
      <c r="CX75" s="35"/>
      <c r="CY75" s="35"/>
      <c r="CZ75" s="35"/>
      <c r="DA75" s="35"/>
      <c r="DB75" s="35"/>
      <c r="DC75" s="35"/>
      <c r="DD75" s="35"/>
      <c r="DE75" s="35"/>
      <c r="DF75" s="35"/>
      <c r="DG75" s="35"/>
      <c r="DH75" s="35"/>
      <c r="DI75" s="35"/>
      <c r="DJ75" s="35"/>
    </row>
    <row r="76" spans="1:114" ht="16.5" customHeight="1" x14ac:dyDescent="0.25">
      <c r="A76" s="162"/>
      <c r="B76" s="154"/>
      <c r="C76" s="165"/>
      <c r="D76" s="62" t="s">
        <v>16</v>
      </c>
      <c r="E76" s="64">
        <f>'P(M)'!AO33</f>
        <v>0</v>
      </c>
      <c r="F76" s="104">
        <f>E76*$K$5</f>
        <v>0</v>
      </c>
      <c r="G76" s="62" t="s">
        <v>16</v>
      </c>
      <c r="H76" s="64">
        <f>'P(M)'!AU33</f>
        <v>0</v>
      </c>
      <c r="I76" s="104">
        <f>H76*$K$5</f>
        <v>0</v>
      </c>
      <c r="J76" s="104">
        <f>F76+I76</f>
        <v>0</v>
      </c>
      <c r="K76" s="39">
        <f>'P(M)'!AY33</f>
        <v>0</v>
      </c>
      <c r="L76" s="104">
        <f>J76+K76</f>
        <v>0</v>
      </c>
      <c r="M76" s="180"/>
      <c r="N76" s="129" t="str">
        <f t="shared" si="2"/>
        <v/>
      </c>
      <c r="O76" s="35"/>
      <c r="P76" s="35"/>
      <c r="Q76" s="35"/>
      <c r="R76" s="35"/>
      <c r="S76" s="35"/>
      <c r="T76" s="35"/>
      <c r="U76" s="35"/>
      <c r="V76" s="35"/>
      <c r="W76" s="35"/>
      <c r="X76" s="35"/>
      <c r="Y76" s="35"/>
      <c r="Z76" s="35"/>
      <c r="AA76" s="35"/>
      <c r="AB76" s="35"/>
      <c r="AC76" s="35"/>
      <c r="AD76" s="35"/>
      <c r="AE76" s="35"/>
      <c r="AF76" s="35"/>
      <c r="AG76" s="35"/>
      <c r="AH76" s="35"/>
      <c r="AI76" s="35"/>
      <c r="AJ76" s="35"/>
      <c r="AK76" s="35"/>
      <c r="AL76" s="35"/>
      <c r="AM76" s="35"/>
      <c r="AN76" s="35"/>
      <c r="AO76" s="35"/>
      <c r="AP76" s="35"/>
      <c r="AQ76" s="35"/>
      <c r="AR76" s="35"/>
      <c r="AS76" s="35"/>
      <c r="AT76" s="35"/>
      <c r="AU76" s="35"/>
      <c r="AV76" s="35"/>
      <c r="AW76" s="35"/>
      <c r="AX76" s="35"/>
      <c r="AY76" s="35"/>
      <c r="AZ76" s="35"/>
      <c r="BA76" s="35"/>
      <c r="BB76" s="35"/>
      <c r="BC76" s="35"/>
      <c r="BD76" s="35"/>
      <c r="BE76" s="35"/>
      <c r="BF76" s="35"/>
      <c r="BG76" s="35"/>
      <c r="BH76" s="35"/>
      <c r="BI76" s="35"/>
      <c r="BJ76" s="35"/>
      <c r="BK76" s="35"/>
      <c r="BL76" s="35"/>
      <c r="BM76" s="35"/>
      <c r="BN76" s="35"/>
      <c r="BO76" s="35"/>
      <c r="BP76" s="35"/>
      <c r="BQ76" s="35"/>
      <c r="BR76" s="35"/>
      <c r="BS76" s="35"/>
      <c r="BT76" s="35"/>
      <c r="BU76" s="35"/>
      <c r="BV76" s="35"/>
      <c r="BW76" s="35"/>
      <c r="BX76" s="35"/>
      <c r="BY76" s="35"/>
      <c r="BZ76" s="35"/>
      <c r="CA76" s="35"/>
      <c r="CB76" s="35"/>
      <c r="CC76" s="35"/>
      <c r="CD76" s="35"/>
      <c r="CE76" s="35"/>
      <c r="CF76" s="35"/>
      <c r="CG76" s="35"/>
      <c r="CH76" s="35"/>
      <c r="CI76" s="35"/>
      <c r="CJ76" s="35"/>
      <c r="CK76" s="35"/>
      <c r="CL76" s="35"/>
      <c r="CM76" s="35"/>
      <c r="CN76" s="35"/>
      <c r="CO76" s="35"/>
      <c r="CP76" s="35"/>
      <c r="CQ76" s="35"/>
      <c r="CR76" s="35"/>
      <c r="CS76" s="35"/>
      <c r="CT76" s="35"/>
      <c r="CU76" s="35"/>
      <c r="CV76" s="35"/>
      <c r="CW76" s="35"/>
      <c r="CX76" s="35"/>
      <c r="CY76" s="35"/>
      <c r="CZ76" s="35"/>
      <c r="DA76" s="35"/>
      <c r="DB76" s="35"/>
      <c r="DC76" s="35"/>
      <c r="DD76" s="35"/>
      <c r="DE76" s="35"/>
      <c r="DF76" s="35"/>
      <c r="DG76" s="35"/>
      <c r="DH76" s="35"/>
      <c r="DI76" s="35"/>
      <c r="DJ76" s="35"/>
    </row>
    <row r="77" spans="1:114" ht="16.5" customHeight="1" x14ac:dyDescent="0.25">
      <c r="A77" s="161" t="s">
        <v>179</v>
      </c>
      <c r="B77" s="154"/>
      <c r="C77" s="164"/>
      <c r="D77" s="62" t="s">
        <v>21</v>
      </c>
      <c r="E77" s="64">
        <f>'P(M)'!AO34</f>
        <v>0</v>
      </c>
      <c r="F77" s="104">
        <f>E77*$M$7</f>
        <v>0</v>
      </c>
      <c r="G77" s="62" t="s">
        <v>16</v>
      </c>
      <c r="H77" s="64">
        <f>'P(M)'!AU34</f>
        <v>0</v>
      </c>
      <c r="I77" s="104">
        <f>H77*$K$5</f>
        <v>0</v>
      </c>
      <c r="J77" s="104">
        <f t="shared" si="3"/>
        <v>0</v>
      </c>
      <c r="K77" s="39">
        <f>'P(M)'!AY34</f>
        <v>0</v>
      </c>
      <c r="L77" s="104">
        <f t="shared" si="4"/>
        <v>0</v>
      </c>
      <c r="M77" s="179" t="s">
        <v>9</v>
      </c>
      <c r="N77" s="129" t="str">
        <f t="shared" si="2"/>
        <v/>
      </c>
      <c r="O77" s="35"/>
      <c r="P77" s="35"/>
      <c r="Q77" s="35"/>
      <c r="R77" s="35"/>
      <c r="S77" s="35"/>
      <c r="T77" s="35"/>
      <c r="U77" s="35"/>
      <c r="V77" s="35"/>
      <c r="W77" s="35"/>
      <c r="X77" s="35"/>
      <c r="Y77" s="35"/>
      <c r="Z77" s="35"/>
      <c r="AA77" s="35"/>
      <c r="AB77" s="35"/>
      <c r="AC77" s="35"/>
      <c r="AD77" s="35"/>
      <c r="AE77" s="35"/>
      <c r="AF77" s="35"/>
      <c r="AG77" s="35"/>
      <c r="AH77" s="35"/>
      <c r="AI77" s="35"/>
      <c r="AJ77" s="35"/>
      <c r="AK77" s="35"/>
      <c r="AL77" s="35"/>
      <c r="AM77" s="35"/>
      <c r="AN77" s="35"/>
      <c r="AO77" s="35"/>
      <c r="AP77" s="35"/>
      <c r="AQ77" s="35"/>
      <c r="AR77" s="35"/>
      <c r="AS77" s="35"/>
      <c r="AT77" s="35"/>
      <c r="AU77" s="35"/>
      <c r="AV77" s="35"/>
      <c r="AW77" s="35"/>
      <c r="AX77" s="35"/>
      <c r="AY77" s="35"/>
      <c r="AZ77" s="35"/>
      <c r="BA77" s="35"/>
      <c r="BB77" s="35"/>
      <c r="BC77" s="35"/>
      <c r="BD77" s="35"/>
      <c r="BE77" s="35"/>
      <c r="BF77" s="35"/>
      <c r="BG77" s="35"/>
      <c r="BH77" s="35"/>
      <c r="BI77" s="35"/>
      <c r="BJ77" s="35"/>
      <c r="BK77" s="35"/>
      <c r="BL77" s="35"/>
      <c r="BM77" s="35"/>
      <c r="BN77" s="35"/>
      <c r="BO77" s="35"/>
      <c r="BP77" s="35"/>
      <c r="BQ77" s="35"/>
      <c r="BR77" s="35"/>
      <c r="BS77" s="35"/>
      <c r="BT77" s="35"/>
      <c r="BU77" s="35"/>
      <c r="BV77" s="35"/>
      <c r="BW77" s="35"/>
      <c r="BX77" s="35"/>
      <c r="BY77" s="35"/>
      <c r="BZ77" s="35"/>
      <c r="CA77" s="35"/>
      <c r="CB77" s="35"/>
      <c r="CC77" s="35"/>
      <c r="CD77" s="35"/>
      <c r="CE77" s="35"/>
      <c r="CF77" s="35"/>
      <c r="CG77" s="35"/>
      <c r="CH77" s="35"/>
      <c r="CI77" s="35"/>
      <c r="CJ77" s="35"/>
      <c r="CK77" s="35"/>
      <c r="CL77" s="35"/>
      <c r="CM77" s="35"/>
      <c r="CN77" s="35"/>
      <c r="CO77" s="35"/>
      <c r="CP77" s="35"/>
      <c r="CQ77" s="35"/>
      <c r="CR77" s="35"/>
      <c r="CS77" s="35"/>
      <c r="CT77" s="35"/>
      <c r="CU77" s="35"/>
      <c r="CV77" s="35"/>
      <c r="CW77" s="35"/>
      <c r="CX77" s="35"/>
      <c r="CY77" s="35"/>
      <c r="CZ77" s="35"/>
      <c r="DA77" s="35"/>
      <c r="DB77" s="35"/>
      <c r="DC77" s="35"/>
      <c r="DD77" s="35"/>
      <c r="DE77" s="35"/>
      <c r="DF77" s="35"/>
      <c r="DG77" s="35"/>
      <c r="DH77" s="35"/>
      <c r="DI77" s="35"/>
      <c r="DJ77" s="35"/>
    </row>
    <row r="78" spans="1:114" ht="16.5" customHeight="1" x14ac:dyDescent="0.25">
      <c r="A78" s="162"/>
      <c r="B78" s="154"/>
      <c r="C78" s="165"/>
      <c r="D78" s="62" t="s">
        <v>21</v>
      </c>
      <c r="E78" s="64">
        <f>'P(M)'!AO35</f>
        <v>0</v>
      </c>
      <c r="F78" s="104">
        <f>E78*$M$7</f>
        <v>0</v>
      </c>
      <c r="G78" s="62" t="s">
        <v>16</v>
      </c>
      <c r="H78" s="64">
        <f>'P(M)'!AU35</f>
        <v>0</v>
      </c>
      <c r="I78" s="104">
        <f>H78*$K$5</f>
        <v>0</v>
      </c>
      <c r="J78" s="104">
        <f t="shared" si="3"/>
        <v>0</v>
      </c>
      <c r="K78" s="39">
        <f>'P(M)'!AY35</f>
        <v>0</v>
      </c>
      <c r="L78" s="104">
        <f t="shared" si="4"/>
        <v>0</v>
      </c>
      <c r="M78" s="180"/>
      <c r="N78" s="129" t="str">
        <f t="shared" si="2"/>
        <v/>
      </c>
      <c r="O78" s="35"/>
      <c r="P78" s="35"/>
      <c r="Q78" s="35"/>
      <c r="R78" s="35"/>
      <c r="S78" s="35"/>
      <c r="T78" s="35"/>
      <c r="U78" s="35"/>
      <c r="V78" s="35"/>
      <c r="W78" s="35"/>
      <c r="X78" s="35"/>
      <c r="Y78" s="35"/>
      <c r="Z78" s="35"/>
      <c r="AA78" s="35"/>
      <c r="AB78" s="35"/>
      <c r="AC78" s="35"/>
      <c r="AD78" s="35"/>
      <c r="AE78" s="35"/>
      <c r="AF78" s="35"/>
      <c r="AG78" s="35"/>
      <c r="AH78" s="35"/>
      <c r="AI78" s="35"/>
      <c r="AJ78" s="35"/>
      <c r="AK78" s="35"/>
      <c r="AL78" s="35"/>
      <c r="AM78" s="35"/>
      <c r="AN78" s="35"/>
      <c r="AO78" s="35"/>
      <c r="AP78" s="35"/>
      <c r="AQ78" s="35"/>
      <c r="AR78" s="35"/>
      <c r="AS78" s="35"/>
      <c r="AT78" s="35"/>
      <c r="AU78" s="35"/>
      <c r="AV78" s="35"/>
      <c r="AW78" s="35"/>
      <c r="AX78" s="35"/>
      <c r="AY78" s="35"/>
      <c r="AZ78" s="35"/>
      <c r="BA78" s="35"/>
      <c r="BB78" s="35"/>
      <c r="BC78" s="35"/>
      <c r="BD78" s="35"/>
      <c r="BE78" s="35"/>
      <c r="BF78" s="35"/>
      <c r="BG78" s="35"/>
      <c r="BH78" s="35"/>
      <c r="BI78" s="35"/>
      <c r="BJ78" s="35"/>
      <c r="BK78" s="35"/>
      <c r="BL78" s="35"/>
      <c r="BM78" s="35"/>
      <c r="BN78" s="35"/>
      <c r="BO78" s="35"/>
      <c r="BP78" s="35"/>
      <c r="BQ78" s="35"/>
      <c r="BR78" s="35"/>
      <c r="BS78" s="35"/>
      <c r="BT78" s="35"/>
      <c r="BU78" s="35"/>
      <c r="BV78" s="35"/>
      <c r="BW78" s="35"/>
      <c r="BX78" s="35"/>
      <c r="BY78" s="35"/>
      <c r="BZ78" s="35"/>
      <c r="CA78" s="35"/>
      <c r="CB78" s="35"/>
      <c r="CC78" s="35"/>
      <c r="CD78" s="35"/>
      <c r="CE78" s="35"/>
      <c r="CF78" s="35"/>
      <c r="CG78" s="35"/>
      <c r="CH78" s="35"/>
      <c r="CI78" s="35"/>
      <c r="CJ78" s="35"/>
      <c r="CK78" s="35"/>
      <c r="CL78" s="35"/>
      <c r="CM78" s="35"/>
      <c r="CN78" s="35"/>
      <c r="CO78" s="35"/>
      <c r="CP78" s="35"/>
      <c r="CQ78" s="35"/>
      <c r="CR78" s="35"/>
      <c r="CS78" s="35"/>
      <c r="CT78" s="35"/>
      <c r="CU78" s="35"/>
      <c r="CV78" s="35"/>
      <c r="CW78" s="35"/>
      <c r="CX78" s="35"/>
      <c r="CY78" s="35"/>
      <c r="CZ78" s="35"/>
      <c r="DA78" s="35"/>
      <c r="DB78" s="35"/>
      <c r="DC78" s="35"/>
      <c r="DD78" s="35"/>
      <c r="DE78" s="35"/>
      <c r="DF78" s="35"/>
      <c r="DG78" s="35"/>
      <c r="DH78" s="35"/>
      <c r="DI78" s="35"/>
      <c r="DJ78" s="35"/>
    </row>
    <row r="79" spans="1:114" ht="16.5" customHeight="1" x14ac:dyDescent="0.25">
      <c r="A79" s="161" t="s">
        <v>180</v>
      </c>
      <c r="B79" s="154"/>
      <c r="C79" s="164"/>
      <c r="D79" s="62" t="s">
        <v>22</v>
      </c>
      <c r="E79" s="64">
        <f>'P(M)'!AO36</f>
        <v>0</v>
      </c>
      <c r="F79" s="104">
        <f>E79*$K$9</f>
        <v>0</v>
      </c>
      <c r="G79" s="62" t="s">
        <v>22</v>
      </c>
      <c r="H79" s="64">
        <f>'P(M)'!AU36</f>
        <v>0</v>
      </c>
      <c r="I79" s="104">
        <f>H79*$K$9</f>
        <v>0</v>
      </c>
      <c r="J79" s="104">
        <f t="shared" si="3"/>
        <v>0</v>
      </c>
      <c r="K79" s="39">
        <f>'P(M)'!AY36</f>
        <v>0</v>
      </c>
      <c r="L79" s="104">
        <f t="shared" si="4"/>
        <v>0</v>
      </c>
      <c r="M79" s="179" t="s">
        <v>10</v>
      </c>
      <c r="N79" s="129" t="str">
        <f t="shared" si="2"/>
        <v/>
      </c>
      <c r="O79" s="35"/>
      <c r="P79" s="35"/>
      <c r="Q79" s="35"/>
      <c r="R79" s="35"/>
      <c r="S79" s="35"/>
      <c r="T79" s="35"/>
      <c r="U79" s="35"/>
      <c r="V79" s="35"/>
      <c r="W79" s="35"/>
      <c r="X79" s="35"/>
      <c r="Y79" s="35"/>
      <c r="Z79" s="35"/>
      <c r="AA79" s="35"/>
      <c r="AB79" s="35"/>
      <c r="AC79" s="35"/>
      <c r="AD79" s="35"/>
      <c r="AE79" s="35"/>
      <c r="AF79" s="35"/>
      <c r="AG79" s="35"/>
      <c r="AH79" s="35"/>
      <c r="AI79" s="35"/>
      <c r="AJ79" s="35"/>
      <c r="AK79" s="35"/>
      <c r="AL79" s="35"/>
      <c r="AM79" s="35"/>
      <c r="AN79" s="35"/>
      <c r="AO79" s="35"/>
      <c r="AP79" s="35"/>
      <c r="AQ79" s="35"/>
      <c r="AR79" s="35"/>
      <c r="AS79" s="35"/>
      <c r="AT79" s="35"/>
      <c r="AU79" s="35"/>
      <c r="AV79" s="35"/>
      <c r="AW79" s="35"/>
      <c r="AX79" s="35"/>
      <c r="AY79" s="35"/>
      <c r="AZ79" s="35"/>
      <c r="BA79" s="35"/>
      <c r="BB79" s="35"/>
      <c r="BC79" s="35"/>
      <c r="BD79" s="35"/>
      <c r="BE79" s="35"/>
      <c r="BF79" s="35"/>
      <c r="BG79" s="35"/>
      <c r="BH79" s="35"/>
      <c r="BI79" s="35"/>
      <c r="BJ79" s="35"/>
      <c r="BK79" s="35"/>
      <c r="BL79" s="35"/>
      <c r="BM79" s="35"/>
      <c r="BN79" s="35"/>
      <c r="BO79" s="35"/>
      <c r="BP79" s="35"/>
      <c r="BQ79" s="35"/>
      <c r="BR79" s="35"/>
      <c r="BS79" s="35"/>
      <c r="BT79" s="35"/>
      <c r="BU79" s="35"/>
      <c r="BV79" s="35"/>
      <c r="BW79" s="35"/>
      <c r="BX79" s="35"/>
      <c r="BY79" s="35"/>
      <c r="BZ79" s="35"/>
      <c r="CA79" s="35"/>
      <c r="CB79" s="35"/>
      <c r="CC79" s="35"/>
      <c r="CD79" s="35"/>
      <c r="CE79" s="35"/>
      <c r="CF79" s="35"/>
      <c r="CG79" s="35"/>
      <c r="CH79" s="35"/>
      <c r="CI79" s="35"/>
      <c r="CJ79" s="35"/>
      <c r="CK79" s="35"/>
      <c r="CL79" s="35"/>
      <c r="CM79" s="35"/>
      <c r="CN79" s="35"/>
      <c r="CO79" s="35"/>
      <c r="CP79" s="35"/>
      <c r="CQ79" s="35"/>
      <c r="CR79" s="35"/>
      <c r="CS79" s="35"/>
      <c r="CT79" s="35"/>
      <c r="CU79" s="35"/>
      <c r="CV79" s="35"/>
      <c r="CW79" s="35"/>
      <c r="CX79" s="35"/>
      <c r="CY79" s="35"/>
      <c r="CZ79" s="35"/>
      <c r="DA79" s="35"/>
      <c r="DB79" s="35"/>
      <c r="DC79" s="35"/>
      <c r="DD79" s="35"/>
      <c r="DE79" s="35"/>
      <c r="DF79" s="35"/>
      <c r="DG79" s="35"/>
      <c r="DH79" s="35"/>
      <c r="DI79" s="35"/>
      <c r="DJ79" s="35"/>
    </row>
    <row r="80" spans="1:114" ht="16.5" customHeight="1" x14ac:dyDescent="0.25">
      <c r="A80" s="162"/>
      <c r="B80" s="154"/>
      <c r="C80" s="165"/>
      <c r="D80" s="62" t="s">
        <v>22</v>
      </c>
      <c r="E80" s="64">
        <f>'P(M)'!AO37</f>
        <v>0</v>
      </c>
      <c r="F80" s="104">
        <f>E80*$K$9</f>
        <v>0</v>
      </c>
      <c r="G80" s="62" t="s">
        <v>22</v>
      </c>
      <c r="H80" s="64">
        <f>'P(M)'!AU37</f>
        <v>0</v>
      </c>
      <c r="I80" s="104">
        <f>H80*$K$9</f>
        <v>0</v>
      </c>
      <c r="J80" s="104">
        <f t="shared" si="3"/>
        <v>0</v>
      </c>
      <c r="K80" s="39">
        <f>'P(M)'!AY37</f>
        <v>0</v>
      </c>
      <c r="L80" s="104">
        <f t="shared" si="4"/>
        <v>0</v>
      </c>
      <c r="M80" s="180"/>
      <c r="N80" s="129" t="str">
        <f t="shared" si="2"/>
        <v/>
      </c>
      <c r="O80" s="35"/>
      <c r="P80" s="35"/>
      <c r="Q80" s="35"/>
      <c r="R80" s="35"/>
      <c r="S80" s="35"/>
      <c r="T80" s="35"/>
      <c r="U80" s="35"/>
      <c r="V80" s="35"/>
      <c r="W80" s="35"/>
      <c r="X80" s="35"/>
      <c r="Y80" s="35"/>
      <c r="Z80" s="35"/>
      <c r="AA80" s="35"/>
      <c r="AB80" s="35"/>
      <c r="AC80" s="35"/>
      <c r="AD80" s="35"/>
      <c r="AE80" s="35"/>
      <c r="AF80" s="35"/>
      <c r="AG80" s="35"/>
      <c r="AH80" s="35"/>
      <c r="AI80" s="35"/>
      <c r="AJ80" s="35"/>
      <c r="AK80" s="35"/>
      <c r="AL80" s="35"/>
      <c r="AM80" s="35"/>
      <c r="AN80" s="35"/>
      <c r="AO80" s="35"/>
      <c r="AP80" s="35"/>
      <c r="AQ80" s="35"/>
      <c r="AR80" s="35"/>
      <c r="AS80" s="35"/>
      <c r="AT80" s="35"/>
      <c r="AU80" s="35"/>
      <c r="AV80" s="35"/>
      <c r="AW80" s="35"/>
      <c r="AX80" s="35"/>
      <c r="AY80" s="35"/>
      <c r="AZ80" s="35"/>
      <c r="BA80" s="35"/>
      <c r="BB80" s="35"/>
      <c r="BC80" s="35"/>
      <c r="BD80" s="35"/>
      <c r="BE80" s="35"/>
      <c r="BF80" s="35"/>
      <c r="BG80" s="35"/>
      <c r="BH80" s="35"/>
      <c r="BI80" s="35"/>
      <c r="BJ80" s="35"/>
      <c r="BK80" s="35"/>
      <c r="BL80" s="35"/>
      <c r="BM80" s="35"/>
      <c r="BN80" s="35"/>
      <c r="BO80" s="35"/>
      <c r="BP80" s="35"/>
      <c r="BQ80" s="35"/>
      <c r="BR80" s="35"/>
      <c r="BS80" s="35"/>
      <c r="BT80" s="35"/>
      <c r="BU80" s="35"/>
      <c r="BV80" s="35"/>
      <c r="BW80" s="35"/>
      <c r="BX80" s="35"/>
      <c r="BY80" s="35"/>
      <c r="BZ80" s="35"/>
      <c r="CA80" s="35"/>
      <c r="CB80" s="35"/>
      <c r="CC80" s="35"/>
      <c r="CD80" s="35"/>
      <c r="CE80" s="35"/>
      <c r="CF80" s="35"/>
      <c r="CG80" s="35"/>
      <c r="CH80" s="35"/>
      <c r="CI80" s="35"/>
      <c r="CJ80" s="35"/>
      <c r="CK80" s="35"/>
      <c r="CL80" s="35"/>
      <c r="CM80" s="35"/>
      <c r="CN80" s="35"/>
      <c r="CO80" s="35"/>
      <c r="CP80" s="35"/>
      <c r="CQ80" s="35"/>
      <c r="CR80" s="35"/>
      <c r="CS80" s="35"/>
      <c r="CT80" s="35"/>
      <c r="CU80" s="35"/>
      <c r="CV80" s="35"/>
      <c r="CW80" s="35"/>
      <c r="CX80" s="35"/>
      <c r="CY80" s="35"/>
      <c r="CZ80" s="35"/>
      <c r="DA80" s="35"/>
      <c r="DB80" s="35"/>
      <c r="DC80" s="35"/>
      <c r="DD80" s="35"/>
      <c r="DE80" s="35"/>
      <c r="DF80" s="35"/>
      <c r="DG80" s="35"/>
      <c r="DH80" s="35"/>
      <c r="DI80" s="35"/>
      <c r="DJ80" s="35"/>
    </row>
    <row r="81" spans="1:114" ht="18.75" x14ac:dyDescent="0.25">
      <c r="A81" s="55"/>
      <c r="B81" s="55"/>
      <c r="C81" s="56"/>
      <c r="D81" s="55"/>
      <c r="E81" s="56" t="s">
        <v>183</v>
      </c>
      <c r="F81" s="57">
        <f>SUM(F60:F80)</f>
        <v>87845.34</v>
      </c>
      <c r="G81" s="55"/>
      <c r="H81" s="56" t="s">
        <v>183</v>
      </c>
      <c r="I81" s="58">
        <f>SUM(I60:I80)</f>
        <v>158496.5</v>
      </c>
      <c r="J81" s="59">
        <f>SUM(J60:J80)</f>
        <v>246341.84</v>
      </c>
      <c r="K81" s="60">
        <f>SUM(K60:K80)</f>
        <v>25000</v>
      </c>
      <c r="L81" s="63">
        <f>SUM(L60:L80)</f>
        <v>271341.83999999997</v>
      </c>
      <c r="M81" s="62"/>
      <c r="N81" s="129"/>
      <c r="O81" s="35"/>
      <c r="P81" s="35"/>
      <c r="Q81" s="35"/>
      <c r="R81" s="35"/>
      <c r="S81" s="35"/>
      <c r="T81" s="35"/>
      <c r="U81" s="35"/>
      <c r="V81" s="35"/>
      <c r="W81" s="35"/>
      <c r="X81" s="35"/>
      <c r="Y81" s="35"/>
      <c r="Z81" s="35"/>
      <c r="AA81" s="35"/>
      <c r="AB81" s="35"/>
      <c r="AC81" s="35"/>
      <c r="AD81" s="35"/>
      <c r="AE81" s="35"/>
      <c r="AF81" s="35"/>
      <c r="AG81" s="35"/>
      <c r="AH81" s="35"/>
      <c r="AI81" s="35"/>
      <c r="AJ81" s="35"/>
      <c r="AK81" s="35"/>
      <c r="AL81" s="35"/>
      <c r="AM81" s="35"/>
      <c r="AN81" s="35"/>
      <c r="AO81" s="35"/>
      <c r="AP81" s="35"/>
      <c r="AQ81" s="35"/>
      <c r="AR81" s="35"/>
      <c r="AS81" s="35"/>
      <c r="AT81" s="35"/>
      <c r="AU81" s="35"/>
      <c r="AV81" s="35"/>
      <c r="AW81" s="35"/>
      <c r="AX81" s="35"/>
      <c r="AY81" s="35"/>
      <c r="AZ81" s="35"/>
      <c r="BA81" s="35"/>
      <c r="BB81" s="35"/>
      <c r="BC81" s="35"/>
      <c r="BD81" s="35"/>
      <c r="BE81" s="35"/>
      <c r="BF81" s="35"/>
      <c r="BG81" s="35"/>
      <c r="BH81" s="35"/>
      <c r="BI81" s="35"/>
      <c r="BJ81" s="35"/>
      <c r="BK81" s="35"/>
      <c r="BL81" s="35"/>
      <c r="BM81" s="35"/>
      <c r="BN81" s="35"/>
      <c r="BO81" s="35"/>
      <c r="BP81" s="35"/>
      <c r="BQ81" s="35"/>
      <c r="BR81" s="35"/>
      <c r="BS81" s="35"/>
      <c r="BT81" s="35"/>
      <c r="BU81" s="35"/>
      <c r="BV81" s="35"/>
      <c r="BW81" s="35"/>
      <c r="BX81" s="35"/>
      <c r="BY81" s="35"/>
      <c r="BZ81" s="35"/>
      <c r="CA81" s="35"/>
      <c r="CB81" s="35"/>
      <c r="CC81" s="35"/>
      <c r="CD81" s="35"/>
      <c r="CE81" s="35"/>
      <c r="CF81" s="35"/>
      <c r="CG81" s="35"/>
      <c r="CH81" s="35"/>
      <c r="CI81" s="35"/>
      <c r="CJ81" s="35"/>
      <c r="CK81" s="35"/>
      <c r="CL81" s="35"/>
      <c r="CM81" s="35"/>
      <c r="CN81" s="35"/>
      <c r="CO81" s="35"/>
      <c r="CP81" s="35"/>
      <c r="CQ81" s="35"/>
      <c r="CR81" s="35"/>
      <c r="CS81" s="35"/>
      <c r="CT81" s="35"/>
      <c r="CU81" s="35"/>
      <c r="CV81" s="35"/>
      <c r="CW81" s="35"/>
      <c r="CX81" s="35"/>
      <c r="CY81" s="35"/>
      <c r="CZ81" s="35"/>
      <c r="DA81" s="35"/>
      <c r="DB81" s="35"/>
      <c r="DC81" s="35"/>
      <c r="DD81" s="35"/>
      <c r="DE81" s="35"/>
      <c r="DF81" s="35"/>
      <c r="DG81" s="35"/>
      <c r="DH81" s="35"/>
      <c r="DI81" s="35"/>
      <c r="DJ81" s="35"/>
    </row>
    <row r="82" spans="1:114" s="152" customFormat="1" ht="16.5" x14ac:dyDescent="0.25">
      <c r="A82" s="109" t="s">
        <v>291</v>
      </c>
      <c r="B82" s="150"/>
      <c r="C82" s="150"/>
      <c r="D82" s="150"/>
      <c r="E82" s="150"/>
      <c r="F82" s="150"/>
      <c r="G82" s="150"/>
      <c r="H82" s="150"/>
      <c r="I82" s="150"/>
      <c r="J82" s="150"/>
      <c r="K82" s="150"/>
      <c r="L82" s="150"/>
      <c r="M82" s="150"/>
      <c r="N82" s="129"/>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51"/>
      <c r="AM82" s="151"/>
      <c r="AN82" s="151"/>
      <c r="AO82" s="151"/>
      <c r="AP82" s="151"/>
      <c r="AQ82" s="151"/>
      <c r="AR82" s="151"/>
      <c r="AS82" s="151"/>
      <c r="AT82" s="151"/>
      <c r="AU82" s="151"/>
      <c r="AV82" s="151"/>
      <c r="AW82" s="151"/>
      <c r="AX82" s="151"/>
      <c r="AY82" s="151"/>
      <c r="AZ82" s="151"/>
      <c r="BA82" s="151"/>
      <c r="BB82" s="151"/>
      <c r="BC82" s="151"/>
      <c r="BD82" s="151"/>
      <c r="BE82" s="151"/>
      <c r="BF82" s="151"/>
      <c r="BG82" s="151"/>
      <c r="BH82" s="151"/>
      <c r="BI82" s="151"/>
      <c r="BJ82" s="151"/>
      <c r="BK82" s="151"/>
      <c r="BL82" s="151"/>
      <c r="BM82" s="151"/>
      <c r="BN82" s="151"/>
      <c r="BO82" s="151"/>
      <c r="BP82" s="151"/>
      <c r="BQ82" s="151"/>
      <c r="BR82" s="151"/>
      <c r="BS82" s="151"/>
      <c r="BT82" s="151"/>
      <c r="BU82" s="151"/>
      <c r="BV82" s="151"/>
      <c r="BW82" s="151"/>
      <c r="BX82" s="151"/>
      <c r="BY82" s="151"/>
      <c r="BZ82" s="151"/>
      <c r="CA82" s="151"/>
      <c r="CB82" s="151"/>
      <c r="CC82" s="151"/>
      <c r="CD82" s="151"/>
      <c r="CE82" s="151"/>
      <c r="CF82" s="151"/>
      <c r="CG82" s="151"/>
      <c r="CH82" s="151"/>
      <c r="CI82" s="151"/>
      <c r="CJ82" s="151"/>
      <c r="CK82" s="151"/>
      <c r="CL82" s="151"/>
      <c r="CM82" s="151"/>
      <c r="CN82" s="151"/>
      <c r="CO82" s="151"/>
      <c r="CP82" s="151"/>
      <c r="CQ82" s="151"/>
      <c r="CR82" s="151"/>
      <c r="CS82" s="151"/>
      <c r="CT82" s="151"/>
      <c r="CU82" s="151"/>
      <c r="CV82" s="151"/>
      <c r="CW82" s="151"/>
      <c r="CX82" s="151"/>
      <c r="CY82" s="151"/>
      <c r="CZ82" s="151"/>
      <c r="DA82" s="151"/>
      <c r="DB82" s="151"/>
      <c r="DC82" s="151"/>
      <c r="DD82" s="151"/>
      <c r="DE82" s="151"/>
      <c r="DF82" s="151"/>
      <c r="DG82" s="151"/>
      <c r="DH82" s="151"/>
      <c r="DI82" s="151"/>
      <c r="DJ82" s="151"/>
    </row>
    <row r="83" spans="1:114" s="152" customFormat="1" ht="16.5" x14ac:dyDescent="0.25">
      <c r="A83" s="109" t="s">
        <v>328</v>
      </c>
      <c r="B83" s="150"/>
      <c r="C83" s="150"/>
      <c r="D83" s="150"/>
      <c r="E83" s="150"/>
      <c r="F83" s="150"/>
      <c r="G83" s="150"/>
      <c r="H83" s="150"/>
      <c r="I83" s="150"/>
      <c r="J83" s="150"/>
      <c r="K83" s="150"/>
      <c r="L83" s="150"/>
      <c r="M83" s="150"/>
      <c r="N83" s="129"/>
      <c r="O83" s="151"/>
      <c r="P83" s="151"/>
      <c r="Q83" s="151"/>
      <c r="R83" s="151"/>
      <c r="S83" s="151"/>
      <c r="T83" s="151"/>
      <c r="U83" s="151"/>
      <c r="V83" s="151"/>
      <c r="W83" s="151"/>
      <c r="X83" s="151"/>
      <c r="Y83" s="151"/>
      <c r="Z83" s="151"/>
      <c r="AA83" s="151"/>
      <c r="AB83" s="151"/>
      <c r="AC83" s="151"/>
      <c r="AD83" s="151"/>
      <c r="AE83" s="151"/>
      <c r="AF83" s="151"/>
      <c r="AG83" s="151"/>
      <c r="AH83" s="151"/>
      <c r="AI83" s="151"/>
      <c r="AJ83" s="151"/>
      <c r="AK83" s="151"/>
      <c r="AL83" s="151"/>
      <c r="AM83" s="151"/>
      <c r="AN83" s="151"/>
      <c r="AO83" s="151"/>
      <c r="AP83" s="151"/>
      <c r="AQ83" s="151"/>
      <c r="AR83" s="151"/>
      <c r="AS83" s="151"/>
      <c r="AT83" s="151"/>
      <c r="AU83" s="151"/>
      <c r="AV83" s="151"/>
      <c r="AW83" s="151"/>
      <c r="AX83" s="151"/>
      <c r="AY83" s="151"/>
      <c r="AZ83" s="151"/>
      <c r="BA83" s="151"/>
      <c r="BB83" s="151"/>
      <c r="BC83" s="151"/>
      <c r="BD83" s="151"/>
      <c r="BE83" s="151"/>
      <c r="BF83" s="151"/>
      <c r="BG83" s="151"/>
      <c r="BH83" s="151"/>
      <c r="BI83" s="151"/>
      <c r="BJ83" s="151"/>
      <c r="BK83" s="151"/>
      <c r="BL83" s="151"/>
      <c r="BM83" s="151"/>
      <c r="BN83" s="151"/>
      <c r="BO83" s="151"/>
      <c r="BP83" s="151"/>
      <c r="BQ83" s="151"/>
      <c r="BR83" s="151"/>
      <c r="BS83" s="151"/>
      <c r="BT83" s="151"/>
      <c r="BU83" s="151"/>
      <c r="BV83" s="151"/>
      <c r="BW83" s="151"/>
      <c r="BX83" s="151"/>
      <c r="BY83" s="151"/>
      <c r="BZ83" s="151"/>
      <c r="CA83" s="151"/>
      <c r="CB83" s="151"/>
      <c r="CC83" s="151"/>
      <c r="CD83" s="151"/>
      <c r="CE83" s="151"/>
      <c r="CF83" s="151"/>
      <c r="CG83" s="151"/>
      <c r="CH83" s="151"/>
      <c r="CI83" s="151"/>
      <c r="CJ83" s="151"/>
      <c r="CK83" s="151"/>
      <c r="CL83" s="151"/>
      <c r="CM83" s="151"/>
      <c r="CN83" s="151"/>
      <c r="CO83" s="151"/>
      <c r="CP83" s="151"/>
      <c r="CQ83" s="151"/>
      <c r="CR83" s="151"/>
      <c r="CS83" s="151"/>
      <c r="CT83" s="151"/>
      <c r="CU83" s="151"/>
      <c r="CV83" s="151"/>
      <c r="CW83" s="151"/>
      <c r="CX83" s="151"/>
      <c r="CY83" s="151"/>
      <c r="CZ83" s="151"/>
      <c r="DA83" s="151"/>
      <c r="DB83" s="151"/>
      <c r="DC83" s="151"/>
      <c r="DD83" s="151"/>
      <c r="DE83" s="151"/>
      <c r="DF83" s="151"/>
      <c r="DG83" s="151"/>
      <c r="DH83" s="151"/>
      <c r="DI83" s="151"/>
      <c r="DJ83" s="151"/>
    </row>
    <row r="84" spans="1:114" ht="16.5" x14ac:dyDescent="0.25">
      <c r="A84" s="69" t="str">
        <f>IF('P(M)'!C22=TRUE,"2.歐洲案的領證費總額，需視辦理專利生效程序的國別數量而定，上表僅包含「德國」、「法國」、「英國」三國的預估費用。","")</f>
        <v>2.歐洲案的領證費總額，需視辦理專利生效程序的國別數量而定，上表僅包含「德國」、「法國」、「英國」三國的預估費用。</v>
      </c>
      <c r="B84" s="37"/>
      <c r="C84" s="37"/>
      <c r="D84" s="37"/>
      <c r="E84" s="37"/>
      <c r="F84" s="37"/>
      <c r="G84" s="37"/>
      <c r="H84" s="37"/>
      <c r="I84" s="37"/>
      <c r="J84" s="37"/>
      <c r="K84" s="37"/>
      <c r="L84" s="37"/>
      <c r="M84" s="37"/>
      <c r="N84" s="129"/>
      <c r="O84" s="35"/>
      <c r="P84" s="35"/>
      <c r="Q84" s="35"/>
      <c r="R84" s="35"/>
      <c r="S84" s="35"/>
      <c r="T84" s="35"/>
      <c r="U84" s="35"/>
      <c r="V84" s="35"/>
      <c r="W84" s="35"/>
      <c r="X84" s="35"/>
      <c r="Y84" s="35"/>
      <c r="Z84" s="35"/>
      <c r="AA84" s="35"/>
      <c r="AB84" s="35"/>
      <c r="AC84" s="35"/>
      <c r="AD84" s="35"/>
      <c r="AE84" s="35"/>
      <c r="AF84" s="35"/>
      <c r="AG84" s="35"/>
      <c r="AH84" s="35"/>
      <c r="AI84" s="35"/>
      <c r="AJ84" s="35"/>
      <c r="AK84" s="35"/>
      <c r="AL84" s="35"/>
      <c r="AM84" s="35"/>
      <c r="AN84" s="35"/>
      <c r="AO84" s="35"/>
      <c r="AP84" s="35"/>
      <c r="AQ84" s="35"/>
      <c r="AR84" s="35"/>
      <c r="AS84" s="35"/>
      <c r="AT84" s="35"/>
      <c r="AU84" s="35"/>
      <c r="AV84" s="35"/>
      <c r="AW84" s="35"/>
      <c r="AX84" s="35"/>
      <c r="AY84" s="35"/>
      <c r="AZ84" s="35"/>
      <c r="BA84" s="35"/>
      <c r="BB84" s="35"/>
      <c r="BC84" s="35"/>
      <c r="BD84" s="35"/>
      <c r="BE84" s="35"/>
      <c r="BF84" s="35"/>
      <c r="BG84" s="35"/>
      <c r="BH84" s="35"/>
      <c r="BI84" s="35"/>
      <c r="BJ84" s="35"/>
      <c r="BK84" s="35"/>
      <c r="BL84" s="35"/>
      <c r="BM84" s="35"/>
      <c r="BN84" s="35"/>
      <c r="BO84" s="35"/>
      <c r="BP84" s="35"/>
      <c r="BQ84" s="35"/>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c r="DD84" s="35"/>
      <c r="DE84" s="35"/>
      <c r="DF84" s="35"/>
      <c r="DG84" s="35"/>
      <c r="DH84" s="35"/>
      <c r="DI84" s="35"/>
      <c r="DJ84" s="35"/>
    </row>
    <row r="85" spans="1:114" ht="16.5" x14ac:dyDescent="0.25">
      <c r="A85" s="108"/>
      <c r="B85" s="37"/>
      <c r="C85" s="37"/>
      <c r="D85" s="37"/>
      <c r="E85" s="37"/>
      <c r="F85" s="37"/>
      <c r="G85" s="37"/>
      <c r="H85" s="37"/>
      <c r="I85" s="37"/>
      <c r="J85" s="37"/>
      <c r="K85" s="37"/>
      <c r="L85" s="37"/>
      <c r="M85" s="37"/>
      <c r="N85" s="129"/>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35"/>
      <c r="AN85" s="35"/>
      <c r="AO85" s="35"/>
      <c r="AP85" s="35"/>
      <c r="AQ85" s="35"/>
      <c r="AR85" s="35"/>
      <c r="AS85" s="35"/>
      <c r="AT85" s="35"/>
      <c r="AU85" s="35"/>
      <c r="AV85" s="35"/>
      <c r="AW85" s="35"/>
      <c r="AX85" s="35"/>
      <c r="AY85" s="35"/>
      <c r="AZ85" s="35"/>
      <c r="BA85" s="35"/>
      <c r="BB85" s="35"/>
      <c r="BC85" s="35"/>
      <c r="BD85" s="35"/>
      <c r="BE85" s="35"/>
      <c r="BF85" s="35"/>
      <c r="BG85" s="35"/>
      <c r="BH85" s="35"/>
      <c r="BI85" s="35"/>
      <c r="BJ85" s="35"/>
      <c r="BK85" s="35"/>
      <c r="BL85" s="35"/>
      <c r="BM85" s="35"/>
      <c r="BN85" s="35"/>
      <c r="BO85" s="35"/>
      <c r="BP85" s="35"/>
      <c r="BQ85" s="35"/>
      <c r="BR85" s="35"/>
      <c r="BS85" s="35"/>
      <c r="BT85" s="35"/>
      <c r="BU85" s="35"/>
      <c r="BV85" s="35"/>
      <c r="BW85" s="35"/>
      <c r="BX85" s="35"/>
      <c r="BY85" s="35"/>
      <c r="BZ85" s="35"/>
      <c r="CA85" s="35"/>
      <c r="CB85" s="35"/>
      <c r="CC85" s="35"/>
      <c r="CD85" s="35"/>
      <c r="CE85" s="35"/>
      <c r="CF85" s="35"/>
      <c r="CG85" s="35"/>
      <c r="CH85" s="35"/>
      <c r="CI85" s="35"/>
      <c r="CJ85" s="35"/>
      <c r="CK85" s="35"/>
      <c r="CL85" s="35"/>
      <c r="CM85" s="35"/>
      <c r="CN85" s="35"/>
      <c r="CO85" s="35"/>
      <c r="CP85" s="35"/>
      <c r="CQ85" s="35"/>
      <c r="CR85" s="35"/>
      <c r="CS85" s="35"/>
      <c r="CT85" s="35"/>
      <c r="CU85" s="35"/>
      <c r="CV85" s="35"/>
      <c r="CW85" s="35"/>
      <c r="CX85" s="35"/>
      <c r="CY85" s="35"/>
      <c r="CZ85" s="35"/>
      <c r="DA85" s="35"/>
      <c r="DB85" s="35"/>
      <c r="DC85" s="35"/>
      <c r="DD85" s="35"/>
      <c r="DE85" s="35"/>
      <c r="DF85" s="35"/>
      <c r="DG85" s="35"/>
      <c r="DH85" s="35"/>
      <c r="DI85" s="35"/>
      <c r="DJ85" s="35"/>
    </row>
    <row r="86" spans="1:114" ht="16.5" x14ac:dyDescent="0.25">
      <c r="A86" s="37"/>
      <c r="B86" s="37"/>
      <c r="C86" s="37"/>
      <c r="D86" s="37"/>
      <c r="E86" s="37"/>
      <c r="F86" s="37"/>
      <c r="G86" s="37"/>
      <c r="H86" s="37"/>
      <c r="I86" s="37"/>
      <c r="J86" s="37"/>
      <c r="K86" s="37"/>
      <c r="L86" s="37"/>
      <c r="M86" s="88"/>
      <c r="N86" s="129"/>
      <c r="O86" s="35"/>
      <c r="P86" s="35"/>
      <c r="Q86" s="35"/>
      <c r="R86" s="35"/>
      <c r="S86" s="35"/>
      <c r="T86" s="35"/>
      <c r="U86" s="35"/>
      <c r="V86" s="35"/>
      <c r="W86" s="35"/>
      <c r="X86" s="35"/>
      <c r="Y86" s="35"/>
      <c r="Z86" s="35"/>
      <c r="AA86" s="35"/>
      <c r="AB86" s="35"/>
      <c r="AC86" s="35"/>
      <c r="AD86" s="35"/>
      <c r="AE86" s="35"/>
      <c r="AF86" s="35"/>
      <c r="AG86" s="35"/>
      <c r="AH86" s="35"/>
      <c r="AI86" s="35"/>
      <c r="AJ86" s="35"/>
      <c r="AK86" s="35"/>
      <c r="AL86" s="35"/>
      <c r="AM86" s="35"/>
      <c r="AN86" s="35"/>
      <c r="AO86" s="35"/>
      <c r="AP86" s="35"/>
      <c r="AQ86" s="35"/>
      <c r="AR86" s="35"/>
      <c r="AS86" s="35"/>
      <c r="AT86" s="35"/>
      <c r="AU86" s="35"/>
      <c r="AV86" s="35"/>
      <c r="AW86" s="35"/>
      <c r="AX86" s="35"/>
      <c r="AY86" s="35"/>
      <c r="AZ86" s="35"/>
      <c r="BA86" s="35"/>
      <c r="BB86" s="35"/>
      <c r="BC86" s="35"/>
      <c r="BD86" s="35"/>
      <c r="BE86" s="35"/>
      <c r="BF86" s="35"/>
      <c r="BG86" s="35"/>
      <c r="BH86" s="35"/>
      <c r="BI86" s="35"/>
      <c r="BJ86" s="35"/>
      <c r="BK86" s="35"/>
      <c r="BL86" s="35"/>
      <c r="BM86" s="35"/>
      <c r="BN86" s="35"/>
      <c r="BO86" s="35"/>
      <c r="BP86" s="35"/>
      <c r="BQ86" s="35"/>
      <c r="BR86" s="35"/>
      <c r="BS86" s="35"/>
      <c r="BT86" s="35"/>
      <c r="BU86" s="35"/>
      <c r="BV86" s="35"/>
      <c r="BW86" s="35"/>
      <c r="BX86" s="35"/>
      <c r="BY86" s="35"/>
      <c r="BZ86" s="35"/>
      <c r="CA86" s="35"/>
      <c r="CB86" s="35"/>
      <c r="CC86" s="35"/>
      <c r="CD86" s="35"/>
      <c r="CE86" s="35"/>
      <c r="CF86" s="35"/>
      <c r="CG86" s="35"/>
      <c r="CH86" s="35"/>
      <c r="CI86" s="35"/>
      <c r="CJ86" s="35"/>
      <c r="CK86" s="35"/>
      <c r="CL86" s="35"/>
      <c r="CM86" s="35"/>
      <c r="CN86" s="35"/>
      <c r="CO86" s="35"/>
      <c r="CP86" s="35"/>
      <c r="CQ86" s="35"/>
      <c r="CR86" s="35"/>
      <c r="CS86" s="35"/>
      <c r="CT86" s="35"/>
      <c r="CU86" s="35"/>
      <c r="CV86" s="35"/>
      <c r="CW86" s="35"/>
      <c r="CX86" s="35"/>
      <c r="CY86" s="35"/>
      <c r="CZ86" s="35"/>
      <c r="DA86" s="35"/>
      <c r="DB86" s="35"/>
      <c r="DC86" s="35"/>
      <c r="DD86" s="35"/>
      <c r="DE86" s="35"/>
      <c r="DF86" s="35"/>
      <c r="DG86" s="35"/>
      <c r="DH86" s="35"/>
      <c r="DI86" s="35"/>
      <c r="DJ86" s="35"/>
    </row>
    <row r="87" spans="1:114" s="66" customFormat="1" ht="16.5" x14ac:dyDescent="0.25">
      <c r="A87" s="110" t="s">
        <v>295</v>
      </c>
      <c r="B87" s="111"/>
      <c r="C87" s="111"/>
      <c r="D87" s="111"/>
      <c r="E87" s="111"/>
      <c r="F87" s="111"/>
      <c r="G87" s="111"/>
      <c r="H87" s="111"/>
      <c r="I87" s="111"/>
      <c r="J87" s="111"/>
      <c r="K87" s="111"/>
      <c r="L87" s="111"/>
      <c r="M87" s="111"/>
      <c r="N87" s="129"/>
      <c r="O87" s="65"/>
      <c r="P87" s="65"/>
      <c r="Q87" s="65"/>
      <c r="R87" s="65"/>
      <c r="S87" s="65"/>
      <c r="T87" s="65"/>
      <c r="U87" s="65"/>
      <c r="V87" s="65"/>
      <c r="W87" s="65"/>
      <c r="X87" s="65"/>
      <c r="Y87" s="65"/>
      <c r="Z87" s="65"/>
      <c r="AA87" s="65"/>
      <c r="AB87" s="65"/>
      <c r="AC87" s="65"/>
      <c r="AD87" s="65"/>
      <c r="AE87" s="65"/>
      <c r="AF87" s="65"/>
      <c r="AG87" s="65"/>
      <c r="AH87" s="65"/>
      <c r="AI87" s="65"/>
      <c r="AJ87" s="65"/>
      <c r="AK87" s="65"/>
      <c r="AL87" s="65"/>
      <c r="AM87" s="65"/>
      <c r="AN87" s="65"/>
      <c r="AO87" s="65"/>
      <c r="AP87" s="65"/>
      <c r="AQ87" s="65"/>
      <c r="AR87" s="65"/>
      <c r="AS87" s="65"/>
      <c r="AT87" s="65"/>
      <c r="AU87" s="65"/>
      <c r="AV87" s="65"/>
      <c r="AW87" s="65"/>
      <c r="AX87" s="65"/>
      <c r="AY87" s="65"/>
      <c r="AZ87" s="65"/>
      <c r="BA87" s="65"/>
      <c r="BB87" s="65"/>
      <c r="BC87" s="65"/>
      <c r="BD87" s="65"/>
      <c r="BE87" s="65"/>
      <c r="BF87" s="65"/>
      <c r="BG87" s="65"/>
      <c r="BH87" s="65"/>
      <c r="BI87" s="65"/>
      <c r="BJ87" s="65"/>
      <c r="BK87" s="65"/>
      <c r="BL87" s="65"/>
      <c r="BM87" s="65"/>
      <c r="BN87" s="65"/>
      <c r="BO87" s="65"/>
      <c r="BP87" s="65"/>
      <c r="BQ87" s="65"/>
      <c r="BR87" s="65"/>
      <c r="BS87" s="65"/>
      <c r="BT87" s="65"/>
      <c r="BU87" s="65"/>
      <c r="BV87" s="65"/>
      <c r="BW87" s="65"/>
      <c r="BX87" s="65"/>
      <c r="BY87" s="65"/>
      <c r="BZ87" s="65"/>
      <c r="CA87" s="65"/>
      <c r="CB87" s="65"/>
      <c r="CC87" s="65"/>
      <c r="CD87" s="65"/>
      <c r="CE87" s="65"/>
      <c r="CF87" s="65"/>
      <c r="CG87" s="65"/>
      <c r="CH87" s="65"/>
      <c r="CI87" s="65"/>
      <c r="CJ87" s="65"/>
      <c r="CK87" s="65"/>
      <c r="CL87" s="65"/>
      <c r="CM87" s="65"/>
      <c r="CN87" s="65"/>
      <c r="CO87" s="65"/>
      <c r="CP87" s="65"/>
      <c r="CQ87" s="65"/>
      <c r="CR87" s="65"/>
      <c r="CS87" s="65"/>
      <c r="CT87" s="65"/>
      <c r="CU87" s="65"/>
      <c r="CV87" s="65"/>
      <c r="CW87" s="65"/>
      <c r="CX87" s="65"/>
      <c r="CY87" s="65"/>
      <c r="CZ87" s="65"/>
      <c r="DA87" s="65"/>
      <c r="DB87" s="65"/>
      <c r="DC87" s="65"/>
      <c r="DD87" s="65"/>
      <c r="DE87" s="65"/>
      <c r="DF87" s="65"/>
      <c r="DG87" s="65"/>
      <c r="DH87" s="65"/>
      <c r="DI87" s="65"/>
      <c r="DJ87" s="65"/>
    </row>
    <row r="88" spans="1:114" ht="33" customHeight="1" x14ac:dyDescent="0.25">
      <c r="A88" s="163" t="s">
        <v>166</v>
      </c>
      <c r="B88" s="166" t="s">
        <v>167</v>
      </c>
      <c r="C88" s="167" t="s">
        <v>304</v>
      </c>
      <c r="D88" s="166" t="s">
        <v>232</v>
      </c>
      <c r="E88" s="163"/>
      <c r="F88" s="163"/>
      <c r="G88" s="166" t="s">
        <v>233</v>
      </c>
      <c r="H88" s="163"/>
      <c r="I88" s="163"/>
      <c r="J88" s="112" t="s">
        <v>234</v>
      </c>
      <c r="K88" s="166" t="s">
        <v>235</v>
      </c>
      <c r="L88" s="166" t="s">
        <v>236</v>
      </c>
      <c r="M88" s="190" t="s">
        <v>166</v>
      </c>
      <c r="N88" s="129"/>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row>
    <row r="89" spans="1:114" ht="16.5" customHeight="1" x14ac:dyDescent="0.25">
      <c r="A89" s="163"/>
      <c r="B89" s="163"/>
      <c r="C89" s="168"/>
      <c r="D89" s="113" t="s">
        <v>170</v>
      </c>
      <c r="E89" s="113" t="s">
        <v>171</v>
      </c>
      <c r="F89" s="113" t="s">
        <v>172</v>
      </c>
      <c r="G89" s="113" t="s">
        <v>170</v>
      </c>
      <c r="H89" s="113" t="s">
        <v>171</v>
      </c>
      <c r="I89" s="113" t="s">
        <v>172</v>
      </c>
      <c r="J89" s="113" t="s">
        <v>172</v>
      </c>
      <c r="K89" s="163"/>
      <c r="L89" s="163"/>
      <c r="M89" s="163"/>
      <c r="N89" s="129"/>
      <c r="O89" s="35"/>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5"/>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c r="DD89" s="35"/>
      <c r="DE89" s="35"/>
      <c r="DF89" s="35"/>
      <c r="DG89" s="35"/>
      <c r="DH89" s="35"/>
      <c r="DI89" s="35"/>
      <c r="DJ89" s="35"/>
    </row>
    <row r="90" spans="1:114" ht="16.5" customHeight="1" x14ac:dyDescent="0.25">
      <c r="A90" s="161" t="s">
        <v>173</v>
      </c>
      <c r="B90" s="154"/>
      <c r="C90" s="164" t="str">
        <f>IF('P(M)'!$D$17=1,"●","○")</f>
        <v>●</v>
      </c>
      <c r="D90" s="62" t="s">
        <v>14</v>
      </c>
      <c r="E90" s="64">
        <f>'P(M)'!K46</f>
        <v>0</v>
      </c>
      <c r="F90" s="104">
        <f>E90</f>
        <v>0</v>
      </c>
      <c r="G90" s="62" t="s">
        <v>14</v>
      </c>
      <c r="H90" s="64">
        <f>'P(M)'!T46</f>
        <v>0</v>
      </c>
      <c r="I90" s="104">
        <f>H90</f>
        <v>0</v>
      </c>
      <c r="J90" s="104">
        <f>F90+I90</f>
        <v>0</v>
      </c>
      <c r="K90" s="39">
        <f>'P(M)'!AA46</f>
        <v>25000</v>
      </c>
      <c r="L90" s="104">
        <f>J90+K90</f>
        <v>25000</v>
      </c>
      <c r="M90" s="179" t="str">
        <f>A90</f>
        <v>台灣</v>
      </c>
      <c r="N90" s="129" t="str">
        <f t="shared" ref="N90:N110" si="5">N16</f>
        <v/>
      </c>
      <c r="O90" s="35"/>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5"/>
      <c r="BR90" s="35"/>
      <c r="BS90" s="35"/>
      <c r="BT90" s="35"/>
      <c r="BU90" s="35"/>
      <c r="BV90" s="35"/>
      <c r="BW90" s="35"/>
      <c r="BX90" s="35"/>
      <c r="BY90" s="35"/>
      <c r="BZ90" s="35"/>
      <c r="CA90" s="35"/>
      <c r="CB90" s="35"/>
      <c r="CC90" s="35"/>
      <c r="CD90" s="35"/>
      <c r="CE90" s="35"/>
      <c r="CF90" s="35"/>
      <c r="CG90" s="35"/>
      <c r="CH90" s="35"/>
      <c r="CI90" s="35"/>
      <c r="CJ90" s="35"/>
      <c r="CK90" s="35"/>
      <c r="CL90" s="35"/>
      <c r="CM90" s="35"/>
      <c r="CN90" s="35"/>
      <c r="CO90" s="35"/>
      <c r="CP90" s="35"/>
      <c r="CQ90" s="35"/>
      <c r="CR90" s="35"/>
      <c r="CS90" s="35"/>
      <c r="CT90" s="35"/>
      <c r="CU90" s="35"/>
      <c r="CV90" s="35"/>
      <c r="CW90" s="35"/>
      <c r="CX90" s="35"/>
      <c r="CY90" s="35"/>
      <c r="CZ90" s="35"/>
      <c r="DA90" s="35"/>
      <c r="DB90" s="35"/>
      <c r="DC90" s="35"/>
      <c r="DD90" s="35"/>
      <c r="DE90" s="35"/>
      <c r="DF90" s="35"/>
      <c r="DG90" s="35"/>
      <c r="DH90" s="35"/>
      <c r="DI90" s="35"/>
      <c r="DJ90" s="35"/>
    </row>
    <row r="91" spans="1:114" ht="16.5" customHeight="1" x14ac:dyDescent="0.25">
      <c r="A91" s="162"/>
      <c r="B91" s="154"/>
      <c r="C91" s="165"/>
      <c r="D91" s="62" t="s">
        <v>14</v>
      </c>
      <c r="E91" s="64">
        <f>'P(M)'!K47</f>
        <v>0</v>
      </c>
      <c r="F91" s="104">
        <f>E91</f>
        <v>0</v>
      </c>
      <c r="G91" s="62" t="s">
        <v>14</v>
      </c>
      <c r="H91" s="64">
        <f>'P(M)'!T47</f>
        <v>0</v>
      </c>
      <c r="I91" s="104">
        <f>H91</f>
        <v>0</v>
      </c>
      <c r="J91" s="104">
        <f t="shared" ref="J91:J110" si="6">F91+I91</f>
        <v>0</v>
      </c>
      <c r="K91" s="39">
        <f>'P(M)'!AA47</f>
        <v>0</v>
      </c>
      <c r="L91" s="104">
        <f t="shared" ref="L91:L110" si="7">J91+K91</f>
        <v>0</v>
      </c>
      <c r="M91" s="180"/>
      <c r="N91" s="129" t="str">
        <f t="shared" si="5"/>
        <v/>
      </c>
      <c r="O91" s="35"/>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5"/>
      <c r="BR91" s="35"/>
      <c r="BS91" s="35"/>
      <c r="BT91" s="35"/>
      <c r="BU91" s="35"/>
      <c r="BV91" s="35"/>
      <c r="BW91" s="35"/>
      <c r="BX91" s="35"/>
      <c r="BY91" s="35"/>
      <c r="BZ91" s="35"/>
      <c r="CA91" s="35"/>
      <c r="CB91" s="35"/>
      <c r="CC91" s="35"/>
      <c r="CD91" s="35"/>
      <c r="CE91" s="35"/>
      <c r="CF91" s="35"/>
      <c r="CG91" s="35"/>
      <c r="CH91" s="35"/>
      <c r="CI91" s="35"/>
      <c r="CJ91" s="35"/>
      <c r="CK91" s="35"/>
      <c r="CL91" s="35"/>
      <c r="CM91" s="35"/>
      <c r="CN91" s="35"/>
      <c r="CO91" s="35"/>
      <c r="CP91" s="35"/>
      <c r="CQ91" s="35"/>
      <c r="CR91" s="35"/>
      <c r="CS91" s="35"/>
      <c r="CT91" s="35"/>
      <c r="CU91" s="35"/>
      <c r="CV91" s="35"/>
      <c r="CW91" s="35"/>
      <c r="CX91" s="35"/>
      <c r="CY91" s="35"/>
      <c r="CZ91" s="35"/>
      <c r="DA91" s="35"/>
      <c r="DB91" s="35"/>
      <c r="DC91" s="35"/>
      <c r="DD91" s="35"/>
      <c r="DE91" s="35"/>
      <c r="DF91" s="35"/>
      <c r="DG91" s="35"/>
      <c r="DH91" s="35"/>
      <c r="DI91" s="35"/>
      <c r="DJ91" s="35"/>
    </row>
    <row r="92" spans="1:114" ht="16.5" customHeight="1" x14ac:dyDescent="0.25">
      <c r="A92" s="161" t="s">
        <v>174</v>
      </c>
      <c r="B92" s="154"/>
      <c r="C92" s="164" t="str">
        <f>IF('P(M)'!$D$17=2,"●","○")</f>
        <v>○</v>
      </c>
      <c r="D92" s="62" t="s">
        <v>15</v>
      </c>
      <c r="E92" s="64">
        <f>'P(M)'!K48</f>
        <v>0</v>
      </c>
      <c r="F92" s="104">
        <f>E92*$M$5</f>
        <v>0</v>
      </c>
      <c r="G92" s="62" t="s">
        <v>15</v>
      </c>
      <c r="H92" s="64">
        <f>'P(M)'!T48</f>
        <v>1200</v>
      </c>
      <c r="I92" s="104">
        <f>H92*$M$5</f>
        <v>5520</v>
      </c>
      <c r="J92" s="104">
        <f t="shared" si="6"/>
        <v>5520</v>
      </c>
      <c r="K92" s="39">
        <f>'P(M)'!AA48</f>
        <v>25000</v>
      </c>
      <c r="L92" s="104">
        <f t="shared" si="7"/>
        <v>30520</v>
      </c>
      <c r="M92" s="179" t="s">
        <v>3</v>
      </c>
      <c r="N92" s="129" t="str">
        <f t="shared" si="5"/>
        <v/>
      </c>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row>
    <row r="93" spans="1:114" ht="16.5" customHeight="1" x14ac:dyDescent="0.25">
      <c r="A93" s="162"/>
      <c r="B93" s="154"/>
      <c r="C93" s="165"/>
      <c r="D93" s="62" t="s">
        <v>15</v>
      </c>
      <c r="E93" s="64">
        <f>'P(M)'!K49</f>
        <v>0</v>
      </c>
      <c r="F93" s="104">
        <f>E93*$M$5</f>
        <v>0</v>
      </c>
      <c r="G93" s="62" t="s">
        <v>15</v>
      </c>
      <c r="H93" s="64">
        <f>'P(M)'!T49</f>
        <v>0</v>
      </c>
      <c r="I93" s="104">
        <f>H93*$M$5</f>
        <v>0</v>
      </c>
      <c r="J93" s="104">
        <f t="shared" si="6"/>
        <v>0</v>
      </c>
      <c r="K93" s="39">
        <f>'P(M)'!AA49</f>
        <v>0</v>
      </c>
      <c r="L93" s="104">
        <f t="shared" si="7"/>
        <v>0</v>
      </c>
      <c r="M93" s="180"/>
      <c r="N93" s="129" t="str">
        <f t="shared" si="5"/>
        <v/>
      </c>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row>
    <row r="94" spans="1:114" ht="16.5" customHeight="1" x14ac:dyDescent="0.25">
      <c r="A94" s="62" t="s">
        <v>175</v>
      </c>
      <c r="B94" s="154"/>
      <c r="C94" s="159" t="str">
        <f>IF('P(M)'!$D$17=3,"●","○")</f>
        <v>○</v>
      </c>
      <c r="D94" s="62" t="s">
        <v>16</v>
      </c>
      <c r="E94" s="64">
        <f>'P(M)'!K50</f>
        <v>0</v>
      </c>
      <c r="F94" s="104">
        <f>E94*$K$5</f>
        <v>0</v>
      </c>
      <c r="G94" s="62" t="s">
        <v>16</v>
      </c>
      <c r="H94" s="64">
        <f>'P(M)'!T50</f>
        <v>1320</v>
      </c>
      <c r="I94" s="104">
        <f>H94*$K$5</f>
        <v>42240</v>
      </c>
      <c r="J94" s="104">
        <f t="shared" si="6"/>
        <v>42240</v>
      </c>
      <c r="K94" s="39">
        <f>'P(M)'!AA50</f>
        <v>40000</v>
      </c>
      <c r="L94" s="104">
        <f t="shared" si="7"/>
        <v>82240</v>
      </c>
      <c r="M94" s="68" t="s">
        <v>4</v>
      </c>
      <c r="N94" s="129" t="str">
        <f t="shared" si="5"/>
        <v/>
      </c>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row>
    <row r="95" spans="1:114" ht="16.5" customHeight="1" x14ac:dyDescent="0.25">
      <c r="A95" s="62" t="s">
        <v>190</v>
      </c>
      <c r="B95" s="154"/>
      <c r="C95" s="159"/>
      <c r="D95" s="62" t="s">
        <v>17</v>
      </c>
      <c r="E95" s="64">
        <f>'P(M)'!K51</f>
        <v>2500</v>
      </c>
      <c r="F95" s="104">
        <f>E95*$K$6</f>
        <v>93750</v>
      </c>
      <c r="G95" s="62" t="s">
        <v>17</v>
      </c>
      <c r="H95" s="64">
        <f>'P(M)'!T51</f>
        <v>1980</v>
      </c>
      <c r="I95" s="104">
        <f>H95*$K$6</f>
        <v>74250</v>
      </c>
      <c r="J95" s="104">
        <f t="shared" si="6"/>
        <v>168000</v>
      </c>
      <c r="K95" s="39">
        <f>'P(M)'!AA51</f>
        <v>40000</v>
      </c>
      <c r="L95" s="104">
        <f t="shared" si="7"/>
        <v>208000</v>
      </c>
      <c r="M95" s="68" t="s">
        <v>5</v>
      </c>
      <c r="N95" s="129" t="str">
        <f t="shared" si="5"/>
        <v/>
      </c>
      <c r="O95" s="35"/>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row>
    <row r="96" spans="1:114" ht="16.5" customHeight="1" x14ac:dyDescent="0.25">
      <c r="A96" s="161" t="s">
        <v>176</v>
      </c>
      <c r="B96" s="154"/>
      <c r="C96" s="164"/>
      <c r="D96" s="62" t="s">
        <v>18</v>
      </c>
      <c r="E96" s="64">
        <f>'P(M)'!K52</f>
        <v>0</v>
      </c>
      <c r="F96" s="104">
        <f>E96*$K$7</f>
        <v>0</v>
      </c>
      <c r="G96" s="62" t="s">
        <v>18</v>
      </c>
      <c r="H96" s="64">
        <f>'P(M)'!T52</f>
        <v>215000</v>
      </c>
      <c r="I96" s="104">
        <f>H96*$K$7</f>
        <v>45150</v>
      </c>
      <c r="J96" s="104">
        <f t="shared" si="6"/>
        <v>45150</v>
      </c>
      <c r="K96" s="39">
        <f>'P(M)'!AA52</f>
        <v>40000</v>
      </c>
      <c r="L96" s="104">
        <f t="shared" si="7"/>
        <v>85150</v>
      </c>
      <c r="M96" s="179" t="s">
        <v>6</v>
      </c>
      <c r="N96" s="129" t="str">
        <f t="shared" si="5"/>
        <v/>
      </c>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5"/>
      <c r="BR96" s="35"/>
      <c r="BS96" s="35"/>
      <c r="BT96" s="35"/>
      <c r="BU96" s="35"/>
      <c r="BV96" s="35"/>
      <c r="BW96" s="35"/>
      <c r="BX96" s="35"/>
      <c r="BY96" s="35"/>
      <c r="BZ96" s="35"/>
      <c r="CA96" s="35"/>
      <c r="CB96" s="35"/>
      <c r="CC96" s="35"/>
      <c r="CD96" s="35"/>
      <c r="CE96" s="35"/>
      <c r="CF96" s="35"/>
      <c r="CG96" s="35"/>
      <c r="CH96" s="35"/>
      <c r="CI96" s="35"/>
      <c r="CJ96" s="35"/>
      <c r="CK96" s="35"/>
      <c r="CL96" s="35"/>
      <c r="CM96" s="35"/>
      <c r="CN96" s="35"/>
      <c r="CO96" s="35"/>
      <c r="CP96" s="35"/>
      <c r="CQ96" s="35"/>
      <c r="CR96" s="35"/>
      <c r="CS96" s="35"/>
      <c r="CT96" s="35"/>
      <c r="CU96" s="35"/>
      <c r="CV96" s="35"/>
      <c r="CW96" s="35"/>
      <c r="CX96" s="35"/>
      <c r="CY96" s="35"/>
      <c r="CZ96" s="35"/>
      <c r="DA96" s="35"/>
      <c r="DB96" s="35"/>
      <c r="DC96" s="35"/>
      <c r="DD96" s="35"/>
      <c r="DE96" s="35"/>
      <c r="DF96" s="35"/>
      <c r="DG96" s="35"/>
      <c r="DH96" s="35"/>
      <c r="DI96" s="35"/>
      <c r="DJ96" s="35"/>
    </row>
    <row r="97" spans="1:114" ht="16.5" customHeight="1" x14ac:dyDescent="0.25">
      <c r="A97" s="162"/>
      <c r="B97" s="154"/>
      <c r="C97" s="165"/>
      <c r="D97" s="62" t="s">
        <v>18</v>
      </c>
      <c r="E97" s="64">
        <f>'P(M)'!K53</f>
        <v>0</v>
      </c>
      <c r="F97" s="104">
        <f>E97*$K$7</f>
        <v>0</v>
      </c>
      <c r="G97" s="62" t="s">
        <v>18</v>
      </c>
      <c r="H97" s="64">
        <f>'P(M)'!T53</f>
        <v>0</v>
      </c>
      <c r="I97" s="104">
        <f>H97*$K$7</f>
        <v>0</v>
      </c>
      <c r="J97" s="104">
        <f t="shared" si="6"/>
        <v>0</v>
      </c>
      <c r="K97" s="39">
        <f>'P(M)'!AA53</f>
        <v>0</v>
      </c>
      <c r="L97" s="104">
        <f t="shared" si="7"/>
        <v>0</v>
      </c>
      <c r="M97" s="180"/>
      <c r="N97" s="129" t="str">
        <f t="shared" si="5"/>
        <v/>
      </c>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row>
    <row r="98" spans="1:114" ht="16.5" customHeight="1" x14ac:dyDescent="0.25">
      <c r="A98" s="161" t="s">
        <v>177</v>
      </c>
      <c r="B98" s="154"/>
      <c r="C98" s="164"/>
      <c r="D98" s="62" t="s">
        <v>19</v>
      </c>
      <c r="E98" s="64">
        <f>'P(M)'!K54</f>
        <v>4000</v>
      </c>
      <c r="F98" s="104">
        <f>E98*$K$8</f>
        <v>100</v>
      </c>
      <c r="G98" s="62" t="s">
        <v>16</v>
      </c>
      <c r="H98" s="64">
        <f>'P(M)'!T54</f>
        <v>2000</v>
      </c>
      <c r="I98" s="104">
        <f>H98*$K$5</f>
        <v>64000</v>
      </c>
      <c r="J98" s="104">
        <f t="shared" si="6"/>
        <v>64100</v>
      </c>
      <c r="K98" s="39">
        <f>'P(M)'!AA54</f>
        <v>40000</v>
      </c>
      <c r="L98" s="104">
        <f t="shared" si="7"/>
        <v>104100</v>
      </c>
      <c r="M98" s="179" t="s">
        <v>7</v>
      </c>
      <c r="N98" s="129" t="str">
        <f t="shared" si="5"/>
        <v/>
      </c>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35"/>
      <c r="CY98" s="35"/>
      <c r="CZ98" s="35"/>
      <c r="DA98" s="35"/>
      <c r="DB98" s="35"/>
      <c r="DC98" s="35"/>
      <c r="DD98" s="35"/>
      <c r="DE98" s="35"/>
      <c r="DF98" s="35"/>
      <c r="DG98" s="35"/>
      <c r="DH98" s="35"/>
      <c r="DI98" s="35"/>
      <c r="DJ98" s="35"/>
    </row>
    <row r="99" spans="1:114" ht="16.5" customHeight="1" x14ac:dyDescent="0.25">
      <c r="A99" s="162"/>
      <c r="B99" s="154"/>
      <c r="C99" s="165"/>
      <c r="D99" s="62" t="s">
        <v>19</v>
      </c>
      <c r="E99" s="64">
        <f>'P(M)'!K55</f>
        <v>0</v>
      </c>
      <c r="F99" s="104">
        <f>E99*$K$8</f>
        <v>0</v>
      </c>
      <c r="G99" s="62" t="s">
        <v>16</v>
      </c>
      <c r="H99" s="64">
        <f>'P(M)'!T55</f>
        <v>0</v>
      </c>
      <c r="I99" s="104">
        <f>H99*$K$5</f>
        <v>0</v>
      </c>
      <c r="J99" s="104">
        <f t="shared" si="6"/>
        <v>0</v>
      </c>
      <c r="K99" s="39">
        <f>'P(M)'!AA55</f>
        <v>0</v>
      </c>
      <c r="L99" s="104">
        <f t="shared" si="7"/>
        <v>0</v>
      </c>
      <c r="M99" s="180"/>
      <c r="N99" s="129" t="str">
        <f t="shared" si="5"/>
        <v/>
      </c>
      <c r="O99" s="35"/>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5"/>
      <c r="BR99" s="35"/>
      <c r="BS99" s="35"/>
      <c r="BT99" s="35"/>
      <c r="BU99" s="35"/>
      <c r="BV99" s="35"/>
      <c r="BW99" s="35"/>
      <c r="BX99" s="35"/>
      <c r="BY99" s="35"/>
      <c r="BZ99" s="35"/>
      <c r="CA99" s="35"/>
      <c r="CB99" s="35"/>
      <c r="CC99" s="35"/>
      <c r="CD99" s="35"/>
      <c r="CE99" s="35"/>
      <c r="CF99" s="35"/>
      <c r="CG99" s="35"/>
      <c r="CH99" s="35"/>
      <c r="CI99" s="35"/>
      <c r="CJ99" s="35"/>
      <c r="CK99" s="35"/>
      <c r="CL99" s="35"/>
      <c r="CM99" s="35"/>
      <c r="CN99" s="35"/>
      <c r="CO99" s="35"/>
      <c r="CP99" s="35"/>
      <c r="CQ99" s="35"/>
      <c r="CR99" s="35"/>
      <c r="CS99" s="35"/>
      <c r="CT99" s="35"/>
      <c r="CU99" s="35"/>
      <c r="CV99" s="35"/>
      <c r="CW99" s="35"/>
      <c r="CX99" s="35"/>
      <c r="CY99" s="35"/>
      <c r="CZ99" s="35"/>
      <c r="DA99" s="35"/>
      <c r="DB99" s="35"/>
      <c r="DC99" s="35"/>
      <c r="DD99" s="35"/>
      <c r="DE99" s="35"/>
      <c r="DF99" s="35"/>
      <c r="DG99" s="35"/>
      <c r="DH99" s="35"/>
      <c r="DI99" s="35"/>
      <c r="DJ99" s="35"/>
    </row>
    <row r="100" spans="1:114" ht="16.5" customHeight="1" x14ac:dyDescent="0.25">
      <c r="A100" s="62" t="s">
        <v>191</v>
      </c>
      <c r="B100" s="154"/>
      <c r="C100" s="159" t="str">
        <f>IF('P(M)'!$D$17=4,"●","○")</f>
        <v>○</v>
      </c>
      <c r="D100" s="62" t="s">
        <v>43</v>
      </c>
      <c r="E100" s="64">
        <f>'P(M)'!K56</f>
        <v>0</v>
      </c>
      <c r="F100" s="104">
        <f>E100*$M$9</f>
        <v>0</v>
      </c>
      <c r="G100" s="62" t="s">
        <v>43</v>
      </c>
      <c r="H100" s="64">
        <f>'P(M)'!T56</f>
        <v>2000</v>
      </c>
      <c r="I100" s="104">
        <f>H100*$M$9</f>
        <v>47000</v>
      </c>
      <c r="J100" s="104">
        <f>F100+I100</f>
        <v>47000</v>
      </c>
      <c r="K100" s="39">
        <f>'P(M)'!AA56</f>
        <v>40000</v>
      </c>
      <c r="L100" s="104">
        <f>J100+K100</f>
        <v>87000</v>
      </c>
      <c r="M100" s="68" t="s">
        <v>42</v>
      </c>
      <c r="N100" s="129" t="str">
        <f t="shared" si="5"/>
        <v/>
      </c>
      <c r="O100" s="35"/>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5"/>
      <c r="BR100" s="35"/>
      <c r="BS100" s="35"/>
      <c r="BT100" s="35"/>
      <c r="BU100" s="35"/>
      <c r="BV100" s="35"/>
      <c r="BW100" s="35"/>
      <c r="BX100" s="35"/>
      <c r="BY100" s="35"/>
      <c r="BZ100" s="35"/>
      <c r="CA100" s="35"/>
      <c r="CB100" s="35"/>
      <c r="CC100" s="35"/>
      <c r="CD100" s="35"/>
      <c r="CE100" s="35"/>
      <c r="CF100" s="35"/>
      <c r="CG100" s="35"/>
      <c r="CH100" s="35"/>
      <c r="CI100" s="35"/>
      <c r="CJ100" s="35"/>
      <c r="CK100" s="35"/>
      <c r="CL100" s="35"/>
      <c r="CM100" s="35"/>
      <c r="CN100" s="35"/>
      <c r="CO100" s="35"/>
      <c r="CP100" s="35"/>
      <c r="CQ100" s="35"/>
      <c r="CR100" s="35"/>
      <c r="CS100" s="35"/>
      <c r="CT100" s="35"/>
      <c r="CU100" s="35"/>
      <c r="CV100" s="35"/>
      <c r="CW100" s="35"/>
      <c r="CX100" s="35"/>
      <c r="CY100" s="35"/>
      <c r="CZ100" s="35"/>
      <c r="DA100" s="35"/>
      <c r="DB100" s="35"/>
      <c r="DC100" s="35"/>
      <c r="DD100" s="35"/>
      <c r="DE100" s="35"/>
      <c r="DF100" s="35"/>
      <c r="DG100" s="35"/>
      <c r="DH100" s="35"/>
      <c r="DI100" s="35"/>
      <c r="DJ100" s="35"/>
    </row>
    <row r="101" spans="1:114" ht="16.5" customHeight="1" x14ac:dyDescent="0.25">
      <c r="A101" s="62" t="s">
        <v>178</v>
      </c>
      <c r="B101" s="154"/>
      <c r="C101" s="159" t="str">
        <f>IF('P(M)'!$D$17=5,"●","○")</f>
        <v>○</v>
      </c>
      <c r="D101" s="62" t="s">
        <v>20</v>
      </c>
      <c r="E101" s="64">
        <f>'P(M)'!K57</f>
        <v>0</v>
      </c>
      <c r="F101" s="104">
        <f>E101*$M$6</f>
        <v>0</v>
      </c>
      <c r="G101" s="62" t="s">
        <v>20</v>
      </c>
      <c r="H101" s="64">
        <f>'P(M)'!T57</f>
        <v>1900</v>
      </c>
      <c r="I101" s="104">
        <f>H101*$M$6</f>
        <v>47500</v>
      </c>
      <c r="J101" s="104">
        <f t="shared" si="6"/>
        <v>47500</v>
      </c>
      <c r="K101" s="39">
        <f>'P(M)'!AA57</f>
        <v>40000</v>
      </c>
      <c r="L101" s="104">
        <f t="shared" si="7"/>
        <v>87500</v>
      </c>
      <c r="M101" s="68" t="s">
        <v>8</v>
      </c>
      <c r="N101" s="129" t="str">
        <f t="shared" si="5"/>
        <v/>
      </c>
      <c r="O101" s="35"/>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5"/>
      <c r="BR101" s="35"/>
      <c r="BS101" s="35"/>
      <c r="BT101" s="35"/>
      <c r="BU101" s="35"/>
      <c r="BV101" s="35"/>
      <c r="BW101" s="35"/>
      <c r="BX101" s="35"/>
      <c r="BY101" s="35"/>
      <c r="BZ101" s="35"/>
      <c r="CA101" s="35"/>
      <c r="CB101" s="35"/>
      <c r="CC101" s="35"/>
      <c r="CD101" s="35"/>
      <c r="CE101" s="35"/>
      <c r="CF101" s="35"/>
      <c r="CG101" s="35"/>
      <c r="CH101" s="35"/>
      <c r="CI101" s="35"/>
      <c r="CJ101" s="35"/>
      <c r="CK101" s="35"/>
      <c r="CL101" s="35"/>
      <c r="CM101" s="35"/>
      <c r="CN101" s="35"/>
      <c r="CO101" s="35"/>
      <c r="CP101" s="35"/>
      <c r="CQ101" s="35"/>
      <c r="CR101" s="35"/>
      <c r="CS101" s="35"/>
      <c r="CT101" s="35"/>
      <c r="CU101" s="35"/>
      <c r="CV101" s="35"/>
      <c r="CW101" s="35"/>
      <c r="CX101" s="35"/>
      <c r="CY101" s="35"/>
      <c r="CZ101" s="35"/>
      <c r="DA101" s="35"/>
      <c r="DB101" s="35"/>
      <c r="DC101" s="35"/>
      <c r="DD101" s="35"/>
      <c r="DE101" s="35"/>
      <c r="DF101" s="35"/>
      <c r="DG101" s="35"/>
      <c r="DH101" s="35"/>
      <c r="DI101" s="35"/>
      <c r="DJ101" s="35"/>
    </row>
    <row r="102" spans="1:114" ht="16.5" customHeight="1" x14ac:dyDescent="0.25">
      <c r="A102" s="161" t="s">
        <v>181</v>
      </c>
      <c r="B102" s="154"/>
      <c r="C102" s="164" t="str">
        <f>IF('P(M)'!$D$17=6,"●","○")</f>
        <v>○</v>
      </c>
      <c r="D102" s="62" t="s">
        <v>23</v>
      </c>
      <c r="E102" s="64">
        <f>'P(M)'!K58</f>
        <v>0</v>
      </c>
      <c r="F102" s="104">
        <f>E102*$M$8</f>
        <v>0</v>
      </c>
      <c r="G102" s="62" t="s">
        <v>23</v>
      </c>
      <c r="H102" s="64">
        <f>'P(M)'!T58</f>
        <v>3200</v>
      </c>
      <c r="I102" s="104">
        <f>H102*$M$8</f>
        <v>26560.000000000004</v>
      </c>
      <c r="J102" s="104">
        <f>F102+I102</f>
        <v>26560.000000000004</v>
      </c>
      <c r="K102" s="39">
        <f>'P(M)'!AA58</f>
        <v>40000</v>
      </c>
      <c r="L102" s="104">
        <f>J102+K102</f>
        <v>66560</v>
      </c>
      <c r="M102" s="179" t="s">
        <v>11</v>
      </c>
      <c r="N102" s="129" t="str">
        <f t="shared" si="5"/>
        <v/>
      </c>
      <c r="O102" s="35"/>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row>
    <row r="103" spans="1:114" ht="16.5" customHeight="1" x14ac:dyDescent="0.25">
      <c r="A103" s="162"/>
      <c r="B103" s="154"/>
      <c r="C103" s="165"/>
      <c r="D103" s="62" t="s">
        <v>23</v>
      </c>
      <c r="E103" s="64">
        <f>'P(M)'!K59</f>
        <v>0</v>
      </c>
      <c r="F103" s="104">
        <f>E103*$M$8</f>
        <v>0</v>
      </c>
      <c r="G103" s="62" t="s">
        <v>23</v>
      </c>
      <c r="H103" s="64">
        <f>'P(M)'!T59</f>
        <v>0</v>
      </c>
      <c r="I103" s="104">
        <f>H103*$M$8</f>
        <v>0</v>
      </c>
      <c r="J103" s="104">
        <f>F103+I103</f>
        <v>0</v>
      </c>
      <c r="K103" s="39">
        <f>'P(M)'!AA59</f>
        <v>0</v>
      </c>
      <c r="L103" s="104">
        <f>J103+K103</f>
        <v>0</v>
      </c>
      <c r="M103" s="180"/>
      <c r="N103" s="129" t="str">
        <f t="shared" si="5"/>
        <v/>
      </c>
      <c r="O103" s="35"/>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5"/>
      <c r="BR103" s="35"/>
      <c r="BS103" s="35"/>
      <c r="BT103" s="35"/>
      <c r="BU103" s="35"/>
      <c r="BV103" s="35"/>
      <c r="BW103" s="35"/>
      <c r="BX103" s="35"/>
      <c r="BY103" s="35"/>
      <c r="BZ103" s="35"/>
      <c r="CA103" s="35"/>
      <c r="CB103" s="35"/>
      <c r="CC103" s="35"/>
      <c r="CD103" s="35"/>
      <c r="CE103" s="35"/>
      <c r="CF103" s="35"/>
      <c r="CG103" s="35"/>
      <c r="CH103" s="35"/>
      <c r="CI103" s="35"/>
      <c r="CJ103" s="35"/>
      <c r="CK103" s="35"/>
      <c r="CL103" s="35"/>
      <c r="CM103" s="35"/>
      <c r="CN103" s="35"/>
      <c r="CO103" s="35"/>
      <c r="CP103" s="35"/>
      <c r="CQ103" s="35"/>
      <c r="CR103" s="35"/>
      <c r="CS103" s="35"/>
      <c r="CT103" s="35"/>
      <c r="CU103" s="35"/>
      <c r="CV103" s="35"/>
      <c r="CW103" s="35"/>
      <c r="CX103" s="35"/>
      <c r="CY103" s="35"/>
      <c r="CZ103" s="35"/>
      <c r="DA103" s="35"/>
      <c r="DB103" s="35"/>
      <c r="DC103" s="35"/>
      <c r="DD103" s="35"/>
      <c r="DE103" s="35"/>
      <c r="DF103" s="35"/>
      <c r="DG103" s="35"/>
      <c r="DH103" s="35"/>
      <c r="DI103" s="35"/>
      <c r="DJ103" s="35"/>
    </row>
    <row r="104" spans="1:114" ht="16.5" customHeight="1" x14ac:dyDescent="0.25">
      <c r="A104" s="68" t="s">
        <v>146</v>
      </c>
      <c r="B104" s="154"/>
      <c r="C104" s="159" t="str">
        <f>IF('P(M)'!$D$17=7,"●","○")</f>
        <v>○</v>
      </c>
      <c r="D104" s="62" t="s">
        <v>16</v>
      </c>
      <c r="E104" s="64">
        <f>'P(M)'!K60</f>
        <v>0</v>
      </c>
      <c r="F104" s="104">
        <f>E104*$K$5</f>
        <v>0</v>
      </c>
      <c r="G104" s="62" t="s">
        <v>16</v>
      </c>
      <c r="H104" s="64">
        <f>'P(M)'!T60</f>
        <v>0</v>
      </c>
      <c r="I104" s="104">
        <f>H104*$K$5</f>
        <v>0</v>
      </c>
      <c r="J104" s="104">
        <f t="shared" si="6"/>
        <v>0</v>
      </c>
      <c r="K104" s="39">
        <f>'P(M)'!AA60</f>
        <v>0</v>
      </c>
      <c r="L104" s="104">
        <f t="shared" si="7"/>
        <v>0</v>
      </c>
      <c r="M104" s="68" t="s">
        <v>146</v>
      </c>
      <c r="N104" s="129" t="str">
        <f t="shared" si="5"/>
        <v/>
      </c>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row>
    <row r="105" spans="1:114" ht="16.5" customHeight="1" x14ac:dyDescent="0.25">
      <c r="A105" s="161" t="s">
        <v>182</v>
      </c>
      <c r="B105" s="154"/>
      <c r="C105" s="164"/>
      <c r="D105" s="62" t="s">
        <v>16</v>
      </c>
      <c r="E105" s="64">
        <f>'P(M)'!K61</f>
        <v>0</v>
      </c>
      <c r="F105" s="104">
        <f>E105*$K$5</f>
        <v>0</v>
      </c>
      <c r="G105" s="62" t="s">
        <v>16</v>
      </c>
      <c r="H105" s="64">
        <f>'P(M)'!T61</f>
        <v>0</v>
      </c>
      <c r="I105" s="104">
        <f>H105*$K$5</f>
        <v>0</v>
      </c>
      <c r="J105" s="104">
        <f>F105+I105</f>
        <v>0</v>
      </c>
      <c r="K105" s="39">
        <f>'P(M)'!AA61</f>
        <v>0</v>
      </c>
      <c r="L105" s="104">
        <f>J105+K105</f>
        <v>0</v>
      </c>
      <c r="M105" s="179" t="s">
        <v>131</v>
      </c>
      <c r="N105" s="129" t="str">
        <f t="shared" si="5"/>
        <v/>
      </c>
      <c r="O105" s="35"/>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5"/>
      <c r="BR105" s="35"/>
      <c r="BS105" s="35"/>
      <c r="BT105" s="35"/>
      <c r="BU105" s="35"/>
      <c r="BV105" s="35"/>
      <c r="BW105" s="35"/>
      <c r="BX105" s="35"/>
      <c r="BY105" s="35"/>
      <c r="BZ105" s="35"/>
      <c r="CA105" s="35"/>
      <c r="CB105" s="35"/>
      <c r="CC105" s="35"/>
      <c r="CD105" s="35"/>
      <c r="CE105" s="35"/>
      <c r="CF105" s="35"/>
      <c r="CG105" s="35"/>
      <c r="CH105" s="35"/>
      <c r="CI105" s="35"/>
      <c r="CJ105" s="35"/>
      <c r="CK105" s="35"/>
      <c r="CL105" s="35"/>
      <c r="CM105" s="35"/>
      <c r="CN105" s="35"/>
      <c r="CO105" s="35"/>
      <c r="CP105" s="35"/>
      <c r="CQ105" s="35"/>
      <c r="CR105" s="35"/>
      <c r="CS105" s="35"/>
      <c r="CT105" s="35"/>
      <c r="CU105" s="35"/>
      <c r="CV105" s="35"/>
      <c r="CW105" s="35"/>
      <c r="CX105" s="35"/>
      <c r="CY105" s="35"/>
      <c r="CZ105" s="35"/>
      <c r="DA105" s="35"/>
      <c r="DB105" s="35"/>
      <c r="DC105" s="35"/>
      <c r="DD105" s="35"/>
      <c r="DE105" s="35"/>
      <c r="DF105" s="35"/>
      <c r="DG105" s="35"/>
      <c r="DH105" s="35"/>
      <c r="DI105" s="35"/>
      <c r="DJ105" s="35"/>
    </row>
    <row r="106" spans="1:114" ht="16.5" customHeight="1" x14ac:dyDescent="0.25">
      <c r="A106" s="162"/>
      <c r="B106" s="154"/>
      <c r="C106" s="165"/>
      <c r="D106" s="62" t="s">
        <v>16</v>
      </c>
      <c r="E106" s="64">
        <f>'P(M)'!K62</f>
        <v>0</v>
      </c>
      <c r="F106" s="104">
        <f>E106*$K$5</f>
        <v>0</v>
      </c>
      <c r="G106" s="62" t="s">
        <v>16</v>
      </c>
      <c r="H106" s="64">
        <f>'P(M)'!T62</f>
        <v>0</v>
      </c>
      <c r="I106" s="104">
        <f>H106*$K$5</f>
        <v>0</v>
      </c>
      <c r="J106" s="104">
        <f>F106+I106</f>
        <v>0</v>
      </c>
      <c r="K106" s="39">
        <f>'P(M)'!AA62</f>
        <v>0</v>
      </c>
      <c r="L106" s="104">
        <f>J106+K106</f>
        <v>0</v>
      </c>
      <c r="M106" s="180"/>
      <c r="N106" s="129" t="str">
        <f t="shared" si="5"/>
        <v/>
      </c>
      <c r="O106" s="35"/>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35"/>
      <c r="CY106" s="35"/>
      <c r="CZ106" s="35"/>
      <c r="DA106" s="35"/>
      <c r="DB106" s="35"/>
      <c r="DC106" s="35"/>
      <c r="DD106" s="35"/>
      <c r="DE106" s="35"/>
      <c r="DF106" s="35"/>
      <c r="DG106" s="35"/>
      <c r="DH106" s="35"/>
      <c r="DI106" s="35"/>
      <c r="DJ106" s="35"/>
    </row>
    <row r="107" spans="1:114" ht="16.5" customHeight="1" x14ac:dyDescent="0.25">
      <c r="A107" s="161" t="s">
        <v>179</v>
      </c>
      <c r="B107" s="154"/>
      <c r="C107" s="164"/>
      <c r="D107" s="62" t="s">
        <v>21</v>
      </c>
      <c r="E107" s="64">
        <f>'P(M)'!K63</f>
        <v>0</v>
      </c>
      <c r="F107" s="104">
        <f>E107*$M$7</f>
        <v>0</v>
      </c>
      <c r="G107" s="62" t="s">
        <v>16</v>
      </c>
      <c r="H107" s="64">
        <f>'P(M)'!T63</f>
        <v>0</v>
      </c>
      <c r="I107" s="104">
        <f>H107*$K$5</f>
        <v>0</v>
      </c>
      <c r="J107" s="104">
        <f t="shared" si="6"/>
        <v>0</v>
      </c>
      <c r="K107" s="39">
        <f>'P(M)'!AA63</f>
        <v>0</v>
      </c>
      <c r="L107" s="104">
        <f t="shared" si="7"/>
        <v>0</v>
      </c>
      <c r="M107" s="179" t="s">
        <v>9</v>
      </c>
      <c r="N107" s="129" t="str">
        <f t="shared" si="5"/>
        <v/>
      </c>
      <c r="O107" s="35"/>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5"/>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c r="DD107" s="35"/>
      <c r="DE107" s="35"/>
      <c r="DF107" s="35"/>
      <c r="DG107" s="35"/>
      <c r="DH107" s="35"/>
      <c r="DI107" s="35"/>
      <c r="DJ107" s="35"/>
    </row>
    <row r="108" spans="1:114" ht="16.5" customHeight="1" x14ac:dyDescent="0.25">
      <c r="A108" s="162"/>
      <c r="B108" s="154"/>
      <c r="C108" s="165"/>
      <c r="D108" s="62" t="s">
        <v>21</v>
      </c>
      <c r="E108" s="64">
        <f>'P(M)'!K64</f>
        <v>0</v>
      </c>
      <c r="F108" s="104">
        <f>E108*$M$7</f>
        <v>0</v>
      </c>
      <c r="G108" s="62" t="s">
        <v>16</v>
      </c>
      <c r="H108" s="64">
        <f>'P(M)'!T64</f>
        <v>0</v>
      </c>
      <c r="I108" s="104">
        <f>H108*$K$5</f>
        <v>0</v>
      </c>
      <c r="J108" s="104">
        <f t="shared" si="6"/>
        <v>0</v>
      </c>
      <c r="K108" s="39">
        <f>'P(M)'!AA64</f>
        <v>0</v>
      </c>
      <c r="L108" s="104">
        <f t="shared" si="7"/>
        <v>0</v>
      </c>
      <c r="M108" s="180"/>
      <c r="N108" s="129" t="str">
        <f t="shared" si="5"/>
        <v/>
      </c>
      <c r="O108" s="35"/>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5"/>
      <c r="BR108" s="35"/>
      <c r="BS108" s="35"/>
      <c r="BT108" s="35"/>
      <c r="BU108" s="35"/>
      <c r="BV108" s="35"/>
      <c r="BW108" s="35"/>
      <c r="BX108" s="35"/>
      <c r="BY108" s="35"/>
      <c r="BZ108" s="35"/>
      <c r="CA108" s="35"/>
      <c r="CB108" s="35"/>
      <c r="CC108" s="35"/>
      <c r="CD108" s="35"/>
      <c r="CE108" s="35"/>
      <c r="CF108" s="35"/>
      <c r="CG108" s="35"/>
      <c r="CH108" s="35"/>
      <c r="CI108" s="35"/>
      <c r="CJ108" s="35"/>
      <c r="CK108" s="35"/>
      <c r="CL108" s="35"/>
      <c r="CM108" s="35"/>
      <c r="CN108" s="35"/>
      <c r="CO108" s="35"/>
      <c r="CP108" s="35"/>
      <c r="CQ108" s="35"/>
      <c r="CR108" s="35"/>
      <c r="CS108" s="35"/>
      <c r="CT108" s="35"/>
      <c r="CU108" s="35"/>
      <c r="CV108" s="35"/>
      <c r="CW108" s="35"/>
      <c r="CX108" s="35"/>
      <c r="CY108" s="35"/>
      <c r="CZ108" s="35"/>
      <c r="DA108" s="35"/>
      <c r="DB108" s="35"/>
      <c r="DC108" s="35"/>
      <c r="DD108" s="35"/>
      <c r="DE108" s="35"/>
      <c r="DF108" s="35"/>
      <c r="DG108" s="35"/>
      <c r="DH108" s="35"/>
      <c r="DI108" s="35"/>
      <c r="DJ108" s="35"/>
    </row>
    <row r="109" spans="1:114" ht="16.5" customHeight="1" x14ac:dyDescent="0.25">
      <c r="A109" s="161" t="s">
        <v>180</v>
      </c>
      <c r="B109" s="154"/>
      <c r="C109" s="164"/>
      <c r="D109" s="62" t="s">
        <v>22</v>
      </c>
      <c r="E109" s="64">
        <f>'P(M)'!K65</f>
        <v>0</v>
      </c>
      <c r="F109" s="104">
        <f>E109*$K$9</f>
        <v>0</v>
      </c>
      <c r="G109" s="62" t="s">
        <v>22</v>
      </c>
      <c r="H109" s="64">
        <f>'P(M)'!T65</f>
        <v>0</v>
      </c>
      <c r="I109" s="104">
        <f>H109*$K$9</f>
        <v>0</v>
      </c>
      <c r="J109" s="104">
        <f t="shared" si="6"/>
        <v>0</v>
      </c>
      <c r="K109" s="39">
        <f>'P(M)'!AA65</f>
        <v>0</v>
      </c>
      <c r="L109" s="104">
        <f t="shared" si="7"/>
        <v>0</v>
      </c>
      <c r="M109" s="179" t="s">
        <v>10</v>
      </c>
      <c r="N109" s="129" t="str">
        <f t="shared" si="5"/>
        <v/>
      </c>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row>
    <row r="110" spans="1:114" ht="16.5" customHeight="1" x14ac:dyDescent="0.25">
      <c r="A110" s="162"/>
      <c r="B110" s="154"/>
      <c r="C110" s="165"/>
      <c r="D110" s="62" t="s">
        <v>22</v>
      </c>
      <c r="E110" s="64">
        <f>'P(M)'!K66</f>
        <v>0</v>
      </c>
      <c r="F110" s="104">
        <f>E110*$K$9</f>
        <v>0</v>
      </c>
      <c r="G110" s="62" t="s">
        <v>22</v>
      </c>
      <c r="H110" s="64">
        <f>'P(M)'!T66</f>
        <v>0</v>
      </c>
      <c r="I110" s="104">
        <f>H110*$K$9</f>
        <v>0</v>
      </c>
      <c r="J110" s="104">
        <f t="shared" si="6"/>
        <v>0</v>
      </c>
      <c r="K110" s="39">
        <f>'P(M)'!AA66</f>
        <v>0</v>
      </c>
      <c r="L110" s="104">
        <f t="shared" si="7"/>
        <v>0</v>
      </c>
      <c r="M110" s="180"/>
      <c r="N110" s="129" t="str">
        <f t="shared" si="5"/>
        <v/>
      </c>
      <c r="O110" s="35"/>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35"/>
      <c r="CY110" s="35"/>
      <c r="CZ110" s="35"/>
      <c r="DA110" s="35"/>
      <c r="DB110" s="35"/>
      <c r="DC110" s="35"/>
      <c r="DD110" s="35"/>
      <c r="DE110" s="35"/>
      <c r="DF110" s="35"/>
      <c r="DG110" s="35"/>
      <c r="DH110" s="35"/>
      <c r="DI110" s="35"/>
      <c r="DJ110" s="35"/>
    </row>
    <row r="111" spans="1:114" ht="18.75" x14ac:dyDescent="0.25">
      <c r="A111" s="55"/>
      <c r="B111" s="55"/>
      <c r="C111" s="56"/>
      <c r="D111" s="55"/>
      <c r="E111" s="56" t="s">
        <v>183</v>
      </c>
      <c r="F111" s="57">
        <f>SUM(F90:F110)</f>
        <v>93850</v>
      </c>
      <c r="G111" s="55"/>
      <c r="H111" s="56" t="s">
        <v>183</v>
      </c>
      <c r="I111" s="58">
        <f>SUM(I90:I110)</f>
        <v>352220</v>
      </c>
      <c r="J111" s="59">
        <f>SUM(J90:J110)</f>
        <v>446070</v>
      </c>
      <c r="K111" s="60">
        <f>SUM(K90:K110)</f>
        <v>330000</v>
      </c>
      <c r="L111" s="63">
        <f>SUM(L90:L110)</f>
        <v>776070</v>
      </c>
      <c r="M111" s="62"/>
      <c r="N111" s="129"/>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row>
    <row r="112" spans="1:114" s="147" customFormat="1" ht="16.5" x14ac:dyDescent="0.25">
      <c r="A112" s="109" t="s">
        <v>291</v>
      </c>
      <c r="B112" s="107"/>
      <c r="C112" s="107"/>
      <c r="D112" s="107"/>
      <c r="E112" s="107"/>
      <c r="F112" s="107"/>
      <c r="G112" s="107"/>
      <c r="H112" s="107"/>
      <c r="I112" s="107"/>
      <c r="J112" s="107"/>
      <c r="K112" s="107"/>
      <c r="L112" s="107"/>
      <c r="M112" s="107"/>
      <c r="N112" s="129"/>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6"/>
      <c r="AJ112" s="146"/>
      <c r="AK112" s="146"/>
      <c r="AL112" s="146"/>
      <c r="AM112" s="146"/>
      <c r="AN112" s="146"/>
      <c r="AO112" s="146"/>
      <c r="AP112" s="146"/>
      <c r="AQ112" s="146"/>
      <c r="AR112" s="146"/>
      <c r="AS112" s="146"/>
      <c r="AT112" s="146"/>
      <c r="AU112" s="146"/>
      <c r="AV112" s="146"/>
      <c r="AW112" s="146"/>
      <c r="AX112" s="146"/>
      <c r="AY112" s="146"/>
      <c r="AZ112" s="146"/>
      <c r="BA112" s="146"/>
      <c r="BB112" s="146"/>
      <c r="BC112" s="146"/>
      <c r="BD112" s="146"/>
      <c r="BE112" s="146"/>
      <c r="BF112" s="146"/>
      <c r="BG112" s="146"/>
      <c r="BH112" s="146"/>
      <c r="BI112" s="146"/>
      <c r="BJ112" s="146"/>
      <c r="BK112" s="146"/>
      <c r="BL112" s="146"/>
      <c r="BM112" s="146"/>
      <c r="BN112" s="146"/>
      <c r="BO112" s="146"/>
      <c r="BP112" s="146"/>
      <c r="BQ112" s="146"/>
      <c r="BR112" s="146"/>
      <c r="BS112" s="146"/>
      <c r="BT112" s="146"/>
      <c r="BU112" s="146"/>
      <c r="BV112" s="146"/>
      <c r="BW112" s="146"/>
      <c r="BX112" s="146"/>
      <c r="BY112" s="146"/>
      <c r="BZ112" s="146"/>
      <c r="CA112" s="146"/>
      <c r="CB112" s="146"/>
      <c r="CC112" s="146"/>
      <c r="CD112" s="146"/>
      <c r="CE112" s="146"/>
      <c r="CF112" s="146"/>
      <c r="CG112" s="146"/>
      <c r="CH112" s="146"/>
      <c r="CI112" s="146"/>
      <c r="CJ112" s="146"/>
      <c r="CK112" s="146"/>
      <c r="CL112" s="146"/>
      <c r="CM112" s="146"/>
      <c r="CN112" s="146"/>
      <c r="CO112" s="146"/>
      <c r="CP112" s="146"/>
      <c r="CQ112" s="146"/>
      <c r="CR112" s="146"/>
      <c r="CS112" s="146"/>
      <c r="CT112" s="146"/>
      <c r="CU112" s="146"/>
      <c r="CV112" s="146"/>
      <c r="CW112" s="146"/>
      <c r="CX112" s="146"/>
      <c r="CY112" s="146"/>
      <c r="CZ112" s="146"/>
      <c r="DA112" s="146"/>
      <c r="DB112" s="146"/>
      <c r="DC112" s="146"/>
      <c r="DD112" s="146"/>
      <c r="DE112" s="146"/>
      <c r="DF112" s="146"/>
      <c r="DG112" s="146"/>
      <c r="DH112" s="146"/>
      <c r="DI112" s="146"/>
      <c r="DJ112" s="146"/>
    </row>
    <row r="113" spans="1:114" s="147" customFormat="1" ht="16.5" x14ac:dyDescent="0.25">
      <c r="A113" s="109" t="s">
        <v>329</v>
      </c>
      <c r="B113" s="107"/>
      <c r="C113" s="107"/>
      <c r="D113" s="107"/>
      <c r="E113" s="107"/>
      <c r="F113" s="107"/>
      <c r="G113" s="107"/>
      <c r="H113" s="107"/>
      <c r="I113" s="107"/>
      <c r="J113" s="107"/>
      <c r="K113" s="107"/>
      <c r="L113" s="107"/>
      <c r="M113" s="107"/>
      <c r="N113" s="129"/>
      <c r="O113" s="146"/>
      <c r="P113" s="146"/>
      <c r="Q113" s="146"/>
      <c r="R113" s="146"/>
      <c r="S113" s="146"/>
      <c r="T113" s="146"/>
      <c r="U113" s="146"/>
      <c r="V113" s="146"/>
      <c r="W113" s="146"/>
      <c r="X113" s="146"/>
      <c r="Y113" s="146"/>
      <c r="Z113" s="146"/>
      <c r="AA113" s="146"/>
      <c r="AB113" s="146"/>
      <c r="AC113" s="146"/>
      <c r="AD113" s="146"/>
      <c r="AE113" s="146"/>
      <c r="AF113" s="146"/>
      <c r="AG113" s="146"/>
      <c r="AH113" s="146"/>
      <c r="AI113" s="146"/>
      <c r="AJ113" s="146"/>
      <c r="AK113" s="146"/>
      <c r="AL113" s="146"/>
      <c r="AM113" s="146"/>
      <c r="AN113" s="146"/>
      <c r="AO113" s="146"/>
      <c r="AP113" s="146"/>
      <c r="AQ113" s="146"/>
      <c r="AR113" s="146"/>
      <c r="AS113" s="146"/>
      <c r="AT113" s="146"/>
      <c r="AU113" s="146"/>
      <c r="AV113" s="146"/>
      <c r="AW113" s="146"/>
      <c r="AX113" s="146"/>
      <c r="AY113" s="146"/>
      <c r="AZ113" s="146"/>
      <c r="BA113" s="146"/>
      <c r="BB113" s="146"/>
      <c r="BC113" s="146"/>
      <c r="BD113" s="146"/>
      <c r="BE113" s="146"/>
      <c r="BF113" s="146"/>
      <c r="BG113" s="146"/>
      <c r="BH113" s="146"/>
      <c r="BI113" s="146"/>
      <c r="BJ113" s="146"/>
      <c r="BK113" s="146"/>
      <c r="BL113" s="146"/>
      <c r="BM113" s="146"/>
      <c r="BN113" s="146"/>
      <c r="BO113" s="146"/>
      <c r="BP113" s="146"/>
      <c r="BQ113" s="146"/>
      <c r="BR113" s="146"/>
      <c r="BS113" s="146"/>
      <c r="BT113" s="146"/>
      <c r="BU113" s="146"/>
      <c r="BV113" s="146"/>
      <c r="BW113" s="146"/>
      <c r="BX113" s="146"/>
      <c r="BY113" s="146"/>
      <c r="BZ113" s="146"/>
      <c r="CA113" s="146"/>
      <c r="CB113" s="146"/>
      <c r="CC113" s="146"/>
      <c r="CD113" s="146"/>
      <c r="CE113" s="146"/>
      <c r="CF113" s="146"/>
      <c r="CG113" s="146"/>
      <c r="CH113" s="146"/>
      <c r="CI113" s="146"/>
      <c r="CJ113" s="146"/>
      <c r="CK113" s="146"/>
      <c r="CL113" s="146"/>
      <c r="CM113" s="146"/>
      <c r="CN113" s="146"/>
      <c r="CO113" s="146"/>
      <c r="CP113" s="146"/>
      <c r="CQ113" s="146"/>
      <c r="CR113" s="146"/>
      <c r="CS113" s="146"/>
      <c r="CT113" s="146"/>
      <c r="CU113" s="146"/>
      <c r="CV113" s="146"/>
      <c r="CW113" s="146"/>
      <c r="CX113" s="146"/>
      <c r="CY113" s="146"/>
      <c r="CZ113" s="146"/>
      <c r="DA113" s="146"/>
      <c r="DB113" s="146"/>
      <c r="DC113" s="146"/>
      <c r="DD113" s="146"/>
      <c r="DE113" s="146"/>
      <c r="DF113" s="146"/>
      <c r="DG113" s="146"/>
      <c r="DH113" s="146"/>
      <c r="DI113" s="146"/>
      <c r="DJ113" s="146"/>
    </row>
    <row r="114" spans="1:114" s="147" customFormat="1" ht="16.5" x14ac:dyDescent="0.25">
      <c r="A114" s="109" t="s">
        <v>336</v>
      </c>
      <c r="B114" s="107"/>
      <c r="C114" s="107"/>
      <c r="D114" s="107"/>
      <c r="E114" s="107"/>
      <c r="F114" s="107"/>
      <c r="G114" s="107"/>
      <c r="H114" s="107"/>
      <c r="I114" s="107"/>
      <c r="J114" s="107"/>
      <c r="K114" s="107"/>
      <c r="L114" s="107"/>
      <c r="M114" s="107"/>
      <c r="N114" s="129"/>
      <c r="O114" s="146"/>
      <c r="P114" s="146"/>
      <c r="Q114" s="146"/>
      <c r="R114" s="146"/>
      <c r="S114" s="146"/>
      <c r="T114" s="146"/>
      <c r="U114" s="146"/>
      <c r="V114" s="146"/>
      <c r="W114" s="146"/>
      <c r="X114" s="146"/>
      <c r="Y114" s="146"/>
      <c r="Z114" s="146"/>
      <c r="AA114" s="146"/>
      <c r="AB114" s="146"/>
      <c r="AC114" s="146"/>
      <c r="AD114" s="146"/>
      <c r="AE114" s="146"/>
      <c r="AF114" s="146"/>
      <c r="AG114" s="146"/>
      <c r="AH114" s="146"/>
      <c r="AI114" s="146"/>
      <c r="AJ114" s="146"/>
      <c r="AK114" s="146"/>
      <c r="AL114" s="146"/>
      <c r="AM114" s="146"/>
      <c r="AN114" s="146"/>
      <c r="AO114" s="146"/>
      <c r="AP114" s="146"/>
      <c r="AQ114" s="146"/>
      <c r="AR114" s="146"/>
      <c r="AS114" s="146"/>
      <c r="AT114" s="146"/>
      <c r="AU114" s="146"/>
      <c r="AV114" s="146"/>
      <c r="AW114" s="146"/>
      <c r="AX114" s="146"/>
      <c r="AY114" s="146"/>
      <c r="AZ114" s="146"/>
      <c r="BA114" s="146"/>
      <c r="BB114" s="146"/>
      <c r="BC114" s="146"/>
      <c r="BD114" s="146"/>
      <c r="BE114" s="146"/>
      <c r="BF114" s="146"/>
      <c r="BG114" s="146"/>
      <c r="BH114" s="146"/>
      <c r="BI114" s="146"/>
      <c r="BJ114" s="146"/>
      <c r="BK114" s="146"/>
      <c r="BL114" s="146"/>
      <c r="BM114" s="146"/>
      <c r="BN114" s="146"/>
      <c r="BO114" s="146"/>
      <c r="BP114" s="146"/>
      <c r="BQ114" s="146"/>
      <c r="BR114" s="146"/>
      <c r="BS114" s="146"/>
      <c r="BT114" s="146"/>
      <c r="BU114" s="146"/>
      <c r="BV114" s="146"/>
      <c r="BW114" s="146"/>
      <c r="BX114" s="146"/>
      <c r="BY114" s="146"/>
      <c r="BZ114" s="146"/>
      <c r="CA114" s="146"/>
      <c r="CB114" s="146"/>
      <c r="CC114" s="146"/>
      <c r="CD114" s="146"/>
      <c r="CE114" s="146"/>
      <c r="CF114" s="146"/>
      <c r="CG114" s="146"/>
      <c r="CH114" s="146"/>
      <c r="CI114" s="146"/>
      <c r="CJ114" s="146"/>
      <c r="CK114" s="146"/>
      <c r="CL114" s="146"/>
      <c r="CM114" s="146"/>
      <c r="CN114" s="146"/>
      <c r="CO114" s="146"/>
      <c r="CP114" s="146"/>
      <c r="CQ114" s="146"/>
      <c r="CR114" s="146"/>
      <c r="CS114" s="146"/>
      <c r="CT114" s="146"/>
      <c r="CU114" s="146"/>
      <c r="CV114" s="146"/>
      <c r="CW114" s="146"/>
      <c r="CX114" s="146"/>
      <c r="CY114" s="146"/>
      <c r="CZ114" s="146"/>
      <c r="DA114" s="146"/>
      <c r="DB114" s="146"/>
      <c r="DC114" s="146"/>
      <c r="DD114" s="146"/>
      <c r="DE114" s="146"/>
      <c r="DF114" s="146"/>
      <c r="DG114" s="146"/>
      <c r="DH114" s="146"/>
      <c r="DI114" s="146"/>
      <c r="DJ114" s="146"/>
    </row>
    <row r="115" spans="1:114" s="147" customFormat="1" ht="16.5" x14ac:dyDescent="0.25">
      <c r="A115" s="109" t="s">
        <v>330</v>
      </c>
      <c r="B115" s="107"/>
      <c r="C115" s="107"/>
      <c r="D115" s="107"/>
      <c r="E115" s="107"/>
      <c r="F115" s="107"/>
      <c r="G115" s="107"/>
      <c r="H115" s="107"/>
      <c r="I115" s="107"/>
      <c r="J115" s="107"/>
      <c r="K115" s="107"/>
      <c r="L115" s="107"/>
      <c r="M115" s="107"/>
      <c r="N115" s="129"/>
      <c r="O115" s="146"/>
      <c r="P115" s="146"/>
      <c r="Q115" s="146"/>
      <c r="R115" s="146"/>
      <c r="S115" s="146"/>
      <c r="T115" s="146"/>
      <c r="U115" s="146"/>
      <c r="V115" s="146"/>
      <c r="W115" s="146"/>
      <c r="X115" s="146"/>
      <c r="Y115" s="146"/>
      <c r="Z115" s="146"/>
      <c r="AA115" s="146"/>
      <c r="AB115" s="146"/>
      <c r="AC115" s="146"/>
      <c r="AD115" s="146"/>
      <c r="AE115" s="146"/>
      <c r="AF115" s="146"/>
      <c r="AG115" s="146"/>
      <c r="AH115" s="146"/>
      <c r="AI115" s="146"/>
      <c r="AJ115" s="146"/>
      <c r="AK115" s="146"/>
      <c r="AL115" s="146"/>
      <c r="AM115" s="146"/>
      <c r="AN115" s="146"/>
      <c r="AO115" s="146"/>
      <c r="AP115" s="146"/>
      <c r="AQ115" s="146"/>
      <c r="AR115" s="146"/>
      <c r="AS115" s="146"/>
      <c r="AT115" s="146"/>
      <c r="AU115" s="146"/>
      <c r="AV115" s="146"/>
      <c r="AW115" s="146"/>
      <c r="AX115" s="146"/>
      <c r="AY115" s="146"/>
      <c r="AZ115" s="146"/>
      <c r="BA115" s="146"/>
      <c r="BB115" s="146"/>
      <c r="BC115" s="146"/>
      <c r="BD115" s="146"/>
      <c r="BE115" s="146"/>
      <c r="BF115" s="146"/>
      <c r="BG115" s="146"/>
      <c r="BH115" s="146"/>
      <c r="BI115" s="146"/>
      <c r="BJ115" s="146"/>
      <c r="BK115" s="146"/>
      <c r="BL115" s="146"/>
      <c r="BM115" s="146"/>
      <c r="BN115" s="146"/>
      <c r="BO115" s="146"/>
      <c r="BP115" s="146"/>
      <c r="BQ115" s="146"/>
      <c r="BR115" s="146"/>
      <c r="BS115" s="146"/>
      <c r="BT115" s="146"/>
      <c r="BU115" s="146"/>
      <c r="BV115" s="146"/>
      <c r="BW115" s="146"/>
      <c r="BX115" s="146"/>
      <c r="BY115" s="146"/>
      <c r="BZ115" s="146"/>
      <c r="CA115" s="146"/>
      <c r="CB115" s="146"/>
      <c r="CC115" s="146"/>
      <c r="CD115" s="146"/>
      <c r="CE115" s="146"/>
      <c r="CF115" s="146"/>
      <c r="CG115" s="146"/>
      <c r="CH115" s="146"/>
      <c r="CI115" s="146"/>
      <c r="CJ115" s="146"/>
      <c r="CK115" s="146"/>
      <c r="CL115" s="146"/>
      <c r="CM115" s="146"/>
      <c r="CN115" s="146"/>
      <c r="CO115" s="146"/>
      <c r="CP115" s="146"/>
      <c r="CQ115" s="146"/>
      <c r="CR115" s="146"/>
      <c r="CS115" s="146"/>
      <c r="CT115" s="146"/>
      <c r="CU115" s="146"/>
      <c r="CV115" s="146"/>
      <c r="CW115" s="146"/>
      <c r="CX115" s="146"/>
      <c r="CY115" s="146"/>
      <c r="CZ115" s="146"/>
      <c r="DA115" s="146"/>
      <c r="DB115" s="146"/>
      <c r="DC115" s="146"/>
      <c r="DD115" s="146"/>
      <c r="DE115" s="146"/>
      <c r="DF115" s="146"/>
      <c r="DG115" s="146"/>
      <c r="DH115" s="146"/>
      <c r="DI115" s="146"/>
      <c r="DJ115" s="146"/>
    </row>
    <row r="116" spans="1:114" s="147" customFormat="1" ht="16.5" x14ac:dyDescent="0.25">
      <c r="A116" s="109" t="s">
        <v>331</v>
      </c>
      <c r="B116" s="107"/>
      <c r="C116" s="107"/>
      <c r="D116" s="107"/>
      <c r="E116" s="107"/>
      <c r="F116" s="107"/>
      <c r="G116" s="107"/>
      <c r="H116" s="107"/>
      <c r="I116" s="107"/>
      <c r="J116" s="107"/>
      <c r="K116" s="107"/>
      <c r="L116" s="107"/>
      <c r="M116" s="107"/>
      <c r="N116" s="129"/>
      <c r="O116" s="146"/>
      <c r="P116" s="146"/>
      <c r="Q116" s="146"/>
      <c r="R116" s="146"/>
      <c r="S116" s="146"/>
      <c r="T116" s="146"/>
      <c r="U116" s="146"/>
      <c r="V116" s="146"/>
      <c r="W116" s="146"/>
      <c r="X116" s="146"/>
      <c r="Y116" s="146"/>
      <c r="Z116" s="146"/>
      <c r="AA116" s="146"/>
      <c r="AB116" s="146"/>
      <c r="AC116" s="146"/>
      <c r="AD116" s="146"/>
      <c r="AE116" s="146"/>
      <c r="AF116" s="146"/>
      <c r="AG116" s="146"/>
      <c r="AH116" s="146"/>
      <c r="AI116" s="146"/>
      <c r="AJ116" s="146"/>
      <c r="AK116" s="146"/>
      <c r="AL116" s="146"/>
      <c r="AM116" s="146"/>
      <c r="AN116" s="146"/>
      <c r="AO116" s="146"/>
      <c r="AP116" s="146"/>
      <c r="AQ116" s="146"/>
      <c r="AR116" s="146"/>
      <c r="AS116" s="146"/>
      <c r="AT116" s="146"/>
      <c r="AU116" s="146"/>
      <c r="AV116" s="146"/>
      <c r="AW116" s="146"/>
      <c r="AX116" s="146"/>
      <c r="AY116" s="146"/>
      <c r="AZ116" s="146"/>
      <c r="BA116" s="146"/>
      <c r="BB116" s="146"/>
      <c r="BC116" s="146"/>
      <c r="BD116" s="146"/>
      <c r="BE116" s="146"/>
      <c r="BF116" s="146"/>
      <c r="BG116" s="146"/>
      <c r="BH116" s="146"/>
      <c r="BI116" s="146"/>
      <c r="BJ116" s="146"/>
      <c r="BK116" s="146"/>
      <c r="BL116" s="146"/>
      <c r="BM116" s="146"/>
      <c r="BN116" s="146"/>
      <c r="BO116" s="146"/>
      <c r="BP116" s="146"/>
      <c r="BQ116" s="146"/>
      <c r="BR116" s="146"/>
      <c r="BS116" s="146"/>
      <c r="BT116" s="146"/>
      <c r="BU116" s="146"/>
      <c r="BV116" s="146"/>
      <c r="BW116" s="146"/>
      <c r="BX116" s="146"/>
      <c r="BY116" s="146"/>
      <c r="BZ116" s="146"/>
      <c r="CA116" s="146"/>
      <c r="CB116" s="146"/>
      <c r="CC116" s="146"/>
      <c r="CD116" s="146"/>
      <c r="CE116" s="146"/>
      <c r="CF116" s="146"/>
      <c r="CG116" s="146"/>
      <c r="CH116" s="146"/>
      <c r="CI116" s="146"/>
      <c r="CJ116" s="146"/>
      <c r="CK116" s="146"/>
      <c r="CL116" s="146"/>
      <c r="CM116" s="146"/>
      <c r="CN116" s="146"/>
      <c r="CO116" s="146"/>
      <c r="CP116" s="146"/>
      <c r="CQ116" s="146"/>
      <c r="CR116" s="146"/>
      <c r="CS116" s="146"/>
      <c r="CT116" s="146"/>
      <c r="CU116" s="146"/>
      <c r="CV116" s="146"/>
      <c r="CW116" s="146"/>
      <c r="CX116" s="146"/>
      <c r="CY116" s="146"/>
      <c r="CZ116" s="146"/>
      <c r="DA116" s="146"/>
      <c r="DB116" s="146"/>
      <c r="DC116" s="146"/>
      <c r="DD116" s="146"/>
      <c r="DE116" s="146"/>
      <c r="DF116" s="146"/>
      <c r="DG116" s="146"/>
      <c r="DH116" s="146"/>
      <c r="DI116" s="146"/>
      <c r="DJ116" s="146"/>
    </row>
    <row r="117" spans="1:114" s="118" customFormat="1" ht="16.5" x14ac:dyDescent="0.25">
      <c r="A117" s="108"/>
      <c r="B117" s="45"/>
      <c r="C117" s="45"/>
      <c r="D117" s="45"/>
      <c r="E117" s="45"/>
      <c r="F117" s="45"/>
      <c r="G117" s="45"/>
      <c r="H117" s="45"/>
      <c r="I117" s="45"/>
      <c r="J117" s="45"/>
      <c r="K117" s="45"/>
      <c r="L117" s="45"/>
      <c r="M117" s="45"/>
      <c r="N117" s="129"/>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7"/>
      <c r="AL117" s="117"/>
      <c r="AM117" s="117"/>
      <c r="AN117" s="117"/>
      <c r="AO117" s="117"/>
      <c r="AP117" s="117"/>
      <c r="AQ117" s="117"/>
      <c r="AR117" s="117"/>
      <c r="AS117" s="117"/>
      <c r="AT117" s="117"/>
      <c r="AU117" s="117"/>
      <c r="AV117" s="117"/>
      <c r="AW117" s="117"/>
      <c r="AX117" s="117"/>
      <c r="AY117" s="117"/>
      <c r="AZ117" s="117"/>
      <c r="BA117" s="117"/>
      <c r="BB117" s="117"/>
      <c r="BC117" s="117"/>
      <c r="BD117" s="117"/>
      <c r="BE117" s="117"/>
      <c r="BF117" s="117"/>
      <c r="BG117" s="117"/>
      <c r="BH117" s="117"/>
      <c r="BI117" s="117"/>
      <c r="BJ117" s="117"/>
      <c r="BK117" s="117"/>
      <c r="BL117" s="117"/>
      <c r="BM117" s="117"/>
      <c r="BN117" s="117"/>
      <c r="BO117" s="117"/>
      <c r="BP117" s="117"/>
      <c r="BQ117" s="117"/>
      <c r="BR117" s="117"/>
      <c r="BS117" s="117"/>
      <c r="BT117" s="117"/>
      <c r="BU117" s="117"/>
      <c r="BV117" s="117"/>
      <c r="BW117" s="117"/>
      <c r="BX117" s="117"/>
      <c r="BY117" s="117"/>
      <c r="BZ117" s="117"/>
      <c r="CA117" s="117"/>
      <c r="CB117" s="117"/>
      <c r="CC117" s="117"/>
      <c r="CD117" s="117"/>
      <c r="CE117" s="117"/>
      <c r="CF117" s="117"/>
      <c r="CG117" s="117"/>
      <c r="CH117" s="117"/>
      <c r="CI117" s="117"/>
      <c r="CJ117" s="117"/>
      <c r="CK117" s="117"/>
      <c r="CL117" s="117"/>
      <c r="CM117" s="117"/>
      <c r="CN117" s="117"/>
      <c r="CO117" s="117"/>
      <c r="CP117" s="117"/>
      <c r="CQ117" s="117"/>
      <c r="CR117" s="117"/>
      <c r="CS117" s="117"/>
      <c r="CT117" s="117"/>
      <c r="CU117" s="117"/>
      <c r="CV117" s="117"/>
      <c r="CW117" s="117"/>
      <c r="CX117" s="117"/>
      <c r="CY117" s="117"/>
      <c r="CZ117" s="117"/>
      <c r="DA117" s="117"/>
      <c r="DB117" s="117"/>
      <c r="DC117" s="117"/>
      <c r="DD117" s="117"/>
      <c r="DE117" s="117"/>
      <c r="DF117" s="117"/>
      <c r="DG117" s="117"/>
      <c r="DH117" s="117"/>
      <c r="DI117" s="117"/>
      <c r="DJ117" s="117"/>
    </row>
    <row r="118" spans="1:114" s="116" customFormat="1" ht="16.5" x14ac:dyDescent="0.25">
      <c r="A118" s="110" t="s">
        <v>296</v>
      </c>
      <c r="B118" s="111"/>
      <c r="C118" s="111"/>
      <c r="D118" s="111"/>
      <c r="E118" s="111"/>
      <c r="F118" s="111"/>
      <c r="G118" s="111"/>
      <c r="H118" s="111"/>
      <c r="I118" s="111"/>
      <c r="J118" s="111"/>
      <c r="K118" s="111"/>
      <c r="L118" s="111"/>
      <c r="M118" s="111"/>
      <c r="N118" s="129"/>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15"/>
      <c r="BI118" s="115"/>
      <c r="BJ118" s="115"/>
      <c r="BK118" s="115"/>
      <c r="BL118" s="115"/>
      <c r="BM118" s="115"/>
      <c r="BN118" s="115"/>
      <c r="BO118" s="115"/>
      <c r="BP118" s="115"/>
      <c r="BQ118" s="115"/>
      <c r="BR118" s="115"/>
      <c r="BS118" s="115"/>
      <c r="BT118" s="115"/>
      <c r="BU118" s="115"/>
      <c r="BV118" s="115"/>
      <c r="BW118" s="115"/>
      <c r="BX118" s="115"/>
      <c r="BY118" s="115"/>
      <c r="BZ118" s="115"/>
      <c r="CA118" s="115"/>
      <c r="CB118" s="115"/>
      <c r="CC118" s="115"/>
      <c r="CD118" s="115"/>
      <c r="CE118" s="115"/>
      <c r="CF118" s="115"/>
      <c r="CG118" s="115"/>
      <c r="CH118" s="115"/>
      <c r="CI118" s="115"/>
      <c r="CJ118" s="115"/>
      <c r="CK118" s="115"/>
      <c r="CL118" s="115"/>
      <c r="CM118" s="115"/>
      <c r="CN118" s="115"/>
      <c r="CO118" s="115"/>
      <c r="CP118" s="115"/>
      <c r="CQ118" s="115"/>
      <c r="CR118" s="115"/>
      <c r="CS118" s="115"/>
      <c r="CT118" s="115"/>
      <c r="CU118" s="115"/>
      <c r="CV118" s="115"/>
      <c r="CW118" s="115"/>
      <c r="CX118" s="115"/>
      <c r="CY118" s="115"/>
      <c r="CZ118" s="115"/>
      <c r="DA118" s="115"/>
      <c r="DB118" s="115"/>
      <c r="DC118" s="115"/>
      <c r="DD118" s="115"/>
      <c r="DE118" s="115"/>
      <c r="DF118" s="115"/>
      <c r="DG118" s="115"/>
      <c r="DH118" s="115"/>
      <c r="DI118" s="115"/>
      <c r="DJ118" s="115"/>
    </row>
    <row r="119" spans="1:114" s="114" customFormat="1" ht="33" customHeight="1" x14ac:dyDescent="0.25">
      <c r="A119" s="163" t="s">
        <v>166</v>
      </c>
      <c r="B119" s="166" t="s">
        <v>167</v>
      </c>
      <c r="C119" s="167" t="s">
        <v>304</v>
      </c>
      <c r="D119" s="166" t="s">
        <v>227</v>
      </c>
      <c r="E119" s="163"/>
      <c r="F119" s="163"/>
      <c r="G119" s="166" t="s">
        <v>228</v>
      </c>
      <c r="H119" s="163"/>
      <c r="I119" s="163"/>
      <c r="J119" s="112" t="s">
        <v>229</v>
      </c>
      <c r="K119" s="166" t="s">
        <v>230</v>
      </c>
      <c r="L119" s="181" t="s">
        <v>231</v>
      </c>
      <c r="M119" s="190" t="s">
        <v>166</v>
      </c>
      <c r="N119" s="129"/>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row>
    <row r="120" spans="1:114" s="114" customFormat="1" ht="16.5" customHeight="1" x14ac:dyDescent="0.25">
      <c r="A120" s="163"/>
      <c r="B120" s="163"/>
      <c r="C120" s="168"/>
      <c r="D120" s="113" t="s">
        <v>170</v>
      </c>
      <c r="E120" s="113" t="s">
        <v>171</v>
      </c>
      <c r="F120" s="113" t="s">
        <v>172</v>
      </c>
      <c r="G120" s="113" t="s">
        <v>170</v>
      </c>
      <c r="H120" s="113" t="s">
        <v>171</v>
      </c>
      <c r="I120" s="113" t="s">
        <v>172</v>
      </c>
      <c r="J120" s="113" t="s">
        <v>172</v>
      </c>
      <c r="K120" s="163"/>
      <c r="L120" s="182"/>
      <c r="M120" s="163"/>
      <c r="N120" s="129"/>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row>
    <row r="121" spans="1:114" ht="16.5" customHeight="1" x14ac:dyDescent="0.25">
      <c r="A121" s="161" t="s">
        <v>173</v>
      </c>
      <c r="B121" s="154"/>
      <c r="C121" s="164" t="str">
        <f>IF('P(M)'!$D$17=1,"●","○")</f>
        <v>●</v>
      </c>
      <c r="D121" s="62" t="s">
        <v>14</v>
      </c>
      <c r="E121" s="64">
        <f>'P(M)'!AO46</f>
        <v>214800</v>
      </c>
      <c r="F121" s="104">
        <f>E121</f>
        <v>214800</v>
      </c>
      <c r="G121" s="62" t="s">
        <v>14</v>
      </c>
      <c r="H121" s="64">
        <f>'P(M)'!AU46</f>
        <v>0</v>
      </c>
      <c r="I121" s="104">
        <f>H121</f>
        <v>0</v>
      </c>
      <c r="J121" s="104">
        <f>F121+I121</f>
        <v>214800</v>
      </c>
      <c r="K121" s="39">
        <f>'P(M)'!AY46</f>
        <v>57000</v>
      </c>
      <c r="L121" s="104">
        <f>J121+K121</f>
        <v>271800</v>
      </c>
      <c r="M121" s="179" t="str">
        <f>A121</f>
        <v>台灣</v>
      </c>
      <c r="N121" s="129" t="str">
        <f t="shared" ref="N121:N141" si="8">N16</f>
        <v/>
      </c>
      <c r="O121" s="35"/>
      <c r="P121" s="35"/>
      <c r="Q121" s="35"/>
      <c r="R121" s="35"/>
      <c r="S121" s="35"/>
      <c r="T121" s="35"/>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c r="AS121" s="35"/>
      <c r="AT121" s="35"/>
      <c r="AU121" s="35"/>
      <c r="AV121" s="35"/>
      <c r="AW121" s="35"/>
      <c r="AX121" s="35"/>
      <c r="AY121" s="35"/>
      <c r="AZ121" s="35"/>
      <c r="BA121" s="35"/>
      <c r="BB121" s="35"/>
      <c r="BC121" s="35"/>
      <c r="BD121" s="35"/>
      <c r="BE121" s="35"/>
      <c r="BF121" s="35"/>
      <c r="BG121" s="35"/>
      <c r="BH121" s="35"/>
      <c r="BI121" s="35"/>
      <c r="BJ121" s="35"/>
      <c r="BK121" s="35"/>
      <c r="BL121" s="35"/>
      <c r="BM121" s="35"/>
      <c r="BN121" s="35"/>
      <c r="BO121" s="35"/>
      <c r="BP121" s="35"/>
      <c r="BQ121" s="35"/>
      <c r="BR121" s="35"/>
      <c r="BS121" s="35"/>
      <c r="BT121" s="35"/>
      <c r="BU121" s="35"/>
      <c r="BV121" s="35"/>
      <c r="BW121" s="35"/>
      <c r="BX121" s="35"/>
      <c r="BY121" s="35"/>
      <c r="BZ121" s="35"/>
      <c r="CA121" s="35"/>
      <c r="CB121" s="35"/>
      <c r="CC121" s="35"/>
      <c r="CD121" s="35"/>
      <c r="CE121" s="35"/>
      <c r="CF121" s="35"/>
      <c r="CG121" s="35"/>
      <c r="CH121" s="35"/>
      <c r="CI121" s="35"/>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row>
    <row r="122" spans="1:114" ht="16.5" customHeight="1" x14ac:dyDescent="0.25">
      <c r="A122" s="162"/>
      <c r="B122" s="154"/>
      <c r="C122" s="165"/>
      <c r="D122" s="62" t="s">
        <v>14</v>
      </c>
      <c r="E122" s="64">
        <f>'P(M)'!AO47</f>
        <v>0</v>
      </c>
      <c r="F122" s="104">
        <f>E122</f>
        <v>0</v>
      </c>
      <c r="G122" s="62" t="s">
        <v>14</v>
      </c>
      <c r="H122" s="64">
        <f>'P(M)'!AU47</f>
        <v>0</v>
      </c>
      <c r="I122" s="104">
        <f>H122</f>
        <v>0</v>
      </c>
      <c r="J122" s="104">
        <f t="shared" ref="J122:J141" si="9">F122+I122</f>
        <v>0</v>
      </c>
      <c r="K122" s="39">
        <f>'P(M)'!AY47</f>
        <v>0</v>
      </c>
      <c r="L122" s="104">
        <f t="shared" ref="L122:L141" si="10">J122+K122</f>
        <v>0</v>
      </c>
      <c r="M122" s="180"/>
      <c r="N122" s="129" t="str">
        <f t="shared" si="8"/>
        <v/>
      </c>
      <c r="O122" s="35"/>
      <c r="P122" s="35"/>
      <c r="Q122" s="35"/>
      <c r="R122" s="35"/>
      <c r="S122" s="35"/>
      <c r="T122" s="35"/>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c r="AS122" s="35"/>
      <c r="AT122" s="35"/>
      <c r="AU122" s="35"/>
      <c r="AV122" s="35"/>
      <c r="AW122" s="35"/>
      <c r="AX122" s="35"/>
      <c r="AY122" s="35"/>
      <c r="AZ122" s="35"/>
      <c r="BA122" s="35"/>
      <c r="BB122" s="35"/>
      <c r="BC122" s="35"/>
      <c r="BD122" s="35"/>
      <c r="BE122" s="35"/>
      <c r="BF122" s="35"/>
      <c r="BG122" s="35"/>
      <c r="BH122" s="35"/>
      <c r="BI122" s="35"/>
      <c r="BJ122" s="35"/>
      <c r="BK122" s="35"/>
      <c r="BL122" s="35"/>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row>
    <row r="123" spans="1:114" ht="16.5" customHeight="1" x14ac:dyDescent="0.25">
      <c r="A123" s="161" t="s">
        <v>174</v>
      </c>
      <c r="B123" s="154"/>
      <c r="C123" s="164" t="str">
        <f>IF('P(M)'!$D$17=2,"●","○")</f>
        <v>○</v>
      </c>
      <c r="D123" s="62" t="s">
        <v>15</v>
      </c>
      <c r="E123" s="64">
        <f>'P(M)'!AO48</f>
        <v>81400</v>
      </c>
      <c r="F123" s="104">
        <f>E123*$M$5</f>
        <v>374440</v>
      </c>
      <c r="G123" s="62" t="s">
        <v>15</v>
      </c>
      <c r="H123" s="64">
        <f>'P(M)'!AU48</f>
        <v>3800</v>
      </c>
      <c r="I123" s="104">
        <f>H123*$M$5</f>
        <v>17480</v>
      </c>
      <c r="J123" s="104">
        <f t="shared" si="9"/>
        <v>391920</v>
      </c>
      <c r="K123" s="39">
        <f>'P(M)'!AY48</f>
        <v>57000</v>
      </c>
      <c r="L123" s="104">
        <f t="shared" si="10"/>
        <v>448920</v>
      </c>
      <c r="M123" s="179" t="s">
        <v>3</v>
      </c>
      <c r="N123" s="129" t="str">
        <f t="shared" si="8"/>
        <v/>
      </c>
      <c r="O123" s="35"/>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5"/>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row>
    <row r="124" spans="1:114" ht="16.5" customHeight="1" x14ac:dyDescent="0.25">
      <c r="A124" s="162"/>
      <c r="B124" s="154"/>
      <c r="C124" s="165"/>
      <c r="D124" s="62" t="s">
        <v>15</v>
      </c>
      <c r="E124" s="64">
        <f>'P(M)'!AO49</f>
        <v>0</v>
      </c>
      <c r="F124" s="104">
        <f>E124*$M$5</f>
        <v>0</v>
      </c>
      <c r="G124" s="62" t="s">
        <v>15</v>
      </c>
      <c r="H124" s="64">
        <f>'P(M)'!AU49</f>
        <v>0</v>
      </c>
      <c r="I124" s="104">
        <f>H124*$M$5</f>
        <v>0</v>
      </c>
      <c r="J124" s="104">
        <f t="shared" si="9"/>
        <v>0</v>
      </c>
      <c r="K124" s="39">
        <f>'P(M)'!AY49</f>
        <v>0</v>
      </c>
      <c r="L124" s="104">
        <f t="shared" si="10"/>
        <v>0</v>
      </c>
      <c r="M124" s="180"/>
      <c r="N124" s="129" t="str">
        <f t="shared" si="8"/>
        <v/>
      </c>
      <c r="O124" s="35"/>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5"/>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row>
    <row r="125" spans="1:114" ht="16.5" customHeight="1" x14ac:dyDescent="0.25">
      <c r="A125" s="62" t="s">
        <v>175</v>
      </c>
      <c r="B125" s="154"/>
      <c r="C125" s="159" t="str">
        <f>IF('P(M)'!$D$17=3,"●","○")</f>
        <v>○</v>
      </c>
      <c r="D125" s="62" t="s">
        <v>16</v>
      </c>
      <c r="E125" s="64">
        <f>'P(M)'!AO50</f>
        <v>5788</v>
      </c>
      <c r="F125" s="104">
        <f>E125*$K$5</f>
        <v>185216</v>
      </c>
      <c r="G125" s="62" t="s">
        <v>16</v>
      </c>
      <c r="H125" s="64">
        <f>'P(M)'!AU50</f>
        <v>378</v>
      </c>
      <c r="I125" s="104">
        <f>H125*$K$5</f>
        <v>12096</v>
      </c>
      <c r="J125" s="104">
        <f t="shared" si="9"/>
        <v>197312</v>
      </c>
      <c r="K125" s="39">
        <f>'P(M)'!AY50</f>
        <v>15000</v>
      </c>
      <c r="L125" s="104">
        <f t="shared" si="10"/>
        <v>212312</v>
      </c>
      <c r="M125" s="68" t="s">
        <v>4</v>
      </c>
      <c r="N125" s="129" t="str">
        <f t="shared" si="8"/>
        <v/>
      </c>
      <c r="O125" s="35"/>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5"/>
      <c r="BR125" s="35"/>
      <c r="BS125" s="35"/>
      <c r="BT125" s="35"/>
      <c r="BU125" s="35"/>
      <c r="BV125" s="35"/>
      <c r="BW125" s="35"/>
      <c r="BX125" s="35"/>
      <c r="BY125" s="35"/>
      <c r="BZ125" s="35"/>
      <c r="CA125" s="35"/>
      <c r="CB125" s="35"/>
      <c r="CC125" s="35"/>
      <c r="CD125" s="35"/>
      <c r="CE125" s="35"/>
      <c r="CF125" s="35"/>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row>
    <row r="126" spans="1:114" ht="16.5" customHeight="1" x14ac:dyDescent="0.25">
      <c r="A126" s="62" t="s">
        <v>190</v>
      </c>
      <c r="B126" s="154"/>
      <c r="C126" s="159"/>
      <c r="D126" s="62" t="s">
        <v>16</v>
      </c>
      <c r="E126" s="64">
        <f>'P(M)'!AO51</f>
        <v>31965.340000000004</v>
      </c>
      <c r="F126" s="104">
        <f>E126*$K$5</f>
        <v>1022890.8800000001</v>
      </c>
      <c r="G126" s="62" t="s">
        <v>16</v>
      </c>
      <c r="H126" s="64">
        <f>'P(M)'!AU51</f>
        <v>7523.760000000002</v>
      </c>
      <c r="I126" s="104">
        <f>H126*$K$5</f>
        <v>240760.32000000007</v>
      </c>
      <c r="J126" s="104">
        <f t="shared" si="9"/>
        <v>1263651.2000000002</v>
      </c>
      <c r="K126" s="39">
        <f>'P(M)'!AY51</f>
        <v>255000</v>
      </c>
      <c r="L126" s="104">
        <f t="shared" si="10"/>
        <v>1518651.2000000002</v>
      </c>
      <c r="M126" s="68" t="s">
        <v>5</v>
      </c>
      <c r="N126" s="129" t="str">
        <f t="shared" si="8"/>
        <v/>
      </c>
      <c r="O126" s="35"/>
      <c r="P126" s="35"/>
      <c r="Q126" s="35"/>
      <c r="R126" s="35"/>
      <c r="S126" s="35"/>
      <c r="T126" s="35"/>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c r="AS126" s="35"/>
      <c r="AT126" s="35"/>
      <c r="AU126" s="35"/>
      <c r="AV126" s="35"/>
      <c r="AW126" s="35"/>
      <c r="AX126" s="35"/>
      <c r="AY126" s="35"/>
      <c r="AZ126" s="35"/>
      <c r="BA126" s="35"/>
      <c r="BB126" s="35"/>
      <c r="BC126" s="35"/>
      <c r="BD126" s="35"/>
      <c r="BE126" s="35"/>
      <c r="BF126" s="35"/>
      <c r="BG126" s="35"/>
      <c r="BH126" s="35"/>
      <c r="BI126" s="35"/>
      <c r="BJ126" s="35"/>
      <c r="BK126" s="35"/>
      <c r="BL126" s="35"/>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c r="DD126" s="35"/>
      <c r="DE126" s="35"/>
      <c r="DF126" s="35"/>
      <c r="DG126" s="35"/>
      <c r="DH126" s="35"/>
      <c r="DI126" s="35"/>
      <c r="DJ126" s="35"/>
    </row>
    <row r="127" spans="1:114" ht="16.5" customHeight="1" x14ac:dyDescent="0.25">
      <c r="A127" s="161" t="s">
        <v>176</v>
      </c>
      <c r="B127" s="154"/>
      <c r="C127" s="164"/>
      <c r="D127" s="62" t="s">
        <v>18</v>
      </c>
      <c r="E127" s="64">
        <f>'P(M)'!AO52</f>
        <v>1345700</v>
      </c>
      <c r="F127" s="104">
        <f>E127*$K$7</f>
        <v>282597</v>
      </c>
      <c r="G127" s="62" t="s">
        <v>18</v>
      </c>
      <c r="H127" s="64">
        <f>'P(M)'!AU52</f>
        <v>195000</v>
      </c>
      <c r="I127" s="104">
        <f>H127*$K$7</f>
        <v>40950</v>
      </c>
      <c r="J127" s="104">
        <f t="shared" si="9"/>
        <v>323547</v>
      </c>
      <c r="K127" s="39">
        <f>'P(M)'!AY52</f>
        <v>85000</v>
      </c>
      <c r="L127" s="104">
        <f t="shared" si="10"/>
        <v>408547</v>
      </c>
      <c r="M127" s="179" t="s">
        <v>6</v>
      </c>
      <c r="N127" s="129" t="str">
        <f t="shared" si="8"/>
        <v/>
      </c>
      <c r="O127" s="35"/>
      <c r="P127" s="35"/>
      <c r="Q127" s="35"/>
      <c r="R127" s="35"/>
      <c r="S127" s="35"/>
      <c r="T127" s="35"/>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c r="AS127" s="35"/>
      <c r="AT127" s="35"/>
      <c r="AU127" s="35"/>
      <c r="AV127" s="35"/>
      <c r="AW127" s="35"/>
      <c r="AX127" s="35"/>
      <c r="AY127" s="35"/>
      <c r="AZ127" s="35"/>
      <c r="BA127" s="35"/>
      <c r="BB127" s="35"/>
      <c r="BC127" s="35"/>
      <c r="BD127" s="35"/>
      <c r="BE127" s="35"/>
      <c r="BF127" s="35"/>
      <c r="BG127" s="35"/>
      <c r="BH127" s="35"/>
      <c r="BI127" s="35"/>
      <c r="BJ127" s="35"/>
      <c r="BK127" s="35"/>
      <c r="BL127" s="35"/>
      <c r="BM127" s="35"/>
      <c r="BN127" s="35"/>
      <c r="BO127" s="35"/>
      <c r="BP127" s="35"/>
      <c r="BQ127" s="35"/>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c r="DD127" s="35"/>
      <c r="DE127" s="35"/>
      <c r="DF127" s="35"/>
      <c r="DG127" s="35"/>
      <c r="DH127" s="35"/>
      <c r="DI127" s="35"/>
      <c r="DJ127" s="35"/>
    </row>
    <row r="128" spans="1:114" ht="16.5" customHeight="1" x14ac:dyDescent="0.25">
      <c r="A128" s="162"/>
      <c r="B128" s="154"/>
      <c r="C128" s="165"/>
      <c r="D128" s="62" t="s">
        <v>18</v>
      </c>
      <c r="E128" s="64">
        <f>'P(M)'!AO53</f>
        <v>0</v>
      </c>
      <c r="F128" s="104">
        <f>E128*$K$7</f>
        <v>0</v>
      </c>
      <c r="G128" s="62" t="s">
        <v>18</v>
      </c>
      <c r="H128" s="64">
        <f>'P(M)'!AU53</f>
        <v>0</v>
      </c>
      <c r="I128" s="104">
        <f>H128*$K$7</f>
        <v>0</v>
      </c>
      <c r="J128" s="104">
        <f t="shared" si="9"/>
        <v>0</v>
      </c>
      <c r="K128" s="39">
        <f>'P(M)'!AY53</f>
        <v>0</v>
      </c>
      <c r="L128" s="104">
        <f t="shared" si="10"/>
        <v>0</v>
      </c>
      <c r="M128" s="180"/>
      <c r="N128" s="129" t="str">
        <f t="shared" si="8"/>
        <v/>
      </c>
      <c r="O128" s="35"/>
      <c r="P128" s="35"/>
      <c r="Q128" s="35"/>
      <c r="R128" s="35"/>
      <c r="S128" s="35"/>
      <c r="T128" s="35"/>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c r="AS128" s="35"/>
      <c r="AT128" s="35"/>
      <c r="AU128" s="35"/>
      <c r="AV128" s="35"/>
      <c r="AW128" s="35"/>
      <c r="AX128" s="35"/>
      <c r="AY128" s="35"/>
      <c r="AZ128" s="35"/>
      <c r="BA128" s="35"/>
      <c r="BB128" s="35"/>
      <c r="BC128" s="35"/>
      <c r="BD128" s="35"/>
      <c r="BE128" s="35"/>
      <c r="BF128" s="35"/>
      <c r="BG128" s="35"/>
      <c r="BH128" s="35"/>
      <c r="BI128" s="35"/>
      <c r="BJ128" s="35"/>
      <c r="BK128" s="35"/>
      <c r="BL128" s="35"/>
      <c r="BM128" s="35"/>
      <c r="BN128" s="35"/>
      <c r="BO128" s="35"/>
      <c r="BP128" s="35"/>
      <c r="BQ128" s="35"/>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c r="DD128" s="35"/>
      <c r="DE128" s="35"/>
      <c r="DF128" s="35"/>
      <c r="DG128" s="35"/>
      <c r="DH128" s="35"/>
      <c r="DI128" s="35"/>
      <c r="DJ128" s="35"/>
    </row>
    <row r="129" spans="1:114" ht="16.5" customHeight="1" x14ac:dyDescent="0.25">
      <c r="A129" s="161" t="s">
        <v>177</v>
      </c>
      <c r="B129" s="154"/>
      <c r="C129" s="164"/>
      <c r="D129" s="62" t="s">
        <v>19</v>
      </c>
      <c r="E129" s="64">
        <f>'P(M)'!AO54</f>
        <v>10628000</v>
      </c>
      <c r="F129" s="104">
        <f>E129*$K$8</f>
        <v>265700</v>
      </c>
      <c r="G129" s="62" t="s">
        <v>16</v>
      </c>
      <c r="H129" s="64">
        <f>'P(M)'!AU54</f>
        <v>3210</v>
      </c>
      <c r="I129" s="104">
        <f>H129*$K$5</f>
        <v>102720</v>
      </c>
      <c r="J129" s="104">
        <f t="shared" si="9"/>
        <v>368420</v>
      </c>
      <c r="K129" s="39">
        <f>'P(M)'!AY54</f>
        <v>85000</v>
      </c>
      <c r="L129" s="104">
        <f t="shared" si="10"/>
        <v>453420</v>
      </c>
      <c r="M129" s="179" t="s">
        <v>7</v>
      </c>
      <c r="N129" s="129" t="str">
        <f t="shared" si="8"/>
        <v/>
      </c>
      <c r="O129" s="35"/>
      <c r="P129" s="35"/>
      <c r="Q129" s="35"/>
      <c r="R129" s="35"/>
      <c r="S129" s="35"/>
      <c r="T129" s="35"/>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c r="AS129" s="35"/>
      <c r="AT129" s="35"/>
      <c r="AU129" s="35"/>
      <c r="AV129" s="35"/>
      <c r="AW129" s="35"/>
      <c r="AX129" s="35"/>
      <c r="AY129" s="35"/>
      <c r="AZ129" s="35"/>
      <c r="BA129" s="35"/>
      <c r="BB129" s="35"/>
      <c r="BC129" s="35"/>
      <c r="BD129" s="35"/>
      <c r="BE129" s="35"/>
      <c r="BF129" s="35"/>
      <c r="BG129" s="35"/>
      <c r="BH129" s="35"/>
      <c r="BI129" s="35"/>
      <c r="BJ129" s="35"/>
      <c r="BK129" s="35"/>
      <c r="BL129" s="35"/>
      <c r="BM129" s="35"/>
      <c r="BN129" s="35"/>
      <c r="BO129" s="35"/>
      <c r="BP129" s="35"/>
      <c r="BQ129" s="35"/>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c r="DD129" s="35"/>
      <c r="DE129" s="35"/>
      <c r="DF129" s="35"/>
      <c r="DG129" s="35"/>
      <c r="DH129" s="35"/>
      <c r="DI129" s="35"/>
      <c r="DJ129" s="35"/>
    </row>
    <row r="130" spans="1:114" ht="16.5" customHeight="1" x14ac:dyDescent="0.25">
      <c r="A130" s="162"/>
      <c r="B130" s="154"/>
      <c r="C130" s="165"/>
      <c r="D130" s="62" t="s">
        <v>19</v>
      </c>
      <c r="E130" s="64">
        <f>'P(M)'!AO55</f>
        <v>0</v>
      </c>
      <c r="F130" s="104">
        <f>E130*$K$8</f>
        <v>0</v>
      </c>
      <c r="G130" s="62" t="s">
        <v>16</v>
      </c>
      <c r="H130" s="64">
        <f>'P(M)'!AU55</f>
        <v>0</v>
      </c>
      <c r="I130" s="104">
        <f>H130*$K$5</f>
        <v>0</v>
      </c>
      <c r="J130" s="104">
        <f t="shared" si="9"/>
        <v>0</v>
      </c>
      <c r="K130" s="39">
        <f>'P(M)'!AY55</f>
        <v>0</v>
      </c>
      <c r="L130" s="104">
        <f t="shared" si="10"/>
        <v>0</v>
      </c>
      <c r="M130" s="180"/>
      <c r="N130" s="129" t="str">
        <f t="shared" si="8"/>
        <v/>
      </c>
      <c r="O130" s="35"/>
      <c r="P130" s="35"/>
      <c r="Q130" s="35"/>
      <c r="R130" s="35"/>
      <c r="S130" s="35"/>
      <c r="T130" s="35"/>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c r="AS130" s="35"/>
      <c r="AT130" s="35"/>
      <c r="AU130" s="35"/>
      <c r="AV130" s="35"/>
      <c r="AW130" s="35"/>
      <c r="AX130" s="35"/>
      <c r="AY130" s="35"/>
      <c r="AZ130" s="35"/>
      <c r="BA130" s="35"/>
      <c r="BB130" s="35"/>
      <c r="BC130" s="35"/>
      <c r="BD130" s="35"/>
      <c r="BE130" s="35"/>
      <c r="BF130" s="35"/>
      <c r="BG130" s="35"/>
      <c r="BH130" s="35"/>
      <c r="BI130" s="35"/>
      <c r="BJ130" s="35"/>
      <c r="BK130" s="35"/>
      <c r="BL130" s="35"/>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row>
    <row r="131" spans="1:114" ht="16.5" customHeight="1" x14ac:dyDescent="0.25">
      <c r="A131" s="62" t="s">
        <v>191</v>
      </c>
      <c r="B131" s="154"/>
      <c r="C131" s="159" t="str">
        <f>IF('P(M)'!$D$17=4,"●","○")</f>
        <v>○</v>
      </c>
      <c r="D131" s="62" t="s">
        <v>43</v>
      </c>
      <c r="E131" s="64">
        <f>'P(M)'!AO56</f>
        <v>2671.1900000000005</v>
      </c>
      <c r="F131" s="104">
        <f>E131*$M$9</f>
        <v>62772.965000000011</v>
      </c>
      <c r="G131" s="62" t="s">
        <v>43</v>
      </c>
      <c r="H131" s="64">
        <f>'P(M)'!AU56</f>
        <v>4050</v>
      </c>
      <c r="I131" s="104">
        <f>H131*$M$9</f>
        <v>95175</v>
      </c>
      <c r="J131" s="104">
        <f>F131+I131</f>
        <v>157947.96500000003</v>
      </c>
      <c r="K131" s="39">
        <f>'P(M)'!AY56</f>
        <v>90000</v>
      </c>
      <c r="L131" s="104">
        <f>J131+K131</f>
        <v>247947.96500000003</v>
      </c>
      <c r="M131" s="68" t="s">
        <v>42</v>
      </c>
      <c r="N131" s="129" t="str">
        <f t="shared" si="8"/>
        <v/>
      </c>
      <c r="Z131" s="35"/>
      <c r="AA131" s="35"/>
      <c r="AB131" s="35"/>
      <c r="AC131" s="35"/>
      <c r="AD131" s="35"/>
      <c r="AE131" s="35"/>
      <c r="AF131" s="35"/>
      <c r="AG131" s="35"/>
      <c r="AH131" s="35"/>
      <c r="AI131" s="35"/>
      <c r="AJ131" s="35"/>
      <c r="AK131" s="35"/>
      <c r="AL131" s="35"/>
      <c r="AM131" s="35"/>
      <c r="AN131" s="35"/>
      <c r="AO131" s="35"/>
      <c r="AP131" s="35"/>
      <c r="AQ131" s="35"/>
      <c r="AR131" s="35"/>
      <c r="AS131" s="35"/>
      <c r="AT131" s="35"/>
      <c r="AU131" s="35"/>
      <c r="AV131" s="35"/>
      <c r="AW131" s="35"/>
      <c r="AX131" s="35"/>
      <c r="AY131" s="35"/>
      <c r="AZ131" s="35"/>
      <c r="BA131" s="35"/>
      <c r="BB131" s="35"/>
      <c r="BC131" s="35"/>
      <c r="BD131" s="35"/>
      <c r="BE131" s="35"/>
      <c r="BF131" s="35"/>
      <c r="BG131" s="35"/>
      <c r="BH131" s="35"/>
      <c r="BI131" s="35"/>
      <c r="BJ131" s="35"/>
      <c r="BK131" s="35"/>
      <c r="BL131" s="35"/>
      <c r="BM131" s="35"/>
      <c r="BN131" s="35"/>
      <c r="BO131" s="35"/>
      <c r="BP131" s="35"/>
      <c r="BQ131" s="35"/>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row>
    <row r="132" spans="1:114" ht="16.5" customHeight="1" x14ac:dyDescent="0.25">
      <c r="A132" s="62" t="s">
        <v>178</v>
      </c>
      <c r="B132" s="154"/>
      <c r="C132" s="159" t="str">
        <f>IF('P(M)'!$D$17=5,"●","○")</f>
        <v>○</v>
      </c>
      <c r="D132" s="62" t="s">
        <v>20</v>
      </c>
      <c r="E132" s="64">
        <f>'P(M)'!AO57</f>
        <v>10548</v>
      </c>
      <c r="F132" s="104">
        <f>E132*$M$6</f>
        <v>263700</v>
      </c>
      <c r="G132" s="62" t="s">
        <v>20</v>
      </c>
      <c r="H132" s="64">
        <f>'P(M)'!AU57</f>
        <v>5400</v>
      </c>
      <c r="I132" s="104">
        <f>H132*$M$6</f>
        <v>135000</v>
      </c>
      <c r="J132" s="104">
        <f t="shared" si="9"/>
        <v>398700</v>
      </c>
      <c r="K132" s="39">
        <f>'P(M)'!AY57</f>
        <v>80000</v>
      </c>
      <c r="L132" s="104">
        <f t="shared" si="10"/>
        <v>478700</v>
      </c>
      <c r="M132" s="68" t="s">
        <v>8</v>
      </c>
      <c r="N132" s="129" t="str">
        <f t="shared" si="8"/>
        <v/>
      </c>
      <c r="O132" s="35"/>
      <c r="P132" s="35"/>
      <c r="Q132" s="35"/>
      <c r="R132" s="35"/>
      <c r="S132" s="35"/>
      <c r="T132" s="35"/>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c r="AS132" s="35"/>
      <c r="AT132" s="35"/>
      <c r="AU132" s="35"/>
      <c r="AV132" s="35"/>
      <c r="AW132" s="35"/>
      <c r="AX132" s="35"/>
      <c r="AY132" s="35"/>
      <c r="AZ132" s="35"/>
      <c r="BA132" s="35"/>
      <c r="BB132" s="35"/>
      <c r="BC132" s="35"/>
      <c r="BD132" s="35"/>
      <c r="BE132" s="35"/>
      <c r="BF132" s="35"/>
      <c r="BG132" s="35"/>
      <c r="BH132" s="35"/>
      <c r="BI132" s="35"/>
      <c r="BJ132" s="35"/>
      <c r="BK132" s="35"/>
      <c r="BL132" s="35"/>
      <c r="BM132" s="35"/>
      <c r="BN132" s="35"/>
      <c r="BO132" s="35"/>
      <c r="BP132" s="35"/>
      <c r="BQ132" s="35"/>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c r="DD132" s="35"/>
      <c r="DE132" s="35"/>
      <c r="DF132" s="35"/>
      <c r="DG132" s="35"/>
      <c r="DH132" s="35"/>
      <c r="DI132" s="35"/>
      <c r="DJ132" s="35"/>
    </row>
    <row r="133" spans="1:114" ht="16.5" customHeight="1" x14ac:dyDescent="0.25">
      <c r="A133" s="161" t="s">
        <v>181</v>
      </c>
      <c r="B133" s="154"/>
      <c r="C133" s="164" t="str">
        <f>IF('P(M)'!$D$17=6,"●","○")</f>
        <v>○</v>
      </c>
      <c r="D133" s="62" t="s">
        <v>23</v>
      </c>
      <c r="E133" s="64">
        <f>'P(M)'!AO58</f>
        <v>24150</v>
      </c>
      <c r="F133" s="104">
        <f>E133*$M$8</f>
        <v>200445.00000000003</v>
      </c>
      <c r="G133" s="62" t="s">
        <v>23</v>
      </c>
      <c r="H133" s="64">
        <f>'P(M)'!AU58</f>
        <v>5125</v>
      </c>
      <c r="I133" s="104">
        <f>H133*$M$8</f>
        <v>42537.500000000007</v>
      </c>
      <c r="J133" s="104">
        <f>F133+I133</f>
        <v>242982.50000000003</v>
      </c>
      <c r="K133" s="39">
        <f>'P(M)'!AY58</f>
        <v>95000</v>
      </c>
      <c r="L133" s="104">
        <f>J133+K133</f>
        <v>337982.5</v>
      </c>
      <c r="M133" s="179" t="s">
        <v>11</v>
      </c>
      <c r="N133" s="129" t="str">
        <f t="shared" si="8"/>
        <v/>
      </c>
      <c r="O133" s="35"/>
      <c r="P133" s="35"/>
      <c r="Q133" s="35"/>
      <c r="R133" s="35"/>
      <c r="S133" s="35"/>
      <c r="T133" s="35"/>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c r="AS133" s="35"/>
      <c r="AT133" s="35"/>
      <c r="AU133" s="35"/>
      <c r="AV133" s="35"/>
      <c r="AW133" s="35"/>
      <c r="AX133" s="35"/>
      <c r="AY133" s="35"/>
      <c r="AZ133" s="35"/>
      <c r="BA133" s="35"/>
      <c r="BB133" s="35"/>
      <c r="BC133" s="35"/>
      <c r="BD133" s="35"/>
      <c r="BE133" s="35"/>
      <c r="BF133" s="35"/>
      <c r="BG133" s="35"/>
      <c r="BH133" s="35"/>
      <c r="BI133" s="35"/>
      <c r="BJ133" s="35"/>
      <c r="BK133" s="35"/>
      <c r="BL133" s="35"/>
      <c r="BM133" s="35"/>
      <c r="BN133" s="35"/>
      <c r="BO133" s="35"/>
      <c r="BP133" s="35"/>
      <c r="BQ133" s="35"/>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c r="DD133" s="35"/>
      <c r="DE133" s="35"/>
      <c r="DF133" s="35"/>
      <c r="DG133" s="35"/>
      <c r="DH133" s="35"/>
      <c r="DI133" s="35"/>
      <c r="DJ133" s="35"/>
    </row>
    <row r="134" spans="1:114" ht="16.5" customHeight="1" x14ac:dyDescent="0.25">
      <c r="A134" s="162"/>
      <c r="B134" s="154"/>
      <c r="C134" s="165"/>
      <c r="D134" s="62" t="s">
        <v>23</v>
      </c>
      <c r="E134" s="64">
        <f>'P(M)'!AO59</f>
        <v>0</v>
      </c>
      <c r="F134" s="104">
        <f>E134*$M$8</f>
        <v>0</v>
      </c>
      <c r="G134" s="62" t="s">
        <v>23</v>
      </c>
      <c r="H134" s="64">
        <f>'P(M)'!AU59</f>
        <v>0</v>
      </c>
      <c r="I134" s="104">
        <f>H134*$M$8</f>
        <v>0</v>
      </c>
      <c r="J134" s="104">
        <f>F134+I134</f>
        <v>0</v>
      </c>
      <c r="K134" s="39">
        <f>'P(M)'!AY59</f>
        <v>0</v>
      </c>
      <c r="L134" s="104">
        <f>J134+K134</f>
        <v>0</v>
      </c>
      <c r="M134" s="180"/>
      <c r="N134" s="129" t="str">
        <f t="shared" si="8"/>
        <v/>
      </c>
      <c r="O134" s="35"/>
      <c r="P134" s="35"/>
      <c r="Q134" s="35"/>
      <c r="R134" s="35"/>
      <c r="S134" s="35"/>
      <c r="T134" s="35"/>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c r="AS134" s="35"/>
      <c r="AT134" s="35"/>
      <c r="AU134" s="35"/>
      <c r="AV134" s="35"/>
      <c r="AW134" s="35"/>
      <c r="AX134" s="35"/>
      <c r="AY134" s="35"/>
      <c r="AZ134" s="35"/>
      <c r="BA134" s="35"/>
      <c r="BB134" s="35"/>
      <c r="BC134" s="35"/>
      <c r="BD134" s="35"/>
      <c r="BE134" s="35"/>
      <c r="BF134" s="35"/>
      <c r="BG134" s="35"/>
      <c r="BH134" s="35"/>
      <c r="BI134" s="35"/>
      <c r="BJ134" s="35"/>
      <c r="BK134" s="35"/>
      <c r="BL134" s="35"/>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c r="DD134" s="35"/>
      <c r="DE134" s="35"/>
      <c r="DF134" s="35"/>
      <c r="DG134" s="35"/>
      <c r="DH134" s="35"/>
      <c r="DI134" s="35"/>
      <c r="DJ134" s="35"/>
    </row>
    <row r="135" spans="1:114" ht="16.5" customHeight="1" x14ac:dyDescent="0.25">
      <c r="A135" s="68" t="s">
        <v>146</v>
      </c>
      <c r="B135" s="154"/>
      <c r="C135" s="159" t="str">
        <f>IF('P(M)'!$D$17=7,"●","○")</f>
        <v>○</v>
      </c>
      <c r="D135" s="62" t="s">
        <v>16</v>
      </c>
      <c r="E135" s="64">
        <f>'P(M)'!AO60</f>
        <v>0</v>
      </c>
      <c r="F135" s="104">
        <f>E135*$K$5</f>
        <v>0</v>
      </c>
      <c r="G135" s="62" t="s">
        <v>16</v>
      </c>
      <c r="H135" s="64">
        <f>'P(M)'!AU60</f>
        <v>0</v>
      </c>
      <c r="I135" s="104">
        <f>H135*$K$5</f>
        <v>0</v>
      </c>
      <c r="J135" s="104">
        <f t="shared" si="9"/>
        <v>0</v>
      </c>
      <c r="K135" s="39">
        <f>'P(M)'!AY60</f>
        <v>0</v>
      </c>
      <c r="L135" s="104">
        <f t="shared" si="10"/>
        <v>0</v>
      </c>
      <c r="M135" s="68" t="s">
        <v>146</v>
      </c>
      <c r="N135" s="129" t="str">
        <f t="shared" si="8"/>
        <v/>
      </c>
      <c r="O135" s="35"/>
      <c r="P135" s="35"/>
      <c r="Q135" s="35"/>
      <c r="R135" s="35"/>
      <c r="S135" s="35"/>
      <c r="T135" s="35"/>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c r="AS135" s="35"/>
      <c r="AT135" s="35"/>
      <c r="AU135" s="35"/>
      <c r="AV135" s="35"/>
      <c r="AW135" s="35"/>
      <c r="AX135" s="35"/>
      <c r="AY135" s="35"/>
      <c r="AZ135" s="35"/>
      <c r="BA135" s="35"/>
      <c r="BB135" s="35"/>
      <c r="BC135" s="35"/>
      <c r="BD135" s="35"/>
      <c r="BE135" s="35"/>
      <c r="BF135" s="35"/>
      <c r="BG135" s="35"/>
      <c r="BH135" s="35"/>
      <c r="BI135" s="35"/>
      <c r="BJ135" s="35"/>
      <c r="BK135" s="35"/>
      <c r="BL135" s="35"/>
      <c r="BM135" s="35"/>
      <c r="BN135" s="35"/>
      <c r="BO135" s="35"/>
      <c r="BP135" s="35"/>
      <c r="BQ135" s="35"/>
      <c r="BR135" s="35"/>
      <c r="BS135" s="35"/>
      <c r="BT135" s="35"/>
      <c r="BU135" s="35"/>
      <c r="BV135" s="35"/>
      <c r="BW135" s="35"/>
      <c r="BX135" s="35"/>
      <c r="BY135" s="35"/>
      <c r="BZ135" s="35"/>
      <c r="CA135" s="35"/>
      <c r="CB135" s="35"/>
      <c r="CC135" s="35"/>
      <c r="CD135" s="35"/>
      <c r="CE135" s="35"/>
      <c r="CF135" s="35"/>
      <c r="CG135" s="35"/>
      <c r="CH135" s="35"/>
      <c r="CI135" s="35"/>
      <c r="CJ135" s="35"/>
      <c r="CK135" s="35"/>
      <c r="CL135" s="35"/>
      <c r="CM135" s="35"/>
      <c r="CN135" s="35"/>
      <c r="CO135" s="35"/>
      <c r="CP135" s="35"/>
      <c r="CQ135" s="35"/>
      <c r="CR135" s="35"/>
      <c r="CS135" s="35"/>
      <c r="CT135" s="35"/>
      <c r="CU135" s="35"/>
      <c r="CV135" s="35"/>
      <c r="CW135" s="35"/>
      <c r="CX135" s="35"/>
      <c r="CY135" s="35"/>
      <c r="CZ135" s="35"/>
      <c r="DA135" s="35"/>
      <c r="DB135" s="35"/>
      <c r="DC135" s="35"/>
      <c r="DD135" s="35"/>
      <c r="DE135" s="35"/>
      <c r="DF135" s="35"/>
      <c r="DG135" s="35"/>
      <c r="DH135" s="35"/>
      <c r="DI135" s="35"/>
      <c r="DJ135" s="35"/>
    </row>
    <row r="136" spans="1:114" ht="16.5" customHeight="1" x14ac:dyDescent="0.25">
      <c r="A136" s="161" t="s">
        <v>182</v>
      </c>
      <c r="B136" s="154"/>
      <c r="C136" s="164"/>
      <c r="D136" s="62" t="s">
        <v>16</v>
      </c>
      <c r="E136" s="64">
        <f>'P(M)'!AO61</f>
        <v>0</v>
      </c>
      <c r="F136" s="104">
        <f>E136*$K$5</f>
        <v>0</v>
      </c>
      <c r="G136" s="62" t="s">
        <v>16</v>
      </c>
      <c r="H136" s="64">
        <f>'P(M)'!AU61</f>
        <v>0</v>
      </c>
      <c r="I136" s="104">
        <f>H136*$K$5</f>
        <v>0</v>
      </c>
      <c r="J136" s="104">
        <f>F136+I136</f>
        <v>0</v>
      </c>
      <c r="K136" s="39">
        <f>'P(M)'!AY61</f>
        <v>0</v>
      </c>
      <c r="L136" s="104">
        <f>J136+K136</f>
        <v>0</v>
      </c>
      <c r="M136" s="179" t="s">
        <v>131</v>
      </c>
      <c r="N136" s="129" t="str">
        <f t="shared" si="8"/>
        <v/>
      </c>
      <c r="O136" s="35"/>
      <c r="P136" s="35"/>
      <c r="Q136" s="35"/>
      <c r="R136" s="35"/>
      <c r="S136" s="35"/>
      <c r="T136" s="35"/>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c r="AS136" s="35"/>
      <c r="AT136" s="35"/>
      <c r="AU136" s="35"/>
      <c r="AV136" s="35"/>
      <c r="AW136" s="35"/>
      <c r="AX136" s="35"/>
      <c r="AY136" s="35"/>
      <c r="AZ136" s="35"/>
      <c r="BA136" s="35"/>
      <c r="BB136" s="35"/>
      <c r="BC136" s="35"/>
      <c r="BD136" s="35"/>
      <c r="BE136" s="35"/>
      <c r="BF136" s="35"/>
      <c r="BG136" s="35"/>
      <c r="BH136" s="35"/>
      <c r="BI136" s="35"/>
      <c r="BJ136" s="35"/>
      <c r="BK136" s="35"/>
      <c r="BL136" s="35"/>
      <c r="BM136" s="35"/>
      <c r="BN136" s="35"/>
      <c r="BO136" s="35"/>
      <c r="BP136" s="35"/>
      <c r="BQ136" s="35"/>
      <c r="BR136" s="35"/>
      <c r="BS136" s="35"/>
      <c r="BT136" s="35"/>
      <c r="BU136" s="35"/>
      <c r="BV136" s="35"/>
      <c r="BW136" s="35"/>
      <c r="BX136" s="35"/>
      <c r="BY136" s="35"/>
      <c r="BZ136" s="35"/>
      <c r="CA136" s="35"/>
      <c r="CB136" s="35"/>
      <c r="CC136" s="35"/>
      <c r="CD136" s="35"/>
      <c r="CE136" s="35"/>
      <c r="CF136" s="35"/>
      <c r="CG136" s="35"/>
      <c r="CH136" s="35"/>
      <c r="CI136" s="35"/>
      <c r="CJ136" s="35"/>
      <c r="CK136" s="35"/>
      <c r="CL136" s="35"/>
      <c r="CM136" s="35"/>
      <c r="CN136" s="35"/>
      <c r="CO136" s="35"/>
      <c r="CP136" s="35"/>
      <c r="CQ136" s="35"/>
      <c r="CR136" s="35"/>
      <c r="CS136" s="35"/>
      <c r="CT136" s="35"/>
      <c r="CU136" s="35"/>
      <c r="CV136" s="35"/>
      <c r="CW136" s="35"/>
      <c r="CX136" s="35"/>
      <c r="CY136" s="35"/>
      <c r="CZ136" s="35"/>
      <c r="DA136" s="35"/>
      <c r="DB136" s="35"/>
      <c r="DC136" s="35"/>
      <c r="DD136" s="35"/>
      <c r="DE136" s="35"/>
      <c r="DF136" s="35"/>
      <c r="DG136" s="35"/>
      <c r="DH136" s="35"/>
      <c r="DI136" s="35"/>
      <c r="DJ136" s="35"/>
    </row>
    <row r="137" spans="1:114" ht="16.5" customHeight="1" x14ac:dyDescent="0.25">
      <c r="A137" s="162"/>
      <c r="B137" s="154"/>
      <c r="C137" s="165"/>
      <c r="D137" s="62" t="s">
        <v>16</v>
      </c>
      <c r="E137" s="64">
        <f>'P(M)'!AO62</f>
        <v>0</v>
      </c>
      <c r="F137" s="104">
        <f>E137*$K$5</f>
        <v>0</v>
      </c>
      <c r="G137" s="62" t="s">
        <v>16</v>
      </c>
      <c r="H137" s="64">
        <f>'P(M)'!AU62</f>
        <v>0</v>
      </c>
      <c r="I137" s="104">
        <f>H137*$K$5</f>
        <v>0</v>
      </c>
      <c r="J137" s="104">
        <f>F137+I137</f>
        <v>0</v>
      </c>
      <c r="K137" s="39">
        <f>'P(M)'!AY62</f>
        <v>0</v>
      </c>
      <c r="L137" s="104">
        <f>J137+K137</f>
        <v>0</v>
      </c>
      <c r="M137" s="180"/>
      <c r="N137" s="129" t="str">
        <f t="shared" si="8"/>
        <v/>
      </c>
      <c r="Z137" s="35"/>
      <c r="AA137" s="35"/>
      <c r="AB137" s="35"/>
      <c r="AC137" s="35"/>
      <c r="AD137" s="35"/>
      <c r="AE137" s="35"/>
      <c r="AF137" s="35"/>
      <c r="AG137" s="35"/>
      <c r="AH137" s="35"/>
      <c r="AI137" s="35"/>
      <c r="AJ137" s="35"/>
      <c r="AK137" s="35"/>
      <c r="AL137" s="35"/>
      <c r="AM137" s="35"/>
      <c r="AN137" s="35"/>
      <c r="AO137" s="35"/>
      <c r="AP137" s="35"/>
      <c r="AQ137" s="35"/>
      <c r="AR137" s="35"/>
      <c r="AS137" s="35"/>
      <c r="AT137" s="35"/>
      <c r="AU137" s="35"/>
      <c r="AV137" s="35"/>
      <c r="AW137" s="35"/>
      <c r="AX137" s="35"/>
      <c r="AY137" s="35"/>
      <c r="AZ137" s="35"/>
      <c r="BA137" s="35"/>
      <c r="BB137" s="35"/>
      <c r="BC137" s="35"/>
      <c r="BD137" s="35"/>
      <c r="BE137" s="35"/>
      <c r="BF137" s="35"/>
      <c r="BG137" s="35"/>
      <c r="BH137" s="35"/>
      <c r="BI137" s="35"/>
      <c r="BJ137" s="35"/>
      <c r="BK137" s="35"/>
      <c r="BL137" s="35"/>
      <c r="BM137" s="35"/>
      <c r="BN137" s="35"/>
      <c r="BO137" s="35"/>
      <c r="BP137" s="35"/>
      <c r="BQ137" s="35"/>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c r="DD137" s="35"/>
      <c r="DE137" s="35"/>
      <c r="DF137" s="35"/>
      <c r="DG137" s="35"/>
      <c r="DH137" s="35"/>
      <c r="DI137" s="35"/>
      <c r="DJ137" s="35"/>
    </row>
    <row r="138" spans="1:114" ht="16.5" customHeight="1" x14ac:dyDescent="0.25">
      <c r="A138" s="161" t="s">
        <v>179</v>
      </c>
      <c r="B138" s="154"/>
      <c r="C138" s="164"/>
      <c r="D138" s="62" t="s">
        <v>21</v>
      </c>
      <c r="E138" s="64">
        <f>'P(M)'!AO63</f>
        <v>0</v>
      </c>
      <c r="F138" s="104">
        <f>E138*$M$7</f>
        <v>0</v>
      </c>
      <c r="G138" s="62" t="s">
        <v>16</v>
      </c>
      <c r="H138" s="64">
        <f>'P(M)'!AU63</f>
        <v>0</v>
      </c>
      <c r="I138" s="104">
        <f>H138*$K$5</f>
        <v>0</v>
      </c>
      <c r="J138" s="104">
        <f t="shared" si="9"/>
        <v>0</v>
      </c>
      <c r="K138" s="39">
        <f>'P(M)'!AY63</f>
        <v>0</v>
      </c>
      <c r="L138" s="104">
        <f t="shared" si="10"/>
        <v>0</v>
      </c>
      <c r="M138" s="179" t="s">
        <v>9</v>
      </c>
      <c r="N138" s="129" t="str">
        <f t="shared" si="8"/>
        <v/>
      </c>
      <c r="O138" s="35"/>
      <c r="P138" s="35"/>
      <c r="Q138" s="35"/>
      <c r="R138" s="35"/>
      <c r="S138" s="35"/>
      <c r="T138" s="35"/>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c r="AS138" s="35"/>
      <c r="AT138" s="35"/>
      <c r="AU138" s="35"/>
      <c r="AV138" s="35"/>
      <c r="AW138" s="35"/>
      <c r="AX138" s="35"/>
      <c r="AY138" s="35"/>
      <c r="AZ138" s="35"/>
      <c r="BA138" s="35"/>
      <c r="BB138" s="35"/>
      <c r="BC138" s="35"/>
      <c r="BD138" s="35"/>
      <c r="BE138" s="35"/>
      <c r="BF138" s="35"/>
      <c r="BG138" s="35"/>
      <c r="BH138" s="35"/>
      <c r="BI138" s="35"/>
      <c r="BJ138" s="35"/>
      <c r="BK138" s="35"/>
      <c r="BL138" s="35"/>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35"/>
      <c r="CY138" s="35"/>
      <c r="CZ138" s="35"/>
      <c r="DA138" s="35"/>
      <c r="DB138" s="35"/>
      <c r="DC138" s="35"/>
      <c r="DD138" s="35"/>
      <c r="DE138" s="35"/>
      <c r="DF138" s="35"/>
      <c r="DG138" s="35"/>
      <c r="DH138" s="35"/>
      <c r="DI138" s="35"/>
      <c r="DJ138" s="35"/>
    </row>
    <row r="139" spans="1:114" ht="16.5" customHeight="1" x14ac:dyDescent="0.25">
      <c r="A139" s="162"/>
      <c r="B139" s="154"/>
      <c r="C139" s="165"/>
      <c r="D139" s="62" t="s">
        <v>21</v>
      </c>
      <c r="E139" s="64">
        <f>'P(M)'!AO64</f>
        <v>0</v>
      </c>
      <c r="F139" s="104">
        <f>E139*$M$7</f>
        <v>0</v>
      </c>
      <c r="G139" s="62" t="s">
        <v>16</v>
      </c>
      <c r="H139" s="64">
        <f>'P(M)'!AU64</f>
        <v>0</v>
      </c>
      <c r="I139" s="104">
        <f>H139*$K$5</f>
        <v>0</v>
      </c>
      <c r="J139" s="104">
        <f t="shared" si="9"/>
        <v>0</v>
      </c>
      <c r="K139" s="39">
        <f>'P(M)'!AY64</f>
        <v>0</v>
      </c>
      <c r="L139" s="104">
        <f t="shared" si="10"/>
        <v>0</v>
      </c>
      <c r="M139" s="180"/>
      <c r="N139" s="129" t="str">
        <f t="shared" si="8"/>
        <v/>
      </c>
      <c r="O139" s="35"/>
      <c r="P139" s="35"/>
      <c r="Q139" s="35"/>
      <c r="R139" s="35"/>
      <c r="S139" s="35"/>
      <c r="T139" s="35"/>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c r="AS139" s="35"/>
      <c r="AT139" s="35"/>
      <c r="AU139" s="35"/>
      <c r="AV139" s="35"/>
      <c r="AW139" s="35"/>
      <c r="AX139" s="35"/>
      <c r="AY139" s="35"/>
      <c r="AZ139" s="35"/>
      <c r="BA139" s="35"/>
      <c r="BB139" s="35"/>
      <c r="BC139" s="35"/>
      <c r="BD139" s="35"/>
      <c r="BE139" s="35"/>
      <c r="BF139" s="35"/>
      <c r="BG139" s="35"/>
      <c r="BH139" s="35"/>
      <c r="BI139" s="35"/>
      <c r="BJ139" s="35"/>
      <c r="BK139" s="35"/>
      <c r="BL139" s="35"/>
      <c r="BM139" s="35"/>
      <c r="BN139" s="35"/>
      <c r="BO139" s="35"/>
      <c r="BP139" s="35"/>
      <c r="BQ139" s="35"/>
      <c r="BR139" s="35"/>
      <c r="BS139" s="35"/>
      <c r="BT139" s="35"/>
      <c r="BU139" s="35"/>
      <c r="BV139" s="35"/>
      <c r="BW139" s="35"/>
      <c r="BX139" s="35"/>
      <c r="BY139" s="35"/>
      <c r="BZ139" s="35"/>
      <c r="CA139" s="35"/>
      <c r="CB139" s="35"/>
      <c r="CC139" s="35"/>
      <c r="CD139" s="35"/>
      <c r="CE139" s="35"/>
      <c r="CF139" s="35"/>
      <c r="CG139" s="35"/>
      <c r="CH139" s="35"/>
      <c r="CI139" s="35"/>
      <c r="CJ139" s="35"/>
      <c r="CK139" s="35"/>
      <c r="CL139" s="35"/>
      <c r="CM139" s="35"/>
      <c r="CN139" s="35"/>
      <c r="CO139" s="35"/>
      <c r="CP139" s="35"/>
      <c r="CQ139" s="35"/>
      <c r="CR139" s="35"/>
      <c r="CS139" s="35"/>
      <c r="CT139" s="35"/>
      <c r="CU139" s="35"/>
      <c r="CV139" s="35"/>
      <c r="CW139" s="35"/>
      <c r="CX139" s="35"/>
      <c r="CY139" s="35"/>
      <c r="CZ139" s="35"/>
      <c r="DA139" s="35"/>
      <c r="DB139" s="35"/>
      <c r="DC139" s="35"/>
      <c r="DD139" s="35"/>
      <c r="DE139" s="35"/>
      <c r="DF139" s="35"/>
      <c r="DG139" s="35"/>
      <c r="DH139" s="35"/>
      <c r="DI139" s="35"/>
      <c r="DJ139" s="35"/>
    </row>
    <row r="140" spans="1:114" ht="16.5" customHeight="1" x14ac:dyDescent="0.25">
      <c r="A140" s="161" t="s">
        <v>180</v>
      </c>
      <c r="B140" s="154"/>
      <c r="C140" s="164"/>
      <c r="D140" s="62" t="s">
        <v>22</v>
      </c>
      <c r="E140" s="64">
        <f>'P(M)'!AO65</f>
        <v>0</v>
      </c>
      <c r="F140" s="104">
        <f>E140*$K$9</f>
        <v>0</v>
      </c>
      <c r="G140" s="62" t="s">
        <v>22</v>
      </c>
      <c r="H140" s="64">
        <f>'P(M)'!AU65</f>
        <v>0</v>
      </c>
      <c r="I140" s="104">
        <f>H140*$K$9</f>
        <v>0</v>
      </c>
      <c r="J140" s="104">
        <f t="shared" si="9"/>
        <v>0</v>
      </c>
      <c r="K140" s="39">
        <f>'P(M)'!AY65</f>
        <v>0</v>
      </c>
      <c r="L140" s="104">
        <f t="shared" si="10"/>
        <v>0</v>
      </c>
      <c r="M140" s="179" t="s">
        <v>10</v>
      </c>
      <c r="N140" s="129" t="str">
        <f t="shared" si="8"/>
        <v/>
      </c>
      <c r="O140" s="35"/>
      <c r="P140" s="35"/>
      <c r="Q140" s="35"/>
      <c r="R140" s="35"/>
      <c r="S140" s="35"/>
      <c r="T140" s="35"/>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c r="AS140" s="35"/>
      <c r="AT140" s="35"/>
      <c r="AU140" s="35"/>
      <c r="AV140" s="35"/>
      <c r="AW140" s="35"/>
      <c r="AX140" s="35"/>
      <c r="AY140" s="35"/>
      <c r="AZ140" s="35"/>
      <c r="BA140" s="35"/>
      <c r="BB140" s="35"/>
      <c r="BC140" s="35"/>
      <c r="BD140" s="35"/>
      <c r="BE140" s="35"/>
      <c r="BF140" s="35"/>
      <c r="BG140" s="35"/>
      <c r="BH140" s="35"/>
      <c r="BI140" s="35"/>
      <c r="BJ140" s="35"/>
      <c r="BK140" s="35"/>
      <c r="BL140" s="35"/>
      <c r="BM140" s="35"/>
      <c r="BN140" s="35"/>
      <c r="BO140" s="35"/>
      <c r="BP140" s="35"/>
      <c r="BQ140" s="35"/>
      <c r="BR140" s="35"/>
      <c r="BS140" s="35"/>
      <c r="BT140" s="35"/>
      <c r="BU140" s="35"/>
      <c r="BV140" s="35"/>
      <c r="BW140" s="35"/>
      <c r="BX140" s="35"/>
      <c r="BY140" s="35"/>
      <c r="BZ140" s="35"/>
      <c r="CA140" s="35"/>
      <c r="CB140" s="35"/>
      <c r="CC140" s="35"/>
      <c r="CD140" s="35"/>
      <c r="CE140" s="35"/>
      <c r="CF140" s="35"/>
      <c r="CG140" s="35"/>
      <c r="CH140" s="35"/>
      <c r="CI140" s="35"/>
      <c r="CJ140" s="35"/>
      <c r="CK140" s="35"/>
      <c r="CL140" s="35"/>
      <c r="CM140" s="35"/>
      <c r="CN140" s="35"/>
      <c r="CO140" s="35"/>
      <c r="CP140" s="35"/>
      <c r="CQ140" s="35"/>
      <c r="CR140" s="35"/>
      <c r="CS140" s="35"/>
      <c r="CT140" s="35"/>
      <c r="CU140" s="35"/>
      <c r="CV140" s="35"/>
      <c r="CW140" s="35"/>
      <c r="CX140" s="35"/>
      <c r="CY140" s="35"/>
      <c r="CZ140" s="35"/>
      <c r="DA140" s="35"/>
      <c r="DB140" s="35"/>
      <c r="DC140" s="35"/>
      <c r="DD140" s="35"/>
      <c r="DE140" s="35"/>
      <c r="DF140" s="35"/>
      <c r="DG140" s="35"/>
      <c r="DH140" s="35"/>
      <c r="DI140" s="35"/>
      <c r="DJ140" s="35"/>
    </row>
    <row r="141" spans="1:114" ht="16.5" customHeight="1" x14ac:dyDescent="0.25">
      <c r="A141" s="162"/>
      <c r="B141" s="154"/>
      <c r="C141" s="165"/>
      <c r="D141" s="62" t="s">
        <v>22</v>
      </c>
      <c r="E141" s="64">
        <f>'P(M)'!AO66</f>
        <v>0</v>
      </c>
      <c r="F141" s="104">
        <f>E141*$K$9</f>
        <v>0</v>
      </c>
      <c r="G141" s="62" t="s">
        <v>22</v>
      </c>
      <c r="H141" s="64">
        <f>'P(M)'!AU66</f>
        <v>0</v>
      </c>
      <c r="I141" s="104">
        <f>H141*$K$9</f>
        <v>0</v>
      </c>
      <c r="J141" s="104">
        <f t="shared" si="9"/>
        <v>0</v>
      </c>
      <c r="K141" s="39">
        <f>'P(M)'!AY66</f>
        <v>0</v>
      </c>
      <c r="L141" s="104">
        <f t="shared" si="10"/>
        <v>0</v>
      </c>
      <c r="M141" s="180"/>
      <c r="N141" s="129" t="str">
        <f t="shared" si="8"/>
        <v/>
      </c>
      <c r="O141" s="35"/>
      <c r="P141" s="35"/>
      <c r="Q141" s="35"/>
      <c r="R141" s="35"/>
      <c r="S141" s="35"/>
      <c r="T141" s="35"/>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c r="AS141" s="35"/>
      <c r="AT141" s="35"/>
      <c r="AU141" s="35"/>
      <c r="AV141" s="35"/>
      <c r="AW141" s="35"/>
      <c r="AX141" s="35"/>
      <c r="AY141" s="35"/>
      <c r="AZ141" s="35"/>
      <c r="BA141" s="35"/>
      <c r="BB141" s="35"/>
      <c r="BC141" s="35"/>
      <c r="BD141" s="35"/>
      <c r="BE141" s="35"/>
      <c r="BF141" s="35"/>
      <c r="BG141" s="35"/>
      <c r="BH141" s="35"/>
      <c r="BI141" s="35"/>
      <c r="BJ141" s="35"/>
      <c r="BK141" s="35"/>
      <c r="BL141" s="35"/>
      <c r="BM141" s="35"/>
      <c r="BN141" s="35"/>
      <c r="BO141" s="35"/>
      <c r="BP141" s="35"/>
      <c r="BQ141" s="35"/>
      <c r="BR141" s="35"/>
      <c r="BS141" s="35"/>
      <c r="BT141" s="35"/>
      <c r="BU141" s="35"/>
      <c r="BV141" s="35"/>
      <c r="BW141" s="35"/>
      <c r="BX141" s="35"/>
      <c r="BY141" s="35"/>
      <c r="BZ141" s="35"/>
      <c r="CA141" s="35"/>
      <c r="CB141" s="35"/>
      <c r="CC141" s="35"/>
      <c r="CD141" s="35"/>
      <c r="CE141" s="35"/>
      <c r="CF141" s="35"/>
      <c r="CG141" s="35"/>
      <c r="CH141" s="35"/>
      <c r="CI141" s="35"/>
      <c r="CJ141" s="35"/>
      <c r="CK141" s="35"/>
      <c r="CL141" s="35"/>
      <c r="CM141" s="35"/>
      <c r="CN141" s="35"/>
      <c r="CO141" s="35"/>
      <c r="CP141" s="35"/>
      <c r="CQ141" s="35"/>
      <c r="CR141" s="35"/>
      <c r="CS141" s="35"/>
      <c r="CT141" s="35"/>
      <c r="CU141" s="35"/>
      <c r="CV141" s="35"/>
      <c r="CW141" s="35"/>
      <c r="CX141" s="35"/>
      <c r="CY141" s="35"/>
      <c r="CZ141" s="35"/>
      <c r="DA141" s="35"/>
      <c r="DB141" s="35"/>
      <c r="DC141" s="35"/>
      <c r="DD141" s="35"/>
      <c r="DE141" s="35"/>
      <c r="DF141" s="35"/>
      <c r="DG141" s="35"/>
      <c r="DH141" s="35"/>
      <c r="DI141" s="35"/>
      <c r="DJ141" s="35"/>
    </row>
    <row r="142" spans="1:114" ht="18.75" x14ac:dyDescent="0.25">
      <c r="A142" s="55"/>
      <c r="B142" s="55"/>
      <c r="C142" s="56"/>
      <c r="D142" s="55"/>
      <c r="E142" s="56" t="s">
        <v>183</v>
      </c>
      <c r="F142" s="57">
        <f>SUM(F121:F141)</f>
        <v>2872561.8449999997</v>
      </c>
      <c r="G142" s="55"/>
      <c r="H142" s="56" t="s">
        <v>183</v>
      </c>
      <c r="I142" s="58">
        <f>SUM(I121:I141)</f>
        <v>686718.82000000007</v>
      </c>
      <c r="J142" s="59">
        <f>SUM(J121:J141)</f>
        <v>3559280.665</v>
      </c>
      <c r="K142" s="60">
        <f>SUM(K121:K141)</f>
        <v>819000</v>
      </c>
      <c r="L142" s="63">
        <f>SUM(L121:L141)</f>
        <v>4378280.665</v>
      </c>
      <c r="M142" s="62"/>
      <c r="N142" s="129"/>
      <c r="O142" s="35"/>
      <c r="P142" s="35"/>
      <c r="Q142" s="35"/>
      <c r="R142" s="35"/>
      <c r="S142" s="35"/>
      <c r="T142" s="35"/>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c r="AS142" s="35"/>
      <c r="AT142" s="35"/>
      <c r="AU142" s="35"/>
      <c r="AV142" s="35"/>
      <c r="AW142" s="35"/>
      <c r="AX142" s="35"/>
      <c r="AY142" s="35"/>
      <c r="AZ142" s="35"/>
      <c r="BA142" s="35"/>
      <c r="BB142" s="35"/>
      <c r="BC142" s="35"/>
      <c r="BD142" s="35"/>
      <c r="BE142" s="35"/>
      <c r="BF142" s="35"/>
      <c r="BG142" s="35"/>
      <c r="BH142" s="35"/>
      <c r="BI142" s="35"/>
      <c r="BJ142" s="35"/>
      <c r="BK142" s="35"/>
      <c r="BL142" s="35"/>
      <c r="BM142" s="35"/>
      <c r="BN142" s="35"/>
      <c r="BO142" s="35"/>
      <c r="BP142" s="35"/>
      <c r="BQ142" s="35"/>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c r="DD142" s="35"/>
      <c r="DE142" s="35"/>
      <c r="DF142" s="35"/>
      <c r="DG142" s="35"/>
      <c r="DH142" s="35"/>
      <c r="DI142" s="35"/>
      <c r="DJ142" s="35"/>
    </row>
    <row r="143" spans="1:114" ht="20.100000000000001" customHeight="1" x14ac:dyDescent="0.25">
      <c r="A143" s="169" t="s">
        <v>298</v>
      </c>
      <c r="B143" s="170"/>
      <c r="C143" s="173"/>
      <c r="D143" s="174"/>
      <c r="E143" s="174"/>
      <c r="F143" s="174"/>
      <c r="G143" s="174"/>
      <c r="H143" s="174"/>
      <c r="I143" s="174"/>
      <c r="J143" s="174"/>
      <c r="K143" s="174"/>
      <c r="L143" s="174"/>
      <c r="M143" s="175"/>
      <c r="N143" s="35"/>
      <c r="O143" s="35"/>
      <c r="P143" s="35"/>
      <c r="Q143" s="35"/>
      <c r="R143" s="35"/>
      <c r="S143" s="35"/>
      <c r="T143" s="35"/>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c r="AS143" s="35"/>
      <c r="AT143" s="35"/>
      <c r="AU143" s="35"/>
      <c r="AV143" s="35"/>
      <c r="AW143" s="35"/>
      <c r="AX143" s="35"/>
      <c r="AY143" s="35"/>
      <c r="AZ143" s="35"/>
      <c r="BA143" s="35"/>
      <c r="BB143" s="35"/>
      <c r="BC143" s="35"/>
      <c r="BD143" s="35"/>
      <c r="BE143" s="35"/>
      <c r="BF143" s="35"/>
      <c r="BG143" s="35"/>
      <c r="BH143" s="35"/>
      <c r="BI143" s="35"/>
      <c r="BJ143" s="35"/>
      <c r="BK143" s="35"/>
      <c r="BL143" s="35"/>
      <c r="BM143" s="35"/>
      <c r="BN143" s="35"/>
      <c r="BO143" s="35"/>
      <c r="BP143" s="35"/>
      <c r="BQ143" s="35"/>
      <c r="BR143" s="35"/>
      <c r="BS143" s="35"/>
      <c r="BT143" s="35"/>
      <c r="BU143" s="35"/>
      <c r="BV143" s="35"/>
      <c r="BW143" s="35"/>
      <c r="BX143" s="35"/>
      <c r="BY143" s="35"/>
      <c r="BZ143" s="35"/>
      <c r="CA143" s="35"/>
      <c r="CB143" s="35"/>
      <c r="CC143" s="35"/>
      <c r="CD143" s="35"/>
      <c r="CE143" s="35"/>
      <c r="CF143" s="35"/>
      <c r="CG143" s="35"/>
      <c r="CH143" s="35"/>
      <c r="CI143" s="35"/>
      <c r="CJ143" s="35"/>
      <c r="CK143" s="35"/>
      <c r="CL143" s="35"/>
      <c r="CM143" s="35"/>
      <c r="CN143" s="35"/>
      <c r="CO143" s="35"/>
      <c r="CP143" s="35"/>
      <c r="CQ143" s="35"/>
      <c r="CR143" s="35"/>
      <c r="CS143" s="35"/>
      <c r="CT143" s="35"/>
      <c r="CU143" s="35"/>
      <c r="CV143" s="35"/>
      <c r="CW143" s="35"/>
      <c r="CX143" s="35"/>
      <c r="CY143" s="35"/>
      <c r="CZ143" s="35"/>
      <c r="DA143" s="35"/>
      <c r="DB143" s="35"/>
      <c r="DC143" s="35"/>
      <c r="DD143" s="35"/>
      <c r="DE143" s="35"/>
      <c r="DF143" s="35"/>
      <c r="DG143" s="35"/>
      <c r="DH143" s="35"/>
      <c r="DI143" s="35"/>
      <c r="DJ143" s="35"/>
    </row>
    <row r="144" spans="1:114" ht="20.100000000000001" customHeight="1" x14ac:dyDescent="0.25">
      <c r="A144" s="171"/>
      <c r="B144" s="172"/>
      <c r="C144" s="176"/>
      <c r="D144" s="177"/>
      <c r="E144" s="177"/>
      <c r="F144" s="177"/>
      <c r="G144" s="177"/>
      <c r="H144" s="177"/>
      <c r="I144" s="177"/>
      <c r="J144" s="177"/>
      <c r="K144" s="177"/>
      <c r="L144" s="177"/>
      <c r="M144" s="178"/>
      <c r="N144" s="35"/>
      <c r="O144" s="35"/>
      <c r="P144" s="35"/>
      <c r="Q144" s="35"/>
      <c r="R144" s="35"/>
      <c r="S144" s="35"/>
      <c r="T144" s="35"/>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c r="AS144" s="35"/>
      <c r="AT144" s="35"/>
      <c r="AU144" s="35"/>
      <c r="AV144" s="35"/>
      <c r="AW144" s="35"/>
      <c r="AX144" s="35"/>
      <c r="AY144" s="35"/>
      <c r="AZ144" s="35"/>
      <c r="BA144" s="35"/>
      <c r="BB144" s="35"/>
      <c r="BC144" s="35"/>
      <c r="BD144" s="35"/>
      <c r="BE144" s="35"/>
      <c r="BF144" s="35"/>
      <c r="BG144" s="35"/>
      <c r="BH144" s="35"/>
      <c r="BI144" s="35"/>
      <c r="BJ144" s="35"/>
      <c r="BK144" s="35"/>
      <c r="BL144" s="35"/>
      <c r="BM144" s="35"/>
      <c r="BN144" s="35"/>
      <c r="BO144" s="35"/>
      <c r="BP144" s="35"/>
      <c r="BQ144" s="35"/>
      <c r="BR144" s="35"/>
      <c r="BS144" s="35"/>
      <c r="BT144" s="35"/>
      <c r="BU144" s="35"/>
      <c r="BV144" s="35"/>
      <c r="BW144" s="35"/>
      <c r="BX144" s="35"/>
      <c r="BY144" s="35"/>
      <c r="BZ144" s="35"/>
      <c r="CA144" s="35"/>
      <c r="CB144" s="35"/>
      <c r="CC144" s="35"/>
      <c r="CD144" s="35"/>
      <c r="CE144" s="35"/>
      <c r="CF144" s="35"/>
      <c r="CG144" s="35"/>
      <c r="CH144" s="35"/>
      <c r="CI144" s="35"/>
      <c r="CJ144" s="35"/>
      <c r="CK144" s="35"/>
      <c r="CL144" s="35"/>
      <c r="CM144" s="35"/>
      <c r="CN144" s="35"/>
      <c r="CO144" s="35"/>
      <c r="CP144" s="35"/>
      <c r="CQ144" s="35"/>
      <c r="CR144" s="35"/>
      <c r="CS144" s="35"/>
      <c r="CT144" s="35"/>
      <c r="CU144" s="35"/>
      <c r="CV144" s="35"/>
      <c r="CW144" s="35"/>
      <c r="CX144" s="35"/>
      <c r="CY144" s="35"/>
      <c r="CZ144" s="35"/>
      <c r="DA144" s="35"/>
      <c r="DB144" s="35"/>
      <c r="DC144" s="35"/>
      <c r="DD144" s="35"/>
      <c r="DE144" s="35"/>
      <c r="DF144" s="35"/>
      <c r="DG144" s="35"/>
      <c r="DH144" s="35"/>
      <c r="DI144" s="35"/>
      <c r="DJ144" s="35"/>
    </row>
    <row r="145" spans="1:114" s="147" customFormat="1" ht="16.5" x14ac:dyDescent="0.25">
      <c r="A145" s="107" t="s">
        <v>291</v>
      </c>
      <c r="B145" s="107"/>
      <c r="C145" s="107"/>
      <c r="D145" s="107"/>
      <c r="E145" s="107"/>
      <c r="F145" s="107"/>
      <c r="G145" s="107"/>
      <c r="H145" s="107"/>
      <c r="I145" s="107"/>
      <c r="J145" s="107"/>
      <c r="K145" s="107"/>
      <c r="L145" s="107"/>
      <c r="M145" s="107"/>
      <c r="N145" s="146"/>
      <c r="Z145" s="146"/>
      <c r="AA145" s="146"/>
      <c r="AB145" s="146"/>
      <c r="AC145" s="146"/>
      <c r="AD145" s="146"/>
      <c r="AE145" s="146"/>
      <c r="AF145" s="146"/>
      <c r="AG145" s="146"/>
      <c r="AH145" s="146"/>
      <c r="AI145" s="146"/>
      <c r="AJ145" s="146"/>
      <c r="AK145" s="146"/>
      <c r="AL145" s="146"/>
      <c r="AM145" s="146"/>
      <c r="AN145" s="146"/>
      <c r="AO145" s="146"/>
      <c r="AP145" s="146"/>
      <c r="AQ145" s="146"/>
      <c r="AR145" s="146"/>
      <c r="AS145" s="146"/>
      <c r="AT145" s="146"/>
      <c r="AU145" s="146"/>
      <c r="AV145" s="146"/>
      <c r="AW145" s="146"/>
      <c r="AX145" s="146"/>
      <c r="AY145" s="146"/>
      <c r="AZ145" s="146"/>
      <c r="BA145" s="146"/>
      <c r="BB145" s="146"/>
      <c r="BC145" s="146"/>
      <c r="BD145" s="146"/>
      <c r="BE145" s="146"/>
      <c r="BF145" s="146"/>
      <c r="BG145" s="146"/>
      <c r="BH145" s="146"/>
      <c r="BI145" s="146"/>
      <c r="BJ145" s="146"/>
      <c r="BK145" s="146"/>
      <c r="BL145" s="146"/>
      <c r="BM145" s="146"/>
      <c r="BN145" s="146"/>
      <c r="BO145" s="146"/>
      <c r="BP145" s="146"/>
      <c r="BQ145" s="146"/>
      <c r="BR145" s="146"/>
      <c r="BS145" s="146"/>
      <c r="BT145" s="146"/>
      <c r="BU145" s="146"/>
      <c r="BV145" s="146"/>
      <c r="BW145" s="146"/>
      <c r="BX145" s="146"/>
      <c r="BY145" s="146"/>
      <c r="BZ145" s="146"/>
      <c r="CA145" s="146"/>
      <c r="CB145" s="146"/>
      <c r="CC145" s="146"/>
      <c r="CD145" s="146"/>
      <c r="CE145" s="146"/>
      <c r="CF145" s="146"/>
      <c r="CG145" s="146"/>
      <c r="CH145" s="146"/>
      <c r="CI145" s="146"/>
      <c r="CJ145" s="146"/>
      <c r="CK145" s="146"/>
      <c r="CL145" s="146"/>
      <c r="CM145" s="146"/>
      <c r="CN145" s="146"/>
      <c r="CO145" s="146"/>
      <c r="CP145" s="146"/>
      <c r="CQ145" s="146"/>
      <c r="CR145" s="146"/>
      <c r="CS145" s="146"/>
      <c r="CT145" s="146"/>
      <c r="CU145" s="146"/>
      <c r="CV145" s="146"/>
      <c r="CW145" s="146"/>
      <c r="CX145" s="146"/>
      <c r="CY145" s="146"/>
      <c r="CZ145" s="146"/>
      <c r="DA145" s="146"/>
      <c r="DB145" s="146"/>
      <c r="DC145" s="146"/>
      <c r="DD145" s="146"/>
      <c r="DE145" s="146"/>
      <c r="DF145" s="146"/>
      <c r="DG145" s="146"/>
      <c r="DH145" s="146"/>
      <c r="DI145" s="146"/>
      <c r="DJ145" s="146"/>
    </row>
    <row r="146" spans="1:114" s="147" customFormat="1" ht="16.5" x14ac:dyDescent="0.25">
      <c r="A146" s="107" t="s">
        <v>333</v>
      </c>
      <c r="B146" s="107"/>
      <c r="C146" s="107"/>
      <c r="D146" s="107"/>
      <c r="E146" s="107"/>
      <c r="F146" s="107"/>
      <c r="G146" s="107"/>
      <c r="H146" s="107"/>
      <c r="I146" s="107"/>
      <c r="J146" s="107"/>
      <c r="K146" s="107"/>
      <c r="L146" s="107"/>
      <c r="M146" s="107"/>
      <c r="N146" s="146"/>
      <c r="O146" s="146"/>
      <c r="P146" s="146"/>
      <c r="Q146" s="146"/>
      <c r="R146" s="146"/>
      <c r="S146" s="146"/>
      <c r="T146" s="146"/>
      <c r="U146" s="146"/>
      <c r="V146" s="146"/>
      <c r="W146" s="146"/>
      <c r="X146" s="146"/>
      <c r="Y146" s="146"/>
      <c r="Z146" s="146"/>
      <c r="AA146" s="146"/>
      <c r="AB146" s="146"/>
      <c r="AC146" s="146"/>
      <c r="AD146" s="146"/>
      <c r="AE146" s="146"/>
      <c r="AF146" s="146"/>
      <c r="AG146" s="146"/>
      <c r="AH146" s="146"/>
      <c r="AI146" s="146"/>
      <c r="AJ146" s="146"/>
      <c r="AK146" s="146"/>
      <c r="AL146" s="146"/>
      <c r="AM146" s="146"/>
      <c r="AN146" s="146"/>
      <c r="AO146" s="146"/>
      <c r="AP146" s="146"/>
      <c r="AQ146" s="146"/>
      <c r="AR146" s="146"/>
      <c r="AS146" s="146"/>
      <c r="AT146" s="146"/>
      <c r="AU146" s="146"/>
      <c r="AV146" s="146"/>
      <c r="AW146" s="146"/>
      <c r="AX146" s="146"/>
      <c r="AY146" s="146"/>
      <c r="AZ146" s="146"/>
      <c r="BA146" s="146"/>
      <c r="BB146" s="146"/>
      <c r="BC146" s="146"/>
      <c r="BD146" s="146"/>
      <c r="BE146" s="146"/>
      <c r="BF146" s="146"/>
      <c r="BG146" s="146"/>
      <c r="BH146" s="146"/>
      <c r="BI146" s="146"/>
      <c r="BJ146" s="146"/>
      <c r="BK146" s="146"/>
      <c r="BL146" s="146"/>
      <c r="BM146" s="146"/>
      <c r="BN146" s="146"/>
      <c r="BO146" s="146"/>
      <c r="BP146" s="146"/>
      <c r="BQ146" s="146"/>
      <c r="BR146" s="146"/>
      <c r="BS146" s="146"/>
      <c r="BT146" s="146"/>
      <c r="BU146" s="146"/>
      <c r="BV146" s="146"/>
      <c r="BW146" s="146"/>
      <c r="BX146" s="146"/>
      <c r="BY146" s="146"/>
      <c r="BZ146" s="146"/>
      <c r="CA146" s="146"/>
      <c r="CB146" s="146"/>
      <c r="CC146" s="146"/>
      <c r="CD146" s="146"/>
      <c r="CE146" s="146"/>
      <c r="CF146" s="146"/>
      <c r="CG146" s="146"/>
      <c r="CH146" s="146"/>
      <c r="CI146" s="146"/>
      <c r="CJ146" s="146"/>
      <c r="CK146" s="146"/>
      <c r="CL146" s="146"/>
      <c r="CM146" s="146"/>
      <c r="CN146" s="146"/>
      <c r="CO146" s="146"/>
      <c r="CP146" s="146"/>
      <c r="CQ146" s="146"/>
      <c r="CR146" s="146"/>
      <c r="CS146" s="146"/>
      <c r="CT146" s="146"/>
      <c r="CU146" s="146"/>
      <c r="CV146" s="146"/>
      <c r="CW146" s="146"/>
      <c r="CX146" s="146"/>
      <c r="CY146" s="146"/>
      <c r="CZ146" s="146"/>
      <c r="DA146" s="146"/>
      <c r="DB146" s="146"/>
      <c r="DC146" s="146"/>
      <c r="DD146" s="146"/>
      <c r="DE146" s="146"/>
      <c r="DF146" s="146"/>
      <c r="DG146" s="146"/>
      <c r="DH146" s="146"/>
      <c r="DI146" s="146"/>
      <c r="DJ146" s="146"/>
    </row>
    <row r="147" spans="1:114" s="147" customFormat="1" ht="16.5" x14ac:dyDescent="0.25">
      <c r="A147" s="109" t="s">
        <v>334</v>
      </c>
      <c r="B147" s="107"/>
      <c r="C147" s="107"/>
      <c r="D147" s="107"/>
      <c r="E147" s="107"/>
      <c r="F147" s="107"/>
      <c r="G147" s="107"/>
      <c r="H147" s="107"/>
      <c r="I147" s="107"/>
      <c r="J147" s="107"/>
      <c r="K147" s="107"/>
      <c r="L147" s="107"/>
      <c r="M147" s="107"/>
      <c r="N147" s="146"/>
      <c r="O147" s="146"/>
      <c r="P147" s="146"/>
      <c r="Q147" s="146"/>
      <c r="R147" s="146"/>
      <c r="S147" s="146"/>
      <c r="T147" s="146"/>
      <c r="U147" s="146"/>
      <c r="V147" s="146"/>
      <c r="W147" s="146"/>
      <c r="X147" s="146"/>
      <c r="Y147" s="146"/>
      <c r="Z147" s="146"/>
      <c r="AA147" s="146"/>
      <c r="AB147" s="146"/>
      <c r="AC147" s="146"/>
      <c r="AD147" s="146"/>
      <c r="AE147" s="146"/>
      <c r="AF147" s="146"/>
      <c r="AG147" s="146"/>
      <c r="AH147" s="146"/>
      <c r="AI147" s="146"/>
      <c r="AJ147" s="146"/>
      <c r="AK147" s="146"/>
      <c r="AL147" s="146"/>
      <c r="AM147" s="146"/>
      <c r="AN147" s="146"/>
      <c r="AO147" s="146"/>
      <c r="AP147" s="146"/>
      <c r="AQ147" s="146"/>
      <c r="AR147" s="146"/>
      <c r="AS147" s="146"/>
      <c r="AT147" s="146"/>
      <c r="AU147" s="146"/>
      <c r="AV147" s="146"/>
      <c r="AW147" s="146"/>
      <c r="AX147" s="146"/>
      <c r="AY147" s="146"/>
      <c r="AZ147" s="146"/>
      <c r="BA147" s="146"/>
      <c r="BB147" s="146"/>
      <c r="BC147" s="146"/>
      <c r="BD147" s="146"/>
      <c r="BE147" s="146"/>
      <c r="BF147" s="146"/>
      <c r="BG147" s="146"/>
      <c r="BH147" s="146"/>
      <c r="BI147" s="146"/>
      <c r="BJ147" s="146"/>
      <c r="BK147" s="146"/>
      <c r="BL147" s="146"/>
      <c r="BM147" s="146"/>
      <c r="BN147" s="146"/>
      <c r="BO147" s="146"/>
      <c r="BP147" s="146"/>
      <c r="BQ147" s="146"/>
      <c r="BR147" s="146"/>
      <c r="BS147" s="146"/>
      <c r="BT147" s="146"/>
      <c r="BU147" s="146"/>
      <c r="BV147" s="146"/>
      <c r="BW147" s="146"/>
      <c r="BX147" s="146"/>
      <c r="BY147" s="146"/>
      <c r="BZ147" s="146"/>
      <c r="CA147" s="146"/>
      <c r="CB147" s="146"/>
      <c r="CC147" s="146"/>
      <c r="CD147" s="146"/>
      <c r="CE147" s="146"/>
      <c r="CF147" s="146"/>
      <c r="CG147" s="146"/>
      <c r="CH147" s="146"/>
      <c r="CI147" s="146"/>
      <c r="CJ147" s="146"/>
      <c r="CK147" s="146"/>
      <c r="CL147" s="146"/>
      <c r="CM147" s="146"/>
      <c r="CN147" s="146"/>
      <c r="CO147" s="146"/>
      <c r="CP147" s="146"/>
      <c r="CQ147" s="146"/>
      <c r="CR147" s="146"/>
      <c r="CS147" s="146"/>
      <c r="CT147" s="146"/>
      <c r="CU147" s="146"/>
      <c r="CV147" s="146"/>
      <c r="CW147" s="146"/>
      <c r="CX147" s="146"/>
      <c r="CY147" s="146"/>
      <c r="CZ147" s="146"/>
      <c r="DA147" s="146"/>
      <c r="DB147" s="146"/>
      <c r="DC147" s="146"/>
      <c r="DD147" s="146"/>
      <c r="DE147" s="146"/>
      <c r="DF147" s="146"/>
      <c r="DG147" s="146"/>
      <c r="DH147" s="146"/>
      <c r="DI147" s="146"/>
      <c r="DJ147" s="146"/>
    </row>
    <row r="148" spans="1:114" s="118" customFormat="1" ht="16.5" x14ac:dyDescent="0.25">
      <c r="A148" s="69" t="str">
        <f>IF('P(M)'!C22=TRUE,"3.歐洲專利的後續年費總額，需視辦理專利生效程序的國別數量而定，上表僅包含「德國、法國、英國」三國的預估費用。","")</f>
        <v>3.歐洲專利的後續年費總額，需視辦理專利生效程序的國別數量而定，上表僅包含「德國、法國、英國」三國的預估費用。</v>
      </c>
      <c r="B148" s="45"/>
      <c r="C148" s="45"/>
      <c r="D148" s="45"/>
      <c r="E148" s="45"/>
      <c r="F148" s="45"/>
      <c r="G148" s="45"/>
      <c r="H148" s="45"/>
      <c r="I148" s="45"/>
      <c r="J148" s="45"/>
      <c r="K148" s="45"/>
      <c r="L148" s="45"/>
      <c r="M148" s="45"/>
      <c r="N148" s="117"/>
      <c r="Z148" s="117"/>
      <c r="AA148" s="117"/>
      <c r="AB148" s="117"/>
      <c r="AC148" s="117"/>
      <c r="AD148" s="117"/>
      <c r="AE148" s="117"/>
      <c r="AF148" s="117"/>
      <c r="AG148" s="117"/>
      <c r="AH148" s="117"/>
      <c r="AI148" s="117"/>
      <c r="AJ148" s="117"/>
      <c r="AK148" s="117"/>
      <c r="AL148" s="117"/>
      <c r="AM148" s="117"/>
      <c r="AN148" s="117"/>
      <c r="AO148" s="117"/>
      <c r="AP148" s="117"/>
      <c r="AQ148" s="117"/>
      <c r="AR148" s="117"/>
      <c r="AS148" s="117"/>
      <c r="AT148" s="117"/>
      <c r="AU148" s="117"/>
      <c r="AV148" s="117"/>
      <c r="AW148" s="117"/>
      <c r="AX148" s="117"/>
      <c r="AY148" s="117"/>
      <c r="AZ148" s="117"/>
      <c r="BA148" s="117"/>
      <c r="BB148" s="117"/>
      <c r="BC148" s="117"/>
      <c r="BD148" s="117"/>
      <c r="BE148" s="117"/>
      <c r="BF148" s="117"/>
      <c r="BG148" s="117"/>
      <c r="BH148" s="117"/>
      <c r="BI148" s="117"/>
      <c r="BJ148" s="117"/>
      <c r="BK148" s="117"/>
      <c r="BL148" s="117"/>
      <c r="BM148" s="117"/>
      <c r="BN148" s="117"/>
      <c r="BO148" s="117"/>
      <c r="BP148" s="117"/>
      <c r="BQ148" s="117"/>
      <c r="BR148" s="117"/>
      <c r="BS148" s="117"/>
      <c r="BT148" s="117"/>
      <c r="BU148" s="117"/>
      <c r="BV148" s="117"/>
      <c r="BW148" s="117"/>
      <c r="BX148" s="117"/>
      <c r="BY148" s="117"/>
      <c r="BZ148" s="117"/>
      <c r="CA148" s="117"/>
      <c r="CB148" s="117"/>
      <c r="CC148" s="117"/>
      <c r="CD148" s="117"/>
      <c r="CE148" s="117"/>
      <c r="CF148" s="117"/>
      <c r="CG148" s="117"/>
      <c r="CH148" s="117"/>
      <c r="CI148" s="117"/>
      <c r="CJ148" s="117"/>
      <c r="CK148" s="117"/>
      <c r="CL148" s="117"/>
      <c r="CM148" s="117"/>
      <c r="CN148" s="117"/>
      <c r="CO148" s="117"/>
      <c r="CP148" s="117"/>
      <c r="CQ148" s="117"/>
      <c r="CR148" s="117"/>
      <c r="CS148" s="117"/>
      <c r="CT148" s="117"/>
      <c r="CU148" s="117"/>
      <c r="CV148" s="117"/>
      <c r="CW148" s="117"/>
      <c r="CX148" s="117"/>
      <c r="CY148" s="117"/>
      <c r="CZ148" s="117"/>
      <c r="DA148" s="117"/>
      <c r="DB148" s="117"/>
      <c r="DC148" s="117"/>
      <c r="DD148" s="117"/>
      <c r="DE148" s="117"/>
      <c r="DF148" s="117"/>
      <c r="DG148" s="117"/>
      <c r="DH148" s="117"/>
      <c r="DI148" s="117"/>
      <c r="DJ148" s="117"/>
    </row>
    <row r="149" spans="1:114" s="44" customFormat="1" ht="16.5" x14ac:dyDescent="0.25">
      <c r="A149" s="108"/>
      <c r="B149" s="45"/>
      <c r="C149" s="45"/>
      <c r="D149" s="45"/>
      <c r="E149" s="45"/>
      <c r="F149" s="45"/>
      <c r="G149" s="45"/>
      <c r="H149" s="45"/>
      <c r="I149" s="45"/>
      <c r="J149" s="45"/>
      <c r="K149" s="45"/>
      <c r="L149" s="45"/>
      <c r="M149" s="45"/>
      <c r="N149" s="38"/>
      <c r="Z149" s="38"/>
      <c r="AA149" s="38"/>
      <c r="AB149" s="38"/>
      <c r="AC149" s="38"/>
      <c r="AD149" s="38"/>
      <c r="AE149" s="38"/>
      <c r="AF149" s="38"/>
      <c r="AG149" s="38"/>
      <c r="AH149" s="38"/>
      <c r="AI149" s="38"/>
      <c r="AJ149" s="38"/>
      <c r="AK149" s="38"/>
      <c r="AL149" s="38"/>
      <c r="AM149" s="38"/>
      <c r="AN149" s="38"/>
      <c r="AO149" s="38"/>
      <c r="AP149" s="38"/>
      <c r="AQ149" s="38"/>
      <c r="AR149" s="38"/>
      <c r="AS149" s="38"/>
      <c r="AT149" s="38"/>
      <c r="AU149" s="38"/>
      <c r="AV149" s="38"/>
      <c r="AW149" s="38"/>
      <c r="AX149" s="38"/>
      <c r="AY149" s="38"/>
      <c r="AZ149" s="38"/>
      <c r="BA149" s="38"/>
      <c r="BB149" s="38"/>
      <c r="BC149" s="38"/>
      <c r="BD149" s="38"/>
      <c r="BE149" s="38"/>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38"/>
      <c r="DB149" s="38"/>
      <c r="DC149" s="38"/>
      <c r="DD149" s="38"/>
      <c r="DE149" s="38"/>
      <c r="DF149" s="38"/>
      <c r="DG149" s="38"/>
      <c r="DH149" s="38"/>
      <c r="DI149" s="38"/>
      <c r="DJ149" s="38"/>
    </row>
    <row r="150" spans="1:114" s="116" customFormat="1" ht="16.5" x14ac:dyDescent="0.25">
      <c r="A150" s="110" t="s">
        <v>322</v>
      </c>
      <c r="B150" s="111"/>
      <c r="C150" s="111"/>
      <c r="D150" s="111"/>
      <c r="E150" s="111"/>
      <c r="F150" s="111"/>
      <c r="G150" s="111"/>
      <c r="H150" s="111"/>
      <c r="I150" s="111"/>
      <c r="J150" s="111"/>
      <c r="K150" s="111"/>
      <c r="L150" s="111"/>
      <c r="M150" s="111"/>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15"/>
      <c r="BG150" s="115"/>
      <c r="BH150" s="115"/>
      <c r="BI150" s="115"/>
      <c r="BJ150" s="115"/>
      <c r="BK150" s="115"/>
      <c r="BL150" s="115"/>
      <c r="BM150" s="115"/>
      <c r="BN150" s="115"/>
      <c r="BO150" s="115"/>
      <c r="BP150" s="115"/>
      <c r="BQ150" s="115"/>
      <c r="BR150" s="115"/>
      <c r="BS150" s="115"/>
      <c r="BT150" s="115"/>
      <c r="BU150" s="115"/>
      <c r="BV150" s="115"/>
      <c r="BW150" s="115"/>
      <c r="BX150" s="115"/>
      <c r="BY150" s="115"/>
      <c r="BZ150" s="115"/>
      <c r="CA150" s="115"/>
      <c r="CB150" s="115"/>
      <c r="CC150" s="115"/>
      <c r="CD150" s="115"/>
      <c r="CE150" s="115"/>
      <c r="CF150" s="115"/>
      <c r="CG150" s="115"/>
      <c r="CH150" s="115"/>
      <c r="CI150" s="115"/>
      <c r="CJ150" s="115"/>
      <c r="CK150" s="115"/>
      <c r="CL150" s="115"/>
      <c r="CM150" s="115"/>
      <c r="CN150" s="115"/>
      <c r="CO150" s="115"/>
      <c r="CP150" s="115"/>
      <c r="CQ150" s="115"/>
      <c r="CR150" s="115"/>
      <c r="CS150" s="115"/>
      <c r="CT150" s="115"/>
      <c r="CU150" s="115"/>
      <c r="CV150" s="115"/>
      <c r="CW150" s="115"/>
      <c r="CX150" s="115"/>
      <c r="CY150" s="115"/>
      <c r="CZ150" s="115"/>
      <c r="DA150" s="115"/>
      <c r="DB150" s="115"/>
      <c r="DC150" s="115"/>
      <c r="DD150" s="115"/>
      <c r="DE150" s="115"/>
      <c r="DF150" s="115"/>
      <c r="DG150" s="115"/>
      <c r="DH150" s="115"/>
      <c r="DI150" s="115"/>
      <c r="DJ150" s="115"/>
    </row>
    <row r="151" spans="1:114" ht="15.4" customHeight="1" x14ac:dyDescent="0.25">
      <c r="A151" s="34"/>
      <c r="B151" s="34"/>
      <c r="C151" s="34"/>
      <c r="D151" s="34"/>
      <c r="E151" s="34"/>
      <c r="F151" s="34"/>
      <c r="G151" s="34"/>
      <c r="H151" s="34"/>
      <c r="I151" s="34"/>
      <c r="J151" s="34"/>
      <c r="K151" s="34"/>
      <c r="L151" s="34"/>
      <c r="M151" s="34"/>
      <c r="N151" s="35"/>
      <c r="O151" s="35"/>
      <c r="P151" s="35"/>
      <c r="Q151" s="35"/>
      <c r="R151" s="35"/>
      <c r="S151" s="35"/>
      <c r="T151" s="35"/>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c r="AS151" s="35"/>
      <c r="AT151" s="35"/>
      <c r="AU151" s="35"/>
      <c r="AV151" s="35"/>
      <c r="AW151" s="35"/>
      <c r="AX151" s="35"/>
      <c r="AY151" s="35"/>
      <c r="AZ151" s="35"/>
      <c r="BA151" s="35"/>
      <c r="BB151" s="35"/>
      <c r="BC151" s="35"/>
      <c r="BD151" s="35"/>
      <c r="BE151" s="35"/>
      <c r="BF151" s="35"/>
      <c r="BG151" s="35"/>
      <c r="BH151" s="35"/>
      <c r="BI151" s="35"/>
      <c r="BJ151" s="35"/>
      <c r="BK151" s="35"/>
      <c r="BL151" s="35"/>
      <c r="BM151" s="35"/>
      <c r="BN151" s="35"/>
      <c r="BO151" s="35"/>
      <c r="BP151" s="35"/>
      <c r="BQ151" s="35"/>
      <c r="BR151" s="35"/>
      <c r="BS151" s="35"/>
      <c r="BT151" s="35"/>
      <c r="BU151" s="35"/>
      <c r="BV151" s="35"/>
      <c r="BW151" s="35"/>
      <c r="BX151" s="35"/>
      <c r="BY151" s="35"/>
      <c r="BZ151" s="35"/>
      <c r="CA151" s="35"/>
      <c r="CB151" s="35"/>
      <c r="CC151" s="35"/>
      <c r="CD151" s="35"/>
      <c r="CE151" s="35"/>
      <c r="CF151" s="35"/>
      <c r="CG151" s="35"/>
      <c r="CH151" s="35"/>
      <c r="CI151" s="35"/>
      <c r="CJ151" s="35"/>
      <c r="CK151" s="35"/>
      <c r="CL151" s="35"/>
      <c r="CM151" s="35"/>
      <c r="CN151" s="35"/>
      <c r="CO151" s="35"/>
      <c r="CP151" s="35"/>
      <c r="CQ151" s="35"/>
      <c r="CR151" s="35"/>
      <c r="CS151" s="35"/>
      <c r="CT151" s="35"/>
      <c r="CU151" s="35"/>
      <c r="CV151" s="35"/>
      <c r="CW151" s="35"/>
      <c r="CX151" s="35"/>
      <c r="CY151" s="35"/>
      <c r="CZ151" s="35"/>
      <c r="DA151" s="35"/>
      <c r="DB151" s="35"/>
      <c r="DC151" s="35"/>
      <c r="DD151" s="35"/>
      <c r="DE151" s="35"/>
      <c r="DF151" s="35"/>
      <c r="DG151" s="35"/>
      <c r="DH151" s="35"/>
      <c r="DI151" s="35"/>
      <c r="DJ151" s="35"/>
    </row>
    <row r="152" spans="1:114" x14ac:dyDescent="0.25">
      <c r="A152" s="34"/>
      <c r="B152" s="34"/>
      <c r="C152" s="34"/>
      <c r="D152" s="34"/>
      <c r="E152" s="34"/>
      <c r="F152" s="34"/>
      <c r="G152" s="34"/>
      <c r="H152" s="34"/>
      <c r="I152" s="34"/>
      <c r="J152" s="34"/>
      <c r="K152" s="37"/>
      <c r="L152" s="37"/>
      <c r="M152" s="37"/>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c r="AS152" s="35"/>
      <c r="AT152" s="35"/>
      <c r="AU152" s="35"/>
      <c r="AV152" s="35"/>
      <c r="AW152" s="35"/>
      <c r="AX152" s="35"/>
      <c r="AY152" s="35"/>
      <c r="AZ152" s="35"/>
      <c r="BA152" s="35"/>
      <c r="BB152" s="35"/>
      <c r="BC152" s="35"/>
      <c r="BD152" s="35"/>
      <c r="BE152" s="35"/>
      <c r="BF152" s="35"/>
      <c r="BG152" s="35"/>
      <c r="BH152" s="35"/>
      <c r="BI152" s="35"/>
      <c r="BJ152" s="35"/>
      <c r="BK152" s="35"/>
      <c r="BL152" s="35"/>
      <c r="BM152" s="35"/>
      <c r="BN152" s="35"/>
      <c r="BO152" s="35"/>
      <c r="BP152" s="35"/>
      <c r="BQ152" s="35"/>
      <c r="BR152" s="35"/>
      <c r="BS152" s="35"/>
      <c r="BT152" s="35"/>
      <c r="BU152" s="35"/>
      <c r="BV152" s="35"/>
      <c r="BW152" s="35"/>
      <c r="BX152" s="35"/>
      <c r="BY152" s="35"/>
      <c r="BZ152" s="35"/>
      <c r="CA152" s="35"/>
      <c r="CB152" s="35"/>
      <c r="CC152" s="35"/>
      <c r="CD152" s="35"/>
      <c r="CE152" s="35"/>
      <c r="CF152" s="35"/>
      <c r="CG152" s="35"/>
      <c r="CH152" s="35"/>
      <c r="CI152" s="35"/>
      <c r="CJ152" s="35"/>
      <c r="CK152" s="35"/>
      <c r="CL152" s="35"/>
      <c r="CM152" s="35"/>
      <c r="CN152" s="35"/>
      <c r="CO152" s="35"/>
      <c r="CP152" s="35"/>
      <c r="CQ152" s="35"/>
      <c r="CR152" s="35"/>
      <c r="CS152" s="35"/>
      <c r="CT152" s="35"/>
      <c r="CU152" s="35"/>
      <c r="CV152" s="35"/>
      <c r="CW152" s="35"/>
      <c r="CX152" s="35"/>
      <c r="CY152" s="35"/>
      <c r="CZ152" s="35"/>
      <c r="DA152" s="35"/>
      <c r="DB152" s="35"/>
      <c r="DC152" s="35"/>
      <c r="DD152" s="35"/>
      <c r="DE152" s="35"/>
      <c r="DF152" s="35"/>
      <c r="DG152" s="35"/>
      <c r="DH152" s="35"/>
      <c r="DI152" s="35"/>
      <c r="DJ152" s="35"/>
    </row>
    <row r="153" spans="1:114" x14ac:dyDescent="0.25">
      <c r="A153" s="34"/>
      <c r="B153" s="34"/>
      <c r="C153" s="34"/>
      <c r="D153" s="34"/>
      <c r="E153" s="34"/>
      <c r="F153" s="34"/>
      <c r="G153" s="34"/>
      <c r="H153" s="34"/>
      <c r="I153" s="34"/>
      <c r="J153" s="34"/>
      <c r="K153" s="37"/>
      <c r="L153" s="37"/>
      <c r="M153" s="37"/>
      <c r="N153" s="35"/>
      <c r="O153" s="35"/>
      <c r="P153" s="35"/>
      <c r="Q153" s="35"/>
      <c r="R153" s="35"/>
      <c r="S153" s="35"/>
      <c r="T153" s="35"/>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c r="AS153" s="35"/>
      <c r="AT153" s="35"/>
      <c r="AU153" s="35"/>
      <c r="AV153" s="35"/>
      <c r="AW153" s="35"/>
      <c r="AX153" s="35"/>
      <c r="AY153" s="35"/>
      <c r="AZ153" s="35"/>
      <c r="BA153" s="35"/>
      <c r="BB153" s="35"/>
      <c r="BC153" s="35"/>
      <c r="BD153" s="35"/>
      <c r="BE153" s="35"/>
      <c r="BF153" s="35"/>
      <c r="BG153" s="35"/>
      <c r="BH153" s="35"/>
      <c r="BI153" s="35"/>
      <c r="BJ153" s="35"/>
      <c r="BK153" s="35"/>
      <c r="BL153" s="35"/>
      <c r="BM153" s="35"/>
      <c r="BN153" s="35"/>
      <c r="BO153" s="35"/>
      <c r="BP153" s="35"/>
      <c r="BQ153" s="35"/>
      <c r="BR153" s="35"/>
      <c r="BS153" s="35"/>
      <c r="BT153" s="35"/>
      <c r="BU153" s="35"/>
      <c r="BV153" s="35"/>
      <c r="BW153" s="35"/>
      <c r="BX153" s="35"/>
      <c r="BY153" s="35"/>
      <c r="BZ153" s="35"/>
      <c r="CA153" s="35"/>
      <c r="CB153" s="35"/>
      <c r="CC153" s="35"/>
      <c r="CD153" s="35"/>
      <c r="CE153" s="35"/>
      <c r="CF153" s="35"/>
      <c r="CG153" s="35"/>
      <c r="CH153" s="35"/>
      <c r="CI153" s="35"/>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row>
    <row r="154" spans="1:114" x14ac:dyDescent="0.25">
      <c r="A154" s="34"/>
      <c r="B154" s="34"/>
      <c r="C154" s="34"/>
      <c r="D154" s="34"/>
      <c r="E154" s="34"/>
      <c r="F154" s="34"/>
      <c r="G154" s="34"/>
      <c r="H154" s="34"/>
      <c r="I154" s="34"/>
      <c r="J154" s="34"/>
      <c r="K154" s="37"/>
      <c r="L154" s="37"/>
      <c r="M154" s="37"/>
      <c r="N154" s="35"/>
      <c r="O154" s="35"/>
      <c r="P154" s="35"/>
      <c r="Q154" s="35"/>
      <c r="R154" s="35"/>
      <c r="S154" s="35"/>
      <c r="T154" s="35"/>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c r="AS154" s="35"/>
      <c r="AT154" s="35"/>
      <c r="AU154" s="35"/>
      <c r="AV154" s="35"/>
      <c r="AW154" s="35"/>
      <c r="AX154" s="35"/>
      <c r="AY154" s="35"/>
      <c r="AZ154" s="35"/>
      <c r="BA154" s="35"/>
      <c r="BB154" s="35"/>
      <c r="BC154" s="35"/>
      <c r="BD154" s="35"/>
      <c r="BE154" s="35"/>
      <c r="BF154" s="35"/>
      <c r="BG154" s="35"/>
      <c r="BH154" s="35"/>
      <c r="BI154" s="35"/>
      <c r="BJ154" s="35"/>
      <c r="BK154" s="35"/>
      <c r="BL154" s="35"/>
      <c r="BM154" s="35"/>
      <c r="BN154" s="35"/>
      <c r="BO154" s="35"/>
      <c r="BP154" s="35"/>
      <c r="BQ154" s="35"/>
      <c r="BR154" s="35"/>
      <c r="BS154" s="35"/>
      <c r="BT154" s="35"/>
      <c r="BU154" s="35"/>
      <c r="BV154" s="35"/>
      <c r="BW154" s="35"/>
      <c r="BX154" s="35"/>
      <c r="BY154" s="35"/>
      <c r="BZ154" s="35"/>
      <c r="CA154" s="35"/>
      <c r="CB154" s="35"/>
      <c r="CC154" s="35"/>
      <c r="CD154" s="35"/>
      <c r="CE154" s="35"/>
      <c r="CF154" s="35"/>
      <c r="CG154" s="35"/>
      <c r="CH154" s="35"/>
      <c r="CI154" s="35"/>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row>
    <row r="155" spans="1:114" x14ac:dyDescent="0.25">
      <c r="A155" s="34"/>
      <c r="B155" s="34"/>
      <c r="C155" s="34"/>
      <c r="D155" s="34"/>
      <c r="E155" s="34"/>
      <c r="F155" s="34"/>
      <c r="G155" s="34"/>
      <c r="H155" s="34"/>
      <c r="I155" s="34"/>
      <c r="J155" s="34"/>
      <c r="K155" s="37"/>
      <c r="L155" s="37"/>
      <c r="M155" s="37"/>
      <c r="N155" s="35"/>
      <c r="O155" s="35"/>
      <c r="P155" s="35"/>
      <c r="Q155" s="35"/>
      <c r="R155" s="35"/>
      <c r="S155" s="35"/>
      <c r="T155" s="35"/>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c r="AS155" s="35"/>
      <c r="AT155" s="35"/>
      <c r="AU155" s="35"/>
      <c r="AV155" s="35"/>
      <c r="AW155" s="35"/>
      <c r="AX155" s="35"/>
      <c r="AY155" s="35"/>
      <c r="AZ155" s="35"/>
      <c r="BA155" s="35"/>
      <c r="BB155" s="35"/>
      <c r="BC155" s="35"/>
      <c r="BD155" s="35"/>
      <c r="BE155" s="35"/>
      <c r="BF155" s="35"/>
      <c r="BG155" s="35"/>
      <c r="BH155" s="35"/>
      <c r="BI155" s="35"/>
      <c r="BJ155" s="35"/>
      <c r="BK155" s="35"/>
      <c r="BL155" s="35"/>
      <c r="BM155" s="35"/>
      <c r="BN155" s="35"/>
      <c r="BO155" s="35"/>
      <c r="BP155" s="35"/>
      <c r="BQ155" s="35"/>
      <c r="BR155" s="35"/>
      <c r="BS155" s="35"/>
      <c r="BT155" s="35"/>
      <c r="BU155" s="35"/>
      <c r="BV155" s="35"/>
      <c r="BW155" s="35"/>
      <c r="BX155" s="35"/>
      <c r="BY155" s="35"/>
      <c r="BZ155" s="35"/>
      <c r="CA155" s="35"/>
      <c r="CB155" s="35"/>
      <c r="CC155" s="35"/>
      <c r="CD155" s="35"/>
      <c r="CE155" s="35"/>
      <c r="CF155" s="35"/>
      <c r="CG155" s="35"/>
      <c r="CH155" s="35"/>
      <c r="CI155" s="35"/>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row>
    <row r="156" spans="1:114" x14ac:dyDescent="0.25">
      <c r="A156" s="34"/>
      <c r="B156" s="34"/>
      <c r="C156" s="34"/>
      <c r="D156" s="34"/>
      <c r="E156" s="34"/>
      <c r="F156" s="34"/>
      <c r="G156" s="34"/>
      <c r="H156" s="34"/>
      <c r="I156" s="34"/>
      <c r="J156" s="34"/>
      <c r="K156" s="37"/>
      <c r="L156" s="37"/>
      <c r="M156" s="37"/>
      <c r="N156" s="35"/>
      <c r="O156" s="35"/>
      <c r="P156" s="35"/>
      <c r="Q156" s="35"/>
      <c r="R156" s="35"/>
      <c r="S156" s="35"/>
      <c r="T156" s="35"/>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c r="AS156" s="35"/>
      <c r="AT156" s="35"/>
      <c r="AU156" s="35"/>
      <c r="AV156" s="35"/>
      <c r="AW156" s="35"/>
      <c r="AX156" s="35"/>
      <c r="AY156" s="35"/>
      <c r="AZ156" s="35"/>
      <c r="BA156" s="35"/>
      <c r="BB156" s="35"/>
      <c r="BC156" s="35"/>
      <c r="BD156" s="35"/>
      <c r="BE156" s="35"/>
      <c r="BF156" s="35"/>
      <c r="BG156" s="35"/>
      <c r="BH156" s="35"/>
      <c r="BI156" s="35"/>
      <c r="BJ156" s="35"/>
      <c r="BK156" s="35"/>
      <c r="BL156" s="35"/>
      <c r="BM156" s="35"/>
      <c r="BN156" s="35"/>
      <c r="BO156" s="35"/>
      <c r="BP156" s="35"/>
      <c r="BQ156" s="35"/>
      <c r="BR156" s="35"/>
      <c r="BS156" s="35"/>
      <c r="BT156" s="35"/>
      <c r="BU156" s="35"/>
      <c r="BV156" s="35"/>
      <c r="BW156" s="35"/>
      <c r="BX156" s="35"/>
      <c r="BY156" s="35"/>
      <c r="BZ156" s="35"/>
      <c r="CA156" s="35"/>
      <c r="CB156" s="35"/>
      <c r="CC156" s="35"/>
      <c r="CD156" s="35"/>
      <c r="CE156" s="35"/>
      <c r="CF156" s="35"/>
      <c r="CG156" s="35"/>
      <c r="CH156" s="35"/>
      <c r="CI156" s="35"/>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row>
    <row r="157" spans="1:114" x14ac:dyDescent="0.25">
      <c r="A157" s="34"/>
      <c r="B157" s="34"/>
      <c r="C157" s="34"/>
      <c r="D157" s="34"/>
      <c r="E157" s="34"/>
      <c r="F157" s="34"/>
      <c r="G157" s="34"/>
      <c r="H157" s="34"/>
      <c r="I157" s="34"/>
      <c r="J157" s="34"/>
      <c r="K157" s="37"/>
      <c r="L157" s="37"/>
      <c r="M157" s="37"/>
      <c r="N157" s="35"/>
      <c r="O157" s="35"/>
      <c r="P157" s="35"/>
      <c r="Q157" s="35"/>
      <c r="R157" s="35"/>
      <c r="S157" s="35"/>
      <c r="T157" s="35"/>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c r="AS157" s="35"/>
      <c r="AT157" s="35"/>
      <c r="AU157" s="35"/>
      <c r="AV157" s="35"/>
      <c r="AW157" s="35"/>
      <c r="AX157" s="35"/>
      <c r="AY157" s="35"/>
      <c r="AZ157" s="35"/>
      <c r="BA157" s="35"/>
      <c r="BB157" s="35"/>
      <c r="BC157" s="35"/>
      <c r="BD157" s="35"/>
      <c r="BE157" s="35"/>
      <c r="BF157" s="35"/>
      <c r="BG157" s="35"/>
      <c r="BH157" s="35"/>
      <c r="BI157" s="35"/>
      <c r="BJ157" s="35"/>
      <c r="BK157" s="35"/>
      <c r="BL157" s="35"/>
      <c r="BM157" s="35"/>
      <c r="BN157" s="35"/>
      <c r="BO157" s="35"/>
      <c r="BP157" s="35"/>
      <c r="BQ157" s="35"/>
      <c r="BR157" s="35"/>
      <c r="BS157" s="35"/>
      <c r="BT157" s="35"/>
      <c r="BU157" s="35"/>
      <c r="BV157" s="35"/>
      <c r="BW157" s="35"/>
      <c r="BX157" s="35"/>
      <c r="BY157" s="35"/>
      <c r="BZ157" s="35"/>
      <c r="CA157" s="35"/>
      <c r="CB157" s="35"/>
      <c r="CC157" s="35"/>
      <c r="CD157" s="35"/>
      <c r="CE157" s="35"/>
      <c r="CF157" s="35"/>
      <c r="CG157" s="35"/>
      <c r="CH157" s="35"/>
      <c r="CI157" s="35"/>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row>
    <row r="158" spans="1:114" x14ac:dyDescent="0.25">
      <c r="A158" s="34"/>
      <c r="B158" s="34"/>
      <c r="C158" s="34"/>
      <c r="D158" s="34"/>
      <c r="E158" s="34"/>
      <c r="F158" s="34"/>
      <c r="G158" s="34"/>
      <c r="H158" s="34"/>
      <c r="I158" s="34"/>
      <c r="J158" s="34"/>
      <c r="K158" s="37"/>
      <c r="L158" s="37"/>
      <c r="M158" s="37"/>
      <c r="N158" s="35"/>
      <c r="O158" s="35"/>
      <c r="P158" s="35"/>
      <c r="Q158" s="35"/>
      <c r="R158" s="35"/>
      <c r="S158" s="35"/>
      <c r="T158" s="35"/>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c r="AS158" s="35"/>
      <c r="AT158" s="35"/>
      <c r="AU158" s="35"/>
      <c r="AV158" s="35"/>
      <c r="AW158" s="35"/>
      <c r="AX158" s="35"/>
      <c r="AY158" s="35"/>
      <c r="AZ158" s="35"/>
      <c r="BA158" s="35"/>
      <c r="BB158" s="35"/>
      <c r="BC158" s="35"/>
      <c r="BD158" s="35"/>
      <c r="BE158" s="35"/>
      <c r="BF158" s="35"/>
      <c r="BG158" s="35"/>
      <c r="BH158" s="35"/>
      <c r="BI158" s="35"/>
      <c r="BJ158" s="35"/>
      <c r="BK158" s="35"/>
      <c r="BL158" s="35"/>
      <c r="BM158" s="35"/>
      <c r="BN158" s="35"/>
      <c r="BO158" s="35"/>
      <c r="BP158" s="35"/>
      <c r="BQ158" s="35"/>
      <c r="BR158" s="35"/>
      <c r="BS158" s="35"/>
      <c r="BT158" s="35"/>
      <c r="BU158" s="35"/>
      <c r="BV158" s="35"/>
      <c r="BW158" s="35"/>
      <c r="BX158" s="35"/>
      <c r="BY158" s="35"/>
      <c r="BZ158" s="35"/>
      <c r="CA158" s="35"/>
      <c r="CB158" s="35"/>
      <c r="CC158" s="35"/>
      <c r="CD158" s="35"/>
      <c r="CE158" s="35"/>
      <c r="CF158" s="35"/>
      <c r="CG158" s="35"/>
      <c r="CH158" s="35"/>
      <c r="CI158" s="35"/>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row>
    <row r="159" spans="1:114" x14ac:dyDescent="0.25">
      <c r="A159" s="34"/>
      <c r="B159" s="34"/>
      <c r="C159" s="34"/>
      <c r="D159" s="34"/>
      <c r="E159" s="34"/>
      <c r="F159" s="34"/>
      <c r="G159" s="34"/>
      <c r="H159" s="34"/>
      <c r="I159" s="34"/>
      <c r="J159" s="34"/>
      <c r="K159" s="37"/>
      <c r="L159" s="37"/>
      <c r="M159" s="37"/>
      <c r="N159" s="35"/>
      <c r="O159" s="35"/>
      <c r="P159" s="35"/>
      <c r="Q159" s="35"/>
      <c r="R159" s="35"/>
      <c r="S159" s="35"/>
      <c r="T159" s="35"/>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c r="AS159" s="35"/>
      <c r="AT159" s="35"/>
      <c r="AU159" s="35"/>
      <c r="AV159" s="35"/>
      <c r="AW159" s="35"/>
      <c r="AX159" s="35"/>
      <c r="AY159" s="35"/>
      <c r="AZ159" s="35"/>
      <c r="BA159" s="35"/>
      <c r="BB159" s="35"/>
      <c r="BC159" s="35"/>
      <c r="BD159" s="35"/>
      <c r="BE159" s="35"/>
      <c r="BF159" s="35"/>
      <c r="BG159" s="35"/>
      <c r="BH159" s="35"/>
      <c r="BI159" s="35"/>
      <c r="BJ159" s="35"/>
      <c r="BK159" s="35"/>
      <c r="BL159" s="35"/>
      <c r="BM159" s="35"/>
      <c r="BN159" s="35"/>
      <c r="BO159" s="35"/>
      <c r="BP159" s="35"/>
      <c r="BQ159" s="35"/>
      <c r="BR159" s="35"/>
      <c r="BS159" s="35"/>
      <c r="BT159" s="35"/>
      <c r="BU159" s="35"/>
      <c r="BV159" s="35"/>
      <c r="BW159" s="35"/>
      <c r="BX159" s="35"/>
      <c r="BY159" s="35"/>
      <c r="BZ159" s="35"/>
      <c r="CA159" s="35"/>
      <c r="CB159" s="35"/>
      <c r="CC159" s="35"/>
      <c r="CD159" s="35"/>
      <c r="CE159" s="35"/>
      <c r="CF159" s="35"/>
      <c r="CG159" s="35"/>
      <c r="CH159" s="35"/>
      <c r="CI159" s="35"/>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row>
    <row r="160" spans="1:114" x14ac:dyDescent="0.25">
      <c r="A160" s="34"/>
      <c r="B160" s="34"/>
      <c r="C160" s="34"/>
      <c r="D160" s="34"/>
      <c r="E160" s="34"/>
      <c r="F160" s="34"/>
      <c r="G160" s="34"/>
      <c r="H160" s="34"/>
      <c r="I160" s="34"/>
      <c r="J160" s="34"/>
      <c r="K160" s="37"/>
      <c r="L160" s="37"/>
      <c r="M160" s="37"/>
      <c r="N160" s="35"/>
      <c r="O160" s="35"/>
      <c r="P160" s="35"/>
      <c r="Q160" s="35"/>
      <c r="R160" s="35"/>
      <c r="S160" s="35"/>
      <c r="T160" s="35"/>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c r="AS160" s="35"/>
      <c r="AT160" s="35"/>
      <c r="AU160" s="35"/>
      <c r="AV160" s="35"/>
      <c r="AW160" s="35"/>
      <c r="AX160" s="35"/>
      <c r="AY160" s="35"/>
      <c r="AZ160" s="35"/>
      <c r="BA160" s="35"/>
      <c r="BB160" s="35"/>
      <c r="BC160" s="35"/>
      <c r="BD160" s="35"/>
      <c r="BE160" s="35"/>
      <c r="BF160" s="35"/>
      <c r="BG160" s="35"/>
      <c r="BH160" s="35"/>
      <c r="BI160" s="35"/>
      <c r="BJ160" s="35"/>
      <c r="BK160" s="35"/>
      <c r="BL160" s="35"/>
      <c r="BM160" s="35"/>
      <c r="BN160" s="35"/>
      <c r="BO160" s="35"/>
      <c r="BP160" s="35"/>
      <c r="BQ160" s="35"/>
      <c r="BR160" s="35"/>
      <c r="BS160" s="35"/>
      <c r="BT160" s="35"/>
      <c r="BU160" s="35"/>
      <c r="BV160" s="35"/>
      <c r="BW160" s="35"/>
      <c r="BX160" s="35"/>
      <c r="BY160" s="35"/>
      <c r="BZ160" s="35"/>
      <c r="CA160" s="35"/>
      <c r="CB160" s="35"/>
      <c r="CC160" s="35"/>
      <c r="CD160" s="35"/>
      <c r="CE160" s="35"/>
      <c r="CF160" s="35"/>
      <c r="CG160" s="35"/>
      <c r="CH160" s="35"/>
      <c r="CI160" s="35"/>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row>
    <row r="161" spans="1:114" x14ac:dyDescent="0.25">
      <c r="A161" s="34"/>
      <c r="B161" s="34"/>
      <c r="C161" s="34"/>
      <c r="D161" s="34"/>
      <c r="E161" s="34"/>
      <c r="F161" s="34"/>
      <c r="G161" s="34"/>
      <c r="H161" s="34"/>
      <c r="I161" s="34"/>
      <c r="J161" s="34"/>
      <c r="K161" s="37"/>
      <c r="L161" s="37"/>
      <c r="M161" s="37"/>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35"/>
      <c r="BM161" s="35"/>
      <c r="BN161" s="35"/>
      <c r="BO161" s="35"/>
      <c r="BP161" s="35"/>
      <c r="BQ161" s="35"/>
      <c r="BR161" s="35"/>
      <c r="BS161" s="35"/>
      <c r="BT161" s="35"/>
      <c r="BU161" s="35"/>
      <c r="BV161" s="35"/>
      <c r="BW161" s="35"/>
      <c r="BX161" s="35"/>
      <c r="BY161" s="35"/>
      <c r="BZ161" s="35"/>
      <c r="CA161" s="35"/>
      <c r="CB161" s="35"/>
      <c r="CC161" s="35"/>
      <c r="CD161" s="35"/>
      <c r="CE161" s="35"/>
      <c r="CF161" s="35"/>
      <c r="CG161" s="35"/>
      <c r="CH161" s="35"/>
      <c r="CI161" s="35"/>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row>
    <row r="162" spans="1:114" x14ac:dyDescent="0.25">
      <c r="A162" s="34"/>
      <c r="B162" s="34"/>
      <c r="C162" s="34"/>
      <c r="D162" s="34"/>
      <c r="E162" s="34"/>
      <c r="F162" s="34"/>
      <c r="G162" s="34"/>
      <c r="H162" s="34"/>
      <c r="I162" s="34"/>
      <c r="J162" s="34"/>
      <c r="K162" s="37"/>
      <c r="L162" s="37"/>
      <c r="M162" s="37"/>
      <c r="N162" s="35"/>
      <c r="O162" s="35"/>
      <c r="P162" s="35"/>
      <c r="Q162" s="35"/>
      <c r="R162" s="35"/>
      <c r="S162" s="35"/>
      <c r="T162" s="35"/>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row>
    <row r="163" spans="1:114" x14ac:dyDescent="0.25">
      <c r="A163" s="34"/>
      <c r="B163" s="34"/>
      <c r="C163" s="34"/>
      <c r="D163" s="34"/>
      <c r="E163" s="34"/>
      <c r="F163" s="34"/>
      <c r="G163" s="34"/>
      <c r="H163" s="34"/>
      <c r="I163" s="34"/>
      <c r="J163" s="34"/>
      <c r="K163" s="37"/>
      <c r="L163" s="37"/>
      <c r="M163" s="37"/>
      <c r="N163" s="35"/>
      <c r="O163" s="35"/>
      <c r="P163" s="35"/>
      <c r="Q163" s="35"/>
      <c r="R163" s="35"/>
      <c r="S163" s="35"/>
      <c r="T163" s="35"/>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c r="AS163" s="35"/>
      <c r="AT163" s="35"/>
      <c r="AU163" s="35"/>
      <c r="AV163" s="35"/>
      <c r="AW163" s="35"/>
      <c r="AX163" s="35"/>
      <c r="AY163" s="35"/>
      <c r="AZ163" s="35"/>
      <c r="BA163" s="35"/>
      <c r="BB163" s="35"/>
      <c r="BC163" s="35"/>
      <c r="BD163" s="35"/>
      <c r="BE163" s="35"/>
      <c r="BF163" s="35"/>
      <c r="BG163" s="35"/>
      <c r="BH163" s="35"/>
      <c r="BI163" s="35"/>
      <c r="BJ163" s="35"/>
      <c r="BK163" s="35"/>
      <c r="BL163" s="35"/>
      <c r="BM163" s="35"/>
      <c r="BN163" s="35"/>
      <c r="BO163" s="35"/>
      <c r="BP163" s="35"/>
      <c r="BQ163" s="35"/>
      <c r="BR163" s="35"/>
      <c r="BS163" s="35"/>
      <c r="BT163" s="35"/>
      <c r="BU163" s="35"/>
      <c r="BV163" s="35"/>
      <c r="BW163" s="35"/>
      <c r="BX163" s="35"/>
      <c r="BY163" s="35"/>
      <c r="BZ163" s="35"/>
      <c r="CA163" s="35"/>
      <c r="CB163" s="35"/>
      <c r="CC163" s="35"/>
      <c r="CD163" s="35"/>
      <c r="CE163" s="35"/>
      <c r="CF163" s="35"/>
      <c r="CG163" s="35"/>
      <c r="CH163" s="35"/>
      <c r="CI163" s="35"/>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row>
    <row r="164" spans="1:114" x14ac:dyDescent="0.25">
      <c r="A164" s="34"/>
      <c r="B164" s="34"/>
      <c r="C164" s="34"/>
      <c r="D164" s="34"/>
      <c r="E164" s="34"/>
      <c r="F164" s="34"/>
      <c r="G164" s="34"/>
      <c r="H164" s="34"/>
      <c r="I164" s="34"/>
      <c r="J164" s="34"/>
      <c r="K164" s="37"/>
      <c r="L164" s="37"/>
      <c r="M164" s="37"/>
      <c r="N164" s="35"/>
      <c r="O164" s="35"/>
      <c r="P164" s="35"/>
      <c r="Q164" s="35"/>
      <c r="R164" s="35"/>
      <c r="S164" s="35"/>
      <c r="T164" s="35"/>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c r="AS164" s="35"/>
      <c r="AT164" s="35"/>
      <c r="AU164" s="35"/>
      <c r="AV164" s="35"/>
      <c r="AW164" s="35"/>
      <c r="AX164" s="35"/>
      <c r="AY164" s="35"/>
      <c r="AZ164" s="35"/>
      <c r="BA164" s="35"/>
      <c r="BB164" s="35"/>
      <c r="BC164" s="35"/>
      <c r="BD164" s="35"/>
      <c r="BE164" s="35"/>
      <c r="BF164" s="35"/>
      <c r="BG164" s="35"/>
      <c r="BH164" s="35"/>
      <c r="BI164" s="35"/>
      <c r="BJ164" s="35"/>
      <c r="BK164" s="35"/>
      <c r="BL164" s="35"/>
      <c r="BM164" s="35"/>
      <c r="BN164" s="35"/>
      <c r="BO164" s="35"/>
      <c r="BP164" s="35"/>
      <c r="BQ164" s="35"/>
      <c r="BR164" s="35"/>
      <c r="BS164" s="35"/>
      <c r="BT164" s="35"/>
      <c r="BU164" s="35"/>
      <c r="BV164" s="35"/>
      <c r="BW164" s="35"/>
      <c r="BX164" s="35"/>
      <c r="BY164" s="35"/>
      <c r="BZ164" s="35"/>
      <c r="CA164" s="35"/>
      <c r="CB164" s="35"/>
      <c r="CC164" s="35"/>
      <c r="CD164" s="35"/>
      <c r="CE164" s="35"/>
      <c r="CF164" s="35"/>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row>
    <row r="165" spans="1:114" x14ac:dyDescent="0.25">
      <c r="A165" s="34"/>
      <c r="B165" s="34"/>
      <c r="C165" s="34"/>
      <c r="D165" s="34"/>
      <c r="E165" s="34"/>
      <c r="F165" s="34"/>
      <c r="G165" s="34"/>
      <c r="H165" s="34"/>
      <c r="I165" s="34"/>
      <c r="J165" s="34"/>
      <c r="K165" s="37"/>
      <c r="L165" s="37"/>
      <c r="M165" s="37"/>
      <c r="N165" s="35"/>
      <c r="O165" s="35"/>
      <c r="P165" s="35"/>
      <c r="Q165" s="35"/>
      <c r="R165" s="35"/>
      <c r="S165" s="35"/>
      <c r="T165" s="35"/>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c r="AS165" s="35"/>
      <c r="AT165" s="35"/>
      <c r="AU165" s="35"/>
      <c r="AV165" s="35"/>
      <c r="AW165" s="35"/>
      <c r="AX165" s="35"/>
      <c r="AY165" s="35"/>
      <c r="AZ165" s="35"/>
      <c r="BA165" s="35"/>
      <c r="BB165" s="35"/>
      <c r="BC165" s="35"/>
      <c r="BD165" s="35"/>
      <c r="BE165" s="35"/>
      <c r="BF165" s="35"/>
      <c r="BG165" s="35"/>
      <c r="BH165" s="35"/>
      <c r="BI165" s="35"/>
      <c r="BJ165" s="35"/>
      <c r="BK165" s="35"/>
      <c r="BL165" s="35"/>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35"/>
      <c r="CY165" s="35"/>
      <c r="CZ165" s="35"/>
      <c r="DA165" s="35"/>
      <c r="DB165" s="35"/>
      <c r="DC165" s="35"/>
      <c r="DD165" s="35"/>
      <c r="DE165" s="35"/>
      <c r="DF165" s="35"/>
      <c r="DG165" s="35"/>
      <c r="DH165" s="35"/>
      <c r="DI165" s="35"/>
      <c r="DJ165" s="35"/>
    </row>
    <row r="166" spans="1:114" x14ac:dyDescent="0.25">
      <c r="A166" s="34"/>
      <c r="B166" s="34"/>
      <c r="C166" s="34"/>
      <c r="D166" s="34"/>
      <c r="E166" s="34"/>
      <c r="F166" s="34"/>
      <c r="G166" s="34"/>
      <c r="H166" s="34"/>
      <c r="I166" s="34"/>
      <c r="J166" s="34"/>
      <c r="K166" s="37"/>
      <c r="L166" s="37"/>
      <c r="M166" s="37"/>
      <c r="N166" s="35"/>
      <c r="O166" s="35"/>
      <c r="P166" s="35"/>
      <c r="Q166" s="35"/>
      <c r="R166" s="35"/>
      <c r="S166" s="35"/>
      <c r="T166" s="35"/>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c r="AS166" s="35"/>
      <c r="AT166" s="35"/>
      <c r="AU166" s="35"/>
      <c r="AV166" s="35"/>
      <c r="AW166" s="35"/>
      <c r="AX166" s="35"/>
      <c r="AY166" s="35"/>
      <c r="AZ166" s="35"/>
      <c r="BA166" s="35"/>
      <c r="BB166" s="35"/>
      <c r="BC166" s="35"/>
      <c r="BD166" s="35"/>
      <c r="BE166" s="35"/>
      <c r="BF166" s="35"/>
      <c r="BG166" s="35"/>
      <c r="BH166" s="35"/>
      <c r="BI166" s="35"/>
      <c r="BJ166" s="35"/>
      <c r="BK166" s="35"/>
      <c r="BL166" s="35"/>
      <c r="BM166" s="35"/>
      <c r="BN166" s="35"/>
      <c r="BO166" s="35"/>
      <c r="BP166" s="35"/>
      <c r="BQ166" s="35"/>
      <c r="BR166" s="35"/>
      <c r="BS166" s="35"/>
      <c r="BT166" s="35"/>
      <c r="BU166" s="35"/>
      <c r="BV166" s="35"/>
      <c r="BW166" s="35"/>
      <c r="BX166" s="35"/>
      <c r="BY166" s="35"/>
      <c r="BZ166" s="35"/>
      <c r="CA166" s="35"/>
      <c r="CB166" s="35"/>
      <c r="CC166" s="35"/>
      <c r="CD166" s="35"/>
      <c r="CE166" s="35"/>
      <c r="CF166" s="35"/>
      <c r="CG166" s="35"/>
      <c r="CH166" s="35"/>
      <c r="CI166" s="35"/>
      <c r="CJ166" s="35"/>
      <c r="CK166" s="35"/>
      <c r="CL166" s="35"/>
      <c r="CM166" s="35"/>
      <c r="CN166" s="35"/>
      <c r="CO166" s="35"/>
      <c r="CP166" s="35"/>
      <c r="CQ166" s="35"/>
      <c r="CR166" s="35"/>
      <c r="CS166" s="35"/>
      <c r="CT166" s="35"/>
      <c r="CU166" s="35"/>
      <c r="CV166" s="35"/>
      <c r="CW166" s="35"/>
      <c r="CX166" s="35"/>
      <c r="CY166" s="35"/>
      <c r="CZ166" s="35"/>
      <c r="DA166" s="35"/>
      <c r="DB166" s="35"/>
      <c r="DC166" s="35"/>
      <c r="DD166" s="35"/>
      <c r="DE166" s="35"/>
      <c r="DF166" s="35"/>
      <c r="DG166" s="35"/>
      <c r="DH166" s="35"/>
      <c r="DI166" s="35"/>
      <c r="DJ166" s="35"/>
    </row>
    <row r="167" spans="1:114" x14ac:dyDescent="0.25">
      <c r="A167" s="34"/>
      <c r="B167" s="34"/>
      <c r="C167" s="34"/>
      <c r="D167" s="34"/>
      <c r="E167" s="34"/>
      <c r="F167" s="34"/>
      <c r="G167" s="34"/>
      <c r="H167" s="34"/>
      <c r="I167" s="34"/>
      <c r="J167" s="34"/>
      <c r="K167" s="37"/>
      <c r="L167" s="37"/>
      <c r="M167" s="37"/>
      <c r="N167" s="35"/>
      <c r="O167" s="35"/>
      <c r="P167" s="35"/>
      <c r="Q167" s="35"/>
      <c r="R167" s="35"/>
      <c r="S167" s="35"/>
      <c r="T167" s="35"/>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c r="AS167" s="35"/>
      <c r="AT167" s="35"/>
      <c r="AU167" s="35"/>
      <c r="AV167" s="35"/>
      <c r="AW167" s="35"/>
      <c r="AX167" s="35"/>
      <c r="AY167" s="35"/>
      <c r="AZ167" s="35"/>
      <c r="BA167" s="35"/>
      <c r="BB167" s="35"/>
      <c r="BC167" s="35"/>
      <c r="BD167" s="35"/>
      <c r="BE167" s="35"/>
      <c r="BF167" s="35"/>
      <c r="BG167" s="35"/>
      <c r="BH167" s="35"/>
      <c r="BI167" s="35"/>
      <c r="BJ167" s="35"/>
      <c r="BK167" s="35"/>
      <c r="BL167" s="35"/>
      <c r="BM167" s="35"/>
      <c r="BN167" s="35"/>
      <c r="BO167" s="35"/>
      <c r="BP167" s="35"/>
      <c r="BQ167" s="35"/>
      <c r="BR167" s="35"/>
      <c r="BS167" s="35"/>
      <c r="BT167" s="35"/>
      <c r="BU167" s="35"/>
      <c r="BV167" s="35"/>
      <c r="BW167" s="35"/>
      <c r="BX167" s="35"/>
      <c r="BY167" s="35"/>
      <c r="BZ167" s="35"/>
      <c r="CA167" s="35"/>
      <c r="CB167" s="35"/>
      <c r="CC167" s="35"/>
      <c r="CD167" s="35"/>
      <c r="CE167" s="35"/>
      <c r="CF167" s="35"/>
      <c r="CG167" s="35"/>
      <c r="CH167" s="35"/>
      <c r="CI167" s="35"/>
      <c r="CJ167" s="35"/>
      <c r="CK167" s="35"/>
      <c r="CL167" s="35"/>
      <c r="CM167" s="35"/>
      <c r="CN167" s="35"/>
      <c r="CO167" s="35"/>
      <c r="CP167" s="35"/>
      <c r="CQ167" s="35"/>
      <c r="CR167" s="35"/>
      <c r="CS167" s="35"/>
      <c r="CT167" s="35"/>
      <c r="CU167" s="35"/>
      <c r="CV167" s="35"/>
      <c r="CW167" s="35"/>
      <c r="CX167" s="35"/>
      <c r="CY167" s="35"/>
      <c r="CZ167" s="35"/>
      <c r="DA167" s="35"/>
      <c r="DB167" s="35"/>
      <c r="DC167" s="35"/>
      <c r="DD167" s="35"/>
      <c r="DE167" s="35"/>
      <c r="DF167" s="35"/>
      <c r="DG167" s="35"/>
      <c r="DH167" s="35"/>
      <c r="DI167" s="35"/>
      <c r="DJ167" s="35"/>
    </row>
    <row r="168" spans="1:114" x14ac:dyDescent="0.25">
      <c r="A168" s="34"/>
      <c r="B168" s="34"/>
      <c r="C168" s="34"/>
      <c r="D168" s="34"/>
      <c r="E168" s="34"/>
      <c r="F168" s="34"/>
      <c r="G168" s="34"/>
      <c r="H168" s="34"/>
      <c r="I168" s="34"/>
      <c r="J168" s="34"/>
      <c r="K168" s="37"/>
      <c r="L168" s="37"/>
      <c r="M168" s="37"/>
      <c r="N168" s="35"/>
      <c r="O168" s="35"/>
      <c r="P168" s="35"/>
      <c r="Q168" s="35"/>
      <c r="R168" s="35"/>
      <c r="S168" s="35"/>
      <c r="T168" s="35"/>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c r="AS168" s="35"/>
      <c r="AT168" s="35"/>
      <c r="AU168" s="35"/>
      <c r="AV168" s="35"/>
      <c r="AW168" s="35"/>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5"/>
      <c r="BU168" s="35"/>
      <c r="BV168" s="35"/>
      <c r="BW168" s="35"/>
      <c r="BX168" s="35"/>
      <c r="BY168" s="35"/>
      <c r="BZ168" s="35"/>
      <c r="CA168" s="35"/>
      <c r="CB168" s="35"/>
      <c r="CC168" s="35"/>
      <c r="CD168" s="35"/>
      <c r="CE168" s="35"/>
      <c r="CF168" s="35"/>
      <c r="CG168" s="35"/>
      <c r="CH168" s="35"/>
      <c r="CI168" s="35"/>
      <c r="CJ168" s="35"/>
      <c r="CK168" s="35"/>
      <c r="CL168" s="35"/>
      <c r="CM168" s="35"/>
      <c r="CN168" s="35"/>
      <c r="CO168" s="35"/>
      <c r="CP168" s="35"/>
      <c r="CQ168" s="35"/>
      <c r="CR168" s="35"/>
      <c r="CS168" s="35"/>
      <c r="CT168" s="35"/>
      <c r="CU168" s="35"/>
      <c r="CV168" s="35"/>
      <c r="CW168" s="35"/>
      <c r="CX168" s="35"/>
      <c r="CY168" s="35"/>
      <c r="CZ168" s="35"/>
      <c r="DA168" s="35"/>
      <c r="DB168" s="35"/>
      <c r="DC168" s="35"/>
      <c r="DD168" s="35"/>
      <c r="DE168" s="35"/>
      <c r="DF168" s="35"/>
      <c r="DG168" s="35"/>
      <c r="DH168" s="35"/>
      <c r="DI168" s="35"/>
      <c r="DJ168" s="35"/>
    </row>
    <row r="169" spans="1:114" x14ac:dyDescent="0.25">
      <c r="A169" s="34"/>
      <c r="B169" s="34"/>
      <c r="C169" s="34"/>
      <c r="D169" s="34"/>
      <c r="E169" s="34"/>
      <c r="F169" s="34"/>
      <c r="G169" s="34"/>
      <c r="H169" s="34"/>
      <c r="I169" s="34"/>
      <c r="J169" s="34"/>
      <c r="K169" s="37"/>
      <c r="L169" s="37"/>
      <c r="M169" s="37"/>
      <c r="N169" s="35"/>
      <c r="O169" s="35"/>
      <c r="P169" s="35"/>
      <c r="Q169" s="35"/>
      <c r="R169" s="35"/>
      <c r="S169" s="35"/>
      <c r="T169" s="35"/>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row>
    <row r="170" spans="1:114" x14ac:dyDescent="0.25">
      <c r="A170" s="34"/>
      <c r="B170" s="34"/>
      <c r="C170" s="34"/>
      <c r="D170" s="34"/>
      <c r="E170" s="34"/>
      <c r="F170" s="34"/>
      <c r="G170" s="34"/>
      <c r="H170" s="34"/>
      <c r="I170" s="34"/>
      <c r="J170" s="34"/>
      <c r="K170" s="37"/>
      <c r="L170" s="37"/>
      <c r="M170" s="37"/>
      <c r="N170" s="35"/>
      <c r="O170" s="35"/>
      <c r="P170" s="35"/>
      <c r="Q170" s="35"/>
      <c r="R170" s="35"/>
      <c r="S170" s="35"/>
      <c r="T170" s="35"/>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c r="AS170" s="35"/>
      <c r="AT170" s="35"/>
      <c r="AU170" s="35"/>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5"/>
      <c r="BU170" s="35"/>
      <c r="BV170" s="35"/>
      <c r="BW170" s="35"/>
      <c r="BX170" s="35"/>
      <c r="BY170" s="35"/>
      <c r="BZ170" s="35"/>
      <c r="CA170" s="35"/>
      <c r="CB170" s="35"/>
      <c r="CC170" s="35"/>
      <c r="CD170" s="35"/>
      <c r="CE170" s="35"/>
      <c r="CF170" s="35"/>
      <c r="CG170" s="35"/>
      <c r="CH170" s="35"/>
      <c r="CI170" s="35"/>
      <c r="CJ170" s="35"/>
      <c r="CK170" s="35"/>
      <c r="CL170" s="35"/>
      <c r="CM170" s="35"/>
      <c r="CN170" s="35"/>
      <c r="CO170" s="35"/>
      <c r="CP170" s="35"/>
      <c r="CQ170" s="35"/>
      <c r="CR170" s="35"/>
      <c r="CS170" s="35"/>
      <c r="CT170" s="35"/>
      <c r="CU170" s="35"/>
      <c r="CV170" s="35"/>
      <c r="CW170" s="35"/>
      <c r="CX170" s="35"/>
      <c r="CY170" s="35"/>
      <c r="CZ170" s="35"/>
      <c r="DA170" s="35"/>
      <c r="DB170" s="35"/>
      <c r="DC170" s="35"/>
      <c r="DD170" s="35"/>
      <c r="DE170" s="35"/>
      <c r="DF170" s="35"/>
      <c r="DG170" s="35"/>
      <c r="DH170" s="35"/>
      <c r="DI170" s="35"/>
      <c r="DJ170" s="35"/>
    </row>
    <row r="171" spans="1:114" x14ac:dyDescent="0.25">
      <c r="A171" s="34"/>
      <c r="B171" s="34"/>
      <c r="C171" s="34"/>
      <c r="D171" s="34"/>
      <c r="E171" s="34"/>
      <c r="F171" s="34"/>
      <c r="G171" s="34"/>
      <c r="H171" s="34"/>
      <c r="I171" s="34"/>
      <c r="J171" s="34"/>
      <c r="K171" s="37"/>
      <c r="L171" s="37"/>
      <c r="M171" s="37"/>
      <c r="N171" s="35"/>
      <c r="O171" s="35"/>
      <c r="P171" s="35"/>
      <c r="Q171" s="35"/>
      <c r="R171" s="35"/>
      <c r="S171" s="35"/>
      <c r="T171" s="35"/>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c r="AS171" s="35"/>
      <c r="AT171" s="35"/>
      <c r="AU171" s="35"/>
      <c r="AV171" s="35"/>
      <c r="AW171" s="35"/>
      <c r="AX171" s="35"/>
      <c r="AY171" s="35"/>
      <c r="AZ171" s="35"/>
      <c r="BA171" s="35"/>
      <c r="BB171" s="35"/>
      <c r="BC171" s="35"/>
      <c r="BD171" s="35"/>
      <c r="BE171" s="35"/>
      <c r="BF171" s="35"/>
      <c r="BG171" s="35"/>
      <c r="BH171" s="35"/>
      <c r="BI171" s="35"/>
      <c r="BJ171" s="35"/>
      <c r="BK171" s="35"/>
      <c r="BL171" s="35"/>
      <c r="BM171" s="35"/>
      <c r="BN171" s="35"/>
      <c r="BO171" s="35"/>
      <c r="BP171" s="35"/>
      <c r="BQ171" s="35"/>
      <c r="BR171" s="35"/>
      <c r="BS171" s="35"/>
      <c r="BT171" s="35"/>
      <c r="BU171" s="35"/>
      <c r="BV171" s="35"/>
      <c r="BW171" s="35"/>
      <c r="BX171" s="35"/>
      <c r="BY171" s="35"/>
      <c r="BZ171" s="35"/>
      <c r="CA171" s="35"/>
      <c r="CB171" s="35"/>
      <c r="CC171" s="35"/>
      <c r="CD171" s="35"/>
      <c r="CE171" s="35"/>
      <c r="CF171" s="35"/>
      <c r="CG171" s="35"/>
      <c r="CH171" s="35"/>
      <c r="CI171" s="35"/>
      <c r="CJ171" s="35"/>
      <c r="CK171" s="35"/>
      <c r="CL171" s="35"/>
      <c r="CM171" s="35"/>
      <c r="CN171" s="35"/>
      <c r="CO171" s="35"/>
      <c r="CP171" s="35"/>
      <c r="CQ171" s="35"/>
      <c r="CR171" s="35"/>
      <c r="CS171" s="35"/>
      <c r="CT171" s="35"/>
      <c r="CU171" s="35"/>
      <c r="CV171" s="35"/>
      <c r="CW171" s="35"/>
      <c r="CX171" s="35"/>
      <c r="CY171" s="35"/>
      <c r="CZ171" s="35"/>
      <c r="DA171" s="35"/>
      <c r="DB171" s="35"/>
      <c r="DC171" s="35"/>
      <c r="DD171" s="35"/>
      <c r="DE171" s="35"/>
      <c r="DF171" s="35"/>
      <c r="DG171" s="35"/>
      <c r="DH171" s="35"/>
      <c r="DI171" s="35"/>
      <c r="DJ171" s="35"/>
    </row>
    <row r="172" spans="1:114" x14ac:dyDescent="0.25">
      <c r="A172" s="34"/>
      <c r="B172" s="34"/>
      <c r="C172" s="34"/>
      <c r="D172" s="34"/>
      <c r="E172" s="34"/>
      <c r="F172" s="34"/>
      <c r="G172" s="34"/>
      <c r="H172" s="34"/>
      <c r="I172" s="34"/>
      <c r="J172" s="34"/>
      <c r="K172" s="37"/>
      <c r="L172" s="37"/>
      <c r="M172" s="37"/>
      <c r="N172" s="35"/>
      <c r="O172" s="35"/>
      <c r="P172" s="35"/>
      <c r="Q172" s="35"/>
      <c r="R172" s="35"/>
      <c r="S172" s="35"/>
      <c r="T172" s="35"/>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c r="AS172" s="35"/>
      <c r="AT172" s="35"/>
      <c r="AU172" s="35"/>
      <c r="AV172" s="35"/>
      <c r="AW172" s="35"/>
      <c r="AX172" s="35"/>
      <c r="AY172" s="35"/>
      <c r="AZ172" s="35"/>
      <c r="BA172" s="35"/>
      <c r="BB172" s="35"/>
      <c r="BC172" s="35"/>
      <c r="BD172" s="35"/>
      <c r="BE172" s="35"/>
      <c r="BF172" s="35"/>
      <c r="BG172" s="35"/>
      <c r="BH172" s="35"/>
      <c r="BI172" s="35"/>
      <c r="BJ172" s="35"/>
      <c r="BK172" s="35"/>
      <c r="BL172" s="35"/>
      <c r="BM172" s="35"/>
      <c r="BN172" s="35"/>
      <c r="BO172" s="35"/>
      <c r="BP172" s="35"/>
      <c r="BQ172" s="35"/>
      <c r="BR172" s="35"/>
      <c r="BS172" s="35"/>
      <c r="BT172" s="35"/>
      <c r="BU172" s="35"/>
      <c r="BV172" s="35"/>
      <c r="BW172" s="35"/>
      <c r="BX172" s="35"/>
      <c r="BY172" s="35"/>
      <c r="BZ172" s="35"/>
      <c r="CA172" s="35"/>
      <c r="CB172" s="35"/>
      <c r="CC172" s="35"/>
      <c r="CD172" s="35"/>
      <c r="CE172" s="35"/>
      <c r="CF172" s="35"/>
      <c r="CG172" s="35"/>
      <c r="CH172" s="35"/>
      <c r="CI172" s="35"/>
      <c r="CJ172" s="35"/>
      <c r="CK172" s="35"/>
      <c r="CL172" s="35"/>
      <c r="CM172" s="35"/>
      <c r="CN172" s="35"/>
      <c r="CO172" s="35"/>
      <c r="CP172" s="35"/>
      <c r="CQ172" s="35"/>
      <c r="CR172" s="35"/>
      <c r="CS172" s="35"/>
      <c r="CT172" s="35"/>
      <c r="CU172" s="35"/>
      <c r="CV172" s="35"/>
      <c r="CW172" s="35"/>
      <c r="CX172" s="35"/>
      <c r="CY172" s="35"/>
      <c r="CZ172" s="35"/>
      <c r="DA172" s="35"/>
      <c r="DB172" s="35"/>
      <c r="DC172" s="35"/>
      <c r="DD172" s="35"/>
      <c r="DE172" s="35"/>
      <c r="DF172" s="35"/>
      <c r="DG172" s="35"/>
      <c r="DH172" s="35"/>
      <c r="DI172" s="35"/>
      <c r="DJ172" s="35"/>
    </row>
    <row r="173" spans="1:114" x14ac:dyDescent="0.25">
      <c r="A173" s="34"/>
      <c r="B173" s="34"/>
      <c r="C173" s="34"/>
      <c r="D173" s="34"/>
      <c r="E173" s="34"/>
      <c r="F173" s="34"/>
      <c r="G173" s="34"/>
      <c r="H173" s="34"/>
      <c r="I173" s="34"/>
      <c r="J173" s="34"/>
      <c r="K173" s="34"/>
      <c r="L173" s="34"/>
      <c r="M173" s="34"/>
      <c r="N173" s="35"/>
      <c r="O173" s="35"/>
      <c r="P173" s="35"/>
      <c r="Q173" s="35"/>
      <c r="R173" s="35"/>
      <c r="S173" s="35"/>
      <c r="T173" s="35"/>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c r="AS173" s="35"/>
      <c r="AT173" s="35"/>
      <c r="AU173" s="35"/>
      <c r="AV173" s="35"/>
      <c r="AW173" s="35"/>
      <c r="AX173" s="35"/>
      <c r="AY173" s="35"/>
      <c r="AZ173" s="35"/>
      <c r="BA173" s="35"/>
      <c r="BB173" s="35"/>
      <c r="BC173" s="35"/>
      <c r="BD173" s="35"/>
      <c r="BE173" s="35"/>
      <c r="BF173" s="35"/>
      <c r="BG173" s="35"/>
      <c r="BH173" s="35"/>
      <c r="BI173" s="35"/>
      <c r="BJ173" s="35"/>
      <c r="BK173" s="35"/>
      <c r="BL173" s="35"/>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35"/>
      <c r="CY173" s="35"/>
      <c r="CZ173" s="35"/>
      <c r="DA173" s="35"/>
      <c r="DB173" s="35"/>
      <c r="DC173" s="35"/>
      <c r="DD173" s="35"/>
      <c r="DE173" s="35"/>
      <c r="DF173" s="35"/>
      <c r="DG173" s="35"/>
      <c r="DH173" s="35"/>
      <c r="DI173" s="35"/>
      <c r="DJ173" s="35"/>
    </row>
    <row r="174" spans="1:114" x14ac:dyDescent="0.25">
      <c r="A174" s="34"/>
      <c r="B174" s="34"/>
      <c r="C174" s="34"/>
      <c r="D174" s="34"/>
      <c r="E174" s="34"/>
      <c r="F174" s="34"/>
      <c r="G174" s="34"/>
      <c r="H174" s="34"/>
      <c r="I174" s="34"/>
      <c r="J174" s="34"/>
      <c r="K174" s="34"/>
      <c r="L174" s="34"/>
      <c r="M174" s="34"/>
      <c r="N174" s="35"/>
      <c r="O174" s="35"/>
      <c r="P174" s="35"/>
      <c r="Q174" s="35"/>
      <c r="R174" s="35"/>
      <c r="S174" s="35"/>
      <c r="T174" s="35"/>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c r="AS174" s="35"/>
      <c r="AT174" s="35"/>
      <c r="AU174" s="35"/>
      <c r="AV174" s="35"/>
      <c r="AW174" s="35"/>
      <c r="AX174" s="35"/>
      <c r="AY174" s="35"/>
      <c r="AZ174" s="35"/>
      <c r="BA174" s="35"/>
      <c r="BB174" s="35"/>
      <c r="BC174" s="35"/>
      <c r="BD174" s="35"/>
      <c r="BE174" s="35"/>
      <c r="BF174" s="35"/>
      <c r="BG174" s="35"/>
      <c r="BH174" s="35"/>
      <c r="BI174" s="35"/>
      <c r="BJ174" s="35"/>
      <c r="BK174" s="35"/>
      <c r="BL174" s="35"/>
      <c r="BM174" s="35"/>
      <c r="BN174" s="35"/>
      <c r="BO174" s="35"/>
      <c r="BP174" s="35"/>
      <c r="BQ174" s="35"/>
      <c r="BR174" s="35"/>
      <c r="BS174" s="35"/>
      <c r="BT174" s="35"/>
      <c r="BU174" s="35"/>
      <c r="BV174" s="35"/>
      <c r="BW174" s="35"/>
      <c r="BX174" s="35"/>
      <c r="BY174" s="35"/>
      <c r="BZ174" s="35"/>
      <c r="CA174" s="35"/>
      <c r="CB174" s="35"/>
      <c r="CC174" s="35"/>
      <c r="CD174" s="35"/>
      <c r="CE174" s="35"/>
      <c r="CF174" s="35"/>
      <c r="CG174" s="35"/>
      <c r="CH174" s="35"/>
      <c r="CI174" s="35"/>
      <c r="CJ174" s="35"/>
      <c r="CK174" s="35"/>
      <c r="CL174" s="35"/>
      <c r="CM174" s="35"/>
      <c r="CN174" s="35"/>
      <c r="CO174" s="35"/>
      <c r="CP174" s="35"/>
      <c r="CQ174" s="35"/>
      <c r="CR174" s="35"/>
      <c r="CS174" s="35"/>
      <c r="CT174" s="35"/>
      <c r="CU174" s="35"/>
      <c r="CV174" s="35"/>
      <c r="CW174" s="35"/>
      <c r="CX174" s="35"/>
      <c r="CY174" s="35"/>
      <c r="CZ174" s="35"/>
      <c r="DA174" s="35"/>
      <c r="DB174" s="35"/>
      <c r="DC174" s="35"/>
      <c r="DD174" s="35"/>
      <c r="DE174" s="35"/>
      <c r="DF174" s="35"/>
      <c r="DG174" s="35"/>
      <c r="DH174" s="35"/>
      <c r="DI174" s="35"/>
      <c r="DJ174" s="35"/>
    </row>
    <row r="175" spans="1:114" x14ac:dyDescent="0.25">
      <c r="A175" s="34"/>
      <c r="B175" s="34"/>
      <c r="C175" s="34"/>
      <c r="D175" s="34"/>
      <c r="E175" s="34"/>
      <c r="F175" s="34"/>
      <c r="G175" s="34"/>
      <c r="H175" s="34"/>
      <c r="I175" s="34"/>
      <c r="J175" s="34"/>
      <c r="K175" s="34"/>
      <c r="L175" s="34"/>
      <c r="M175" s="34"/>
      <c r="N175" s="35"/>
      <c r="O175" s="35"/>
      <c r="P175" s="35"/>
      <c r="Q175" s="35"/>
      <c r="R175" s="35"/>
      <c r="S175" s="35"/>
      <c r="T175" s="35"/>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row>
    <row r="176" spans="1:114" x14ac:dyDescent="0.25">
      <c r="A176" s="34"/>
      <c r="B176" s="34"/>
      <c r="C176" s="34"/>
      <c r="D176" s="34"/>
      <c r="E176" s="34"/>
      <c r="F176" s="34"/>
      <c r="G176" s="34"/>
      <c r="H176" s="34"/>
      <c r="I176" s="34"/>
      <c r="J176" s="34"/>
      <c r="K176" s="34"/>
      <c r="L176" s="34"/>
      <c r="M176" s="34"/>
      <c r="N176" s="35"/>
      <c r="O176" s="35"/>
      <c r="P176" s="35"/>
      <c r="Q176" s="35"/>
      <c r="R176" s="35"/>
      <c r="S176" s="35"/>
      <c r="T176" s="35"/>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row>
    <row r="177" spans="1:114" x14ac:dyDescent="0.25">
      <c r="A177" s="34"/>
      <c r="B177" s="34"/>
      <c r="C177" s="34"/>
      <c r="D177" s="34"/>
      <c r="E177" s="34"/>
      <c r="F177" s="34"/>
      <c r="G177" s="34"/>
      <c r="H177" s="34"/>
      <c r="I177" s="34"/>
      <c r="J177" s="34"/>
      <c r="K177" s="34"/>
      <c r="L177" s="34"/>
      <c r="M177" s="34"/>
      <c r="N177" s="35"/>
      <c r="O177" s="35"/>
      <c r="P177" s="35"/>
      <c r="Q177" s="35"/>
      <c r="R177" s="35"/>
      <c r="S177" s="35"/>
      <c r="T177" s="35"/>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row>
    <row r="178" spans="1:114" x14ac:dyDescent="0.25">
      <c r="A178" s="34"/>
      <c r="B178" s="34"/>
      <c r="C178" s="34"/>
      <c r="D178" s="34"/>
      <c r="E178" s="34"/>
      <c r="F178" s="34"/>
      <c r="G178" s="34"/>
      <c r="H178" s="34"/>
      <c r="I178" s="34"/>
      <c r="J178" s="34"/>
      <c r="K178" s="34"/>
      <c r="L178" s="34"/>
      <c r="M178" s="34"/>
      <c r="N178" s="35"/>
      <c r="O178" s="35"/>
      <c r="P178" s="35"/>
      <c r="Q178" s="35"/>
      <c r="R178" s="35"/>
      <c r="S178" s="35"/>
      <c r="T178" s="35"/>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row>
    <row r="179" spans="1:114" x14ac:dyDescent="0.25">
      <c r="A179" s="34"/>
      <c r="B179" s="34"/>
      <c r="C179" s="34"/>
      <c r="D179" s="34"/>
      <c r="E179" s="34"/>
      <c r="F179" s="34"/>
      <c r="G179" s="34"/>
      <c r="H179" s="34"/>
      <c r="I179" s="34"/>
      <c r="J179" s="34"/>
      <c r="K179" s="34"/>
      <c r="L179" s="34"/>
      <c r="M179" s="34"/>
      <c r="N179" s="35"/>
      <c r="O179" s="35"/>
      <c r="P179" s="35"/>
      <c r="Q179" s="35"/>
      <c r="R179" s="35"/>
      <c r="S179" s="35"/>
      <c r="T179" s="35"/>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row>
    <row r="180" spans="1:114" x14ac:dyDescent="0.25">
      <c r="A180" s="34"/>
      <c r="B180" s="34"/>
      <c r="C180" s="34"/>
      <c r="D180" s="34"/>
      <c r="E180" s="34"/>
      <c r="F180" s="34"/>
      <c r="G180" s="34"/>
      <c r="H180" s="34"/>
      <c r="I180" s="34"/>
      <c r="J180" s="34"/>
      <c r="K180" s="34"/>
      <c r="L180" s="34"/>
      <c r="M180" s="34"/>
      <c r="N180" s="35"/>
      <c r="O180" s="35"/>
      <c r="P180" s="35"/>
      <c r="Q180" s="35"/>
      <c r="R180" s="35"/>
      <c r="S180" s="35"/>
      <c r="T180" s="35"/>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row>
    <row r="181" spans="1:114" x14ac:dyDescent="0.25">
      <c r="A181" s="34"/>
      <c r="B181" s="34"/>
      <c r="C181" s="34"/>
      <c r="D181" s="34"/>
      <c r="E181" s="34"/>
      <c r="F181" s="34"/>
      <c r="G181" s="34"/>
      <c r="H181" s="34"/>
      <c r="I181" s="34"/>
      <c r="J181" s="34"/>
      <c r="K181" s="34"/>
      <c r="L181" s="34"/>
      <c r="M181" s="34"/>
      <c r="N181" s="35"/>
      <c r="O181" s="35"/>
      <c r="P181" s="35"/>
      <c r="Q181" s="35"/>
      <c r="R181" s="35"/>
      <c r="S181" s="35"/>
      <c r="T181" s="35"/>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c r="AS181" s="35"/>
      <c r="AT181" s="35"/>
      <c r="AU181" s="35"/>
      <c r="AV181" s="35"/>
      <c r="AW181" s="35"/>
      <c r="AX181" s="35"/>
      <c r="AY181" s="35"/>
      <c r="AZ181" s="35"/>
      <c r="BA181" s="35"/>
      <c r="BB181" s="35"/>
      <c r="BC181" s="35"/>
      <c r="BD181" s="35"/>
      <c r="BE181" s="35"/>
      <c r="BF181" s="35"/>
      <c r="BG181" s="35"/>
      <c r="BH181" s="35"/>
      <c r="BI181" s="35"/>
      <c r="BJ181" s="35"/>
      <c r="BK181" s="35"/>
      <c r="BL181" s="35"/>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35"/>
      <c r="CY181" s="35"/>
      <c r="CZ181" s="35"/>
      <c r="DA181" s="35"/>
      <c r="DB181" s="35"/>
      <c r="DC181" s="35"/>
      <c r="DD181" s="35"/>
      <c r="DE181" s="35"/>
      <c r="DF181" s="35"/>
      <c r="DG181" s="35"/>
      <c r="DH181" s="35"/>
      <c r="DI181" s="35"/>
      <c r="DJ181" s="35"/>
    </row>
    <row r="182" spans="1:114" x14ac:dyDescent="0.25">
      <c r="A182" s="34"/>
      <c r="B182" s="34"/>
      <c r="C182" s="34"/>
      <c r="D182" s="34"/>
      <c r="E182" s="34"/>
      <c r="F182" s="34"/>
      <c r="G182" s="34"/>
      <c r="H182" s="34"/>
      <c r="I182" s="34"/>
      <c r="J182" s="34"/>
      <c r="K182" s="34"/>
      <c r="L182" s="34"/>
      <c r="M182" s="34"/>
      <c r="N182" s="35"/>
      <c r="O182" s="35"/>
      <c r="P182" s="35"/>
      <c r="Q182" s="35"/>
      <c r="R182" s="35"/>
      <c r="S182" s="35"/>
      <c r="T182" s="35"/>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c r="AS182" s="35"/>
      <c r="AT182" s="35"/>
      <c r="AU182" s="35"/>
      <c r="AV182" s="35"/>
      <c r="AW182" s="35"/>
      <c r="AX182" s="35"/>
      <c r="AY182" s="35"/>
      <c r="AZ182" s="35"/>
      <c r="BA182" s="35"/>
      <c r="BB182" s="35"/>
      <c r="BC182" s="35"/>
      <c r="BD182" s="35"/>
      <c r="BE182" s="35"/>
      <c r="BF182" s="35"/>
      <c r="BG182" s="35"/>
      <c r="BH182" s="35"/>
      <c r="BI182" s="35"/>
      <c r="BJ182" s="35"/>
      <c r="BK182" s="35"/>
      <c r="BL182" s="35"/>
      <c r="BM182" s="35"/>
      <c r="BN182" s="35"/>
      <c r="BO182" s="35"/>
      <c r="BP182" s="35"/>
      <c r="BQ182" s="35"/>
      <c r="BR182" s="35"/>
      <c r="BS182" s="35"/>
      <c r="BT182" s="35"/>
      <c r="BU182" s="35"/>
      <c r="BV182" s="35"/>
      <c r="BW182" s="35"/>
      <c r="BX182" s="35"/>
      <c r="BY182" s="35"/>
      <c r="BZ182" s="35"/>
      <c r="CA182" s="35"/>
      <c r="CB182" s="35"/>
      <c r="CC182" s="35"/>
      <c r="CD182" s="35"/>
      <c r="CE182" s="35"/>
      <c r="CF182" s="35"/>
      <c r="CG182" s="35"/>
      <c r="CH182" s="35"/>
      <c r="CI182" s="35"/>
      <c r="CJ182" s="35"/>
      <c r="CK182" s="35"/>
      <c r="CL182" s="35"/>
      <c r="CM182" s="35"/>
      <c r="CN182" s="35"/>
      <c r="CO182" s="35"/>
      <c r="CP182" s="35"/>
      <c r="CQ182" s="35"/>
      <c r="CR182" s="35"/>
      <c r="CS182" s="35"/>
      <c r="CT182" s="35"/>
      <c r="CU182" s="35"/>
      <c r="CV182" s="35"/>
      <c r="CW182" s="35"/>
      <c r="CX182" s="35"/>
      <c r="CY182" s="35"/>
      <c r="CZ182" s="35"/>
      <c r="DA182" s="35"/>
      <c r="DB182" s="35"/>
      <c r="DC182" s="35"/>
      <c r="DD182" s="35"/>
      <c r="DE182" s="35"/>
      <c r="DF182" s="35"/>
      <c r="DG182" s="35"/>
      <c r="DH182" s="35"/>
      <c r="DI182" s="35"/>
      <c r="DJ182" s="35"/>
    </row>
    <row r="183" spans="1:114" x14ac:dyDescent="0.25">
      <c r="A183" s="34"/>
      <c r="B183" s="34"/>
      <c r="C183" s="34"/>
      <c r="D183" s="34"/>
      <c r="E183" s="34"/>
      <c r="F183" s="34"/>
      <c r="G183" s="34"/>
      <c r="H183" s="34"/>
      <c r="I183" s="34"/>
      <c r="J183" s="34"/>
      <c r="K183" s="34"/>
      <c r="L183" s="34"/>
      <c r="M183" s="34"/>
      <c r="N183" s="35"/>
      <c r="O183" s="35"/>
      <c r="P183" s="35"/>
      <c r="Q183" s="35"/>
      <c r="R183" s="35"/>
      <c r="S183" s="35"/>
      <c r="T183" s="35"/>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c r="AS183" s="35"/>
      <c r="AT183" s="35"/>
      <c r="AU183" s="35"/>
      <c r="AV183" s="35"/>
      <c r="AW183" s="35"/>
      <c r="AX183" s="35"/>
      <c r="AY183" s="35"/>
      <c r="AZ183" s="35"/>
      <c r="BA183" s="35"/>
      <c r="BB183" s="35"/>
      <c r="BC183" s="35"/>
      <c r="BD183" s="35"/>
      <c r="BE183" s="35"/>
      <c r="BF183" s="35"/>
      <c r="BG183" s="35"/>
      <c r="BH183" s="35"/>
      <c r="BI183" s="35"/>
      <c r="BJ183" s="35"/>
      <c r="BK183" s="35"/>
      <c r="BL183" s="35"/>
      <c r="BM183" s="35"/>
      <c r="BN183" s="35"/>
      <c r="BO183" s="35"/>
      <c r="BP183" s="35"/>
      <c r="BQ183" s="35"/>
      <c r="BR183" s="35"/>
      <c r="BS183" s="35"/>
      <c r="BT183" s="35"/>
      <c r="BU183" s="35"/>
      <c r="BV183" s="35"/>
      <c r="BW183" s="35"/>
      <c r="BX183" s="35"/>
      <c r="BY183" s="35"/>
      <c r="BZ183" s="35"/>
      <c r="CA183" s="35"/>
      <c r="CB183" s="35"/>
      <c r="CC183" s="35"/>
      <c r="CD183" s="35"/>
      <c r="CE183" s="35"/>
      <c r="CF183" s="35"/>
      <c r="CG183" s="35"/>
      <c r="CH183" s="35"/>
      <c r="CI183" s="35"/>
      <c r="CJ183" s="35"/>
      <c r="CK183" s="35"/>
      <c r="CL183" s="35"/>
      <c r="CM183" s="35"/>
      <c r="CN183" s="35"/>
      <c r="CO183" s="35"/>
      <c r="CP183" s="35"/>
      <c r="CQ183" s="35"/>
      <c r="CR183" s="35"/>
      <c r="CS183" s="35"/>
      <c r="CT183" s="35"/>
      <c r="CU183" s="35"/>
      <c r="CV183" s="35"/>
      <c r="CW183" s="35"/>
      <c r="CX183" s="35"/>
      <c r="CY183" s="35"/>
      <c r="CZ183" s="35"/>
      <c r="DA183" s="35"/>
      <c r="DB183" s="35"/>
      <c r="DC183" s="35"/>
      <c r="DD183" s="35"/>
      <c r="DE183" s="35"/>
      <c r="DF183" s="35"/>
      <c r="DG183" s="35"/>
      <c r="DH183" s="35"/>
      <c r="DI183" s="35"/>
      <c r="DJ183" s="35"/>
    </row>
    <row r="184" spans="1:114" x14ac:dyDescent="0.25">
      <c r="A184" s="34"/>
      <c r="B184" s="34"/>
      <c r="C184" s="34"/>
      <c r="D184" s="34"/>
      <c r="E184" s="34"/>
      <c r="F184" s="34"/>
      <c r="G184" s="34"/>
      <c r="H184" s="34"/>
      <c r="I184" s="34"/>
      <c r="J184" s="34"/>
      <c r="K184" s="34"/>
      <c r="L184" s="34"/>
      <c r="M184" s="34"/>
      <c r="N184" s="35"/>
      <c r="O184" s="35"/>
      <c r="P184" s="35"/>
      <c r="Q184" s="35"/>
      <c r="R184" s="35"/>
      <c r="S184" s="35"/>
      <c r="T184" s="35"/>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c r="AS184" s="35"/>
      <c r="AT184" s="35"/>
      <c r="AU184" s="35"/>
      <c r="AV184" s="35"/>
      <c r="AW184" s="35"/>
      <c r="AX184" s="35"/>
      <c r="AY184" s="35"/>
      <c r="AZ184" s="35"/>
      <c r="BA184" s="35"/>
      <c r="BB184" s="35"/>
      <c r="BC184" s="35"/>
      <c r="BD184" s="35"/>
      <c r="BE184" s="35"/>
      <c r="BF184" s="35"/>
      <c r="BG184" s="35"/>
      <c r="BH184" s="35"/>
      <c r="BI184" s="35"/>
      <c r="BJ184" s="35"/>
      <c r="BK184" s="35"/>
      <c r="BL184" s="35"/>
      <c r="BM184" s="35"/>
      <c r="BN184" s="35"/>
      <c r="BO184" s="35"/>
      <c r="BP184" s="35"/>
      <c r="BQ184" s="35"/>
      <c r="BR184" s="35"/>
      <c r="BS184" s="35"/>
      <c r="BT184" s="35"/>
      <c r="BU184" s="35"/>
      <c r="BV184" s="35"/>
      <c r="BW184" s="35"/>
      <c r="BX184" s="35"/>
      <c r="BY184" s="35"/>
      <c r="BZ184" s="35"/>
      <c r="CA184" s="35"/>
      <c r="CB184" s="35"/>
      <c r="CC184" s="35"/>
      <c r="CD184" s="35"/>
      <c r="CE184" s="35"/>
      <c r="CF184" s="35"/>
      <c r="CG184" s="35"/>
      <c r="CH184" s="35"/>
      <c r="CI184" s="35"/>
      <c r="CJ184" s="35"/>
      <c r="CK184" s="35"/>
      <c r="CL184" s="35"/>
      <c r="CM184" s="35"/>
      <c r="CN184" s="35"/>
      <c r="CO184" s="35"/>
      <c r="CP184" s="35"/>
      <c r="CQ184" s="35"/>
      <c r="CR184" s="35"/>
      <c r="CS184" s="35"/>
      <c r="CT184" s="35"/>
      <c r="CU184" s="35"/>
      <c r="CV184" s="35"/>
      <c r="CW184" s="35"/>
      <c r="CX184" s="35"/>
      <c r="CY184" s="35"/>
      <c r="CZ184" s="35"/>
      <c r="DA184" s="35"/>
      <c r="DB184" s="35"/>
      <c r="DC184" s="35"/>
      <c r="DD184" s="35"/>
      <c r="DE184" s="35"/>
      <c r="DF184" s="35"/>
      <c r="DG184" s="35"/>
      <c r="DH184" s="35"/>
      <c r="DI184" s="35"/>
      <c r="DJ184" s="35"/>
    </row>
    <row r="185" spans="1:114" x14ac:dyDescent="0.25">
      <c r="A185" s="34"/>
      <c r="B185" s="34"/>
      <c r="C185" s="34"/>
      <c r="D185" s="34"/>
      <c r="E185" s="34"/>
      <c r="F185" s="34"/>
      <c r="G185" s="34"/>
      <c r="H185" s="34"/>
      <c r="I185" s="34"/>
      <c r="J185" s="34"/>
      <c r="K185" s="34"/>
      <c r="L185" s="34"/>
      <c r="M185" s="34"/>
      <c r="N185" s="35"/>
      <c r="O185" s="35"/>
      <c r="P185" s="35"/>
      <c r="Q185" s="35"/>
      <c r="R185" s="35"/>
      <c r="S185" s="35"/>
      <c r="T185" s="35"/>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c r="AS185" s="35"/>
      <c r="AT185" s="35"/>
      <c r="AU185" s="35"/>
      <c r="AV185" s="35"/>
      <c r="AW185" s="35"/>
      <c r="AX185" s="35"/>
      <c r="AY185" s="35"/>
      <c r="AZ185" s="35"/>
      <c r="BA185" s="35"/>
      <c r="BB185" s="35"/>
      <c r="BC185" s="35"/>
      <c r="BD185" s="35"/>
      <c r="BE185" s="35"/>
      <c r="BF185" s="35"/>
      <c r="BG185" s="35"/>
      <c r="BH185" s="35"/>
      <c r="BI185" s="35"/>
      <c r="BJ185" s="35"/>
      <c r="BK185" s="35"/>
      <c r="BL185" s="35"/>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35"/>
      <c r="CY185" s="35"/>
      <c r="CZ185" s="35"/>
      <c r="DA185" s="35"/>
      <c r="DB185" s="35"/>
      <c r="DC185" s="35"/>
      <c r="DD185" s="35"/>
      <c r="DE185" s="35"/>
      <c r="DF185" s="35"/>
      <c r="DG185" s="35"/>
      <c r="DH185" s="35"/>
      <c r="DI185" s="35"/>
      <c r="DJ185" s="35"/>
    </row>
    <row r="186" spans="1:114" x14ac:dyDescent="0.25">
      <c r="A186" s="34"/>
      <c r="B186" s="34"/>
      <c r="C186" s="34"/>
      <c r="D186" s="34"/>
      <c r="E186" s="34"/>
      <c r="F186" s="34"/>
      <c r="G186" s="34"/>
      <c r="H186" s="34"/>
      <c r="I186" s="34"/>
      <c r="J186" s="34"/>
      <c r="K186" s="34"/>
      <c r="L186" s="34"/>
      <c r="M186" s="34"/>
      <c r="N186" s="35"/>
      <c r="O186" s="35"/>
      <c r="P186" s="35"/>
      <c r="Q186" s="35"/>
      <c r="R186" s="35"/>
      <c r="S186" s="35"/>
      <c r="T186" s="35"/>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c r="AS186" s="35"/>
      <c r="AT186" s="35"/>
      <c r="AU186" s="35"/>
      <c r="AV186" s="35"/>
      <c r="AW186" s="35"/>
      <c r="AX186" s="35"/>
      <c r="AY186" s="35"/>
      <c r="AZ186" s="35"/>
      <c r="BA186" s="35"/>
      <c r="BB186" s="35"/>
      <c r="BC186" s="35"/>
      <c r="BD186" s="35"/>
      <c r="BE186" s="35"/>
      <c r="BF186" s="35"/>
      <c r="BG186" s="35"/>
      <c r="BH186" s="35"/>
      <c r="BI186" s="35"/>
      <c r="BJ186" s="35"/>
      <c r="BK186" s="35"/>
      <c r="BL186" s="35"/>
      <c r="BM186" s="35"/>
      <c r="BN186" s="35"/>
      <c r="BO186" s="35"/>
      <c r="BP186" s="35"/>
      <c r="BQ186" s="35"/>
      <c r="BR186" s="35"/>
      <c r="BS186" s="35"/>
      <c r="BT186" s="35"/>
      <c r="BU186" s="35"/>
      <c r="BV186" s="35"/>
      <c r="BW186" s="35"/>
      <c r="BX186" s="35"/>
      <c r="BY186" s="35"/>
      <c r="BZ186" s="35"/>
      <c r="CA186" s="35"/>
      <c r="CB186" s="35"/>
      <c r="CC186" s="35"/>
      <c r="CD186" s="35"/>
      <c r="CE186" s="35"/>
      <c r="CF186" s="35"/>
      <c r="CG186" s="35"/>
      <c r="CH186" s="35"/>
      <c r="CI186" s="35"/>
      <c r="CJ186" s="35"/>
      <c r="CK186" s="35"/>
      <c r="CL186" s="35"/>
      <c r="CM186" s="35"/>
      <c r="CN186" s="35"/>
      <c r="CO186" s="35"/>
      <c r="CP186" s="35"/>
      <c r="CQ186" s="35"/>
      <c r="CR186" s="35"/>
      <c r="CS186" s="35"/>
      <c r="CT186" s="35"/>
      <c r="CU186" s="35"/>
      <c r="CV186" s="35"/>
      <c r="CW186" s="35"/>
      <c r="CX186" s="35"/>
      <c r="CY186" s="35"/>
      <c r="CZ186" s="35"/>
      <c r="DA186" s="35"/>
      <c r="DB186" s="35"/>
      <c r="DC186" s="35"/>
      <c r="DD186" s="35"/>
      <c r="DE186" s="35"/>
      <c r="DF186" s="35"/>
      <c r="DG186" s="35"/>
      <c r="DH186" s="35"/>
      <c r="DI186" s="35"/>
      <c r="DJ186" s="35"/>
    </row>
    <row r="187" spans="1:114" x14ac:dyDescent="0.25">
      <c r="A187" s="34"/>
      <c r="B187" s="34"/>
      <c r="C187" s="34"/>
      <c r="D187" s="34"/>
      <c r="E187" s="34"/>
      <c r="F187" s="34"/>
      <c r="G187" s="34"/>
      <c r="H187" s="34"/>
      <c r="I187" s="34"/>
      <c r="J187" s="34"/>
      <c r="K187" s="34"/>
      <c r="L187" s="34"/>
      <c r="M187" s="34"/>
      <c r="N187" s="35"/>
      <c r="O187" s="35"/>
      <c r="P187" s="35"/>
      <c r="Q187" s="35"/>
      <c r="R187" s="35"/>
      <c r="S187" s="35"/>
      <c r="T187" s="35"/>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c r="AS187" s="35"/>
      <c r="AT187" s="35"/>
      <c r="AU187" s="35"/>
      <c r="AV187" s="35"/>
      <c r="AW187" s="35"/>
      <c r="AX187" s="35"/>
      <c r="AY187" s="35"/>
      <c r="AZ187" s="35"/>
      <c r="BA187" s="35"/>
      <c r="BB187" s="35"/>
      <c r="BC187" s="35"/>
      <c r="BD187" s="35"/>
      <c r="BE187" s="35"/>
      <c r="BF187" s="35"/>
      <c r="BG187" s="35"/>
      <c r="BH187" s="35"/>
      <c r="BI187" s="35"/>
      <c r="BJ187" s="35"/>
      <c r="BK187" s="35"/>
      <c r="BL187" s="35"/>
      <c r="BM187" s="35"/>
      <c r="BN187" s="35"/>
      <c r="BO187" s="35"/>
      <c r="BP187" s="35"/>
      <c r="BQ187" s="35"/>
      <c r="BR187" s="35"/>
      <c r="BS187" s="35"/>
      <c r="BT187" s="35"/>
      <c r="BU187" s="35"/>
      <c r="BV187" s="35"/>
      <c r="BW187" s="35"/>
      <c r="BX187" s="35"/>
      <c r="BY187" s="35"/>
      <c r="BZ187" s="35"/>
      <c r="CA187" s="35"/>
      <c r="CB187" s="35"/>
      <c r="CC187" s="35"/>
      <c r="CD187" s="35"/>
      <c r="CE187" s="35"/>
      <c r="CF187" s="35"/>
      <c r="CG187" s="35"/>
      <c r="CH187" s="35"/>
      <c r="CI187" s="35"/>
      <c r="CJ187" s="35"/>
      <c r="CK187" s="35"/>
      <c r="CL187" s="35"/>
      <c r="CM187" s="35"/>
      <c r="CN187" s="35"/>
      <c r="CO187" s="35"/>
      <c r="CP187" s="35"/>
      <c r="CQ187" s="35"/>
      <c r="CR187" s="35"/>
      <c r="CS187" s="35"/>
      <c r="CT187" s="35"/>
      <c r="CU187" s="35"/>
      <c r="CV187" s="35"/>
      <c r="CW187" s="35"/>
      <c r="CX187" s="35"/>
      <c r="CY187" s="35"/>
      <c r="CZ187" s="35"/>
      <c r="DA187" s="35"/>
      <c r="DB187" s="35"/>
      <c r="DC187" s="35"/>
      <c r="DD187" s="35"/>
      <c r="DE187" s="35"/>
      <c r="DF187" s="35"/>
      <c r="DG187" s="35"/>
      <c r="DH187" s="35"/>
      <c r="DI187" s="35"/>
      <c r="DJ187" s="35"/>
    </row>
    <row r="188" spans="1:114" x14ac:dyDescent="0.25">
      <c r="A188" s="34"/>
      <c r="B188" s="34"/>
      <c r="C188" s="34"/>
      <c r="D188" s="34"/>
      <c r="E188" s="34"/>
      <c r="F188" s="34"/>
      <c r="G188" s="34"/>
      <c r="H188" s="34"/>
      <c r="I188" s="34"/>
      <c r="J188" s="34"/>
      <c r="K188" s="34"/>
      <c r="L188" s="34"/>
      <c r="M188" s="34"/>
      <c r="N188" s="35"/>
      <c r="O188" s="35"/>
      <c r="P188" s="35"/>
      <c r="Q188" s="35"/>
      <c r="R188" s="35"/>
      <c r="S188" s="35"/>
      <c r="T188" s="35"/>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c r="AS188" s="35"/>
      <c r="AT188" s="35"/>
      <c r="AU188" s="35"/>
      <c r="AV188" s="35"/>
      <c r="AW188" s="35"/>
      <c r="AX188" s="35"/>
      <c r="AY188" s="35"/>
      <c r="AZ188" s="35"/>
      <c r="BA188" s="35"/>
      <c r="BB188" s="35"/>
      <c r="BC188" s="35"/>
      <c r="BD188" s="35"/>
      <c r="BE188" s="35"/>
      <c r="BF188" s="35"/>
      <c r="BG188" s="35"/>
      <c r="BH188" s="35"/>
      <c r="BI188" s="35"/>
      <c r="BJ188" s="35"/>
      <c r="BK188" s="35"/>
      <c r="BL188" s="35"/>
      <c r="BM188" s="35"/>
      <c r="BN188" s="35"/>
      <c r="BO188" s="35"/>
      <c r="BP188" s="35"/>
      <c r="BQ188" s="35"/>
      <c r="BR188" s="35"/>
      <c r="BS188" s="35"/>
      <c r="BT188" s="35"/>
      <c r="BU188" s="35"/>
      <c r="BV188" s="35"/>
      <c r="BW188" s="35"/>
      <c r="BX188" s="35"/>
      <c r="BY188" s="35"/>
      <c r="BZ188" s="35"/>
      <c r="CA188" s="35"/>
      <c r="CB188" s="35"/>
      <c r="CC188" s="35"/>
      <c r="CD188" s="35"/>
      <c r="CE188" s="35"/>
      <c r="CF188" s="35"/>
      <c r="CG188" s="35"/>
      <c r="CH188" s="35"/>
      <c r="CI188" s="35"/>
      <c r="CJ188" s="35"/>
      <c r="CK188" s="35"/>
      <c r="CL188" s="35"/>
      <c r="CM188" s="35"/>
      <c r="CN188" s="35"/>
      <c r="CO188" s="35"/>
      <c r="CP188" s="35"/>
      <c r="CQ188" s="35"/>
      <c r="CR188" s="35"/>
      <c r="CS188" s="35"/>
      <c r="CT188" s="35"/>
      <c r="CU188" s="35"/>
      <c r="CV188" s="35"/>
      <c r="CW188" s="35"/>
      <c r="CX188" s="35"/>
      <c r="CY188" s="35"/>
      <c r="CZ188" s="35"/>
      <c r="DA188" s="35"/>
      <c r="DB188" s="35"/>
      <c r="DC188" s="35"/>
      <c r="DD188" s="35"/>
      <c r="DE188" s="35"/>
      <c r="DF188" s="35"/>
      <c r="DG188" s="35"/>
      <c r="DH188" s="35"/>
      <c r="DI188" s="35"/>
      <c r="DJ188" s="35"/>
    </row>
    <row r="189" spans="1:114" x14ac:dyDescent="0.25">
      <c r="A189" s="34"/>
      <c r="B189" s="34"/>
      <c r="C189" s="34"/>
      <c r="D189" s="34"/>
      <c r="E189" s="34"/>
      <c r="F189" s="34"/>
      <c r="G189" s="34"/>
      <c r="H189" s="34"/>
      <c r="I189" s="34"/>
      <c r="J189" s="34"/>
      <c r="K189" s="34"/>
      <c r="L189" s="34"/>
      <c r="M189" s="34"/>
      <c r="N189" s="35"/>
      <c r="O189" s="35"/>
      <c r="P189" s="35"/>
      <c r="Q189" s="35"/>
      <c r="R189" s="35"/>
      <c r="S189" s="35"/>
      <c r="T189" s="35"/>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c r="AS189" s="35"/>
      <c r="AT189" s="35"/>
      <c r="AU189" s="35"/>
      <c r="AV189" s="35"/>
      <c r="AW189" s="35"/>
      <c r="AX189" s="35"/>
      <c r="AY189" s="35"/>
      <c r="AZ189" s="35"/>
      <c r="BA189" s="35"/>
      <c r="BB189" s="35"/>
      <c r="BC189" s="35"/>
      <c r="BD189" s="35"/>
      <c r="BE189" s="35"/>
      <c r="BF189" s="35"/>
      <c r="BG189" s="35"/>
      <c r="BH189" s="35"/>
      <c r="BI189" s="35"/>
      <c r="BJ189" s="35"/>
      <c r="BK189" s="35"/>
      <c r="BL189" s="35"/>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35"/>
      <c r="CY189" s="35"/>
      <c r="CZ189" s="35"/>
      <c r="DA189" s="35"/>
      <c r="DB189" s="35"/>
      <c r="DC189" s="35"/>
      <c r="DD189" s="35"/>
      <c r="DE189" s="35"/>
      <c r="DF189" s="35"/>
      <c r="DG189" s="35"/>
      <c r="DH189" s="35"/>
      <c r="DI189" s="35"/>
      <c r="DJ189" s="35"/>
    </row>
    <row r="190" spans="1:114" x14ac:dyDescent="0.25">
      <c r="A190" s="34"/>
      <c r="B190" s="34"/>
      <c r="C190" s="34"/>
      <c r="D190" s="34"/>
      <c r="E190" s="34"/>
      <c r="F190" s="34"/>
      <c r="G190" s="34"/>
      <c r="H190" s="34"/>
      <c r="I190" s="34"/>
      <c r="J190" s="34"/>
      <c r="K190" s="34"/>
      <c r="L190" s="34"/>
      <c r="M190" s="34"/>
      <c r="N190" s="35"/>
      <c r="O190" s="35"/>
      <c r="P190" s="35"/>
      <c r="Q190" s="35"/>
      <c r="R190" s="35"/>
      <c r="S190" s="35"/>
      <c r="T190" s="35"/>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c r="AS190" s="35"/>
      <c r="AT190" s="35"/>
      <c r="AU190" s="35"/>
      <c r="AV190" s="35"/>
      <c r="AW190" s="35"/>
      <c r="AX190" s="35"/>
      <c r="AY190" s="35"/>
      <c r="AZ190" s="35"/>
      <c r="BA190" s="35"/>
      <c r="BB190" s="35"/>
      <c r="BC190" s="35"/>
      <c r="BD190" s="35"/>
      <c r="BE190" s="35"/>
      <c r="BF190" s="35"/>
      <c r="BG190" s="35"/>
      <c r="BH190" s="35"/>
      <c r="BI190" s="35"/>
      <c r="BJ190" s="35"/>
      <c r="BK190" s="35"/>
      <c r="BL190" s="35"/>
      <c r="BM190" s="35"/>
      <c r="BN190" s="35"/>
      <c r="BO190" s="35"/>
      <c r="BP190" s="35"/>
      <c r="BQ190" s="35"/>
      <c r="BR190" s="35"/>
      <c r="BS190" s="35"/>
      <c r="BT190" s="35"/>
      <c r="BU190" s="35"/>
      <c r="BV190" s="35"/>
      <c r="BW190" s="35"/>
      <c r="BX190" s="35"/>
      <c r="BY190" s="35"/>
      <c r="BZ190" s="35"/>
      <c r="CA190" s="35"/>
      <c r="CB190" s="35"/>
      <c r="CC190" s="35"/>
      <c r="CD190" s="35"/>
      <c r="CE190" s="35"/>
      <c r="CF190" s="35"/>
      <c r="CG190" s="35"/>
      <c r="CH190" s="35"/>
      <c r="CI190" s="35"/>
      <c r="CJ190" s="35"/>
      <c r="CK190" s="35"/>
      <c r="CL190" s="35"/>
      <c r="CM190" s="35"/>
      <c r="CN190" s="35"/>
      <c r="CO190" s="35"/>
      <c r="CP190" s="35"/>
      <c r="CQ190" s="35"/>
      <c r="CR190" s="35"/>
      <c r="CS190" s="35"/>
      <c r="CT190" s="35"/>
      <c r="CU190" s="35"/>
      <c r="CV190" s="35"/>
      <c r="CW190" s="35"/>
      <c r="CX190" s="35"/>
      <c r="CY190" s="35"/>
      <c r="CZ190" s="35"/>
      <c r="DA190" s="35"/>
      <c r="DB190" s="35"/>
      <c r="DC190" s="35"/>
      <c r="DD190" s="35"/>
      <c r="DE190" s="35"/>
      <c r="DF190" s="35"/>
      <c r="DG190" s="35"/>
      <c r="DH190" s="35"/>
      <c r="DI190" s="35"/>
      <c r="DJ190" s="35"/>
    </row>
    <row r="191" spans="1:114" x14ac:dyDescent="0.25">
      <c r="A191" s="34"/>
      <c r="B191" s="34"/>
      <c r="C191" s="34"/>
      <c r="D191" s="34"/>
      <c r="E191" s="34"/>
      <c r="F191" s="34"/>
      <c r="G191" s="34"/>
      <c r="H191" s="34"/>
      <c r="I191" s="34"/>
      <c r="J191" s="34"/>
      <c r="K191" s="34"/>
      <c r="L191" s="34"/>
      <c r="M191" s="34"/>
      <c r="N191" s="35"/>
      <c r="O191" s="35"/>
      <c r="P191" s="35"/>
      <c r="Q191" s="35"/>
      <c r="R191" s="35"/>
      <c r="S191" s="35"/>
      <c r="T191" s="35"/>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c r="AS191" s="35"/>
      <c r="AT191" s="35"/>
      <c r="AU191" s="35"/>
      <c r="AV191" s="35"/>
      <c r="AW191" s="35"/>
      <c r="AX191" s="35"/>
      <c r="AY191" s="35"/>
      <c r="AZ191" s="35"/>
      <c r="BA191" s="35"/>
      <c r="BB191" s="35"/>
      <c r="BC191" s="35"/>
      <c r="BD191" s="35"/>
      <c r="BE191" s="35"/>
      <c r="BF191" s="35"/>
      <c r="BG191" s="35"/>
      <c r="BH191" s="35"/>
      <c r="BI191" s="35"/>
      <c r="BJ191" s="35"/>
      <c r="BK191" s="35"/>
      <c r="BL191" s="35"/>
      <c r="BM191" s="35"/>
      <c r="BN191" s="35"/>
      <c r="BO191" s="35"/>
      <c r="BP191" s="35"/>
      <c r="BQ191" s="35"/>
      <c r="BR191" s="35"/>
      <c r="BS191" s="35"/>
      <c r="BT191" s="35"/>
      <c r="BU191" s="35"/>
      <c r="BV191" s="35"/>
      <c r="BW191" s="35"/>
      <c r="BX191" s="35"/>
      <c r="BY191" s="35"/>
      <c r="BZ191" s="35"/>
      <c r="CA191" s="35"/>
      <c r="CB191" s="35"/>
      <c r="CC191" s="35"/>
      <c r="CD191" s="35"/>
      <c r="CE191" s="35"/>
      <c r="CF191" s="35"/>
      <c r="CG191" s="35"/>
      <c r="CH191" s="35"/>
      <c r="CI191" s="35"/>
      <c r="CJ191" s="35"/>
      <c r="CK191" s="35"/>
      <c r="CL191" s="35"/>
      <c r="CM191" s="35"/>
      <c r="CN191" s="35"/>
      <c r="CO191" s="35"/>
      <c r="CP191" s="35"/>
      <c r="CQ191" s="35"/>
      <c r="CR191" s="35"/>
      <c r="CS191" s="35"/>
      <c r="CT191" s="35"/>
      <c r="CU191" s="35"/>
      <c r="CV191" s="35"/>
      <c r="CW191" s="35"/>
      <c r="CX191" s="35"/>
      <c r="CY191" s="35"/>
      <c r="CZ191" s="35"/>
      <c r="DA191" s="35"/>
      <c r="DB191" s="35"/>
      <c r="DC191" s="35"/>
      <c r="DD191" s="35"/>
      <c r="DE191" s="35"/>
      <c r="DF191" s="35"/>
      <c r="DG191" s="35"/>
      <c r="DH191" s="35"/>
      <c r="DI191" s="35"/>
      <c r="DJ191" s="35"/>
    </row>
    <row r="192" spans="1:114" x14ac:dyDescent="0.25">
      <c r="A192" s="34"/>
      <c r="B192" s="34"/>
      <c r="C192" s="34"/>
      <c r="D192" s="34"/>
      <c r="E192" s="34"/>
      <c r="F192" s="34"/>
      <c r="G192" s="34"/>
      <c r="H192" s="34"/>
      <c r="I192" s="34"/>
      <c r="J192" s="34"/>
      <c r="K192" s="34"/>
      <c r="L192" s="34"/>
      <c r="M192" s="34"/>
      <c r="N192" s="35"/>
      <c r="O192" s="35"/>
      <c r="P192" s="35"/>
      <c r="Q192" s="35"/>
      <c r="R192" s="35"/>
      <c r="S192" s="35"/>
      <c r="T192" s="35"/>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c r="AS192" s="35"/>
      <c r="AT192" s="35"/>
      <c r="AU192" s="35"/>
      <c r="AV192" s="35"/>
      <c r="AW192" s="35"/>
      <c r="AX192" s="35"/>
      <c r="AY192" s="35"/>
      <c r="AZ192" s="35"/>
      <c r="BA192" s="35"/>
      <c r="BB192" s="35"/>
      <c r="BC192" s="35"/>
      <c r="BD192" s="35"/>
      <c r="BE192" s="35"/>
      <c r="BF192" s="35"/>
      <c r="BG192" s="35"/>
      <c r="BH192" s="35"/>
      <c r="BI192" s="35"/>
      <c r="BJ192" s="35"/>
      <c r="BK192" s="35"/>
      <c r="BL192" s="35"/>
      <c r="BM192" s="35"/>
      <c r="BN192" s="35"/>
      <c r="BO192" s="35"/>
      <c r="BP192" s="35"/>
      <c r="BQ192" s="35"/>
      <c r="BR192" s="35"/>
      <c r="BS192" s="35"/>
      <c r="BT192" s="35"/>
      <c r="BU192" s="35"/>
      <c r="BV192" s="35"/>
      <c r="BW192" s="35"/>
      <c r="BX192" s="35"/>
      <c r="BY192" s="35"/>
      <c r="BZ192" s="35"/>
      <c r="CA192" s="35"/>
      <c r="CB192" s="35"/>
      <c r="CC192" s="35"/>
      <c r="CD192" s="35"/>
      <c r="CE192" s="35"/>
      <c r="CF192" s="35"/>
      <c r="CG192" s="35"/>
      <c r="CH192" s="35"/>
      <c r="CI192" s="35"/>
      <c r="CJ192" s="35"/>
      <c r="CK192" s="35"/>
      <c r="CL192" s="35"/>
      <c r="CM192" s="35"/>
      <c r="CN192" s="35"/>
      <c r="CO192" s="35"/>
      <c r="CP192" s="35"/>
      <c r="CQ192" s="35"/>
      <c r="CR192" s="35"/>
      <c r="CS192" s="35"/>
      <c r="CT192" s="35"/>
      <c r="CU192" s="35"/>
      <c r="CV192" s="35"/>
      <c r="CW192" s="35"/>
      <c r="CX192" s="35"/>
      <c r="CY192" s="35"/>
      <c r="CZ192" s="35"/>
      <c r="DA192" s="35"/>
      <c r="DB192" s="35"/>
      <c r="DC192" s="35"/>
      <c r="DD192" s="35"/>
      <c r="DE192" s="35"/>
      <c r="DF192" s="35"/>
      <c r="DG192" s="35"/>
      <c r="DH192" s="35"/>
      <c r="DI192" s="35"/>
      <c r="DJ192" s="35"/>
    </row>
    <row r="193" spans="1:114" x14ac:dyDescent="0.25">
      <c r="A193" s="34"/>
      <c r="B193" s="34"/>
      <c r="C193" s="34"/>
      <c r="D193" s="34"/>
      <c r="E193" s="34"/>
      <c r="F193" s="34"/>
      <c r="G193" s="34"/>
      <c r="H193" s="34"/>
      <c r="I193" s="34"/>
      <c r="J193" s="34"/>
      <c r="K193" s="34"/>
      <c r="L193" s="34"/>
      <c r="M193" s="34"/>
      <c r="N193" s="35"/>
      <c r="O193" s="35"/>
      <c r="P193" s="35"/>
      <c r="Q193" s="35"/>
      <c r="R193" s="35"/>
      <c r="S193" s="35"/>
      <c r="T193" s="35"/>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c r="AS193" s="35"/>
      <c r="AT193" s="35"/>
      <c r="AU193" s="35"/>
      <c r="AV193" s="35"/>
      <c r="AW193" s="35"/>
      <c r="AX193" s="35"/>
      <c r="AY193" s="35"/>
      <c r="AZ193" s="35"/>
      <c r="BA193" s="35"/>
      <c r="BB193" s="35"/>
      <c r="BC193" s="35"/>
      <c r="BD193" s="35"/>
      <c r="BE193" s="35"/>
      <c r="BF193" s="35"/>
      <c r="BG193" s="35"/>
      <c r="BH193" s="35"/>
      <c r="BI193" s="35"/>
      <c r="BJ193" s="35"/>
      <c r="BK193" s="35"/>
      <c r="BL193" s="35"/>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35"/>
      <c r="CY193" s="35"/>
      <c r="CZ193" s="35"/>
      <c r="DA193" s="35"/>
      <c r="DB193" s="35"/>
      <c r="DC193" s="35"/>
      <c r="DD193" s="35"/>
      <c r="DE193" s="35"/>
      <c r="DF193" s="35"/>
      <c r="DG193" s="35"/>
      <c r="DH193" s="35"/>
      <c r="DI193" s="35"/>
      <c r="DJ193" s="35"/>
    </row>
    <row r="194" spans="1:114" x14ac:dyDescent="0.25">
      <c r="A194" s="34"/>
      <c r="B194" s="34"/>
      <c r="C194" s="34"/>
      <c r="D194" s="34"/>
      <c r="E194" s="34"/>
      <c r="F194" s="34"/>
      <c r="G194" s="34"/>
      <c r="H194" s="34"/>
      <c r="I194" s="34"/>
      <c r="J194" s="34"/>
      <c r="K194" s="34"/>
      <c r="L194" s="34"/>
      <c r="M194" s="34"/>
      <c r="N194" s="35"/>
      <c r="O194" s="35"/>
      <c r="P194" s="35"/>
      <c r="Q194" s="35"/>
      <c r="R194" s="35"/>
      <c r="S194" s="35"/>
      <c r="T194" s="35"/>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c r="AS194" s="35"/>
      <c r="AT194" s="35"/>
      <c r="AU194" s="35"/>
      <c r="AV194" s="35"/>
      <c r="AW194" s="35"/>
      <c r="AX194" s="35"/>
      <c r="AY194" s="35"/>
      <c r="AZ194" s="35"/>
      <c r="BA194" s="35"/>
      <c r="BB194" s="35"/>
      <c r="BC194" s="35"/>
      <c r="BD194" s="35"/>
      <c r="BE194" s="35"/>
      <c r="BF194" s="35"/>
      <c r="BG194" s="35"/>
      <c r="BH194" s="35"/>
      <c r="BI194" s="35"/>
      <c r="BJ194" s="35"/>
      <c r="BK194" s="35"/>
      <c r="BL194" s="35"/>
      <c r="BM194" s="35"/>
      <c r="BN194" s="35"/>
      <c r="BO194" s="35"/>
      <c r="BP194" s="35"/>
      <c r="BQ194" s="35"/>
      <c r="BR194" s="35"/>
      <c r="BS194" s="35"/>
      <c r="BT194" s="35"/>
      <c r="BU194" s="35"/>
      <c r="BV194" s="35"/>
      <c r="BW194" s="35"/>
      <c r="BX194" s="35"/>
      <c r="BY194" s="35"/>
      <c r="BZ194" s="35"/>
      <c r="CA194" s="35"/>
      <c r="CB194" s="35"/>
      <c r="CC194" s="35"/>
      <c r="CD194" s="35"/>
      <c r="CE194" s="35"/>
      <c r="CF194" s="35"/>
      <c r="CG194" s="35"/>
      <c r="CH194" s="35"/>
      <c r="CI194" s="35"/>
      <c r="CJ194" s="35"/>
      <c r="CK194" s="35"/>
      <c r="CL194" s="35"/>
      <c r="CM194" s="35"/>
      <c r="CN194" s="35"/>
      <c r="CO194" s="35"/>
      <c r="CP194" s="35"/>
      <c r="CQ194" s="35"/>
      <c r="CR194" s="35"/>
      <c r="CS194" s="35"/>
      <c r="CT194" s="35"/>
      <c r="CU194" s="35"/>
      <c r="CV194" s="35"/>
      <c r="CW194" s="35"/>
      <c r="CX194" s="35"/>
      <c r="CY194" s="35"/>
      <c r="CZ194" s="35"/>
      <c r="DA194" s="35"/>
      <c r="DB194" s="35"/>
      <c r="DC194" s="35"/>
      <c r="DD194" s="35"/>
      <c r="DE194" s="35"/>
      <c r="DF194" s="35"/>
      <c r="DG194" s="35"/>
      <c r="DH194" s="35"/>
      <c r="DI194" s="35"/>
      <c r="DJ194" s="35"/>
    </row>
    <row r="195" spans="1:114" x14ac:dyDescent="0.25">
      <c r="A195" s="34"/>
      <c r="B195" s="34"/>
      <c r="C195" s="34"/>
      <c r="D195" s="34"/>
      <c r="E195" s="34"/>
      <c r="F195" s="34"/>
      <c r="G195" s="34"/>
      <c r="H195" s="34"/>
      <c r="I195" s="34"/>
      <c r="J195" s="34"/>
      <c r="K195" s="34"/>
      <c r="L195" s="34"/>
      <c r="M195" s="34"/>
      <c r="N195" s="35"/>
      <c r="O195" s="35"/>
      <c r="P195" s="35"/>
      <c r="Q195" s="35"/>
      <c r="R195" s="35"/>
      <c r="S195" s="35"/>
      <c r="T195" s="35"/>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c r="AS195" s="35"/>
      <c r="AT195" s="35"/>
      <c r="AU195" s="35"/>
      <c r="AV195" s="35"/>
      <c r="AW195" s="35"/>
      <c r="AX195" s="35"/>
      <c r="AY195" s="35"/>
      <c r="AZ195" s="35"/>
      <c r="BA195" s="35"/>
      <c r="BB195" s="35"/>
      <c r="BC195" s="35"/>
      <c r="BD195" s="35"/>
      <c r="BE195" s="35"/>
      <c r="BF195" s="35"/>
      <c r="BG195" s="35"/>
      <c r="BH195" s="35"/>
      <c r="BI195" s="35"/>
      <c r="BJ195" s="35"/>
      <c r="BK195" s="35"/>
      <c r="BL195" s="35"/>
      <c r="BM195" s="35"/>
      <c r="BN195" s="35"/>
      <c r="BO195" s="35"/>
      <c r="BP195" s="35"/>
      <c r="BQ195" s="35"/>
      <c r="BR195" s="35"/>
      <c r="BS195" s="35"/>
      <c r="BT195" s="35"/>
      <c r="BU195" s="35"/>
      <c r="BV195" s="35"/>
      <c r="BW195" s="35"/>
      <c r="BX195" s="35"/>
      <c r="BY195" s="35"/>
      <c r="BZ195" s="35"/>
      <c r="CA195" s="35"/>
      <c r="CB195" s="35"/>
      <c r="CC195" s="35"/>
      <c r="CD195" s="35"/>
      <c r="CE195" s="35"/>
      <c r="CF195" s="35"/>
      <c r="CG195" s="35"/>
      <c r="CH195" s="35"/>
      <c r="CI195" s="35"/>
      <c r="CJ195" s="35"/>
      <c r="CK195" s="35"/>
      <c r="CL195" s="35"/>
      <c r="CM195" s="35"/>
      <c r="CN195" s="35"/>
      <c r="CO195" s="35"/>
      <c r="CP195" s="35"/>
      <c r="CQ195" s="35"/>
      <c r="CR195" s="35"/>
      <c r="CS195" s="35"/>
      <c r="CT195" s="35"/>
      <c r="CU195" s="35"/>
      <c r="CV195" s="35"/>
      <c r="CW195" s="35"/>
      <c r="CX195" s="35"/>
      <c r="CY195" s="35"/>
      <c r="CZ195" s="35"/>
      <c r="DA195" s="35"/>
      <c r="DB195" s="35"/>
      <c r="DC195" s="35"/>
      <c r="DD195" s="35"/>
      <c r="DE195" s="35"/>
      <c r="DF195" s="35"/>
      <c r="DG195" s="35"/>
      <c r="DH195" s="35"/>
      <c r="DI195" s="35"/>
      <c r="DJ195" s="35"/>
    </row>
    <row r="196" spans="1:114" x14ac:dyDescent="0.25">
      <c r="A196" s="34"/>
      <c r="B196" s="34"/>
      <c r="C196" s="34"/>
      <c r="D196" s="34"/>
      <c r="E196" s="34"/>
      <c r="F196" s="34"/>
      <c r="G196" s="34"/>
      <c r="H196" s="34"/>
      <c r="I196" s="34"/>
      <c r="J196" s="34"/>
      <c r="K196" s="34"/>
      <c r="L196" s="34"/>
      <c r="M196" s="34"/>
      <c r="N196" s="35"/>
      <c r="O196" s="35"/>
      <c r="P196" s="35"/>
      <c r="Q196" s="35"/>
      <c r="R196" s="35"/>
      <c r="S196" s="35"/>
      <c r="T196" s="35"/>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c r="AS196" s="35"/>
      <c r="AT196" s="35"/>
      <c r="AU196" s="35"/>
      <c r="AV196" s="35"/>
      <c r="AW196" s="35"/>
      <c r="AX196" s="35"/>
      <c r="AY196" s="35"/>
      <c r="AZ196" s="35"/>
      <c r="BA196" s="35"/>
      <c r="BB196" s="35"/>
      <c r="BC196" s="35"/>
      <c r="BD196" s="35"/>
      <c r="BE196" s="35"/>
      <c r="BF196" s="35"/>
      <c r="BG196" s="35"/>
      <c r="BH196" s="35"/>
      <c r="BI196" s="35"/>
      <c r="BJ196" s="35"/>
      <c r="BK196" s="35"/>
      <c r="BL196" s="35"/>
      <c r="BM196" s="35"/>
      <c r="BN196" s="35"/>
      <c r="BO196" s="35"/>
      <c r="BP196" s="35"/>
      <c r="BQ196" s="35"/>
      <c r="BR196" s="35"/>
      <c r="BS196" s="35"/>
      <c r="BT196" s="35"/>
      <c r="BU196" s="35"/>
      <c r="BV196" s="35"/>
      <c r="BW196" s="35"/>
      <c r="BX196" s="35"/>
      <c r="BY196" s="35"/>
      <c r="BZ196" s="35"/>
      <c r="CA196" s="35"/>
      <c r="CB196" s="35"/>
      <c r="CC196" s="35"/>
      <c r="CD196" s="35"/>
      <c r="CE196" s="35"/>
      <c r="CF196" s="35"/>
      <c r="CG196" s="35"/>
      <c r="CH196" s="35"/>
      <c r="CI196" s="35"/>
      <c r="CJ196" s="35"/>
      <c r="CK196" s="35"/>
      <c r="CL196" s="35"/>
      <c r="CM196" s="35"/>
      <c r="CN196" s="35"/>
      <c r="CO196" s="35"/>
      <c r="CP196" s="35"/>
      <c r="CQ196" s="35"/>
      <c r="CR196" s="35"/>
      <c r="CS196" s="35"/>
      <c r="CT196" s="35"/>
      <c r="CU196" s="35"/>
      <c r="CV196" s="35"/>
      <c r="CW196" s="35"/>
      <c r="CX196" s="35"/>
      <c r="CY196" s="35"/>
      <c r="CZ196" s="35"/>
      <c r="DA196" s="35"/>
      <c r="DB196" s="35"/>
      <c r="DC196" s="35"/>
      <c r="DD196" s="35"/>
      <c r="DE196" s="35"/>
      <c r="DF196" s="35"/>
      <c r="DG196" s="35"/>
      <c r="DH196" s="35"/>
      <c r="DI196" s="35"/>
      <c r="DJ196" s="35"/>
    </row>
    <row r="197" spans="1:114" x14ac:dyDescent="0.25">
      <c r="A197" s="34"/>
      <c r="B197" s="34"/>
      <c r="C197" s="34"/>
      <c r="D197" s="34"/>
      <c r="E197" s="34"/>
      <c r="F197" s="34"/>
      <c r="G197" s="34"/>
      <c r="H197" s="34"/>
      <c r="I197" s="34"/>
      <c r="J197" s="34"/>
      <c r="K197" s="34"/>
      <c r="L197" s="34"/>
      <c r="M197" s="34"/>
      <c r="N197" s="35"/>
      <c r="O197" s="35"/>
      <c r="P197" s="35"/>
      <c r="Q197" s="35"/>
      <c r="R197" s="35"/>
      <c r="S197" s="35"/>
      <c r="T197" s="35"/>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c r="AS197" s="35"/>
      <c r="AT197" s="35"/>
      <c r="AU197" s="35"/>
      <c r="AV197" s="35"/>
      <c r="AW197" s="35"/>
      <c r="AX197" s="35"/>
      <c r="AY197" s="35"/>
      <c r="AZ197" s="35"/>
      <c r="BA197" s="35"/>
      <c r="BB197" s="35"/>
      <c r="BC197" s="35"/>
      <c r="BD197" s="35"/>
      <c r="BE197" s="35"/>
      <c r="BF197" s="35"/>
      <c r="BG197" s="35"/>
      <c r="BH197" s="35"/>
      <c r="BI197" s="35"/>
      <c r="BJ197" s="35"/>
      <c r="BK197" s="35"/>
      <c r="BL197" s="35"/>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35"/>
      <c r="CY197" s="35"/>
      <c r="CZ197" s="35"/>
      <c r="DA197" s="35"/>
      <c r="DB197" s="35"/>
      <c r="DC197" s="35"/>
      <c r="DD197" s="35"/>
      <c r="DE197" s="35"/>
      <c r="DF197" s="35"/>
      <c r="DG197" s="35"/>
      <c r="DH197" s="35"/>
      <c r="DI197" s="35"/>
      <c r="DJ197" s="35"/>
    </row>
    <row r="198" spans="1:114" x14ac:dyDescent="0.25">
      <c r="A198" s="34"/>
      <c r="B198" s="34"/>
      <c r="C198" s="34"/>
      <c r="D198" s="34"/>
      <c r="E198" s="34"/>
      <c r="F198" s="34"/>
      <c r="G198" s="34"/>
      <c r="H198" s="34"/>
      <c r="I198" s="34"/>
      <c r="J198" s="34"/>
      <c r="K198" s="34"/>
      <c r="L198" s="34"/>
      <c r="M198" s="34"/>
      <c r="N198" s="35"/>
      <c r="O198" s="35"/>
      <c r="P198" s="35"/>
      <c r="Q198" s="35"/>
      <c r="R198" s="35"/>
      <c r="S198" s="35"/>
      <c r="T198" s="35"/>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c r="AS198" s="35"/>
      <c r="AT198" s="35"/>
      <c r="AU198" s="35"/>
      <c r="AV198" s="35"/>
      <c r="AW198" s="35"/>
      <c r="AX198" s="35"/>
      <c r="AY198" s="35"/>
      <c r="AZ198" s="35"/>
      <c r="BA198" s="35"/>
      <c r="BB198" s="35"/>
      <c r="BC198" s="35"/>
      <c r="BD198" s="35"/>
      <c r="BE198" s="35"/>
      <c r="BF198" s="35"/>
      <c r="BG198" s="35"/>
      <c r="BH198" s="35"/>
      <c r="BI198" s="35"/>
      <c r="BJ198" s="35"/>
      <c r="BK198" s="35"/>
      <c r="BL198" s="35"/>
      <c r="BM198" s="35"/>
      <c r="BN198" s="35"/>
      <c r="BO198" s="35"/>
      <c r="BP198" s="35"/>
      <c r="BQ198" s="35"/>
      <c r="BR198" s="35"/>
      <c r="BS198" s="35"/>
      <c r="BT198" s="35"/>
      <c r="BU198" s="35"/>
      <c r="BV198" s="35"/>
      <c r="BW198" s="35"/>
      <c r="BX198" s="35"/>
      <c r="BY198" s="35"/>
      <c r="BZ198" s="35"/>
      <c r="CA198" s="35"/>
      <c r="CB198" s="35"/>
      <c r="CC198" s="35"/>
      <c r="CD198" s="35"/>
      <c r="CE198" s="35"/>
      <c r="CF198" s="35"/>
      <c r="CG198" s="35"/>
      <c r="CH198" s="35"/>
      <c r="CI198" s="35"/>
      <c r="CJ198" s="35"/>
      <c r="CK198" s="35"/>
      <c r="CL198" s="35"/>
      <c r="CM198" s="35"/>
      <c r="CN198" s="35"/>
      <c r="CO198" s="35"/>
      <c r="CP198" s="35"/>
      <c r="CQ198" s="35"/>
      <c r="CR198" s="35"/>
      <c r="CS198" s="35"/>
      <c r="CT198" s="35"/>
      <c r="CU198" s="35"/>
      <c r="CV198" s="35"/>
      <c r="CW198" s="35"/>
      <c r="CX198" s="35"/>
      <c r="CY198" s="35"/>
      <c r="CZ198" s="35"/>
      <c r="DA198" s="35"/>
      <c r="DB198" s="35"/>
      <c r="DC198" s="35"/>
      <c r="DD198" s="35"/>
      <c r="DE198" s="35"/>
      <c r="DF198" s="35"/>
      <c r="DG198" s="35"/>
      <c r="DH198" s="35"/>
      <c r="DI198" s="35"/>
      <c r="DJ198" s="35"/>
    </row>
    <row r="199" spans="1:114" x14ac:dyDescent="0.25">
      <c r="A199" s="34"/>
      <c r="B199" s="34"/>
      <c r="C199" s="34"/>
      <c r="D199" s="34"/>
      <c r="E199" s="34"/>
      <c r="F199" s="34"/>
      <c r="G199" s="34"/>
      <c r="H199" s="34"/>
      <c r="I199" s="34"/>
      <c r="J199" s="34"/>
      <c r="K199" s="34"/>
      <c r="L199" s="34"/>
      <c r="M199" s="34"/>
      <c r="N199" s="35"/>
      <c r="O199" s="35"/>
      <c r="P199" s="35"/>
      <c r="Q199" s="35"/>
      <c r="R199" s="35"/>
      <c r="S199" s="35"/>
      <c r="T199" s="35"/>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c r="AS199" s="35"/>
      <c r="AT199" s="35"/>
      <c r="AU199" s="35"/>
      <c r="AV199" s="35"/>
      <c r="AW199" s="35"/>
      <c r="AX199" s="35"/>
      <c r="AY199" s="35"/>
      <c r="AZ199" s="35"/>
      <c r="BA199" s="35"/>
      <c r="BB199" s="35"/>
      <c r="BC199" s="35"/>
      <c r="BD199" s="35"/>
      <c r="BE199" s="35"/>
      <c r="BF199" s="35"/>
      <c r="BG199" s="35"/>
      <c r="BH199" s="35"/>
      <c r="BI199" s="35"/>
      <c r="BJ199" s="35"/>
      <c r="BK199" s="35"/>
      <c r="BL199" s="35"/>
      <c r="BM199" s="35"/>
      <c r="BN199" s="35"/>
      <c r="BO199" s="35"/>
      <c r="BP199" s="35"/>
      <c r="BQ199" s="35"/>
      <c r="BR199" s="35"/>
      <c r="BS199" s="35"/>
      <c r="BT199" s="35"/>
      <c r="BU199" s="35"/>
      <c r="BV199" s="35"/>
      <c r="BW199" s="35"/>
      <c r="BX199" s="35"/>
      <c r="BY199" s="35"/>
      <c r="BZ199" s="35"/>
      <c r="CA199" s="35"/>
      <c r="CB199" s="35"/>
      <c r="CC199" s="35"/>
      <c r="CD199" s="35"/>
      <c r="CE199" s="35"/>
      <c r="CF199" s="35"/>
      <c r="CG199" s="35"/>
      <c r="CH199" s="35"/>
      <c r="CI199" s="35"/>
      <c r="CJ199" s="35"/>
      <c r="CK199" s="35"/>
      <c r="CL199" s="35"/>
      <c r="CM199" s="35"/>
      <c r="CN199" s="35"/>
      <c r="CO199" s="35"/>
      <c r="CP199" s="35"/>
      <c r="CQ199" s="35"/>
      <c r="CR199" s="35"/>
      <c r="CS199" s="35"/>
      <c r="CT199" s="35"/>
      <c r="CU199" s="35"/>
      <c r="CV199" s="35"/>
      <c r="CW199" s="35"/>
      <c r="CX199" s="35"/>
      <c r="CY199" s="35"/>
      <c r="CZ199" s="35"/>
      <c r="DA199" s="35"/>
      <c r="DB199" s="35"/>
      <c r="DC199" s="35"/>
      <c r="DD199" s="35"/>
      <c r="DE199" s="35"/>
      <c r="DF199" s="35"/>
      <c r="DG199" s="35"/>
      <c r="DH199" s="35"/>
      <c r="DI199" s="35"/>
      <c r="DJ199" s="35"/>
    </row>
    <row r="200" spans="1:114" x14ac:dyDescent="0.25">
      <c r="A200" s="34"/>
      <c r="B200" s="34"/>
      <c r="C200" s="34"/>
      <c r="D200" s="34"/>
      <c r="E200" s="34"/>
      <c r="F200" s="34"/>
      <c r="G200" s="34"/>
      <c r="H200" s="34"/>
      <c r="I200" s="34"/>
      <c r="J200" s="34"/>
      <c r="K200" s="34"/>
      <c r="L200" s="34"/>
      <c r="M200" s="34"/>
      <c r="N200" s="35"/>
      <c r="O200" s="35"/>
      <c r="P200" s="35"/>
      <c r="Q200" s="35"/>
      <c r="R200" s="35"/>
      <c r="S200" s="35"/>
      <c r="T200" s="35"/>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c r="AS200" s="35"/>
      <c r="AT200" s="35"/>
      <c r="AU200" s="35"/>
      <c r="AV200" s="35"/>
      <c r="AW200" s="35"/>
      <c r="AX200" s="35"/>
      <c r="AY200" s="35"/>
      <c r="AZ200" s="35"/>
      <c r="BA200" s="35"/>
      <c r="BB200" s="35"/>
      <c r="BC200" s="35"/>
      <c r="BD200" s="35"/>
      <c r="BE200" s="35"/>
      <c r="BF200" s="35"/>
      <c r="BG200" s="35"/>
      <c r="BH200" s="35"/>
      <c r="BI200" s="35"/>
      <c r="BJ200" s="35"/>
      <c r="BK200" s="35"/>
      <c r="BL200" s="35"/>
      <c r="BM200" s="35"/>
      <c r="BN200" s="35"/>
      <c r="BO200" s="35"/>
      <c r="BP200" s="35"/>
      <c r="BQ200" s="35"/>
      <c r="BR200" s="35"/>
      <c r="BS200" s="35"/>
      <c r="BT200" s="35"/>
      <c r="BU200" s="35"/>
      <c r="BV200" s="35"/>
      <c r="BW200" s="35"/>
      <c r="BX200" s="35"/>
      <c r="BY200" s="35"/>
      <c r="BZ200" s="35"/>
      <c r="CA200" s="35"/>
      <c r="CB200" s="35"/>
      <c r="CC200" s="35"/>
      <c r="CD200" s="35"/>
      <c r="CE200" s="35"/>
      <c r="CF200" s="35"/>
      <c r="CG200" s="35"/>
      <c r="CH200" s="35"/>
      <c r="CI200" s="35"/>
      <c r="CJ200" s="35"/>
      <c r="CK200" s="35"/>
      <c r="CL200" s="35"/>
      <c r="CM200" s="35"/>
      <c r="CN200" s="35"/>
      <c r="CO200" s="35"/>
      <c r="CP200" s="35"/>
      <c r="CQ200" s="35"/>
      <c r="CR200" s="35"/>
      <c r="CS200" s="35"/>
      <c r="CT200" s="35"/>
      <c r="CU200" s="35"/>
      <c r="CV200" s="35"/>
      <c r="CW200" s="35"/>
      <c r="CX200" s="35"/>
      <c r="CY200" s="35"/>
      <c r="CZ200" s="35"/>
      <c r="DA200" s="35"/>
      <c r="DB200" s="35"/>
      <c r="DC200" s="35"/>
      <c r="DD200" s="35"/>
      <c r="DE200" s="35"/>
      <c r="DF200" s="35"/>
      <c r="DG200" s="35"/>
      <c r="DH200" s="35"/>
      <c r="DI200" s="35"/>
      <c r="DJ200" s="35"/>
    </row>
    <row r="201" spans="1:114" x14ac:dyDescent="0.25">
      <c r="A201" s="34"/>
      <c r="B201" s="34"/>
      <c r="C201" s="34"/>
      <c r="D201" s="34"/>
      <c r="E201" s="34"/>
      <c r="F201" s="34"/>
      <c r="G201" s="34"/>
      <c r="H201" s="34"/>
      <c r="I201" s="34"/>
      <c r="J201" s="34"/>
      <c r="K201" s="34"/>
      <c r="L201" s="34"/>
      <c r="M201" s="34"/>
      <c r="N201" s="35"/>
      <c r="O201" s="35"/>
      <c r="P201" s="35"/>
      <c r="Q201" s="35"/>
      <c r="R201" s="35"/>
      <c r="S201" s="35"/>
      <c r="T201" s="35"/>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c r="AS201" s="35"/>
      <c r="AT201" s="35"/>
      <c r="AU201" s="35"/>
      <c r="AV201" s="35"/>
      <c r="AW201" s="35"/>
      <c r="AX201" s="35"/>
      <c r="AY201" s="35"/>
      <c r="AZ201" s="35"/>
      <c r="BA201" s="35"/>
      <c r="BB201" s="35"/>
      <c r="BC201" s="35"/>
      <c r="BD201" s="35"/>
      <c r="BE201" s="35"/>
      <c r="BF201" s="35"/>
      <c r="BG201" s="35"/>
      <c r="BH201" s="35"/>
      <c r="BI201" s="35"/>
      <c r="BJ201" s="35"/>
      <c r="BK201" s="35"/>
      <c r="BL201" s="35"/>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35"/>
      <c r="CY201" s="35"/>
      <c r="CZ201" s="35"/>
      <c r="DA201" s="35"/>
      <c r="DB201" s="35"/>
      <c r="DC201" s="35"/>
      <c r="DD201" s="35"/>
      <c r="DE201" s="35"/>
      <c r="DF201" s="35"/>
      <c r="DG201" s="35"/>
      <c r="DH201" s="35"/>
      <c r="DI201" s="35"/>
      <c r="DJ201" s="35"/>
    </row>
    <row r="202" spans="1:114" x14ac:dyDescent="0.25">
      <c r="A202" s="34"/>
      <c r="B202" s="34"/>
      <c r="C202" s="34"/>
      <c r="D202" s="34"/>
      <c r="E202" s="34"/>
      <c r="F202" s="34"/>
      <c r="G202" s="34"/>
      <c r="H202" s="34"/>
      <c r="I202" s="34"/>
      <c r="J202" s="34"/>
      <c r="K202" s="34"/>
      <c r="L202" s="34"/>
      <c r="M202" s="34"/>
      <c r="N202" s="35"/>
      <c r="O202" s="35"/>
      <c r="P202" s="35"/>
      <c r="Q202" s="35"/>
      <c r="R202" s="35"/>
      <c r="S202" s="35"/>
      <c r="T202" s="35"/>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row>
    <row r="203" spans="1:114" x14ac:dyDescent="0.25">
      <c r="A203" s="34"/>
      <c r="B203" s="34"/>
      <c r="C203" s="34"/>
      <c r="D203" s="34"/>
      <c r="E203" s="34"/>
      <c r="F203" s="34"/>
      <c r="G203" s="34"/>
      <c r="H203" s="34"/>
      <c r="I203" s="34"/>
      <c r="J203" s="34"/>
      <c r="K203" s="34"/>
      <c r="L203" s="34"/>
      <c r="M203" s="34"/>
      <c r="N203" s="35"/>
      <c r="O203" s="35"/>
      <c r="P203" s="35"/>
      <c r="Q203" s="35"/>
      <c r="R203" s="35"/>
      <c r="S203" s="35"/>
      <c r="T203" s="35"/>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c r="AS203" s="35"/>
      <c r="AT203" s="35"/>
      <c r="AU203" s="35"/>
      <c r="AV203" s="35"/>
      <c r="AW203" s="35"/>
      <c r="AX203" s="35"/>
      <c r="AY203" s="35"/>
      <c r="AZ203" s="35"/>
      <c r="BA203" s="35"/>
      <c r="BB203" s="35"/>
      <c r="BC203" s="35"/>
      <c r="BD203" s="35"/>
      <c r="BE203" s="35"/>
      <c r="BF203" s="35"/>
      <c r="BG203" s="35"/>
      <c r="BH203" s="35"/>
      <c r="BI203" s="35"/>
      <c r="BJ203" s="35"/>
      <c r="BK203" s="35"/>
      <c r="BL203" s="35"/>
      <c r="BM203" s="35"/>
      <c r="BN203" s="35"/>
      <c r="BO203" s="35"/>
      <c r="BP203" s="35"/>
      <c r="BQ203" s="35"/>
      <c r="BR203" s="35"/>
      <c r="BS203" s="35"/>
      <c r="BT203" s="35"/>
      <c r="BU203" s="35"/>
      <c r="BV203" s="35"/>
      <c r="BW203" s="35"/>
      <c r="BX203" s="35"/>
      <c r="BY203" s="35"/>
      <c r="BZ203" s="35"/>
      <c r="CA203" s="35"/>
      <c r="CB203" s="35"/>
      <c r="CC203" s="35"/>
      <c r="CD203" s="35"/>
      <c r="CE203" s="35"/>
      <c r="CF203" s="35"/>
      <c r="CG203" s="35"/>
      <c r="CH203" s="35"/>
      <c r="CI203" s="35"/>
      <c r="CJ203" s="35"/>
      <c r="CK203" s="35"/>
      <c r="CL203" s="35"/>
      <c r="CM203" s="35"/>
      <c r="CN203" s="35"/>
      <c r="CO203" s="35"/>
      <c r="CP203" s="35"/>
      <c r="CQ203" s="35"/>
      <c r="CR203" s="35"/>
      <c r="CS203" s="35"/>
      <c r="CT203" s="35"/>
      <c r="CU203" s="35"/>
      <c r="CV203" s="35"/>
      <c r="CW203" s="35"/>
      <c r="CX203" s="35"/>
      <c r="CY203" s="35"/>
      <c r="CZ203" s="35"/>
      <c r="DA203" s="35"/>
      <c r="DB203" s="35"/>
      <c r="DC203" s="35"/>
      <c r="DD203" s="35"/>
      <c r="DE203" s="35"/>
      <c r="DF203" s="35"/>
      <c r="DG203" s="35"/>
      <c r="DH203" s="35"/>
      <c r="DI203" s="35"/>
      <c r="DJ203" s="35"/>
    </row>
    <row r="204" spans="1:114" x14ac:dyDescent="0.25">
      <c r="A204" s="34"/>
      <c r="B204" s="34"/>
      <c r="C204" s="34"/>
      <c r="D204" s="34"/>
      <c r="E204" s="34"/>
      <c r="F204" s="34"/>
      <c r="G204" s="34"/>
      <c r="H204" s="34"/>
      <c r="I204" s="34"/>
      <c r="J204" s="34"/>
      <c r="K204" s="34"/>
      <c r="L204" s="34"/>
      <c r="M204" s="34"/>
      <c r="N204" s="35"/>
      <c r="O204" s="35"/>
      <c r="P204" s="35"/>
      <c r="Q204" s="35"/>
      <c r="R204" s="35"/>
      <c r="S204" s="35"/>
      <c r="T204" s="35"/>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c r="AS204" s="35"/>
      <c r="AT204" s="35"/>
      <c r="AU204" s="35"/>
      <c r="AV204" s="35"/>
      <c r="AW204" s="35"/>
      <c r="AX204" s="35"/>
      <c r="AY204" s="35"/>
      <c r="AZ204" s="35"/>
      <c r="BA204" s="35"/>
      <c r="BB204" s="35"/>
      <c r="BC204" s="35"/>
      <c r="BD204" s="35"/>
      <c r="BE204" s="35"/>
      <c r="BF204" s="35"/>
      <c r="BG204" s="35"/>
      <c r="BH204" s="35"/>
      <c r="BI204" s="35"/>
      <c r="BJ204" s="35"/>
      <c r="BK204" s="35"/>
      <c r="BL204" s="35"/>
      <c r="BM204" s="35"/>
      <c r="BN204" s="35"/>
      <c r="BO204" s="35"/>
      <c r="BP204" s="35"/>
      <c r="BQ204" s="35"/>
      <c r="BR204" s="35"/>
      <c r="BS204" s="35"/>
      <c r="BT204" s="35"/>
      <c r="BU204" s="35"/>
      <c r="BV204" s="35"/>
      <c r="BW204" s="35"/>
      <c r="BX204" s="35"/>
      <c r="BY204" s="35"/>
      <c r="BZ204" s="35"/>
      <c r="CA204" s="35"/>
      <c r="CB204" s="35"/>
      <c r="CC204" s="35"/>
      <c r="CD204" s="35"/>
      <c r="CE204" s="35"/>
      <c r="CF204" s="35"/>
      <c r="CG204" s="35"/>
      <c r="CH204" s="35"/>
      <c r="CI204" s="35"/>
      <c r="CJ204" s="35"/>
      <c r="CK204" s="35"/>
      <c r="CL204" s="35"/>
      <c r="CM204" s="35"/>
      <c r="CN204" s="35"/>
      <c r="CO204" s="35"/>
      <c r="CP204" s="35"/>
      <c r="CQ204" s="35"/>
      <c r="CR204" s="35"/>
      <c r="CS204" s="35"/>
      <c r="CT204" s="35"/>
      <c r="CU204" s="35"/>
      <c r="CV204" s="35"/>
      <c r="CW204" s="35"/>
      <c r="CX204" s="35"/>
      <c r="CY204" s="35"/>
      <c r="CZ204" s="35"/>
      <c r="DA204" s="35"/>
      <c r="DB204" s="35"/>
      <c r="DC204" s="35"/>
      <c r="DD204" s="35"/>
      <c r="DE204" s="35"/>
      <c r="DF204" s="35"/>
      <c r="DG204" s="35"/>
      <c r="DH204" s="35"/>
      <c r="DI204" s="35"/>
      <c r="DJ204" s="35"/>
    </row>
    <row r="205" spans="1:114" x14ac:dyDescent="0.25">
      <c r="A205" s="34"/>
      <c r="B205" s="34"/>
      <c r="C205" s="34"/>
      <c r="D205" s="34"/>
      <c r="E205" s="34"/>
      <c r="F205" s="34"/>
      <c r="G205" s="34"/>
      <c r="H205" s="34"/>
      <c r="I205" s="34"/>
      <c r="J205" s="34"/>
      <c r="K205" s="34"/>
      <c r="L205" s="34"/>
      <c r="M205" s="34"/>
      <c r="N205" s="35"/>
      <c r="O205" s="35"/>
      <c r="P205" s="35"/>
      <c r="Q205" s="35"/>
      <c r="R205" s="35"/>
      <c r="S205" s="35"/>
      <c r="T205" s="35"/>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c r="AS205" s="35"/>
      <c r="AT205" s="35"/>
      <c r="AU205" s="35"/>
      <c r="AV205" s="35"/>
      <c r="AW205" s="35"/>
      <c r="AX205" s="35"/>
      <c r="AY205" s="35"/>
      <c r="AZ205" s="35"/>
      <c r="BA205" s="35"/>
      <c r="BB205" s="35"/>
      <c r="BC205" s="35"/>
      <c r="BD205" s="35"/>
      <c r="BE205" s="35"/>
      <c r="BF205" s="35"/>
      <c r="BG205" s="35"/>
      <c r="BH205" s="35"/>
      <c r="BI205" s="35"/>
      <c r="BJ205" s="35"/>
      <c r="BK205" s="35"/>
      <c r="BL205" s="35"/>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35"/>
      <c r="CY205" s="35"/>
      <c r="CZ205" s="35"/>
      <c r="DA205" s="35"/>
      <c r="DB205" s="35"/>
      <c r="DC205" s="35"/>
      <c r="DD205" s="35"/>
      <c r="DE205" s="35"/>
      <c r="DF205" s="35"/>
      <c r="DG205" s="35"/>
      <c r="DH205" s="35"/>
      <c r="DI205" s="35"/>
      <c r="DJ205" s="35"/>
    </row>
    <row r="206" spans="1:114" x14ac:dyDescent="0.25">
      <c r="A206" s="34"/>
      <c r="B206" s="34"/>
      <c r="C206" s="34"/>
      <c r="D206" s="34"/>
      <c r="E206" s="34"/>
      <c r="F206" s="34"/>
      <c r="G206" s="34"/>
      <c r="H206" s="34"/>
      <c r="I206" s="34"/>
      <c r="J206" s="34"/>
      <c r="K206" s="34"/>
      <c r="L206" s="34"/>
      <c r="M206" s="34"/>
      <c r="N206" s="35"/>
      <c r="O206" s="35"/>
      <c r="P206" s="35"/>
      <c r="Q206" s="35"/>
      <c r="R206" s="35"/>
      <c r="S206" s="35"/>
      <c r="T206" s="35"/>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c r="AS206" s="35"/>
      <c r="AT206" s="35"/>
      <c r="AU206" s="35"/>
      <c r="AV206" s="35"/>
      <c r="AW206" s="35"/>
      <c r="AX206" s="35"/>
      <c r="AY206" s="35"/>
      <c r="AZ206" s="35"/>
      <c r="BA206" s="35"/>
      <c r="BB206" s="35"/>
      <c r="BC206" s="35"/>
      <c r="BD206" s="35"/>
      <c r="BE206" s="35"/>
      <c r="BF206" s="35"/>
      <c r="BG206" s="35"/>
      <c r="BH206" s="35"/>
      <c r="BI206" s="35"/>
      <c r="BJ206" s="35"/>
      <c r="BK206" s="35"/>
      <c r="BL206" s="35"/>
      <c r="BM206" s="35"/>
      <c r="BN206" s="35"/>
      <c r="BO206" s="35"/>
      <c r="BP206" s="35"/>
      <c r="BQ206" s="35"/>
      <c r="BR206" s="35"/>
      <c r="BS206" s="35"/>
      <c r="BT206" s="35"/>
      <c r="BU206" s="35"/>
      <c r="BV206" s="35"/>
      <c r="BW206" s="35"/>
      <c r="BX206" s="35"/>
      <c r="BY206" s="35"/>
      <c r="BZ206" s="35"/>
      <c r="CA206" s="35"/>
      <c r="CB206" s="35"/>
      <c r="CC206" s="35"/>
      <c r="CD206" s="35"/>
      <c r="CE206" s="35"/>
      <c r="CF206" s="35"/>
      <c r="CG206" s="35"/>
      <c r="CH206" s="35"/>
      <c r="CI206" s="35"/>
      <c r="CJ206" s="35"/>
      <c r="CK206" s="35"/>
      <c r="CL206" s="35"/>
      <c r="CM206" s="35"/>
      <c r="CN206" s="35"/>
      <c r="CO206" s="35"/>
      <c r="CP206" s="35"/>
      <c r="CQ206" s="35"/>
      <c r="CR206" s="35"/>
      <c r="CS206" s="35"/>
      <c r="CT206" s="35"/>
      <c r="CU206" s="35"/>
      <c r="CV206" s="35"/>
      <c r="CW206" s="35"/>
      <c r="CX206" s="35"/>
      <c r="CY206" s="35"/>
      <c r="CZ206" s="35"/>
      <c r="DA206" s="35"/>
      <c r="DB206" s="35"/>
      <c r="DC206" s="35"/>
      <c r="DD206" s="35"/>
      <c r="DE206" s="35"/>
      <c r="DF206" s="35"/>
      <c r="DG206" s="35"/>
      <c r="DH206" s="35"/>
      <c r="DI206" s="35"/>
      <c r="DJ206" s="35"/>
    </row>
    <row r="207" spans="1:114" x14ac:dyDescent="0.25">
      <c r="A207" s="34"/>
      <c r="B207" s="34"/>
      <c r="C207" s="34"/>
      <c r="D207" s="34"/>
      <c r="E207" s="34"/>
      <c r="F207" s="34"/>
      <c r="G207" s="34"/>
      <c r="H207" s="34"/>
      <c r="I207" s="34"/>
      <c r="J207" s="34"/>
      <c r="K207" s="34"/>
      <c r="L207" s="34"/>
      <c r="M207" s="34"/>
      <c r="N207" s="35"/>
      <c r="O207" s="35"/>
      <c r="P207" s="35"/>
      <c r="Q207" s="35"/>
      <c r="R207" s="35"/>
      <c r="S207" s="35"/>
      <c r="T207" s="35"/>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c r="AS207" s="35"/>
      <c r="AT207" s="35"/>
      <c r="AU207" s="35"/>
      <c r="AV207" s="35"/>
      <c r="AW207" s="35"/>
      <c r="AX207" s="35"/>
      <c r="AY207" s="35"/>
      <c r="AZ207" s="35"/>
      <c r="BA207" s="35"/>
      <c r="BB207" s="35"/>
      <c r="BC207" s="35"/>
      <c r="BD207" s="35"/>
      <c r="BE207" s="35"/>
      <c r="BF207" s="35"/>
      <c r="BG207" s="35"/>
      <c r="BH207" s="35"/>
      <c r="BI207" s="35"/>
      <c r="BJ207" s="35"/>
      <c r="BK207" s="35"/>
      <c r="BL207" s="35"/>
      <c r="BM207" s="35"/>
      <c r="BN207" s="35"/>
      <c r="BO207" s="35"/>
      <c r="BP207" s="35"/>
      <c r="BQ207" s="35"/>
      <c r="BR207" s="35"/>
      <c r="BS207" s="35"/>
      <c r="BT207" s="35"/>
      <c r="BU207" s="35"/>
      <c r="BV207" s="35"/>
      <c r="BW207" s="35"/>
      <c r="BX207" s="35"/>
      <c r="BY207" s="35"/>
      <c r="BZ207" s="35"/>
      <c r="CA207" s="35"/>
      <c r="CB207" s="35"/>
      <c r="CC207" s="35"/>
      <c r="CD207" s="35"/>
      <c r="CE207" s="35"/>
      <c r="CF207" s="35"/>
      <c r="CG207" s="35"/>
      <c r="CH207" s="35"/>
      <c r="CI207" s="35"/>
      <c r="CJ207" s="35"/>
      <c r="CK207" s="35"/>
      <c r="CL207" s="35"/>
      <c r="CM207" s="35"/>
      <c r="CN207" s="35"/>
      <c r="CO207" s="35"/>
      <c r="CP207" s="35"/>
      <c r="CQ207" s="35"/>
      <c r="CR207" s="35"/>
      <c r="CS207" s="35"/>
      <c r="CT207" s="35"/>
      <c r="CU207" s="35"/>
      <c r="CV207" s="35"/>
      <c r="CW207" s="35"/>
      <c r="CX207" s="35"/>
      <c r="CY207" s="35"/>
      <c r="CZ207" s="35"/>
      <c r="DA207" s="35"/>
      <c r="DB207" s="35"/>
      <c r="DC207" s="35"/>
      <c r="DD207" s="35"/>
      <c r="DE207" s="35"/>
      <c r="DF207" s="35"/>
      <c r="DG207" s="35"/>
      <c r="DH207" s="35"/>
      <c r="DI207" s="35"/>
      <c r="DJ207" s="35"/>
    </row>
    <row r="208" spans="1:114" x14ac:dyDescent="0.25">
      <c r="A208" s="34"/>
      <c r="B208" s="34"/>
      <c r="C208" s="34"/>
      <c r="D208" s="34"/>
      <c r="E208" s="34"/>
      <c r="F208" s="34"/>
      <c r="G208" s="34"/>
      <c r="H208" s="34"/>
      <c r="I208" s="34"/>
      <c r="J208" s="34"/>
      <c r="K208" s="34"/>
      <c r="L208" s="34"/>
      <c r="M208" s="34"/>
      <c r="N208" s="35"/>
      <c r="O208" s="35"/>
      <c r="P208" s="35"/>
      <c r="Q208" s="35"/>
      <c r="R208" s="35"/>
      <c r="S208" s="35"/>
      <c r="T208" s="35"/>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c r="AS208" s="35"/>
      <c r="AT208" s="35"/>
      <c r="AU208" s="35"/>
      <c r="AV208" s="35"/>
      <c r="AW208" s="35"/>
      <c r="AX208" s="35"/>
      <c r="AY208" s="35"/>
      <c r="AZ208" s="35"/>
      <c r="BA208" s="35"/>
      <c r="BB208" s="35"/>
      <c r="BC208" s="35"/>
      <c r="BD208" s="35"/>
      <c r="BE208" s="35"/>
      <c r="BF208" s="35"/>
      <c r="BG208" s="35"/>
      <c r="BH208" s="35"/>
      <c r="BI208" s="35"/>
      <c r="BJ208" s="35"/>
      <c r="BK208" s="35"/>
      <c r="BL208" s="35"/>
      <c r="BM208" s="35"/>
      <c r="BN208" s="35"/>
      <c r="BO208" s="35"/>
      <c r="BP208" s="35"/>
      <c r="BQ208" s="35"/>
      <c r="BR208" s="35"/>
      <c r="BS208" s="35"/>
      <c r="BT208" s="35"/>
      <c r="BU208" s="35"/>
      <c r="BV208" s="35"/>
      <c r="BW208" s="35"/>
      <c r="BX208" s="35"/>
      <c r="BY208" s="35"/>
      <c r="BZ208" s="35"/>
      <c r="CA208" s="35"/>
      <c r="CB208" s="35"/>
      <c r="CC208" s="35"/>
      <c r="CD208" s="35"/>
      <c r="CE208" s="35"/>
      <c r="CF208" s="35"/>
      <c r="CG208" s="35"/>
      <c r="CH208" s="35"/>
      <c r="CI208" s="35"/>
      <c r="CJ208" s="35"/>
      <c r="CK208" s="35"/>
      <c r="CL208" s="35"/>
      <c r="CM208" s="35"/>
      <c r="CN208" s="35"/>
      <c r="CO208" s="35"/>
      <c r="CP208" s="35"/>
      <c r="CQ208" s="35"/>
      <c r="CR208" s="35"/>
      <c r="CS208" s="35"/>
      <c r="CT208" s="35"/>
      <c r="CU208" s="35"/>
      <c r="CV208" s="35"/>
      <c r="CW208" s="35"/>
      <c r="CX208" s="35"/>
      <c r="CY208" s="35"/>
      <c r="CZ208" s="35"/>
      <c r="DA208" s="35"/>
      <c r="DB208" s="35"/>
      <c r="DC208" s="35"/>
      <c r="DD208" s="35"/>
      <c r="DE208" s="35"/>
      <c r="DF208" s="35"/>
      <c r="DG208" s="35"/>
      <c r="DH208" s="35"/>
      <c r="DI208" s="35"/>
      <c r="DJ208" s="35"/>
    </row>
    <row r="209" spans="1:114" x14ac:dyDescent="0.25">
      <c r="A209" s="34"/>
      <c r="B209" s="34"/>
      <c r="C209" s="34"/>
      <c r="D209" s="34"/>
      <c r="E209" s="34"/>
      <c r="F209" s="34"/>
      <c r="G209" s="34"/>
      <c r="H209" s="34"/>
      <c r="I209" s="34"/>
      <c r="J209" s="34"/>
      <c r="K209" s="34"/>
      <c r="L209" s="34"/>
      <c r="M209" s="34"/>
      <c r="N209" s="35"/>
      <c r="O209" s="35"/>
      <c r="P209" s="35"/>
      <c r="Q209" s="35"/>
      <c r="R209" s="35"/>
      <c r="S209" s="35"/>
      <c r="T209" s="35"/>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c r="AS209" s="35"/>
      <c r="AT209" s="35"/>
      <c r="AU209" s="35"/>
      <c r="AV209" s="35"/>
      <c r="AW209" s="35"/>
      <c r="AX209" s="35"/>
      <c r="AY209" s="35"/>
      <c r="AZ209" s="35"/>
      <c r="BA209" s="35"/>
      <c r="BB209" s="35"/>
      <c r="BC209" s="35"/>
      <c r="BD209" s="35"/>
      <c r="BE209" s="35"/>
      <c r="BF209" s="35"/>
      <c r="BG209" s="35"/>
      <c r="BH209" s="35"/>
      <c r="BI209" s="35"/>
      <c r="BJ209" s="35"/>
      <c r="BK209" s="35"/>
      <c r="BL209" s="35"/>
      <c r="BM209" s="35"/>
      <c r="BN209" s="35"/>
      <c r="BO209" s="35"/>
      <c r="BP209" s="35"/>
      <c r="BQ209" s="35"/>
      <c r="BR209" s="35"/>
      <c r="BS209" s="35"/>
      <c r="BT209" s="35"/>
      <c r="BU209" s="35"/>
      <c r="BV209" s="35"/>
      <c r="BW209" s="35"/>
      <c r="BX209" s="35"/>
      <c r="BY209" s="35"/>
      <c r="BZ209" s="35"/>
      <c r="CA209" s="35"/>
      <c r="CB209" s="35"/>
      <c r="CC209" s="35"/>
      <c r="CD209" s="35"/>
      <c r="CE209" s="35"/>
      <c r="CF209" s="35"/>
      <c r="CG209" s="35"/>
      <c r="CH209" s="35"/>
      <c r="CI209" s="35"/>
      <c r="CJ209" s="35"/>
      <c r="CK209" s="35"/>
      <c r="CL209" s="35"/>
      <c r="CM209" s="35"/>
      <c r="CN209" s="35"/>
      <c r="CO209" s="35"/>
      <c r="CP209" s="35"/>
      <c r="CQ209" s="35"/>
      <c r="CR209" s="35"/>
      <c r="CS209" s="35"/>
      <c r="CT209" s="35"/>
      <c r="CU209" s="35"/>
      <c r="CV209" s="35"/>
      <c r="CW209" s="35"/>
      <c r="CX209" s="35"/>
      <c r="CY209" s="35"/>
      <c r="CZ209" s="35"/>
      <c r="DA209" s="35"/>
      <c r="DB209" s="35"/>
      <c r="DC209" s="35"/>
      <c r="DD209" s="35"/>
      <c r="DE209" s="35"/>
      <c r="DF209" s="35"/>
      <c r="DG209" s="35"/>
      <c r="DH209" s="35"/>
      <c r="DI209" s="35"/>
      <c r="DJ209" s="35"/>
    </row>
    <row r="210" spans="1:114" x14ac:dyDescent="0.25">
      <c r="A210" s="34"/>
      <c r="B210" s="34"/>
      <c r="C210" s="34"/>
      <c r="D210" s="34"/>
      <c r="E210" s="34"/>
      <c r="F210" s="34"/>
      <c r="G210" s="34"/>
      <c r="H210" s="34"/>
      <c r="I210" s="34"/>
      <c r="J210" s="34"/>
      <c r="K210" s="34"/>
      <c r="L210" s="34"/>
      <c r="M210" s="34"/>
      <c r="N210" s="35"/>
      <c r="O210" s="35"/>
      <c r="P210" s="35"/>
      <c r="Q210" s="35"/>
      <c r="R210" s="35"/>
      <c r="S210" s="35"/>
      <c r="T210" s="35"/>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35"/>
      <c r="CD210" s="35"/>
      <c r="CE210" s="35"/>
      <c r="CF210" s="35"/>
      <c r="CG210" s="35"/>
      <c r="CH210" s="35"/>
      <c r="CI210" s="35"/>
      <c r="CJ210" s="35"/>
      <c r="CK210" s="35"/>
      <c r="CL210" s="35"/>
      <c r="CM210" s="35"/>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row>
    <row r="211" spans="1:114" x14ac:dyDescent="0.25">
      <c r="A211" s="34"/>
      <c r="B211" s="34"/>
      <c r="C211" s="34"/>
      <c r="D211" s="34"/>
      <c r="E211" s="34"/>
      <c r="F211" s="34"/>
      <c r="G211" s="34"/>
      <c r="H211" s="34"/>
      <c r="I211" s="34"/>
      <c r="J211" s="34"/>
      <c r="K211" s="34"/>
      <c r="L211" s="34"/>
      <c r="M211" s="34"/>
      <c r="N211" s="35"/>
      <c r="O211" s="35"/>
      <c r="P211" s="35"/>
      <c r="Q211" s="35"/>
      <c r="R211" s="35"/>
      <c r="S211" s="35"/>
      <c r="T211" s="35"/>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row>
    <row r="212" spans="1:114" x14ac:dyDescent="0.25">
      <c r="A212" s="34"/>
      <c r="B212" s="34"/>
      <c r="C212" s="34"/>
      <c r="D212" s="34"/>
      <c r="E212" s="34"/>
      <c r="F212" s="34"/>
      <c r="G212" s="34"/>
      <c r="H212" s="34"/>
      <c r="I212" s="34"/>
      <c r="J212" s="34"/>
      <c r="K212" s="34"/>
      <c r="L212" s="34"/>
      <c r="M212" s="34"/>
      <c r="N212" s="35"/>
      <c r="O212" s="35"/>
      <c r="P212" s="35"/>
      <c r="Q212" s="35"/>
      <c r="R212" s="35"/>
      <c r="S212" s="35"/>
      <c r="T212" s="35"/>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35"/>
      <c r="CD212" s="35"/>
      <c r="CE212" s="35"/>
      <c r="CF212" s="35"/>
      <c r="CG212" s="35"/>
      <c r="CH212" s="35"/>
      <c r="CI212" s="35"/>
      <c r="CJ212" s="35"/>
      <c r="CK212" s="35"/>
      <c r="CL212" s="35"/>
      <c r="CM212" s="35"/>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row>
    <row r="213" spans="1:114" x14ac:dyDescent="0.25">
      <c r="A213" s="34"/>
      <c r="B213" s="34"/>
      <c r="C213" s="34"/>
      <c r="D213" s="34"/>
      <c r="E213" s="34"/>
      <c r="F213" s="34"/>
      <c r="G213" s="34"/>
      <c r="H213" s="34"/>
      <c r="I213" s="34"/>
      <c r="J213" s="34"/>
      <c r="K213" s="34"/>
      <c r="L213" s="34"/>
      <c r="M213" s="34"/>
      <c r="N213" s="35"/>
      <c r="O213" s="35"/>
      <c r="P213" s="35"/>
      <c r="Q213" s="35"/>
      <c r="R213" s="35"/>
      <c r="S213" s="35"/>
      <c r="T213" s="35"/>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35"/>
      <c r="CD213" s="35"/>
      <c r="CE213" s="35"/>
      <c r="CF213" s="35"/>
      <c r="CG213" s="35"/>
      <c r="CH213" s="35"/>
      <c r="CI213" s="35"/>
      <c r="CJ213" s="35"/>
      <c r="CK213" s="35"/>
      <c r="CL213" s="35"/>
      <c r="CM213" s="35"/>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row>
    <row r="214" spans="1:114" x14ac:dyDescent="0.25">
      <c r="A214" s="34"/>
      <c r="B214" s="34"/>
      <c r="C214" s="34"/>
      <c r="D214" s="34"/>
      <c r="E214" s="34"/>
      <c r="F214" s="34"/>
      <c r="G214" s="34"/>
      <c r="H214" s="34"/>
      <c r="I214" s="34"/>
      <c r="J214" s="34"/>
      <c r="K214" s="34"/>
      <c r="L214" s="34"/>
      <c r="M214" s="34"/>
      <c r="N214" s="35"/>
      <c r="O214" s="35"/>
      <c r="P214" s="35"/>
      <c r="Q214" s="35"/>
      <c r="R214" s="35"/>
      <c r="S214" s="35"/>
      <c r="T214" s="35"/>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row>
    <row r="215" spans="1:114" x14ac:dyDescent="0.25">
      <c r="A215" s="34"/>
      <c r="B215" s="34"/>
      <c r="C215" s="34"/>
      <c r="D215" s="34"/>
      <c r="E215" s="34"/>
      <c r="F215" s="34"/>
      <c r="G215" s="34"/>
      <c r="H215" s="34"/>
      <c r="I215" s="34"/>
      <c r="J215" s="34"/>
      <c r="K215" s="34"/>
      <c r="L215" s="34"/>
      <c r="M215" s="34"/>
      <c r="N215" s="35"/>
      <c r="O215" s="35"/>
      <c r="P215" s="35"/>
      <c r="Q215" s="35"/>
      <c r="R215" s="35"/>
      <c r="S215" s="35"/>
      <c r="T215" s="35"/>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c r="AS215" s="35"/>
      <c r="AT215" s="35"/>
      <c r="AU215" s="35"/>
      <c r="AV215" s="35"/>
      <c r="AW215" s="35"/>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5"/>
      <c r="BU215" s="35"/>
      <c r="BV215" s="35"/>
      <c r="BW215" s="35"/>
      <c r="BX215" s="35"/>
      <c r="BY215" s="35"/>
      <c r="BZ215" s="35"/>
      <c r="CA215" s="35"/>
      <c r="CB215" s="35"/>
      <c r="CC215" s="35"/>
      <c r="CD215" s="35"/>
      <c r="CE215" s="35"/>
      <c r="CF215" s="35"/>
      <c r="CG215" s="35"/>
      <c r="CH215" s="35"/>
      <c r="CI215" s="35"/>
      <c r="CJ215" s="35"/>
      <c r="CK215" s="35"/>
      <c r="CL215" s="35"/>
      <c r="CM215" s="35"/>
      <c r="CN215" s="35"/>
      <c r="CO215" s="35"/>
      <c r="CP215" s="35"/>
      <c r="CQ215" s="35"/>
      <c r="CR215" s="35"/>
      <c r="CS215" s="35"/>
      <c r="CT215" s="35"/>
      <c r="CU215" s="35"/>
      <c r="CV215" s="35"/>
      <c r="CW215" s="35"/>
      <c r="CX215" s="35"/>
      <c r="CY215" s="35"/>
      <c r="CZ215" s="35"/>
      <c r="DA215" s="35"/>
      <c r="DB215" s="35"/>
      <c r="DC215" s="35"/>
      <c r="DD215" s="35"/>
      <c r="DE215" s="35"/>
      <c r="DF215" s="35"/>
      <c r="DG215" s="35"/>
      <c r="DH215" s="35"/>
      <c r="DI215" s="35"/>
      <c r="DJ215" s="35"/>
    </row>
    <row r="216" spans="1:114" x14ac:dyDescent="0.25">
      <c r="A216" s="34"/>
      <c r="B216" s="34"/>
      <c r="C216" s="34"/>
      <c r="D216" s="34"/>
      <c r="E216" s="34"/>
      <c r="F216" s="34"/>
      <c r="G216" s="34"/>
      <c r="H216" s="34"/>
      <c r="I216" s="34"/>
      <c r="J216" s="34"/>
      <c r="K216" s="34"/>
      <c r="L216" s="34"/>
      <c r="M216" s="34"/>
      <c r="N216" s="35"/>
      <c r="O216" s="35"/>
      <c r="P216" s="35"/>
      <c r="Q216" s="35"/>
      <c r="R216" s="35"/>
      <c r="S216" s="35"/>
      <c r="T216" s="35"/>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c r="AS216" s="35"/>
      <c r="AT216" s="35"/>
      <c r="AU216" s="35"/>
      <c r="AV216" s="35"/>
      <c r="AW216" s="35"/>
      <c r="AX216" s="35"/>
      <c r="AY216" s="35"/>
      <c r="AZ216" s="35"/>
      <c r="BA216" s="35"/>
      <c r="BB216" s="35"/>
      <c r="BC216" s="35"/>
      <c r="BD216" s="35"/>
      <c r="BE216" s="35"/>
      <c r="BF216" s="35"/>
      <c r="BG216" s="35"/>
      <c r="BH216" s="35"/>
      <c r="BI216" s="35"/>
      <c r="BJ216" s="35"/>
      <c r="BK216" s="35"/>
      <c r="BL216" s="35"/>
      <c r="BM216" s="35"/>
      <c r="BN216" s="35"/>
      <c r="BO216" s="35"/>
      <c r="BP216" s="35"/>
      <c r="BQ216" s="35"/>
      <c r="BR216" s="35"/>
      <c r="BS216" s="35"/>
      <c r="BT216" s="35"/>
      <c r="BU216" s="35"/>
      <c r="BV216" s="35"/>
      <c r="BW216" s="35"/>
      <c r="BX216" s="35"/>
      <c r="BY216" s="35"/>
      <c r="BZ216" s="35"/>
      <c r="CA216" s="35"/>
      <c r="CB216" s="35"/>
      <c r="CC216" s="35"/>
      <c r="CD216" s="35"/>
      <c r="CE216" s="35"/>
      <c r="CF216" s="35"/>
      <c r="CG216" s="35"/>
      <c r="CH216" s="35"/>
      <c r="CI216" s="35"/>
      <c r="CJ216" s="35"/>
      <c r="CK216" s="35"/>
      <c r="CL216" s="35"/>
      <c r="CM216" s="35"/>
      <c r="CN216" s="35"/>
      <c r="CO216" s="35"/>
      <c r="CP216" s="35"/>
      <c r="CQ216" s="35"/>
      <c r="CR216" s="35"/>
      <c r="CS216" s="35"/>
      <c r="CT216" s="35"/>
      <c r="CU216" s="35"/>
      <c r="CV216" s="35"/>
      <c r="CW216" s="35"/>
      <c r="CX216" s="35"/>
      <c r="CY216" s="35"/>
      <c r="CZ216" s="35"/>
      <c r="DA216" s="35"/>
      <c r="DB216" s="35"/>
      <c r="DC216" s="35"/>
      <c r="DD216" s="35"/>
      <c r="DE216" s="35"/>
      <c r="DF216" s="35"/>
      <c r="DG216" s="35"/>
      <c r="DH216" s="35"/>
      <c r="DI216" s="35"/>
      <c r="DJ216" s="35"/>
    </row>
    <row r="217" spans="1:114" x14ac:dyDescent="0.25">
      <c r="A217" s="34"/>
      <c r="B217" s="34"/>
      <c r="C217" s="34"/>
      <c r="D217" s="34"/>
      <c r="E217" s="34"/>
      <c r="F217" s="34"/>
      <c r="G217" s="34"/>
      <c r="H217" s="34"/>
      <c r="I217" s="34"/>
      <c r="J217" s="34"/>
      <c r="K217" s="34"/>
      <c r="L217" s="34"/>
      <c r="M217" s="34"/>
      <c r="N217" s="35"/>
      <c r="O217" s="35"/>
      <c r="P217" s="35"/>
      <c r="Q217" s="35"/>
      <c r="R217" s="35"/>
      <c r="S217" s="35"/>
      <c r="T217" s="35"/>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c r="AS217" s="35"/>
      <c r="AT217" s="35"/>
      <c r="AU217" s="35"/>
      <c r="AV217" s="35"/>
      <c r="AW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5"/>
      <c r="BU217" s="35"/>
      <c r="BV217" s="35"/>
      <c r="BW217" s="35"/>
      <c r="BX217" s="35"/>
      <c r="BY217" s="35"/>
      <c r="BZ217" s="35"/>
      <c r="CA217" s="35"/>
      <c r="CB217" s="35"/>
      <c r="CC217" s="35"/>
      <c r="CD217" s="35"/>
      <c r="CE217" s="35"/>
      <c r="CF217" s="35"/>
      <c r="CG217" s="35"/>
      <c r="CH217" s="35"/>
      <c r="CI217" s="35"/>
      <c r="CJ217" s="35"/>
      <c r="CK217" s="35"/>
      <c r="CL217" s="35"/>
      <c r="CM217" s="35"/>
      <c r="CN217" s="35"/>
      <c r="CO217" s="35"/>
      <c r="CP217" s="35"/>
      <c r="CQ217" s="35"/>
      <c r="CR217" s="35"/>
      <c r="CS217" s="35"/>
      <c r="CT217" s="35"/>
      <c r="CU217" s="35"/>
      <c r="CV217" s="35"/>
      <c r="CW217" s="35"/>
      <c r="CX217" s="35"/>
      <c r="CY217" s="35"/>
      <c r="CZ217" s="35"/>
      <c r="DA217" s="35"/>
      <c r="DB217" s="35"/>
      <c r="DC217" s="35"/>
      <c r="DD217" s="35"/>
      <c r="DE217" s="35"/>
      <c r="DF217" s="35"/>
      <c r="DG217" s="35"/>
      <c r="DH217" s="35"/>
      <c r="DI217" s="35"/>
      <c r="DJ217" s="35"/>
    </row>
    <row r="218" spans="1:114" x14ac:dyDescent="0.25">
      <c r="A218" s="34"/>
      <c r="B218" s="34"/>
      <c r="C218" s="34"/>
      <c r="D218" s="34"/>
      <c r="E218" s="34"/>
      <c r="F218" s="34"/>
      <c r="G218" s="34"/>
      <c r="H218" s="34"/>
      <c r="I218" s="34"/>
      <c r="J218" s="34"/>
      <c r="K218" s="34"/>
      <c r="L218" s="34"/>
      <c r="M218" s="34"/>
      <c r="N218" s="35"/>
      <c r="O218" s="35"/>
      <c r="P218" s="35"/>
      <c r="Q218" s="35"/>
      <c r="R218" s="35"/>
      <c r="S218" s="35"/>
      <c r="T218" s="35"/>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c r="AS218" s="35"/>
      <c r="AT218" s="35"/>
      <c r="AU218" s="35"/>
      <c r="AV218" s="35"/>
      <c r="AW218" s="35"/>
      <c r="AX218" s="35"/>
      <c r="AY218" s="35"/>
      <c r="AZ218" s="35"/>
      <c r="BA218" s="35"/>
      <c r="BB218" s="35"/>
      <c r="BC218" s="35"/>
      <c r="BD218" s="35"/>
      <c r="BE218" s="35"/>
      <c r="BF218" s="35"/>
      <c r="BG218" s="35"/>
      <c r="BH218" s="35"/>
      <c r="BI218" s="35"/>
      <c r="BJ218" s="35"/>
      <c r="BK218" s="35"/>
      <c r="BL218" s="35"/>
      <c r="BM218" s="35"/>
      <c r="BN218" s="35"/>
      <c r="BO218" s="35"/>
      <c r="BP218" s="35"/>
      <c r="BQ218" s="35"/>
      <c r="BR218" s="35"/>
      <c r="BS218" s="35"/>
      <c r="BT218" s="35"/>
      <c r="BU218" s="35"/>
      <c r="BV218" s="35"/>
      <c r="BW218" s="35"/>
      <c r="BX218" s="35"/>
      <c r="BY218" s="35"/>
      <c r="BZ218" s="35"/>
      <c r="CA218" s="35"/>
      <c r="CB218" s="35"/>
      <c r="CC218" s="35"/>
      <c r="CD218" s="35"/>
      <c r="CE218" s="35"/>
      <c r="CF218" s="35"/>
      <c r="CG218" s="35"/>
      <c r="CH218" s="35"/>
      <c r="CI218" s="35"/>
      <c r="CJ218" s="35"/>
      <c r="CK218" s="35"/>
      <c r="CL218" s="35"/>
      <c r="CM218" s="35"/>
      <c r="CN218" s="35"/>
      <c r="CO218" s="35"/>
      <c r="CP218" s="35"/>
      <c r="CQ218" s="35"/>
      <c r="CR218" s="35"/>
      <c r="CS218" s="35"/>
      <c r="CT218" s="35"/>
      <c r="CU218" s="35"/>
      <c r="CV218" s="35"/>
      <c r="CW218" s="35"/>
      <c r="CX218" s="35"/>
      <c r="CY218" s="35"/>
      <c r="CZ218" s="35"/>
      <c r="DA218" s="35"/>
      <c r="DB218" s="35"/>
      <c r="DC218" s="35"/>
      <c r="DD218" s="35"/>
      <c r="DE218" s="35"/>
      <c r="DF218" s="35"/>
      <c r="DG218" s="35"/>
      <c r="DH218" s="35"/>
      <c r="DI218" s="35"/>
      <c r="DJ218" s="35"/>
    </row>
    <row r="219" spans="1:114" x14ac:dyDescent="0.25">
      <c r="A219" s="34"/>
      <c r="B219" s="34"/>
      <c r="C219" s="34"/>
      <c r="D219" s="34"/>
      <c r="E219" s="34"/>
      <c r="F219" s="34"/>
      <c r="G219" s="34"/>
      <c r="H219" s="34"/>
      <c r="I219" s="34"/>
      <c r="J219" s="34"/>
      <c r="K219" s="34"/>
      <c r="L219" s="34"/>
      <c r="M219" s="34"/>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c r="AS219" s="35"/>
      <c r="AT219" s="35"/>
      <c r="AU219" s="35"/>
      <c r="AV219" s="35"/>
      <c r="AW219" s="35"/>
      <c r="AX219" s="35"/>
      <c r="AY219" s="35"/>
      <c r="AZ219" s="35"/>
      <c r="BA219" s="35"/>
      <c r="BB219" s="35"/>
      <c r="BC219" s="35"/>
      <c r="BD219" s="35"/>
      <c r="BE219" s="35"/>
      <c r="BF219" s="35"/>
      <c r="BG219" s="35"/>
      <c r="BH219" s="35"/>
      <c r="BI219" s="35"/>
      <c r="BJ219" s="35"/>
      <c r="BK219" s="35"/>
      <c r="BL219" s="35"/>
      <c r="BM219" s="35"/>
      <c r="BN219" s="35"/>
      <c r="BO219" s="35"/>
      <c r="BP219" s="35"/>
      <c r="BQ219" s="35"/>
      <c r="BR219" s="35"/>
      <c r="BS219" s="35"/>
      <c r="BT219" s="35"/>
      <c r="BU219" s="35"/>
      <c r="BV219" s="35"/>
      <c r="BW219" s="35"/>
      <c r="BX219" s="35"/>
      <c r="BY219" s="35"/>
      <c r="BZ219" s="35"/>
      <c r="CA219" s="35"/>
      <c r="CB219" s="35"/>
      <c r="CC219" s="35"/>
      <c r="CD219" s="35"/>
      <c r="CE219" s="35"/>
      <c r="CF219" s="35"/>
      <c r="CG219" s="35"/>
      <c r="CH219" s="35"/>
      <c r="CI219" s="35"/>
      <c r="CJ219" s="35"/>
      <c r="CK219" s="35"/>
      <c r="CL219" s="35"/>
      <c r="CM219" s="35"/>
      <c r="CN219" s="35"/>
      <c r="CO219" s="35"/>
      <c r="CP219" s="35"/>
      <c r="CQ219" s="35"/>
      <c r="CR219" s="35"/>
      <c r="CS219" s="35"/>
      <c r="CT219" s="35"/>
      <c r="CU219" s="35"/>
      <c r="CV219" s="35"/>
      <c r="CW219" s="35"/>
      <c r="CX219" s="35"/>
      <c r="CY219" s="35"/>
      <c r="CZ219" s="35"/>
      <c r="DA219" s="35"/>
      <c r="DB219" s="35"/>
      <c r="DC219" s="35"/>
      <c r="DD219" s="35"/>
      <c r="DE219" s="35"/>
      <c r="DF219" s="35"/>
      <c r="DG219" s="35"/>
      <c r="DH219" s="35"/>
      <c r="DI219" s="35"/>
      <c r="DJ219" s="35"/>
    </row>
    <row r="220" spans="1:114" x14ac:dyDescent="0.25">
      <c r="A220" s="34"/>
      <c r="B220" s="34"/>
      <c r="C220" s="34"/>
      <c r="D220" s="34"/>
      <c r="E220" s="34"/>
      <c r="F220" s="34"/>
      <c r="G220" s="34"/>
      <c r="H220" s="34"/>
      <c r="I220" s="34"/>
      <c r="J220" s="34"/>
      <c r="K220" s="34"/>
      <c r="L220" s="34"/>
      <c r="M220" s="34"/>
      <c r="N220" s="35"/>
      <c r="O220" s="35"/>
      <c r="P220" s="35"/>
      <c r="Q220" s="35"/>
      <c r="R220" s="35"/>
      <c r="S220" s="35"/>
      <c r="T220" s="35"/>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c r="AS220" s="35"/>
      <c r="AT220" s="35"/>
      <c r="AU220" s="35"/>
      <c r="AV220" s="35"/>
      <c r="AW220" s="35"/>
      <c r="AX220" s="35"/>
      <c r="AY220" s="35"/>
      <c r="AZ220" s="35"/>
      <c r="BA220" s="35"/>
      <c r="BB220" s="35"/>
      <c r="BC220" s="35"/>
      <c r="BD220" s="35"/>
      <c r="BE220" s="35"/>
      <c r="BF220" s="35"/>
      <c r="BG220" s="35"/>
      <c r="BH220" s="35"/>
      <c r="BI220" s="35"/>
      <c r="BJ220" s="35"/>
      <c r="BK220" s="35"/>
      <c r="BL220" s="35"/>
      <c r="BM220" s="35"/>
      <c r="BN220" s="35"/>
      <c r="BO220" s="35"/>
      <c r="BP220" s="35"/>
      <c r="BQ220" s="35"/>
      <c r="BR220" s="35"/>
      <c r="BS220" s="35"/>
      <c r="BT220" s="35"/>
      <c r="BU220" s="35"/>
      <c r="BV220" s="35"/>
      <c r="BW220" s="35"/>
      <c r="BX220" s="35"/>
      <c r="BY220" s="35"/>
      <c r="BZ220" s="35"/>
      <c r="CA220" s="35"/>
      <c r="CB220" s="35"/>
      <c r="CC220" s="35"/>
      <c r="CD220" s="35"/>
      <c r="CE220" s="35"/>
      <c r="CF220" s="35"/>
      <c r="CG220" s="35"/>
      <c r="CH220" s="35"/>
      <c r="CI220" s="35"/>
      <c r="CJ220" s="35"/>
      <c r="CK220" s="35"/>
      <c r="CL220" s="35"/>
      <c r="CM220" s="35"/>
      <c r="CN220" s="35"/>
      <c r="CO220" s="35"/>
      <c r="CP220" s="35"/>
      <c r="CQ220" s="35"/>
      <c r="CR220" s="35"/>
      <c r="CS220" s="35"/>
      <c r="CT220" s="35"/>
      <c r="CU220" s="35"/>
      <c r="CV220" s="35"/>
      <c r="CW220" s="35"/>
      <c r="CX220" s="35"/>
      <c r="CY220" s="35"/>
      <c r="CZ220" s="35"/>
      <c r="DA220" s="35"/>
      <c r="DB220" s="35"/>
      <c r="DC220" s="35"/>
      <c r="DD220" s="35"/>
      <c r="DE220" s="35"/>
      <c r="DF220" s="35"/>
      <c r="DG220" s="35"/>
      <c r="DH220" s="35"/>
      <c r="DI220" s="35"/>
      <c r="DJ220" s="35"/>
    </row>
    <row r="221" spans="1:114" x14ac:dyDescent="0.25">
      <c r="A221" s="34"/>
      <c r="B221" s="34"/>
      <c r="C221" s="34"/>
      <c r="D221" s="34"/>
      <c r="E221" s="34"/>
      <c r="F221" s="34"/>
      <c r="G221" s="34"/>
      <c r="H221" s="34"/>
      <c r="I221" s="34"/>
      <c r="J221" s="34"/>
      <c r="K221" s="34"/>
      <c r="L221" s="34"/>
      <c r="M221" s="34"/>
      <c r="N221" s="35"/>
      <c r="O221" s="35"/>
      <c r="P221" s="35"/>
      <c r="Q221" s="35"/>
      <c r="R221" s="35"/>
      <c r="S221" s="35"/>
      <c r="T221" s="35"/>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c r="AS221" s="35"/>
      <c r="AT221" s="35"/>
      <c r="AU221" s="35"/>
      <c r="AV221" s="35"/>
      <c r="AW221" s="35"/>
      <c r="AX221" s="35"/>
      <c r="AY221" s="35"/>
      <c r="AZ221" s="35"/>
      <c r="BA221" s="35"/>
      <c r="BB221" s="35"/>
      <c r="BC221" s="35"/>
      <c r="BD221" s="35"/>
      <c r="BE221" s="35"/>
      <c r="BF221" s="35"/>
      <c r="BG221" s="35"/>
      <c r="BH221" s="35"/>
      <c r="BI221" s="35"/>
      <c r="BJ221" s="35"/>
      <c r="BK221" s="35"/>
      <c r="BL221" s="35"/>
      <c r="BM221" s="35"/>
      <c r="BN221" s="35"/>
      <c r="BO221" s="35"/>
      <c r="BP221" s="35"/>
      <c r="BQ221" s="35"/>
      <c r="BR221" s="35"/>
      <c r="BS221" s="35"/>
      <c r="BT221" s="35"/>
      <c r="BU221" s="35"/>
      <c r="BV221" s="35"/>
      <c r="BW221" s="35"/>
      <c r="BX221" s="35"/>
      <c r="BY221" s="35"/>
      <c r="BZ221" s="35"/>
      <c r="CA221" s="35"/>
      <c r="CB221" s="35"/>
      <c r="CC221" s="35"/>
      <c r="CD221" s="35"/>
      <c r="CE221" s="35"/>
      <c r="CF221" s="35"/>
      <c r="CG221" s="35"/>
      <c r="CH221" s="35"/>
      <c r="CI221" s="35"/>
      <c r="CJ221" s="35"/>
      <c r="CK221" s="35"/>
      <c r="CL221" s="35"/>
      <c r="CM221" s="35"/>
      <c r="CN221" s="35"/>
      <c r="CO221" s="35"/>
      <c r="CP221" s="35"/>
      <c r="CQ221" s="35"/>
      <c r="CR221" s="35"/>
      <c r="CS221" s="35"/>
      <c r="CT221" s="35"/>
      <c r="CU221" s="35"/>
      <c r="CV221" s="35"/>
      <c r="CW221" s="35"/>
      <c r="CX221" s="35"/>
      <c r="CY221" s="35"/>
      <c r="CZ221" s="35"/>
      <c r="DA221" s="35"/>
      <c r="DB221" s="35"/>
      <c r="DC221" s="35"/>
      <c r="DD221" s="35"/>
      <c r="DE221" s="35"/>
      <c r="DF221" s="35"/>
      <c r="DG221" s="35"/>
      <c r="DH221" s="35"/>
      <c r="DI221" s="35"/>
      <c r="DJ221" s="35"/>
    </row>
    <row r="222" spans="1:114" x14ac:dyDescent="0.25">
      <c r="A222" s="34"/>
      <c r="B222" s="34"/>
      <c r="C222" s="34"/>
      <c r="D222" s="34"/>
      <c r="E222" s="34"/>
      <c r="F222" s="34"/>
      <c r="G222" s="34"/>
      <c r="H222" s="34"/>
      <c r="I222" s="34"/>
      <c r="J222" s="34"/>
      <c r="K222" s="34"/>
      <c r="L222" s="34"/>
      <c r="M222" s="34"/>
      <c r="N222" s="35"/>
      <c r="O222" s="35"/>
      <c r="P222" s="35"/>
      <c r="Q222" s="35"/>
      <c r="R222" s="35"/>
      <c r="S222" s="35"/>
      <c r="T222" s="35"/>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c r="AS222" s="35"/>
      <c r="AT222" s="35"/>
      <c r="AU222" s="35"/>
      <c r="AV222" s="35"/>
      <c r="AW222" s="35"/>
      <c r="AX222" s="35"/>
      <c r="AY222" s="35"/>
      <c r="AZ222" s="35"/>
      <c r="BA222" s="35"/>
      <c r="BB222" s="35"/>
      <c r="BC222" s="35"/>
      <c r="BD222" s="35"/>
      <c r="BE222" s="35"/>
      <c r="BF222" s="35"/>
      <c r="BG222" s="35"/>
      <c r="BH222" s="35"/>
      <c r="BI222" s="35"/>
      <c r="BJ222" s="35"/>
      <c r="BK222" s="35"/>
      <c r="BL222" s="35"/>
      <c r="BM222" s="35"/>
      <c r="BN222" s="35"/>
      <c r="BO222" s="35"/>
      <c r="BP222" s="35"/>
      <c r="BQ222" s="35"/>
      <c r="BR222" s="35"/>
      <c r="BS222" s="35"/>
      <c r="BT222" s="35"/>
      <c r="BU222" s="35"/>
      <c r="BV222" s="35"/>
      <c r="BW222" s="35"/>
      <c r="BX222" s="35"/>
      <c r="BY222" s="35"/>
      <c r="BZ222" s="35"/>
      <c r="CA222" s="35"/>
      <c r="CB222" s="35"/>
      <c r="CC222" s="35"/>
      <c r="CD222" s="35"/>
      <c r="CE222" s="35"/>
      <c r="CF222" s="35"/>
      <c r="CG222" s="35"/>
      <c r="CH222" s="35"/>
      <c r="CI222" s="35"/>
      <c r="CJ222" s="35"/>
      <c r="CK222" s="35"/>
      <c r="CL222" s="35"/>
      <c r="CM222" s="35"/>
      <c r="CN222" s="35"/>
      <c r="CO222" s="35"/>
      <c r="CP222" s="35"/>
      <c r="CQ222" s="35"/>
      <c r="CR222" s="35"/>
      <c r="CS222" s="35"/>
      <c r="CT222" s="35"/>
      <c r="CU222" s="35"/>
      <c r="CV222" s="35"/>
      <c r="CW222" s="35"/>
      <c r="CX222" s="35"/>
      <c r="CY222" s="35"/>
      <c r="CZ222" s="35"/>
      <c r="DA222" s="35"/>
      <c r="DB222" s="35"/>
      <c r="DC222" s="35"/>
      <c r="DD222" s="35"/>
      <c r="DE222" s="35"/>
      <c r="DF222" s="35"/>
      <c r="DG222" s="35"/>
      <c r="DH222" s="35"/>
      <c r="DI222" s="35"/>
      <c r="DJ222" s="35"/>
    </row>
    <row r="223" spans="1:114" x14ac:dyDescent="0.25">
      <c r="A223" s="34"/>
      <c r="B223" s="34"/>
      <c r="C223" s="34"/>
      <c r="D223" s="34"/>
      <c r="E223" s="34"/>
      <c r="F223" s="34"/>
      <c r="G223" s="34"/>
      <c r="H223" s="34"/>
      <c r="I223" s="34"/>
      <c r="J223" s="34"/>
      <c r="K223" s="34"/>
      <c r="L223" s="34"/>
      <c r="M223" s="34"/>
      <c r="N223" s="35"/>
      <c r="O223" s="35"/>
      <c r="P223" s="35"/>
      <c r="Q223" s="35"/>
      <c r="R223" s="35"/>
      <c r="S223" s="35"/>
      <c r="T223" s="35"/>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row>
    <row r="224" spans="1:114" x14ac:dyDescent="0.25">
      <c r="A224" s="34"/>
      <c r="B224" s="34"/>
      <c r="C224" s="34"/>
      <c r="D224" s="34"/>
      <c r="E224" s="34"/>
      <c r="F224" s="34"/>
      <c r="G224" s="34"/>
      <c r="H224" s="34"/>
      <c r="I224" s="34"/>
      <c r="J224" s="34"/>
      <c r="K224" s="34"/>
      <c r="L224" s="34"/>
      <c r="M224" s="34"/>
      <c r="N224" s="35"/>
      <c r="O224" s="35"/>
      <c r="P224" s="35"/>
      <c r="Q224" s="35"/>
      <c r="R224" s="35"/>
      <c r="S224" s="35"/>
      <c r="T224" s="35"/>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c r="AS224" s="35"/>
      <c r="AT224" s="35"/>
      <c r="AU224" s="35"/>
      <c r="AV224" s="35"/>
      <c r="AW224" s="35"/>
      <c r="AX224" s="35"/>
      <c r="AY224" s="35"/>
      <c r="AZ224" s="35"/>
      <c r="BA224" s="35"/>
      <c r="BB224" s="35"/>
      <c r="BC224" s="35"/>
      <c r="BD224" s="35"/>
      <c r="BE224" s="35"/>
      <c r="BF224" s="35"/>
      <c r="BG224" s="35"/>
      <c r="BH224" s="35"/>
      <c r="BI224" s="35"/>
      <c r="BJ224" s="35"/>
      <c r="BK224" s="35"/>
      <c r="BL224" s="35"/>
      <c r="BM224" s="35"/>
      <c r="BN224" s="35"/>
      <c r="BO224" s="35"/>
      <c r="BP224" s="35"/>
      <c r="BQ224" s="35"/>
      <c r="BR224" s="35"/>
      <c r="BS224" s="35"/>
      <c r="BT224" s="35"/>
      <c r="BU224" s="35"/>
      <c r="BV224" s="35"/>
      <c r="BW224" s="35"/>
      <c r="BX224" s="35"/>
      <c r="BY224" s="35"/>
      <c r="BZ224" s="35"/>
      <c r="CA224" s="35"/>
      <c r="CB224" s="35"/>
      <c r="CC224" s="35"/>
      <c r="CD224" s="35"/>
      <c r="CE224" s="35"/>
      <c r="CF224" s="35"/>
      <c r="CG224" s="35"/>
      <c r="CH224" s="35"/>
      <c r="CI224" s="35"/>
      <c r="CJ224" s="35"/>
      <c r="CK224" s="35"/>
      <c r="CL224" s="35"/>
      <c r="CM224" s="35"/>
      <c r="CN224" s="35"/>
      <c r="CO224" s="35"/>
      <c r="CP224" s="35"/>
      <c r="CQ224" s="35"/>
      <c r="CR224" s="35"/>
      <c r="CS224" s="35"/>
      <c r="CT224" s="35"/>
      <c r="CU224" s="35"/>
      <c r="CV224" s="35"/>
      <c r="CW224" s="35"/>
      <c r="CX224" s="35"/>
      <c r="CY224" s="35"/>
      <c r="CZ224" s="35"/>
      <c r="DA224" s="35"/>
      <c r="DB224" s="35"/>
      <c r="DC224" s="35"/>
      <c r="DD224" s="35"/>
      <c r="DE224" s="35"/>
      <c r="DF224" s="35"/>
      <c r="DG224" s="35"/>
      <c r="DH224" s="35"/>
      <c r="DI224" s="35"/>
      <c r="DJ224" s="35"/>
    </row>
    <row r="225" spans="1:114" x14ac:dyDescent="0.25">
      <c r="A225" s="34"/>
      <c r="B225" s="34"/>
      <c r="C225" s="34"/>
      <c r="D225" s="34"/>
      <c r="E225" s="34"/>
      <c r="F225" s="34"/>
      <c r="G225" s="34"/>
      <c r="H225" s="34"/>
      <c r="I225" s="34"/>
      <c r="J225" s="34"/>
      <c r="K225" s="34"/>
      <c r="L225" s="34"/>
      <c r="M225" s="34"/>
      <c r="N225" s="35"/>
      <c r="O225" s="35"/>
      <c r="P225" s="35"/>
      <c r="Q225" s="35"/>
      <c r="R225" s="35"/>
      <c r="S225" s="35"/>
      <c r="T225" s="35"/>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c r="AS225" s="35"/>
      <c r="AT225" s="35"/>
      <c r="AU225" s="35"/>
      <c r="AV225" s="35"/>
      <c r="AW225" s="35"/>
      <c r="AX225" s="35"/>
      <c r="AY225" s="35"/>
      <c r="AZ225" s="35"/>
      <c r="BA225" s="35"/>
      <c r="BB225" s="35"/>
      <c r="BC225" s="35"/>
      <c r="BD225" s="35"/>
      <c r="BE225" s="35"/>
      <c r="BF225" s="35"/>
      <c r="BG225" s="35"/>
      <c r="BH225" s="35"/>
      <c r="BI225" s="35"/>
      <c r="BJ225" s="35"/>
      <c r="BK225" s="35"/>
      <c r="BL225" s="35"/>
      <c r="BM225" s="35"/>
      <c r="BN225" s="35"/>
      <c r="BO225" s="35"/>
      <c r="BP225" s="35"/>
      <c r="BQ225" s="35"/>
      <c r="BR225" s="35"/>
      <c r="BS225" s="35"/>
      <c r="BT225" s="35"/>
      <c r="BU225" s="35"/>
      <c r="BV225" s="35"/>
      <c r="BW225" s="35"/>
      <c r="BX225" s="35"/>
      <c r="BY225" s="35"/>
      <c r="BZ225" s="35"/>
      <c r="CA225" s="35"/>
      <c r="CB225" s="35"/>
      <c r="CC225" s="35"/>
      <c r="CD225" s="35"/>
      <c r="CE225" s="35"/>
      <c r="CF225" s="35"/>
      <c r="CG225" s="35"/>
      <c r="CH225" s="35"/>
      <c r="CI225" s="35"/>
      <c r="CJ225" s="35"/>
      <c r="CK225" s="35"/>
      <c r="CL225" s="35"/>
      <c r="CM225" s="35"/>
      <c r="CN225" s="35"/>
      <c r="CO225" s="35"/>
      <c r="CP225" s="35"/>
      <c r="CQ225" s="35"/>
      <c r="CR225" s="35"/>
      <c r="CS225" s="35"/>
      <c r="CT225" s="35"/>
      <c r="CU225" s="35"/>
      <c r="CV225" s="35"/>
      <c r="CW225" s="35"/>
      <c r="CX225" s="35"/>
      <c r="CY225" s="35"/>
      <c r="CZ225" s="35"/>
      <c r="DA225" s="35"/>
      <c r="DB225" s="35"/>
      <c r="DC225" s="35"/>
      <c r="DD225" s="35"/>
      <c r="DE225" s="35"/>
      <c r="DF225" s="35"/>
      <c r="DG225" s="35"/>
      <c r="DH225" s="35"/>
      <c r="DI225" s="35"/>
      <c r="DJ225" s="35"/>
    </row>
    <row r="226" spans="1:114" x14ac:dyDescent="0.25">
      <c r="A226" s="34"/>
      <c r="B226" s="34"/>
      <c r="C226" s="34"/>
      <c r="D226" s="34"/>
      <c r="E226" s="34"/>
      <c r="F226" s="34"/>
      <c r="G226" s="34"/>
      <c r="H226" s="34"/>
      <c r="I226" s="34"/>
      <c r="J226" s="34"/>
      <c r="K226" s="34"/>
      <c r="L226" s="34"/>
      <c r="M226" s="34"/>
      <c r="N226" s="35"/>
      <c r="O226" s="35"/>
      <c r="P226" s="35"/>
      <c r="Q226" s="35"/>
      <c r="R226" s="35"/>
      <c r="S226" s="35"/>
      <c r="T226" s="35"/>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c r="AS226" s="35"/>
      <c r="AT226" s="35"/>
      <c r="AU226" s="35"/>
      <c r="AV226" s="35"/>
      <c r="AW226" s="35"/>
      <c r="AX226" s="35"/>
      <c r="AY226" s="35"/>
      <c r="AZ226" s="35"/>
      <c r="BA226" s="35"/>
      <c r="BB226" s="35"/>
      <c r="BC226" s="35"/>
      <c r="BD226" s="35"/>
      <c r="BE226" s="35"/>
      <c r="BF226" s="35"/>
      <c r="BG226" s="35"/>
      <c r="BH226" s="35"/>
      <c r="BI226" s="35"/>
      <c r="BJ226" s="35"/>
      <c r="BK226" s="35"/>
      <c r="BL226" s="35"/>
      <c r="BM226" s="35"/>
      <c r="BN226" s="35"/>
      <c r="BO226" s="35"/>
      <c r="BP226" s="35"/>
      <c r="BQ226" s="35"/>
      <c r="BR226" s="35"/>
      <c r="BS226" s="35"/>
      <c r="BT226" s="35"/>
      <c r="BU226" s="35"/>
      <c r="BV226" s="35"/>
      <c r="BW226" s="35"/>
      <c r="BX226" s="35"/>
      <c r="BY226" s="35"/>
      <c r="BZ226" s="35"/>
      <c r="CA226" s="35"/>
      <c r="CB226" s="35"/>
      <c r="CC226" s="35"/>
      <c r="CD226" s="35"/>
      <c r="CE226" s="35"/>
      <c r="CF226" s="35"/>
      <c r="CG226" s="35"/>
      <c r="CH226" s="35"/>
      <c r="CI226" s="35"/>
      <c r="CJ226" s="35"/>
      <c r="CK226" s="35"/>
      <c r="CL226" s="35"/>
      <c r="CM226" s="35"/>
      <c r="CN226" s="35"/>
      <c r="CO226" s="35"/>
      <c r="CP226" s="35"/>
      <c r="CQ226" s="35"/>
      <c r="CR226" s="35"/>
      <c r="CS226" s="35"/>
      <c r="CT226" s="35"/>
      <c r="CU226" s="35"/>
      <c r="CV226" s="35"/>
      <c r="CW226" s="35"/>
      <c r="CX226" s="35"/>
      <c r="CY226" s="35"/>
      <c r="CZ226" s="35"/>
      <c r="DA226" s="35"/>
      <c r="DB226" s="35"/>
      <c r="DC226" s="35"/>
      <c r="DD226" s="35"/>
      <c r="DE226" s="35"/>
      <c r="DF226" s="35"/>
      <c r="DG226" s="35"/>
      <c r="DH226" s="35"/>
      <c r="DI226" s="35"/>
      <c r="DJ226" s="35"/>
    </row>
    <row r="227" spans="1:114" x14ac:dyDescent="0.25">
      <c r="A227" s="34"/>
      <c r="B227" s="34"/>
      <c r="C227" s="34"/>
      <c r="D227" s="34"/>
      <c r="E227" s="34"/>
      <c r="F227" s="34"/>
      <c r="G227" s="34"/>
      <c r="H227" s="34"/>
      <c r="I227" s="34"/>
      <c r="J227" s="34"/>
      <c r="K227" s="34"/>
      <c r="L227" s="34"/>
      <c r="M227" s="34"/>
      <c r="N227" s="35"/>
      <c r="O227" s="35"/>
      <c r="P227" s="35"/>
      <c r="Q227" s="35"/>
      <c r="R227" s="35"/>
      <c r="S227" s="35"/>
      <c r="T227" s="35"/>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c r="AS227" s="35"/>
      <c r="AT227" s="35"/>
      <c r="AU227" s="35"/>
      <c r="AV227" s="35"/>
      <c r="AW227" s="35"/>
      <c r="AX227" s="35"/>
      <c r="AY227" s="35"/>
      <c r="AZ227" s="35"/>
      <c r="BA227" s="35"/>
      <c r="BB227" s="35"/>
      <c r="BC227" s="35"/>
      <c r="BD227" s="35"/>
      <c r="BE227" s="35"/>
      <c r="BF227" s="35"/>
      <c r="BG227" s="35"/>
      <c r="BH227" s="35"/>
      <c r="BI227" s="35"/>
      <c r="BJ227" s="35"/>
      <c r="BK227" s="35"/>
      <c r="BL227" s="35"/>
      <c r="BM227" s="35"/>
      <c r="BN227" s="35"/>
      <c r="BO227" s="35"/>
      <c r="BP227" s="35"/>
      <c r="BQ227" s="35"/>
      <c r="BR227" s="35"/>
      <c r="BS227" s="35"/>
      <c r="BT227" s="35"/>
      <c r="BU227" s="35"/>
      <c r="BV227" s="35"/>
      <c r="BW227" s="35"/>
      <c r="BX227" s="35"/>
      <c r="BY227" s="35"/>
      <c r="BZ227" s="35"/>
      <c r="CA227" s="35"/>
      <c r="CB227" s="35"/>
      <c r="CC227" s="35"/>
      <c r="CD227" s="35"/>
      <c r="CE227" s="35"/>
      <c r="CF227" s="35"/>
      <c r="CG227" s="35"/>
      <c r="CH227" s="35"/>
      <c r="CI227" s="35"/>
      <c r="CJ227" s="35"/>
      <c r="CK227" s="35"/>
      <c r="CL227" s="35"/>
      <c r="CM227" s="35"/>
      <c r="CN227" s="35"/>
      <c r="CO227" s="35"/>
      <c r="CP227" s="35"/>
      <c r="CQ227" s="35"/>
      <c r="CR227" s="35"/>
      <c r="CS227" s="35"/>
      <c r="CT227" s="35"/>
      <c r="CU227" s="35"/>
      <c r="CV227" s="35"/>
      <c r="CW227" s="35"/>
      <c r="CX227" s="35"/>
      <c r="CY227" s="35"/>
      <c r="CZ227" s="35"/>
      <c r="DA227" s="35"/>
      <c r="DB227" s="35"/>
      <c r="DC227" s="35"/>
      <c r="DD227" s="35"/>
      <c r="DE227" s="35"/>
      <c r="DF227" s="35"/>
      <c r="DG227" s="35"/>
      <c r="DH227" s="35"/>
      <c r="DI227" s="35"/>
      <c r="DJ227" s="35"/>
    </row>
    <row r="228" spans="1:114" x14ac:dyDescent="0.25">
      <c r="A228" s="34"/>
      <c r="B228" s="34"/>
      <c r="C228" s="34"/>
      <c r="D228" s="34"/>
      <c r="E228" s="34"/>
      <c r="F228" s="34"/>
      <c r="G228" s="34"/>
      <c r="H228" s="34"/>
      <c r="I228" s="34"/>
      <c r="J228" s="34"/>
      <c r="K228" s="34"/>
      <c r="L228" s="34"/>
      <c r="M228" s="34"/>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35"/>
      <c r="BM228" s="35"/>
      <c r="BN228" s="35"/>
      <c r="BO228" s="35"/>
      <c r="BP228" s="35"/>
      <c r="BQ228" s="35"/>
      <c r="BR228" s="35"/>
      <c r="BS228" s="35"/>
      <c r="BT228" s="35"/>
      <c r="BU228" s="35"/>
      <c r="BV228" s="35"/>
      <c r="BW228" s="35"/>
      <c r="BX228" s="35"/>
      <c r="BY228" s="35"/>
      <c r="BZ228" s="35"/>
      <c r="CA228" s="35"/>
      <c r="CB228" s="35"/>
      <c r="CC228" s="35"/>
      <c r="CD228" s="35"/>
      <c r="CE228" s="35"/>
      <c r="CF228" s="35"/>
      <c r="CG228" s="35"/>
      <c r="CH228" s="35"/>
      <c r="CI228" s="35"/>
      <c r="CJ228" s="35"/>
      <c r="CK228" s="35"/>
      <c r="CL228" s="35"/>
      <c r="CM228" s="35"/>
      <c r="CN228" s="35"/>
      <c r="CO228" s="35"/>
      <c r="CP228" s="35"/>
      <c r="CQ228" s="35"/>
      <c r="CR228" s="35"/>
      <c r="CS228" s="35"/>
      <c r="CT228" s="35"/>
      <c r="CU228" s="35"/>
      <c r="CV228" s="35"/>
      <c r="CW228" s="35"/>
      <c r="CX228" s="35"/>
      <c r="CY228" s="35"/>
      <c r="CZ228" s="35"/>
      <c r="DA228" s="35"/>
      <c r="DB228" s="35"/>
      <c r="DC228" s="35"/>
      <c r="DD228" s="35"/>
      <c r="DE228" s="35"/>
      <c r="DF228" s="35"/>
      <c r="DG228" s="35"/>
      <c r="DH228" s="35"/>
      <c r="DI228" s="35"/>
      <c r="DJ228" s="35"/>
    </row>
    <row r="229" spans="1:114" x14ac:dyDescent="0.25">
      <c r="A229" s="34"/>
      <c r="B229" s="34"/>
      <c r="C229" s="34"/>
      <c r="D229" s="34"/>
      <c r="E229" s="34"/>
      <c r="F229" s="34"/>
      <c r="G229" s="34"/>
      <c r="H229" s="34"/>
      <c r="I229" s="34"/>
      <c r="J229" s="34"/>
      <c r="K229" s="34"/>
      <c r="L229" s="34"/>
      <c r="M229" s="34"/>
      <c r="N229" s="35"/>
      <c r="O229" s="35"/>
      <c r="P229" s="35"/>
      <c r="Q229" s="35"/>
      <c r="R229" s="35"/>
      <c r="S229" s="35"/>
      <c r="T229" s="35"/>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c r="AS229" s="35"/>
      <c r="AT229" s="35"/>
      <c r="AU229" s="35"/>
      <c r="AV229" s="35"/>
      <c r="AW229" s="35"/>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5"/>
      <c r="BU229" s="35"/>
      <c r="BV229" s="35"/>
      <c r="BW229" s="35"/>
      <c r="BX229" s="35"/>
      <c r="BY229" s="35"/>
      <c r="BZ229" s="35"/>
      <c r="CA229" s="35"/>
      <c r="CB229" s="35"/>
      <c r="CC229" s="35"/>
      <c r="CD229" s="35"/>
      <c r="CE229" s="35"/>
      <c r="CF229" s="35"/>
      <c r="CG229" s="35"/>
      <c r="CH229" s="35"/>
      <c r="CI229" s="35"/>
      <c r="CJ229" s="35"/>
      <c r="CK229" s="35"/>
      <c r="CL229" s="35"/>
      <c r="CM229" s="35"/>
      <c r="CN229" s="35"/>
      <c r="CO229" s="35"/>
      <c r="CP229" s="35"/>
      <c r="CQ229" s="35"/>
      <c r="CR229" s="35"/>
      <c r="CS229" s="35"/>
      <c r="CT229" s="35"/>
      <c r="CU229" s="35"/>
      <c r="CV229" s="35"/>
      <c r="CW229" s="35"/>
      <c r="CX229" s="35"/>
      <c r="CY229" s="35"/>
      <c r="CZ229" s="35"/>
      <c r="DA229" s="35"/>
      <c r="DB229" s="35"/>
      <c r="DC229" s="35"/>
      <c r="DD229" s="35"/>
      <c r="DE229" s="35"/>
      <c r="DF229" s="35"/>
      <c r="DG229" s="35"/>
      <c r="DH229" s="35"/>
      <c r="DI229" s="35"/>
      <c r="DJ229" s="35"/>
    </row>
    <row r="230" spans="1:114" x14ac:dyDescent="0.25">
      <c r="A230" s="34"/>
      <c r="B230" s="34"/>
      <c r="C230" s="34"/>
      <c r="D230" s="34"/>
      <c r="E230" s="34"/>
      <c r="F230" s="34"/>
      <c r="G230" s="34"/>
      <c r="H230" s="34"/>
      <c r="I230" s="34"/>
      <c r="J230" s="34"/>
      <c r="K230" s="34"/>
      <c r="L230" s="34"/>
      <c r="M230" s="34"/>
      <c r="N230" s="35"/>
      <c r="O230" s="35"/>
      <c r="P230" s="35"/>
      <c r="Q230" s="35"/>
      <c r="R230" s="35"/>
      <c r="S230" s="35"/>
      <c r="T230" s="35"/>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c r="AS230" s="35"/>
      <c r="AT230" s="35"/>
      <c r="AU230" s="35"/>
      <c r="AV230" s="35"/>
      <c r="AW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5"/>
      <c r="BU230" s="35"/>
      <c r="BV230" s="35"/>
      <c r="BW230" s="35"/>
      <c r="BX230" s="35"/>
      <c r="BY230" s="35"/>
      <c r="BZ230" s="35"/>
      <c r="CA230" s="35"/>
      <c r="CB230" s="35"/>
      <c r="CC230" s="35"/>
      <c r="CD230" s="35"/>
      <c r="CE230" s="35"/>
      <c r="CF230" s="35"/>
      <c r="CG230" s="35"/>
      <c r="CH230" s="35"/>
      <c r="CI230" s="35"/>
      <c r="CJ230" s="35"/>
      <c r="CK230" s="35"/>
      <c r="CL230" s="35"/>
      <c r="CM230" s="35"/>
      <c r="CN230" s="35"/>
      <c r="CO230" s="35"/>
      <c r="CP230" s="35"/>
      <c r="CQ230" s="35"/>
      <c r="CR230" s="35"/>
      <c r="CS230" s="35"/>
      <c r="CT230" s="35"/>
      <c r="CU230" s="35"/>
      <c r="CV230" s="35"/>
      <c r="CW230" s="35"/>
      <c r="CX230" s="35"/>
      <c r="CY230" s="35"/>
      <c r="CZ230" s="35"/>
      <c r="DA230" s="35"/>
      <c r="DB230" s="35"/>
      <c r="DC230" s="35"/>
      <c r="DD230" s="35"/>
      <c r="DE230" s="35"/>
      <c r="DF230" s="35"/>
      <c r="DG230" s="35"/>
      <c r="DH230" s="35"/>
      <c r="DI230" s="35"/>
      <c r="DJ230" s="35"/>
    </row>
    <row r="231" spans="1:114" x14ac:dyDescent="0.25">
      <c r="A231" s="34"/>
      <c r="B231" s="34"/>
      <c r="C231" s="34"/>
      <c r="D231" s="34"/>
      <c r="E231" s="34"/>
      <c r="F231" s="34"/>
      <c r="G231" s="34"/>
      <c r="H231" s="34"/>
      <c r="I231" s="34"/>
      <c r="J231" s="34"/>
      <c r="K231" s="34"/>
      <c r="L231" s="34"/>
      <c r="M231" s="34"/>
      <c r="N231" s="35"/>
      <c r="O231" s="35"/>
      <c r="P231" s="35"/>
      <c r="Q231" s="35"/>
      <c r="R231" s="35"/>
      <c r="S231" s="35"/>
      <c r="T231" s="35"/>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c r="AS231" s="35"/>
      <c r="AT231" s="35"/>
      <c r="AU231" s="35"/>
      <c r="AV231" s="35"/>
      <c r="AW231" s="35"/>
      <c r="AX231" s="35"/>
      <c r="AY231" s="35"/>
      <c r="AZ231" s="35"/>
      <c r="BA231" s="35"/>
      <c r="BB231" s="35"/>
      <c r="BC231" s="35"/>
      <c r="BD231" s="35"/>
      <c r="BE231" s="35"/>
      <c r="BF231" s="35"/>
      <c r="BG231" s="35"/>
      <c r="BH231" s="35"/>
      <c r="BI231" s="35"/>
      <c r="BJ231" s="35"/>
      <c r="BK231" s="35"/>
      <c r="BL231" s="35"/>
      <c r="BM231" s="35"/>
      <c r="BN231" s="35"/>
      <c r="BO231" s="35"/>
      <c r="BP231" s="35"/>
      <c r="BQ231" s="35"/>
      <c r="BR231" s="35"/>
      <c r="BS231" s="35"/>
      <c r="BT231" s="35"/>
      <c r="BU231" s="35"/>
      <c r="BV231" s="35"/>
      <c r="BW231" s="35"/>
      <c r="BX231" s="35"/>
      <c r="BY231" s="35"/>
      <c r="BZ231" s="35"/>
      <c r="CA231" s="35"/>
      <c r="CB231" s="35"/>
      <c r="CC231" s="35"/>
      <c r="CD231" s="35"/>
      <c r="CE231" s="35"/>
      <c r="CF231" s="35"/>
      <c r="CG231" s="35"/>
      <c r="CH231" s="35"/>
      <c r="CI231" s="35"/>
      <c r="CJ231" s="35"/>
      <c r="CK231" s="35"/>
      <c r="CL231" s="35"/>
      <c r="CM231" s="35"/>
      <c r="CN231" s="35"/>
      <c r="CO231" s="35"/>
      <c r="CP231" s="35"/>
      <c r="CQ231" s="35"/>
      <c r="CR231" s="35"/>
      <c r="CS231" s="35"/>
      <c r="CT231" s="35"/>
      <c r="CU231" s="35"/>
      <c r="CV231" s="35"/>
      <c r="CW231" s="35"/>
      <c r="CX231" s="35"/>
      <c r="CY231" s="35"/>
      <c r="CZ231" s="35"/>
      <c r="DA231" s="35"/>
      <c r="DB231" s="35"/>
      <c r="DC231" s="35"/>
      <c r="DD231" s="35"/>
      <c r="DE231" s="35"/>
      <c r="DF231" s="35"/>
      <c r="DG231" s="35"/>
      <c r="DH231" s="35"/>
      <c r="DI231" s="35"/>
      <c r="DJ231" s="35"/>
    </row>
    <row r="232" spans="1:114" x14ac:dyDescent="0.25">
      <c r="A232" s="34"/>
      <c r="B232" s="34"/>
      <c r="C232" s="34"/>
      <c r="D232" s="34"/>
      <c r="E232" s="34"/>
      <c r="F232" s="34"/>
      <c r="G232" s="34"/>
      <c r="H232" s="34"/>
      <c r="I232" s="34"/>
      <c r="J232" s="34"/>
      <c r="K232" s="34"/>
      <c r="L232" s="34"/>
      <c r="M232" s="34"/>
      <c r="N232" s="35"/>
      <c r="O232" s="35"/>
      <c r="P232" s="35"/>
      <c r="Q232" s="35"/>
      <c r="R232" s="35"/>
      <c r="S232" s="35"/>
      <c r="T232" s="35"/>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c r="AS232" s="35"/>
      <c r="AT232" s="35"/>
      <c r="AU232" s="35"/>
      <c r="AV232" s="35"/>
      <c r="AW232" s="35"/>
      <c r="AX232" s="35"/>
      <c r="AY232" s="35"/>
      <c r="AZ232" s="35"/>
      <c r="BA232" s="35"/>
      <c r="BB232" s="35"/>
      <c r="BC232" s="35"/>
      <c r="BD232" s="35"/>
      <c r="BE232" s="35"/>
      <c r="BF232" s="35"/>
      <c r="BG232" s="35"/>
      <c r="BH232" s="35"/>
      <c r="BI232" s="35"/>
      <c r="BJ232" s="35"/>
      <c r="BK232" s="35"/>
      <c r="BL232" s="35"/>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35"/>
      <c r="CY232" s="35"/>
      <c r="CZ232" s="35"/>
      <c r="DA232" s="35"/>
      <c r="DB232" s="35"/>
      <c r="DC232" s="35"/>
      <c r="DD232" s="35"/>
      <c r="DE232" s="35"/>
      <c r="DF232" s="35"/>
      <c r="DG232" s="35"/>
      <c r="DH232" s="35"/>
      <c r="DI232" s="35"/>
      <c r="DJ232" s="35"/>
    </row>
    <row r="233" spans="1:114" x14ac:dyDescent="0.25">
      <c r="A233" s="34"/>
      <c r="B233" s="34"/>
      <c r="C233" s="34"/>
      <c r="D233" s="34"/>
      <c r="E233" s="34"/>
      <c r="F233" s="34"/>
      <c r="G233" s="34"/>
      <c r="H233" s="34"/>
      <c r="I233" s="34"/>
      <c r="J233" s="34"/>
      <c r="K233" s="34"/>
      <c r="L233" s="34"/>
      <c r="M233" s="34"/>
      <c r="N233" s="35"/>
      <c r="O233" s="35"/>
      <c r="P233" s="35"/>
      <c r="Q233" s="35"/>
      <c r="R233" s="35"/>
      <c r="S233" s="35"/>
      <c r="T233" s="35"/>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c r="AS233" s="35"/>
      <c r="AT233" s="35"/>
      <c r="AU233" s="35"/>
      <c r="AV233" s="35"/>
      <c r="AW233" s="35"/>
      <c r="AX233" s="35"/>
      <c r="AY233" s="35"/>
      <c r="AZ233" s="35"/>
      <c r="BA233" s="35"/>
      <c r="BB233" s="35"/>
      <c r="BC233" s="35"/>
      <c r="BD233" s="35"/>
      <c r="BE233" s="35"/>
      <c r="BF233" s="35"/>
      <c r="BG233" s="35"/>
      <c r="BH233" s="35"/>
      <c r="BI233" s="35"/>
      <c r="BJ233" s="35"/>
      <c r="BK233" s="35"/>
      <c r="BL233" s="35"/>
      <c r="BM233" s="35"/>
      <c r="BN233" s="35"/>
      <c r="BO233" s="35"/>
      <c r="BP233" s="35"/>
      <c r="BQ233" s="35"/>
      <c r="BR233" s="35"/>
      <c r="BS233" s="35"/>
      <c r="BT233" s="35"/>
      <c r="BU233" s="35"/>
      <c r="BV233" s="35"/>
      <c r="BW233" s="35"/>
      <c r="BX233" s="35"/>
      <c r="BY233" s="35"/>
      <c r="BZ233" s="35"/>
      <c r="CA233" s="35"/>
      <c r="CB233" s="35"/>
      <c r="CC233" s="35"/>
      <c r="CD233" s="35"/>
      <c r="CE233" s="35"/>
      <c r="CF233" s="35"/>
      <c r="CG233" s="35"/>
      <c r="CH233" s="35"/>
      <c r="CI233" s="35"/>
      <c r="CJ233" s="35"/>
      <c r="CK233" s="35"/>
      <c r="CL233" s="35"/>
      <c r="CM233" s="35"/>
      <c r="CN233" s="35"/>
      <c r="CO233" s="35"/>
      <c r="CP233" s="35"/>
      <c r="CQ233" s="35"/>
      <c r="CR233" s="35"/>
      <c r="CS233" s="35"/>
      <c r="CT233" s="35"/>
      <c r="CU233" s="35"/>
      <c r="CV233" s="35"/>
      <c r="CW233" s="35"/>
      <c r="CX233" s="35"/>
      <c r="CY233" s="35"/>
      <c r="CZ233" s="35"/>
      <c r="DA233" s="35"/>
      <c r="DB233" s="35"/>
      <c r="DC233" s="35"/>
      <c r="DD233" s="35"/>
      <c r="DE233" s="35"/>
      <c r="DF233" s="35"/>
      <c r="DG233" s="35"/>
      <c r="DH233" s="35"/>
      <c r="DI233" s="35"/>
      <c r="DJ233" s="35"/>
    </row>
    <row r="234" spans="1:114" x14ac:dyDescent="0.25">
      <c r="A234" s="34"/>
      <c r="B234" s="34"/>
      <c r="C234" s="34"/>
      <c r="D234" s="34"/>
      <c r="E234" s="34"/>
      <c r="F234" s="34"/>
      <c r="G234" s="34"/>
      <c r="H234" s="34"/>
      <c r="I234" s="34"/>
      <c r="J234" s="34"/>
      <c r="K234" s="34"/>
      <c r="L234" s="34"/>
      <c r="M234" s="34"/>
      <c r="N234" s="35"/>
      <c r="O234" s="35"/>
      <c r="P234" s="35"/>
      <c r="Q234" s="35"/>
      <c r="R234" s="35"/>
      <c r="S234" s="35"/>
      <c r="T234" s="35"/>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c r="AS234" s="35"/>
      <c r="AT234" s="35"/>
      <c r="AU234" s="35"/>
      <c r="AV234" s="35"/>
      <c r="AW234" s="35"/>
      <c r="AX234" s="35"/>
      <c r="AY234" s="35"/>
      <c r="AZ234" s="35"/>
      <c r="BA234" s="35"/>
      <c r="BB234" s="35"/>
      <c r="BC234" s="35"/>
      <c r="BD234" s="35"/>
      <c r="BE234" s="35"/>
      <c r="BF234" s="35"/>
      <c r="BG234" s="35"/>
      <c r="BH234" s="35"/>
      <c r="BI234" s="35"/>
      <c r="BJ234" s="35"/>
      <c r="BK234" s="35"/>
      <c r="BL234" s="35"/>
      <c r="BM234" s="35"/>
      <c r="BN234" s="35"/>
      <c r="BO234" s="35"/>
      <c r="BP234" s="35"/>
      <c r="BQ234" s="35"/>
      <c r="BR234" s="35"/>
      <c r="BS234" s="35"/>
      <c r="BT234" s="35"/>
      <c r="BU234" s="35"/>
      <c r="BV234" s="35"/>
      <c r="BW234" s="35"/>
      <c r="BX234" s="35"/>
      <c r="BY234" s="35"/>
      <c r="BZ234" s="35"/>
      <c r="CA234" s="35"/>
      <c r="CB234" s="35"/>
      <c r="CC234" s="35"/>
      <c r="CD234" s="35"/>
      <c r="CE234" s="35"/>
      <c r="CF234" s="35"/>
      <c r="CG234" s="35"/>
      <c r="CH234" s="35"/>
      <c r="CI234" s="35"/>
      <c r="CJ234" s="35"/>
      <c r="CK234" s="35"/>
      <c r="CL234" s="35"/>
      <c r="CM234" s="35"/>
      <c r="CN234" s="35"/>
      <c r="CO234" s="35"/>
      <c r="CP234" s="35"/>
      <c r="CQ234" s="35"/>
      <c r="CR234" s="35"/>
      <c r="CS234" s="35"/>
      <c r="CT234" s="35"/>
      <c r="CU234" s="35"/>
      <c r="CV234" s="35"/>
      <c r="CW234" s="35"/>
      <c r="CX234" s="35"/>
      <c r="CY234" s="35"/>
      <c r="CZ234" s="35"/>
      <c r="DA234" s="35"/>
      <c r="DB234" s="35"/>
      <c r="DC234" s="35"/>
      <c r="DD234" s="35"/>
      <c r="DE234" s="35"/>
      <c r="DF234" s="35"/>
      <c r="DG234" s="35"/>
      <c r="DH234" s="35"/>
      <c r="DI234" s="35"/>
      <c r="DJ234" s="35"/>
    </row>
    <row r="235" spans="1:114" x14ac:dyDescent="0.25">
      <c r="A235" s="34"/>
      <c r="B235" s="34"/>
      <c r="C235" s="34"/>
      <c r="D235" s="34"/>
      <c r="E235" s="34"/>
      <c r="F235" s="34"/>
      <c r="G235" s="34"/>
      <c r="H235" s="34"/>
      <c r="I235" s="34"/>
      <c r="J235" s="34"/>
      <c r="K235" s="34"/>
      <c r="L235" s="34"/>
      <c r="M235" s="34"/>
      <c r="N235" s="35"/>
      <c r="O235" s="35"/>
      <c r="P235" s="35"/>
      <c r="Q235" s="35"/>
      <c r="R235" s="35"/>
      <c r="S235" s="35"/>
      <c r="T235" s="35"/>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row>
    <row r="236" spans="1:114" x14ac:dyDescent="0.25">
      <c r="A236" s="34"/>
      <c r="B236" s="34"/>
      <c r="C236" s="34"/>
      <c r="D236" s="34"/>
      <c r="E236" s="34"/>
      <c r="F236" s="34"/>
      <c r="G236" s="34"/>
      <c r="H236" s="34"/>
      <c r="I236" s="34"/>
      <c r="J236" s="34"/>
      <c r="K236" s="34"/>
      <c r="L236" s="34"/>
      <c r="M236" s="34"/>
      <c r="N236" s="35"/>
      <c r="O236" s="35"/>
      <c r="P236" s="35"/>
      <c r="Q236" s="35"/>
      <c r="R236" s="35"/>
      <c r="S236" s="35"/>
      <c r="T236" s="35"/>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c r="AS236" s="35"/>
      <c r="AT236" s="35"/>
      <c r="AU236" s="35"/>
      <c r="AV236" s="35"/>
      <c r="AW236" s="35"/>
      <c r="AX236" s="35"/>
      <c r="AY236" s="35"/>
      <c r="AZ236" s="35"/>
      <c r="BA236" s="35"/>
      <c r="BB236" s="35"/>
      <c r="BC236" s="35"/>
      <c r="BD236" s="35"/>
      <c r="BE236" s="35"/>
      <c r="BF236" s="35"/>
      <c r="BG236" s="35"/>
      <c r="BH236" s="35"/>
      <c r="BI236" s="35"/>
      <c r="BJ236" s="35"/>
      <c r="BK236" s="35"/>
      <c r="BL236" s="35"/>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35"/>
      <c r="CY236" s="35"/>
      <c r="CZ236" s="35"/>
      <c r="DA236" s="35"/>
      <c r="DB236" s="35"/>
      <c r="DC236" s="35"/>
      <c r="DD236" s="35"/>
      <c r="DE236" s="35"/>
      <c r="DF236" s="35"/>
      <c r="DG236" s="35"/>
      <c r="DH236" s="35"/>
      <c r="DI236" s="35"/>
      <c r="DJ236" s="35"/>
    </row>
    <row r="237" spans="1:114" x14ac:dyDescent="0.25">
      <c r="A237" s="34"/>
      <c r="B237" s="34"/>
      <c r="C237" s="34"/>
      <c r="D237" s="34"/>
      <c r="E237" s="34"/>
      <c r="F237" s="34"/>
      <c r="G237" s="34"/>
      <c r="H237" s="34"/>
      <c r="I237" s="34"/>
      <c r="J237" s="34"/>
      <c r="K237" s="34"/>
      <c r="L237" s="34"/>
      <c r="M237" s="34"/>
      <c r="N237" s="35"/>
      <c r="O237" s="35"/>
      <c r="P237" s="35"/>
      <c r="Q237" s="35"/>
      <c r="R237" s="35"/>
      <c r="S237" s="35"/>
      <c r="T237" s="35"/>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c r="AS237" s="35"/>
      <c r="AT237" s="35"/>
      <c r="AU237" s="35"/>
      <c r="AV237" s="35"/>
      <c r="AW237" s="35"/>
      <c r="AX237" s="35"/>
      <c r="AY237" s="35"/>
      <c r="AZ237" s="35"/>
      <c r="BA237" s="35"/>
      <c r="BB237" s="35"/>
      <c r="BC237" s="35"/>
      <c r="BD237" s="35"/>
      <c r="BE237" s="35"/>
      <c r="BF237" s="35"/>
      <c r="BG237" s="35"/>
      <c r="BH237" s="35"/>
      <c r="BI237" s="35"/>
      <c r="BJ237" s="35"/>
      <c r="BK237" s="35"/>
      <c r="BL237" s="35"/>
      <c r="BM237" s="35"/>
      <c r="BN237" s="35"/>
      <c r="BO237" s="35"/>
      <c r="BP237" s="35"/>
      <c r="BQ237" s="35"/>
      <c r="BR237" s="35"/>
      <c r="BS237" s="35"/>
      <c r="BT237" s="35"/>
      <c r="BU237" s="35"/>
      <c r="BV237" s="35"/>
      <c r="BW237" s="35"/>
      <c r="BX237" s="35"/>
      <c r="BY237" s="35"/>
      <c r="BZ237" s="35"/>
      <c r="CA237" s="35"/>
      <c r="CB237" s="35"/>
      <c r="CC237" s="35"/>
      <c r="CD237" s="35"/>
      <c r="CE237" s="35"/>
      <c r="CF237" s="35"/>
      <c r="CG237" s="35"/>
      <c r="CH237" s="35"/>
      <c r="CI237" s="35"/>
      <c r="CJ237" s="35"/>
      <c r="CK237" s="35"/>
      <c r="CL237" s="35"/>
      <c r="CM237" s="35"/>
      <c r="CN237" s="35"/>
      <c r="CO237" s="35"/>
      <c r="CP237" s="35"/>
      <c r="CQ237" s="35"/>
      <c r="CR237" s="35"/>
      <c r="CS237" s="35"/>
      <c r="CT237" s="35"/>
      <c r="CU237" s="35"/>
      <c r="CV237" s="35"/>
      <c r="CW237" s="35"/>
      <c r="CX237" s="35"/>
      <c r="CY237" s="35"/>
      <c r="CZ237" s="35"/>
      <c r="DA237" s="35"/>
      <c r="DB237" s="35"/>
      <c r="DC237" s="35"/>
      <c r="DD237" s="35"/>
      <c r="DE237" s="35"/>
      <c r="DF237" s="35"/>
      <c r="DG237" s="35"/>
      <c r="DH237" s="35"/>
      <c r="DI237" s="35"/>
      <c r="DJ237" s="35"/>
    </row>
    <row r="238" spans="1:114" x14ac:dyDescent="0.25">
      <c r="A238" s="34"/>
      <c r="B238" s="34"/>
      <c r="C238" s="34"/>
      <c r="D238" s="34"/>
      <c r="E238" s="34"/>
      <c r="F238" s="34"/>
      <c r="G238" s="34"/>
      <c r="H238" s="34"/>
      <c r="I238" s="34"/>
      <c r="J238" s="34"/>
      <c r="K238" s="34"/>
      <c r="L238" s="34"/>
      <c r="M238" s="34"/>
      <c r="N238" s="35"/>
      <c r="O238" s="35"/>
      <c r="P238" s="35"/>
      <c r="Q238" s="35"/>
      <c r="R238" s="35"/>
      <c r="S238" s="35"/>
      <c r="T238" s="35"/>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c r="AS238" s="35"/>
      <c r="AT238" s="35"/>
      <c r="AU238" s="35"/>
      <c r="AV238" s="35"/>
      <c r="AW238" s="35"/>
      <c r="AX238" s="35"/>
      <c r="AY238" s="35"/>
      <c r="AZ238" s="35"/>
      <c r="BA238" s="35"/>
      <c r="BB238" s="35"/>
      <c r="BC238" s="35"/>
      <c r="BD238" s="35"/>
      <c r="BE238" s="35"/>
      <c r="BF238" s="35"/>
      <c r="BG238" s="35"/>
      <c r="BH238" s="35"/>
      <c r="BI238" s="35"/>
      <c r="BJ238" s="35"/>
      <c r="BK238" s="35"/>
      <c r="BL238" s="35"/>
      <c r="BM238" s="35"/>
      <c r="BN238" s="35"/>
      <c r="BO238" s="35"/>
      <c r="BP238" s="35"/>
      <c r="BQ238" s="35"/>
      <c r="BR238" s="35"/>
      <c r="BS238" s="35"/>
      <c r="BT238" s="35"/>
      <c r="BU238" s="35"/>
      <c r="BV238" s="35"/>
      <c r="BW238" s="35"/>
      <c r="BX238" s="35"/>
      <c r="BY238" s="35"/>
      <c r="BZ238" s="35"/>
      <c r="CA238" s="35"/>
      <c r="CB238" s="35"/>
      <c r="CC238" s="35"/>
      <c r="CD238" s="35"/>
      <c r="CE238" s="35"/>
      <c r="CF238" s="35"/>
      <c r="CG238" s="35"/>
      <c r="CH238" s="35"/>
      <c r="CI238" s="35"/>
      <c r="CJ238" s="35"/>
      <c r="CK238" s="35"/>
      <c r="CL238" s="35"/>
      <c r="CM238" s="35"/>
      <c r="CN238" s="35"/>
      <c r="CO238" s="35"/>
      <c r="CP238" s="35"/>
      <c r="CQ238" s="35"/>
      <c r="CR238" s="35"/>
      <c r="CS238" s="35"/>
      <c r="CT238" s="35"/>
      <c r="CU238" s="35"/>
      <c r="CV238" s="35"/>
      <c r="CW238" s="35"/>
      <c r="CX238" s="35"/>
      <c r="CY238" s="35"/>
      <c r="CZ238" s="35"/>
      <c r="DA238" s="35"/>
      <c r="DB238" s="35"/>
      <c r="DC238" s="35"/>
      <c r="DD238" s="35"/>
      <c r="DE238" s="35"/>
      <c r="DF238" s="35"/>
      <c r="DG238" s="35"/>
      <c r="DH238" s="35"/>
      <c r="DI238" s="35"/>
      <c r="DJ238" s="35"/>
    </row>
    <row r="239" spans="1:114" x14ac:dyDescent="0.25">
      <c r="A239" s="34"/>
      <c r="B239" s="34"/>
      <c r="C239" s="34"/>
      <c r="D239" s="34"/>
      <c r="E239" s="34"/>
      <c r="F239" s="34"/>
      <c r="G239" s="34"/>
      <c r="H239" s="34"/>
      <c r="I239" s="34"/>
      <c r="J239" s="34"/>
      <c r="K239" s="34"/>
      <c r="L239" s="34"/>
      <c r="M239" s="34"/>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5"/>
      <c r="CA239" s="35"/>
      <c r="CB239" s="35"/>
      <c r="CC239" s="35"/>
      <c r="CD239" s="35"/>
      <c r="CE239" s="35"/>
      <c r="CF239" s="35"/>
      <c r="CG239" s="35"/>
      <c r="CH239" s="35"/>
      <c r="CI239" s="35"/>
      <c r="CJ239" s="35"/>
      <c r="CK239" s="35"/>
      <c r="CL239" s="35"/>
      <c r="CM239" s="35"/>
      <c r="CN239" s="35"/>
      <c r="CO239" s="35"/>
      <c r="CP239" s="35"/>
      <c r="CQ239" s="35"/>
      <c r="CR239" s="35"/>
      <c r="CS239" s="35"/>
      <c r="CT239" s="35"/>
      <c r="CU239" s="35"/>
      <c r="CV239" s="35"/>
      <c r="CW239" s="35"/>
      <c r="CX239" s="35"/>
      <c r="CY239" s="35"/>
      <c r="CZ239" s="35"/>
      <c r="DA239" s="35"/>
      <c r="DB239" s="35"/>
      <c r="DC239" s="35"/>
      <c r="DD239" s="35"/>
      <c r="DE239" s="35"/>
      <c r="DF239" s="35"/>
      <c r="DG239" s="35"/>
      <c r="DH239" s="35"/>
      <c r="DI239" s="35"/>
      <c r="DJ239" s="35"/>
    </row>
    <row r="240" spans="1:114" x14ac:dyDescent="0.25">
      <c r="A240" s="34"/>
      <c r="B240" s="34"/>
      <c r="C240" s="34"/>
      <c r="D240" s="34"/>
      <c r="E240" s="34"/>
      <c r="F240" s="34"/>
      <c r="G240" s="34"/>
      <c r="H240" s="34"/>
      <c r="I240" s="34"/>
      <c r="J240" s="34"/>
      <c r="K240" s="34"/>
      <c r="L240" s="34"/>
      <c r="M240" s="34"/>
      <c r="N240" s="35"/>
      <c r="O240" s="35"/>
      <c r="P240" s="35"/>
      <c r="Q240" s="35"/>
      <c r="R240" s="35"/>
      <c r="S240" s="35"/>
      <c r="T240" s="35"/>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c r="AS240" s="35"/>
      <c r="AT240" s="35"/>
      <c r="AU240" s="35"/>
      <c r="AV240" s="35"/>
      <c r="AW240" s="35"/>
      <c r="AX240" s="35"/>
      <c r="AY240" s="35"/>
      <c r="AZ240" s="35"/>
      <c r="BA240" s="35"/>
      <c r="BB240" s="35"/>
      <c r="BC240" s="35"/>
      <c r="BD240" s="35"/>
      <c r="BE240" s="35"/>
      <c r="BF240" s="35"/>
      <c r="BG240" s="35"/>
      <c r="BH240" s="35"/>
      <c r="BI240" s="35"/>
      <c r="BJ240" s="35"/>
      <c r="BK240" s="35"/>
      <c r="BL240" s="35"/>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35"/>
      <c r="CY240" s="35"/>
      <c r="CZ240" s="35"/>
      <c r="DA240" s="35"/>
      <c r="DB240" s="35"/>
      <c r="DC240" s="35"/>
      <c r="DD240" s="35"/>
      <c r="DE240" s="35"/>
      <c r="DF240" s="35"/>
      <c r="DG240" s="35"/>
      <c r="DH240" s="35"/>
      <c r="DI240" s="35"/>
      <c r="DJ240" s="35"/>
    </row>
    <row r="241" spans="1:114" x14ac:dyDescent="0.25">
      <c r="A241" s="34"/>
      <c r="B241" s="34"/>
      <c r="C241" s="34"/>
      <c r="D241" s="34"/>
      <c r="E241" s="34"/>
      <c r="F241" s="34"/>
      <c r="G241" s="34"/>
      <c r="H241" s="34"/>
      <c r="I241" s="34"/>
      <c r="J241" s="34"/>
      <c r="K241" s="34"/>
      <c r="L241" s="34"/>
      <c r="M241" s="34"/>
      <c r="N241" s="35"/>
      <c r="O241" s="35"/>
      <c r="P241" s="35"/>
      <c r="Q241" s="35"/>
      <c r="R241" s="35"/>
      <c r="S241" s="35"/>
      <c r="T241" s="35"/>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c r="AS241" s="35"/>
      <c r="AT241" s="35"/>
      <c r="AU241" s="35"/>
      <c r="AV241" s="35"/>
      <c r="AW241" s="35"/>
      <c r="AX241" s="35"/>
      <c r="AY241" s="35"/>
      <c r="AZ241" s="35"/>
      <c r="BA241" s="35"/>
      <c r="BB241" s="35"/>
      <c r="BC241" s="35"/>
      <c r="BD241" s="35"/>
      <c r="BE241" s="35"/>
      <c r="BF241" s="35"/>
      <c r="BG241" s="35"/>
      <c r="BH241" s="35"/>
      <c r="BI241" s="35"/>
      <c r="BJ241" s="35"/>
      <c r="BK241" s="35"/>
      <c r="BL241" s="35"/>
      <c r="BM241" s="35"/>
      <c r="BN241" s="35"/>
      <c r="BO241" s="35"/>
      <c r="BP241" s="35"/>
      <c r="BQ241" s="35"/>
      <c r="BR241" s="35"/>
      <c r="BS241" s="35"/>
      <c r="BT241" s="35"/>
      <c r="BU241" s="35"/>
      <c r="BV241" s="35"/>
      <c r="BW241" s="35"/>
      <c r="BX241" s="35"/>
      <c r="BY241" s="35"/>
      <c r="BZ241" s="35"/>
      <c r="CA241" s="35"/>
      <c r="CB241" s="35"/>
      <c r="CC241" s="35"/>
      <c r="CD241" s="35"/>
      <c r="CE241" s="35"/>
      <c r="CF241" s="35"/>
      <c r="CG241" s="35"/>
      <c r="CH241" s="35"/>
      <c r="CI241" s="35"/>
      <c r="CJ241" s="35"/>
      <c r="CK241" s="35"/>
      <c r="CL241" s="35"/>
      <c r="CM241" s="35"/>
      <c r="CN241" s="35"/>
      <c r="CO241" s="35"/>
      <c r="CP241" s="35"/>
      <c r="CQ241" s="35"/>
      <c r="CR241" s="35"/>
      <c r="CS241" s="35"/>
      <c r="CT241" s="35"/>
      <c r="CU241" s="35"/>
      <c r="CV241" s="35"/>
      <c r="CW241" s="35"/>
      <c r="CX241" s="35"/>
      <c r="CY241" s="35"/>
      <c r="CZ241" s="35"/>
      <c r="DA241" s="35"/>
      <c r="DB241" s="35"/>
      <c r="DC241" s="35"/>
      <c r="DD241" s="35"/>
      <c r="DE241" s="35"/>
      <c r="DF241" s="35"/>
      <c r="DG241" s="35"/>
      <c r="DH241" s="35"/>
      <c r="DI241" s="35"/>
      <c r="DJ241" s="35"/>
    </row>
    <row r="242" spans="1:114" x14ac:dyDescent="0.25">
      <c r="A242" s="34"/>
      <c r="B242" s="34"/>
      <c r="C242" s="34"/>
      <c r="D242" s="34"/>
      <c r="E242" s="34"/>
      <c r="F242" s="34"/>
      <c r="G242" s="34"/>
      <c r="H242" s="34"/>
      <c r="I242" s="34"/>
      <c r="J242" s="34"/>
      <c r="K242" s="34"/>
      <c r="L242" s="34"/>
      <c r="M242" s="34"/>
      <c r="N242" s="35"/>
      <c r="O242" s="35"/>
      <c r="P242" s="35"/>
      <c r="Q242" s="35"/>
      <c r="R242" s="35"/>
      <c r="S242" s="35"/>
      <c r="T242" s="35"/>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c r="AS242" s="35"/>
      <c r="AT242" s="35"/>
      <c r="AU242" s="35"/>
      <c r="AV242" s="35"/>
      <c r="AW242" s="35"/>
      <c r="AX242" s="35"/>
      <c r="AY242" s="35"/>
      <c r="AZ242" s="35"/>
      <c r="BA242" s="35"/>
      <c r="BB242" s="35"/>
      <c r="BC242" s="35"/>
      <c r="BD242" s="35"/>
      <c r="BE242" s="35"/>
      <c r="BF242" s="35"/>
      <c r="BG242" s="35"/>
      <c r="BH242" s="35"/>
      <c r="BI242" s="35"/>
      <c r="BJ242" s="35"/>
      <c r="BK242" s="35"/>
      <c r="BL242" s="35"/>
      <c r="BM242" s="35"/>
      <c r="BN242" s="35"/>
      <c r="BO242" s="35"/>
      <c r="BP242" s="35"/>
      <c r="BQ242" s="35"/>
      <c r="BR242" s="35"/>
      <c r="BS242" s="35"/>
      <c r="BT242" s="35"/>
      <c r="BU242" s="35"/>
      <c r="BV242" s="35"/>
      <c r="BW242" s="35"/>
      <c r="BX242" s="35"/>
      <c r="BY242" s="35"/>
      <c r="BZ242" s="35"/>
      <c r="CA242" s="35"/>
      <c r="CB242" s="35"/>
      <c r="CC242" s="35"/>
      <c r="CD242" s="35"/>
      <c r="CE242" s="35"/>
      <c r="CF242" s="35"/>
      <c r="CG242" s="35"/>
      <c r="CH242" s="35"/>
      <c r="CI242" s="35"/>
      <c r="CJ242" s="35"/>
      <c r="CK242" s="35"/>
      <c r="CL242" s="35"/>
      <c r="CM242" s="35"/>
      <c r="CN242" s="35"/>
      <c r="CO242" s="35"/>
      <c r="CP242" s="35"/>
      <c r="CQ242" s="35"/>
      <c r="CR242" s="35"/>
      <c r="CS242" s="35"/>
      <c r="CT242" s="35"/>
      <c r="CU242" s="35"/>
      <c r="CV242" s="35"/>
      <c r="CW242" s="35"/>
      <c r="CX242" s="35"/>
      <c r="CY242" s="35"/>
      <c r="CZ242" s="35"/>
      <c r="DA242" s="35"/>
      <c r="DB242" s="35"/>
      <c r="DC242" s="35"/>
      <c r="DD242" s="35"/>
      <c r="DE242" s="35"/>
      <c r="DF242" s="35"/>
      <c r="DG242" s="35"/>
      <c r="DH242" s="35"/>
      <c r="DI242" s="35"/>
      <c r="DJ242" s="35"/>
    </row>
    <row r="243" spans="1:114" x14ac:dyDescent="0.25">
      <c r="A243" s="34"/>
      <c r="B243" s="34"/>
      <c r="C243" s="34"/>
      <c r="D243" s="34"/>
      <c r="E243" s="34"/>
      <c r="F243" s="34"/>
      <c r="G243" s="34"/>
      <c r="H243" s="34"/>
      <c r="I243" s="34"/>
      <c r="J243" s="34"/>
      <c r="K243" s="34"/>
      <c r="L243" s="34"/>
      <c r="M243" s="34"/>
      <c r="N243" s="35"/>
      <c r="O243" s="35"/>
      <c r="P243" s="35"/>
      <c r="Q243" s="35"/>
      <c r="R243" s="35"/>
      <c r="S243" s="35"/>
      <c r="T243" s="35"/>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c r="AS243" s="35"/>
      <c r="AT243" s="35"/>
      <c r="AU243" s="35"/>
      <c r="AV243" s="35"/>
      <c r="AW243" s="35"/>
      <c r="AX243" s="35"/>
      <c r="AY243" s="35"/>
      <c r="AZ243" s="35"/>
      <c r="BA243" s="35"/>
      <c r="BB243" s="35"/>
      <c r="BC243" s="35"/>
      <c r="BD243" s="35"/>
      <c r="BE243" s="35"/>
      <c r="BF243" s="35"/>
      <c r="BG243" s="35"/>
      <c r="BH243" s="35"/>
      <c r="BI243" s="35"/>
      <c r="BJ243" s="35"/>
      <c r="BK243" s="35"/>
      <c r="BL243" s="35"/>
      <c r="BM243" s="35"/>
      <c r="BN243" s="35"/>
      <c r="BO243" s="35"/>
      <c r="BP243" s="35"/>
      <c r="BQ243" s="35"/>
      <c r="BR243" s="35"/>
      <c r="BS243" s="35"/>
      <c r="BT243" s="35"/>
      <c r="BU243" s="35"/>
      <c r="BV243" s="35"/>
      <c r="BW243" s="35"/>
      <c r="BX243" s="35"/>
      <c r="BY243" s="35"/>
      <c r="BZ243" s="35"/>
      <c r="CA243" s="35"/>
      <c r="CB243" s="35"/>
      <c r="CC243" s="35"/>
      <c r="CD243" s="35"/>
      <c r="CE243" s="35"/>
      <c r="CF243" s="35"/>
      <c r="CG243" s="35"/>
      <c r="CH243" s="35"/>
      <c r="CI243" s="35"/>
      <c r="CJ243" s="35"/>
      <c r="CK243" s="35"/>
      <c r="CL243" s="35"/>
      <c r="CM243" s="35"/>
      <c r="CN243" s="35"/>
      <c r="CO243" s="35"/>
      <c r="CP243" s="35"/>
      <c r="CQ243" s="35"/>
      <c r="CR243" s="35"/>
      <c r="CS243" s="35"/>
      <c r="CT243" s="35"/>
      <c r="CU243" s="35"/>
      <c r="CV243" s="35"/>
      <c r="CW243" s="35"/>
      <c r="CX243" s="35"/>
      <c r="CY243" s="35"/>
      <c r="CZ243" s="35"/>
      <c r="DA243" s="35"/>
      <c r="DB243" s="35"/>
      <c r="DC243" s="35"/>
      <c r="DD243" s="35"/>
      <c r="DE243" s="35"/>
      <c r="DF243" s="35"/>
      <c r="DG243" s="35"/>
      <c r="DH243" s="35"/>
      <c r="DI243" s="35"/>
      <c r="DJ243" s="35"/>
    </row>
    <row r="244" spans="1:114" x14ac:dyDescent="0.25">
      <c r="A244" s="34"/>
      <c r="B244" s="34"/>
      <c r="C244" s="34"/>
      <c r="D244" s="34"/>
      <c r="E244" s="34"/>
      <c r="F244" s="34"/>
      <c r="G244" s="34"/>
      <c r="H244" s="34"/>
      <c r="I244" s="34"/>
      <c r="J244" s="34"/>
      <c r="K244" s="34"/>
      <c r="L244" s="34"/>
      <c r="M244" s="34"/>
      <c r="N244" s="35"/>
      <c r="O244" s="35"/>
      <c r="P244" s="35"/>
      <c r="Q244" s="35"/>
      <c r="R244" s="35"/>
      <c r="S244" s="35"/>
      <c r="T244" s="35"/>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c r="AS244" s="35"/>
      <c r="AT244" s="35"/>
      <c r="AU244" s="35"/>
      <c r="AV244" s="35"/>
      <c r="AW244" s="35"/>
      <c r="AX244" s="35"/>
      <c r="AY244" s="35"/>
      <c r="AZ244" s="35"/>
      <c r="BA244" s="35"/>
      <c r="BB244" s="35"/>
      <c r="BC244" s="35"/>
      <c r="BD244" s="35"/>
      <c r="BE244" s="35"/>
      <c r="BF244" s="35"/>
      <c r="BG244" s="35"/>
      <c r="BH244" s="35"/>
      <c r="BI244" s="35"/>
      <c r="BJ244" s="35"/>
      <c r="BK244" s="35"/>
      <c r="BL244" s="35"/>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35"/>
      <c r="CY244" s="35"/>
      <c r="CZ244" s="35"/>
      <c r="DA244" s="35"/>
      <c r="DB244" s="35"/>
      <c r="DC244" s="35"/>
      <c r="DD244" s="35"/>
      <c r="DE244" s="35"/>
      <c r="DF244" s="35"/>
      <c r="DG244" s="35"/>
      <c r="DH244" s="35"/>
      <c r="DI244" s="35"/>
      <c r="DJ244" s="35"/>
    </row>
    <row r="245" spans="1:114" x14ac:dyDescent="0.25">
      <c r="A245" s="34"/>
      <c r="B245" s="34"/>
      <c r="C245" s="34"/>
      <c r="D245" s="34"/>
      <c r="E245" s="34"/>
      <c r="F245" s="34"/>
      <c r="G245" s="34"/>
      <c r="H245" s="34"/>
      <c r="I245" s="34"/>
      <c r="J245" s="34"/>
      <c r="K245" s="34"/>
      <c r="L245" s="34"/>
      <c r="M245" s="34"/>
      <c r="N245" s="35"/>
      <c r="O245" s="35"/>
      <c r="P245" s="35"/>
      <c r="Q245" s="35"/>
      <c r="R245" s="35"/>
      <c r="S245" s="35"/>
      <c r="T245" s="35"/>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c r="AS245" s="35"/>
      <c r="AT245" s="35"/>
      <c r="AU245" s="35"/>
      <c r="AV245" s="35"/>
      <c r="AW245" s="35"/>
      <c r="AX245" s="35"/>
      <c r="AY245" s="35"/>
      <c r="AZ245" s="35"/>
      <c r="BA245" s="35"/>
      <c r="BB245" s="35"/>
      <c r="BC245" s="35"/>
      <c r="BD245" s="35"/>
      <c r="BE245" s="35"/>
      <c r="BF245" s="35"/>
      <c r="BG245" s="35"/>
      <c r="BH245" s="35"/>
      <c r="BI245" s="35"/>
      <c r="BJ245" s="35"/>
      <c r="BK245" s="35"/>
      <c r="BL245" s="35"/>
      <c r="BM245" s="35"/>
      <c r="BN245" s="35"/>
      <c r="BO245" s="35"/>
      <c r="BP245" s="35"/>
      <c r="BQ245" s="35"/>
      <c r="BR245" s="35"/>
      <c r="BS245" s="35"/>
      <c r="BT245" s="35"/>
      <c r="BU245" s="35"/>
      <c r="BV245" s="35"/>
      <c r="BW245" s="35"/>
      <c r="BX245" s="35"/>
      <c r="BY245" s="35"/>
      <c r="BZ245" s="35"/>
      <c r="CA245" s="35"/>
      <c r="CB245" s="35"/>
      <c r="CC245" s="35"/>
      <c r="CD245" s="35"/>
      <c r="CE245" s="35"/>
      <c r="CF245" s="35"/>
      <c r="CG245" s="35"/>
      <c r="CH245" s="35"/>
      <c r="CI245" s="35"/>
      <c r="CJ245" s="35"/>
      <c r="CK245" s="35"/>
      <c r="CL245" s="35"/>
      <c r="CM245" s="35"/>
      <c r="CN245" s="35"/>
      <c r="CO245" s="35"/>
      <c r="CP245" s="35"/>
      <c r="CQ245" s="35"/>
      <c r="CR245" s="35"/>
      <c r="CS245" s="35"/>
      <c r="CT245" s="35"/>
      <c r="CU245" s="35"/>
      <c r="CV245" s="35"/>
      <c r="CW245" s="35"/>
      <c r="CX245" s="35"/>
      <c r="CY245" s="35"/>
      <c r="CZ245" s="35"/>
      <c r="DA245" s="35"/>
      <c r="DB245" s="35"/>
      <c r="DC245" s="35"/>
      <c r="DD245" s="35"/>
      <c r="DE245" s="35"/>
      <c r="DF245" s="35"/>
      <c r="DG245" s="35"/>
      <c r="DH245" s="35"/>
      <c r="DI245" s="35"/>
      <c r="DJ245" s="35"/>
    </row>
    <row r="246" spans="1:114" s="141" customFormat="1" ht="18.75" x14ac:dyDescent="0.3">
      <c r="A246" s="155">
        <f>'P(M)'!CC38</f>
        <v>1</v>
      </c>
      <c r="B246" s="156"/>
      <c r="C246" s="156"/>
      <c r="D246" s="156"/>
      <c r="E246" s="156"/>
      <c r="F246" s="156"/>
      <c r="G246" s="156"/>
      <c r="H246" s="156"/>
      <c r="I246" s="156"/>
      <c r="J246" s="156"/>
      <c r="K246" s="156"/>
      <c r="L246" s="156"/>
      <c r="M246" s="156"/>
      <c r="N246" s="140"/>
      <c r="O246" s="140"/>
      <c r="P246" s="140"/>
      <c r="Q246" s="140"/>
      <c r="R246" s="140"/>
      <c r="S246" s="140"/>
      <c r="T246" s="140"/>
      <c r="U246" s="140"/>
      <c r="V246" s="140"/>
      <c r="W246" s="140"/>
      <c r="X246" s="140"/>
      <c r="Y246" s="140"/>
      <c r="Z246" s="140"/>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c r="CN246" s="140"/>
      <c r="CO246" s="140"/>
      <c r="CP246" s="140"/>
      <c r="CQ246" s="140"/>
      <c r="CR246" s="140"/>
      <c r="CS246" s="140"/>
      <c r="CT246" s="140"/>
      <c r="CU246" s="140"/>
      <c r="CV246" s="140"/>
      <c r="CW246" s="140"/>
      <c r="CX246" s="140"/>
      <c r="CY246" s="140"/>
      <c r="CZ246" s="140"/>
      <c r="DA246" s="140"/>
      <c r="DB246" s="140"/>
      <c r="DC246" s="140"/>
      <c r="DD246" s="140"/>
      <c r="DE246" s="140"/>
      <c r="DF246" s="140"/>
      <c r="DG246" s="140"/>
      <c r="DH246" s="140"/>
      <c r="DI246" s="140"/>
      <c r="DJ246" s="140"/>
    </row>
    <row r="247" spans="1:114" ht="18.75" x14ac:dyDescent="0.3">
      <c r="A247" s="157"/>
      <c r="B247" s="34"/>
      <c r="C247" s="34"/>
      <c r="D247" s="34"/>
      <c r="E247" s="34"/>
      <c r="F247" s="34"/>
      <c r="G247" s="34"/>
      <c r="H247" s="34"/>
      <c r="I247" s="34"/>
      <c r="J247" s="34"/>
      <c r="K247" s="34"/>
      <c r="L247" s="34"/>
      <c r="M247" s="34"/>
      <c r="N247" s="35"/>
      <c r="O247" s="35"/>
      <c r="P247" s="35"/>
      <c r="Q247" s="35"/>
      <c r="R247" s="35"/>
      <c r="S247" s="35"/>
      <c r="T247" s="35"/>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c r="AS247" s="35"/>
      <c r="AT247" s="35"/>
      <c r="AU247" s="35"/>
      <c r="AV247" s="35"/>
      <c r="AW247" s="35"/>
      <c r="AX247" s="35"/>
      <c r="AY247" s="35"/>
      <c r="AZ247" s="35"/>
      <c r="BA247" s="35"/>
      <c r="BB247" s="35"/>
      <c r="BC247" s="35"/>
      <c r="BD247" s="35"/>
      <c r="BE247" s="35"/>
      <c r="BF247" s="35"/>
      <c r="BG247" s="35"/>
      <c r="BH247" s="35"/>
      <c r="BI247" s="35"/>
      <c r="BJ247" s="35"/>
      <c r="BK247" s="35"/>
      <c r="BL247" s="35"/>
      <c r="BM247" s="35"/>
      <c r="BN247" s="35"/>
      <c r="BO247" s="35"/>
      <c r="BP247" s="35"/>
      <c r="BQ247" s="35"/>
      <c r="BR247" s="35"/>
      <c r="BS247" s="35"/>
      <c r="BT247" s="35"/>
      <c r="BU247" s="35"/>
      <c r="BV247" s="35"/>
      <c r="BW247" s="35"/>
      <c r="BX247" s="35"/>
      <c r="BY247" s="35"/>
      <c r="BZ247" s="35"/>
      <c r="CA247" s="35"/>
      <c r="CB247" s="35"/>
      <c r="CC247" s="35"/>
      <c r="CD247" s="35"/>
      <c r="CE247" s="35"/>
      <c r="CF247" s="35"/>
      <c r="CG247" s="35"/>
      <c r="CH247" s="35"/>
      <c r="CI247" s="35"/>
      <c r="CJ247" s="35"/>
      <c r="CK247" s="35"/>
      <c r="CL247" s="35"/>
      <c r="CM247" s="35"/>
      <c r="CN247" s="35"/>
      <c r="CO247" s="35"/>
      <c r="CP247" s="35"/>
      <c r="CQ247" s="35"/>
      <c r="CR247" s="35"/>
      <c r="CS247" s="35"/>
      <c r="CT247" s="35"/>
      <c r="CU247" s="35"/>
      <c r="CV247" s="35"/>
      <c r="CW247" s="35"/>
      <c r="CX247" s="35"/>
      <c r="CY247" s="35"/>
      <c r="CZ247" s="35"/>
      <c r="DA247" s="35"/>
      <c r="DB247" s="35"/>
      <c r="DC247" s="35"/>
      <c r="DD247" s="35"/>
      <c r="DE247" s="35"/>
      <c r="DF247" s="35"/>
      <c r="DG247" s="35"/>
      <c r="DH247" s="35"/>
      <c r="DI247" s="35"/>
      <c r="DJ247" s="35"/>
    </row>
    <row r="248" spans="1:114" ht="18.75" x14ac:dyDescent="0.3">
      <c r="A248" s="157"/>
      <c r="B248" s="34"/>
      <c r="C248" s="34"/>
      <c r="D248" s="34"/>
      <c r="E248" s="34"/>
      <c r="F248" s="34"/>
      <c r="G248" s="34"/>
      <c r="H248" s="34"/>
      <c r="I248" s="34"/>
      <c r="J248" s="34"/>
      <c r="K248" s="34"/>
      <c r="L248" s="34"/>
      <c r="M248" s="34"/>
      <c r="N248" s="35"/>
      <c r="O248" s="35"/>
      <c r="P248" s="35"/>
      <c r="Q248" s="35"/>
      <c r="R248" s="35"/>
      <c r="S248" s="35"/>
      <c r="T248" s="35"/>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c r="AS248" s="35"/>
      <c r="AT248" s="35"/>
      <c r="AU248" s="35"/>
      <c r="AV248" s="35"/>
      <c r="AW248" s="35"/>
      <c r="AX248" s="35"/>
      <c r="AY248" s="35"/>
      <c r="AZ248" s="35"/>
      <c r="BA248" s="35"/>
      <c r="BB248" s="35"/>
      <c r="BC248" s="35"/>
      <c r="BD248" s="35"/>
      <c r="BE248" s="35"/>
      <c r="BF248" s="35"/>
      <c r="BG248" s="35"/>
      <c r="BH248" s="35"/>
      <c r="BI248" s="35"/>
      <c r="BJ248" s="35"/>
      <c r="BK248" s="35"/>
      <c r="BL248" s="35"/>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35"/>
      <c r="CY248" s="35"/>
      <c r="CZ248" s="35"/>
      <c r="DA248" s="35"/>
      <c r="DB248" s="35"/>
      <c r="DC248" s="35"/>
      <c r="DD248" s="35"/>
      <c r="DE248" s="35"/>
      <c r="DF248" s="35"/>
      <c r="DG248" s="35"/>
      <c r="DH248" s="35"/>
      <c r="DI248" s="35"/>
      <c r="DJ248" s="35"/>
    </row>
    <row r="249" spans="1:114" ht="18.75" x14ac:dyDescent="0.3">
      <c r="A249" s="157"/>
      <c r="B249" s="34"/>
      <c r="C249" s="34"/>
      <c r="D249" s="34"/>
      <c r="E249" s="34"/>
      <c r="F249" s="34"/>
      <c r="G249" s="34"/>
      <c r="H249" s="34"/>
      <c r="I249" s="34"/>
      <c r="J249" s="34"/>
      <c r="K249" s="34"/>
      <c r="L249" s="34"/>
      <c r="M249" s="34"/>
      <c r="N249" s="35"/>
      <c r="O249" s="35"/>
      <c r="P249" s="35"/>
      <c r="Q249" s="35"/>
      <c r="R249" s="35"/>
      <c r="S249" s="35"/>
      <c r="T249" s="35"/>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c r="AS249" s="35"/>
      <c r="AT249" s="35"/>
      <c r="AU249" s="35"/>
      <c r="AV249" s="35"/>
      <c r="AW249" s="35"/>
      <c r="AX249" s="35"/>
      <c r="AY249" s="35"/>
      <c r="AZ249" s="35"/>
      <c r="BA249" s="35"/>
      <c r="BB249" s="35"/>
      <c r="BC249" s="35"/>
      <c r="BD249" s="35"/>
      <c r="BE249" s="35"/>
      <c r="BF249" s="35"/>
      <c r="BG249" s="35"/>
      <c r="BH249" s="35"/>
      <c r="BI249" s="35"/>
      <c r="BJ249" s="35"/>
      <c r="BK249" s="35"/>
      <c r="BL249" s="35"/>
      <c r="BM249" s="35"/>
      <c r="BN249" s="35"/>
      <c r="BO249" s="35"/>
      <c r="BP249" s="35"/>
      <c r="BQ249" s="35"/>
      <c r="BR249" s="35"/>
      <c r="BS249" s="35"/>
      <c r="BT249" s="35"/>
      <c r="BU249" s="35"/>
      <c r="BV249" s="35"/>
      <c r="BW249" s="35"/>
      <c r="BX249" s="35"/>
      <c r="BY249" s="35"/>
      <c r="BZ249" s="35"/>
      <c r="CA249" s="35"/>
      <c r="CB249" s="35"/>
      <c r="CC249" s="35"/>
      <c r="CD249" s="35"/>
      <c r="CE249" s="35"/>
      <c r="CF249" s="35"/>
      <c r="CG249" s="35"/>
      <c r="CH249" s="35"/>
      <c r="CI249" s="35"/>
      <c r="CJ249" s="35"/>
      <c r="CK249" s="35"/>
      <c r="CL249" s="35"/>
      <c r="CM249" s="35"/>
      <c r="CN249" s="35"/>
      <c r="CO249" s="35"/>
      <c r="CP249" s="35"/>
      <c r="CQ249" s="35"/>
      <c r="CR249" s="35"/>
      <c r="CS249" s="35"/>
      <c r="CT249" s="35"/>
      <c r="CU249" s="35"/>
      <c r="CV249" s="35"/>
      <c r="CW249" s="35"/>
      <c r="CX249" s="35"/>
      <c r="CY249" s="35"/>
      <c r="CZ249" s="35"/>
      <c r="DA249" s="35"/>
      <c r="DB249" s="35"/>
      <c r="DC249" s="35"/>
      <c r="DD249" s="35"/>
      <c r="DE249" s="35"/>
      <c r="DF249" s="35"/>
      <c r="DG249" s="35"/>
      <c r="DH249" s="35"/>
      <c r="DI249" s="35"/>
      <c r="DJ249" s="35"/>
    </row>
    <row r="250" spans="1:114" ht="18.75" x14ac:dyDescent="0.3">
      <c r="A250" s="157"/>
      <c r="B250" s="34"/>
      <c r="C250" s="34"/>
      <c r="D250" s="34"/>
      <c r="E250" s="34"/>
      <c r="F250" s="34"/>
      <c r="G250" s="34"/>
      <c r="H250" s="34"/>
      <c r="I250" s="34"/>
      <c r="J250" s="34"/>
      <c r="K250" s="34"/>
      <c r="L250" s="34"/>
      <c r="M250" s="34"/>
      <c r="N250" s="35"/>
      <c r="O250" s="35"/>
      <c r="P250" s="35"/>
      <c r="Q250" s="35"/>
      <c r="R250" s="35"/>
      <c r="S250" s="35"/>
      <c r="T250" s="35"/>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c r="AS250" s="35"/>
      <c r="AT250" s="35"/>
      <c r="AU250" s="35"/>
      <c r="AV250" s="35"/>
      <c r="AW250" s="35"/>
      <c r="AX250" s="35"/>
      <c r="AY250" s="35"/>
      <c r="AZ250" s="35"/>
      <c r="BA250" s="35"/>
      <c r="BB250" s="35"/>
      <c r="BC250" s="35"/>
      <c r="BD250" s="35"/>
      <c r="BE250" s="35"/>
      <c r="BF250" s="35"/>
      <c r="BG250" s="35"/>
      <c r="BH250" s="35"/>
      <c r="BI250" s="35"/>
      <c r="BJ250" s="35"/>
      <c r="BK250" s="35"/>
      <c r="BL250" s="35"/>
      <c r="BM250" s="35"/>
      <c r="BN250" s="35"/>
      <c r="BO250" s="35"/>
      <c r="BP250" s="35"/>
      <c r="BQ250" s="35"/>
      <c r="BR250" s="35"/>
      <c r="BS250" s="35"/>
      <c r="BT250" s="35"/>
      <c r="BU250" s="35"/>
      <c r="BV250" s="35"/>
      <c r="BW250" s="35"/>
      <c r="BX250" s="35"/>
      <c r="BY250" s="35"/>
      <c r="BZ250" s="35"/>
      <c r="CA250" s="35"/>
      <c r="CB250" s="35"/>
      <c r="CC250" s="35"/>
      <c r="CD250" s="35"/>
      <c r="CE250" s="35"/>
      <c r="CF250" s="35"/>
      <c r="CG250" s="35"/>
      <c r="CH250" s="35"/>
      <c r="CI250" s="35"/>
      <c r="CJ250" s="35"/>
      <c r="CK250" s="35"/>
      <c r="CL250" s="35"/>
      <c r="CM250" s="35"/>
      <c r="CN250" s="35"/>
      <c r="CO250" s="35"/>
      <c r="CP250" s="35"/>
      <c r="CQ250" s="35"/>
      <c r="CR250" s="35"/>
      <c r="CS250" s="35"/>
      <c r="CT250" s="35"/>
      <c r="CU250" s="35"/>
      <c r="CV250" s="35"/>
      <c r="CW250" s="35"/>
      <c r="CX250" s="35"/>
      <c r="CY250" s="35"/>
      <c r="CZ250" s="35"/>
      <c r="DA250" s="35"/>
      <c r="DB250" s="35"/>
      <c r="DC250" s="35"/>
      <c r="DD250" s="35"/>
      <c r="DE250" s="35"/>
      <c r="DF250" s="35"/>
      <c r="DG250" s="35"/>
      <c r="DH250" s="35"/>
      <c r="DI250" s="35"/>
      <c r="DJ250" s="35"/>
    </row>
    <row r="251" spans="1:114" ht="17.45" customHeight="1" x14ac:dyDescent="0.3">
      <c r="A251" s="157"/>
      <c r="B251" s="34"/>
      <c r="C251" s="34"/>
      <c r="D251" s="34"/>
      <c r="E251" s="34"/>
      <c r="F251" s="34"/>
      <c r="G251" s="34"/>
      <c r="H251" s="34"/>
      <c r="I251" s="34"/>
      <c r="J251" s="34"/>
      <c r="K251" s="34"/>
      <c r="L251" s="34"/>
      <c r="M251" s="34"/>
      <c r="N251" s="35"/>
      <c r="O251" s="35"/>
      <c r="P251" s="35"/>
      <c r="Q251" s="35"/>
      <c r="R251" s="35"/>
      <c r="S251" s="35"/>
      <c r="T251" s="35"/>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c r="AS251" s="35"/>
      <c r="AT251" s="35"/>
      <c r="AU251" s="35"/>
      <c r="AV251" s="35"/>
      <c r="AW251" s="35"/>
      <c r="AX251" s="35"/>
      <c r="AY251" s="35"/>
      <c r="AZ251" s="35"/>
      <c r="BA251" s="35"/>
      <c r="BB251" s="35"/>
      <c r="BC251" s="35"/>
      <c r="BD251" s="35"/>
      <c r="BE251" s="35"/>
      <c r="BF251" s="35"/>
      <c r="BG251" s="35"/>
      <c r="BH251" s="35"/>
      <c r="BI251" s="35"/>
      <c r="BJ251" s="35"/>
      <c r="BK251" s="35"/>
      <c r="BL251" s="35"/>
      <c r="BM251" s="35"/>
      <c r="BN251" s="35"/>
      <c r="BO251" s="35"/>
      <c r="BP251" s="35"/>
      <c r="BQ251" s="35"/>
      <c r="BR251" s="35"/>
      <c r="BS251" s="35"/>
      <c r="BT251" s="35"/>
      <c r="BU251" s="35"/>
      <c r="BV251" s="35"/>
      <c r="BW251" s="35"/>
      <c r="BX251" s="35"/>
      <c r="BY251" s="35"/>
      <c r="BZ251" s="35"/>
      <c r="CA251" s="35"/>
      <c r="CB251" s="35"/>
      <c r="CC251" s="35"/>
      <c r="CD251" s="35"/>
      <c r="CE251" s="35"/>
      <c r="CF251" s="35"/>
      <c r="CG251" s="35"/>
      <c r="CH251" s="35"/>
      <c r="CI251" s="35"/>
      <c r="CJ251" s="35"/>
      <c r="CK251" s="35"/>
      <c r="CL251" s="35"/>
      <c r="CM251" s="35"/>
      <c r="CN251" s="35"/>
      <c r="CO251" s="35"/>
      <c r="CP251" s="35"/>
      <c r="CQ251" s="35"/>
      <c r="CR251" s="35"/>
      <c r="CS251" s="35"/>
      <c r="CT251" s="35"/>
      <c r="CU251" s="35"/>
      <c r="CV251" s="35"/>
      <c r="CW251" s="35"/>
      <c r="CX251" s="35"/>
      <c r="CY251" s="35"/>
      <c r="CZ251" s="35"/>
      <c r="DA251" s="35"/>
      <c r="DB251" s="35"/>
      <c r="DC251" s="35"/>
      <c r="DD251" s="35"/>
      <c r="DE251" s="35"/>
      <c r="DF251" s="35"/>
      <c r="DG251" s="35"/>
      <c r="DH251" s="35"/>
      <c r="DI251" s="35"/>
      <c r="DJ251" s="35"/>
    </row>
    <row r="252" spans="1:114" s="143" customFormat="1" ht="18.75" x14ac:dyDescent="0.3">
      <c r="A252" s="155">
        <f>'P(M)'!CB38</f>
        <v>1.3437619897904584E-2</v>
      </c>
      <c r="B252" s="158"/>
      <c r="C252" s="157"/>
      <c r="D252" s="157"/>
      <c r="E252" s="157"/>
      <c r="F252" s="157"/>
      <c r="G252" s="157"/>
      <c r="H252" s="157"/>
      <c r="I252" s="157"/>
      <c r="J252" s="157"/>
      <c r="K252" s="157"/>
      <c r="L252" s="157"/>
      <c r="M252" s="157"/>
      <c r="N252" s="142"/>
      <c r="O252" s="142"/>
      <c r="P252" s="142"/>
      <c r="Q252" s="142"/>
      <c r="R252" s="142"/>
      <c r="S252" s="142"/>
      <c r="T252" s="142"/>
      <c r="U252" s="142"/>
      <c r="V252" s="142"/>
      <c r="W252" s="142"/>
      <c r="X252" s="142"/>
      <c r="Y252" s="142"/>
      <c r="Z252" s="14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c r="CN252" s="142"/>
      <c r="CO252" s="142"/>
      <c r="CP252" s="142"/>
      <c r="CQ252" s="142"/>
      <c r="CR252" s="142"/>
      <c r="CS252" s="142"/>
      <c r="CT252" s="142"/>
      <c r="CU252" s="142"/>
      <c r="CV252" s="142"/>
      <c r="CW252" s="142"/>
      <c r="CX252" s="142"/>
      <c r="CY252" s="142"/>
      <c r="CZ252" s="142"/>
      <c r="DA252" s="142"/>
      <c r="DB252" s="142"/>
      <c r="DC252" s="142"/>
      <c r="DD252" s="142"/>
      <c r="DE252" s="142"/>
      <c r="DF252" s="142"/>
      <c r="DG252" s="142"/>
      <c r="DH252" s="142"/>
      <c r="DI252" s="142"/>
      <c r="DJ252" s="142"/>
    </row>
    <row r="253" spans="1:114" x14ac:dyDescent="0.25">
      <c r="A253" s="34"/>
      <c r="B253" s="34"/>
      <c r="C253" s="34"/>
      <c r="D253" s="34"/>
      <c r="E253" s="34"/>
      <c r="F253" s="34"/>
      <c r="G253" s="34"/>
      <c r="H253" s="34"/>
      <c r="I253" s="34"/>
      <c r="J253" s="34"/>
      <c r="K253" s="34"/>
      <c r="L253" s="34"/>
      <c r="M253" s="34"/>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c r="AS253" s="35"/>
      <c r="AT253" s="35"/>
      <c r="AU253" s="35"/>
      <c r="AV253" s="35"/>
      <c r="AW253" s="35"/>
      <c r="AX253" s="35"/>
      <c r="AY253" s="35"/>
      <c r="AZ253" s="35"/>
      <c r="BA253" s="35"/>
      <c r="BB253" s="35"/>
      <c r="BC253" s="35"/>
      <c r="BD253" s="35"/>
      <c r="BE253" s="35"/>
      <c r="BF253" s="35"/>
      <c r="BG253" s="35"/>
      <c r="BH253" s="35"/>
      <c r="BI253" s="35"/>
      <c r="BJ253" s="35"/>
      <c r="BK253" s="35"/>
      <c r="BL253" s="35"/>
      <c r="BM253" s="35"/>
      <c r="BN253" s="35"/>
      <c r="BO253" s="35"/>
      <c r="BP253" s="35"/>
      <c r="BQ253" s="35"/>
      <c r="BR253" s="35"/>
      <c r="BS253" s="35"/>
      <c r="BT253" s="35"/>
      <c r="BU253" s="35"/>
      <c r="BV253" s="35"/>
      <c r="BW253" s="35"/>
      <c r="BX253" s="35"/>
      <c r="BY253" s="35"/>
      <c r="BZ253" s="35"/>
      <c r="CA253" s="35"/>
      <c r="CB253" s="35"/>
      <c r="CC253" s="35"/>
      <c r="CD253" s="35"/>
      <c r="CE253" s="35"/>
      <c r="CF253" s="35"/>
      <c r="CG253" s="35"/>
      <c r="CH253" s="35"/>
      <c r="CI253" s="35"/>
      <c r="CJ253" s="35"/>
      <c r="CK253" s="35"/>
      <c r="CL253" s="35"/>
      <c r="CM253" s="35"/>
      <c r="CN253" s="35"/>
      <c r="CO253" s="35"/>
      <c r="CP253" s="35"/>
      <c r="CQ253" s="35"/>
      <c r="CR253" s="35"/>
      <c r="CS253" s="35"/>
      <c r="CT253" s="35"/>
      <c r="CU253" s="35"/>
      <c r="CV253" s="35"/>
      <c r="CW253" s="35"/>
      <c r="CX253" s="35"/>
      <c r="CY253" s="35"/>
      <c r="CZ253" s="35"/>
      <c r="DA253" s="35"/>
      <c r="DB253" s="35"/>
      <c r="DC253" s="35"/>
      <c r="DD253" s="35"/>
      <c r="DE253" s="35"/>
      <c r="DF253" s="35"/>
      <c r="DG253" s="35"/>
      <c r="DH253" s="35"/>
      <c r="DI253" s="35"/>
      <c r="DJ253" s="35"/>
    </row>
    <row r="254" spans="1:114" x14ac:dyDescent="0.25">
      <c r="A254" s="34"/>
      <c r="B254" s="34"/>
      <c r="C254" s="34"/>
      <c r="D254" s="34"/>
      <c r="E254" s="34"/>
      <c r="F254" s="34"/>
      <c r="G254" s="34"/>
      <c r="H254" s="34"/>
      <c r="I254" s="34"/>
      <c r="J254" s="34"/>
      <c r="K254" s="34"/>
      <c r="L254" s="34"/>
      <c r="M254" s="34"/>
      <c r="N254" s="35"/>
      <c r="O254" s="35"/>
      <c r="P254" s="35"/>
      <c r="Q254" s="35"/>
      <c r="R254" s="35"/>
      <c r="S254" s="35"/>
      <c r="T254" s="35"/>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c r="AS254" s="35"/>
      <c r="AT254" s="35"/>
      <c r="AU254" s="35"/>
      <c r="AV254" s="35"/>
      <c r="AW254" s="35"/>
      <c r="AX254" s="35"/>
      <c r="AY254" s="35"/>
      <c r="AZ254" s="35"/>
      <c r="BA254" s="35"/>
      <c r="BB254" s="35"/>
      <c r="BC254" s="35"/>
      <c r="BD254" s="35"/>
      <c r="BE254" s="35"/>
      <c r="BF254" s="35"/>
      <c r="BG254" s="35"/>
      <c r="BH254" s="35"/>
      <c r="BI254" s="35"/>
      <c r="BJ254" s="35"/>
      <c r="BK254" s="35"/>
      <c r="BL254" s="35"/>
      <c r="BM254" s="35"/>
      <c r="BN254" s="35"/>
      <c r="BO254" s="35"/>
      <c r="BP254" s="35"/>
      <c r="BQ254" s="35"/>
      <c r="BR254" s="35"/>
      <c r="BS254" s="35"/>
      <c r="BT254" s="35"/>
      <c r="BU254" s="35"/>
      <c r="BV254" s="35"/>
      <c r="BW254" s="35"/>
      <c r="BX254" s="35"/>
      <c r="BY254" s="35"/>
      <c r="BZ254" s="35"/>
      <c r="CA254" s="35"/>
      <c r="CB254" s="35"/>
      <c r="CC254" s="35"/>
      <c r="CD254" s="35"/>
      <c r="CE254" s="35"/>
      <c r="CF254" s="35"/>
      <c r="CG254" s="35"/>
      <c r="CH254" s="35"/>
      <c r="CI254" s="35"/>
      <c r="CJ254" s="35"/>
      <c r="CK254" s="35"/>
      <c r="CL254" s="35"/>
      <c r="CM254" s="35"/>
      <c r="CN254" s="35"/>
      <c r="CO254" s="35"/>
      <c r="CP254" s="35"/>
      <c r="CQ254" s="35"/>
      <c r="CR254" s="35"/>
      <c r="CS254" s="35"/>
      <c r="CT254" s="35"/>
      <c r="CU254" s="35"/>
      <c r="CV254" s="35"/>
      <c r="CW254" s="35"/>
      <c r="CX254" s="35"/>
      <c r="CY254" s="35"/>
      <c r="CZ254" s="35"/>
      <c r="DA254" s="35"/>
      <c r="DB254" s="35"/>
      <c r="DC254" s="35"/>
      <c r="DD254" s="35"/>
      <c r="DE254" s="35"/>
      <c r="DF254" s="35"/>
      <c r="DG254" s="35"/>
      <c r="DH254" s="35"/>
      <c r="DI254" s="35"/>
      <c r="DJ254" s="35"/>
    </row>
    <row r="255" spans="1:114" x14ac:dyDescent="0.25">
      <c r="A255" s="34"/>
      <c r="B255" s="34"/>
      <c r="C255" s="34"/>
      <c r="D255" s="34"/>
      <c r="E255" s="34"/>
      <c r="F255" s="34"/>
      <c r="G255" s="34"/>
      <c r="H255" s="34"/>
      <c r="I255" s="34"/>
      <c r="J255" s="34"/>
      <c r="K255" s="34"/>
      <c r="L255" s="34"/>
      <c r="M255" s="34"/>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row>
    <row r="256" spans="1:114" x14ac:dyDescent="0.25">
      <c r="A256" s="34"/>
      <c r="B256" s="34"/>
      <c r="C256" s="34"/>
      <c r="D256" s="34"/>
      <c r="E256" s="34"/>
      <c r="F256" s="34"/>
      <c r="G256" s="34"/>
      <c r="H256" s="34"/>
      <c r="I256" s="34"/>
      <c r="J256" s="34"/>
      <c r="K256" s="34"/>
      <c r="L256" s="34"/>
      <c r="M256" s="34"/>
      <c r="N256" s="35"/>
      <c r="O256" s="35"/>
      <c r="P256" s="35"/>
      <c r="Q256" s="35"/>
      <c r="R256" s="35"/>
      <c r="S256" s="35"/>
      <c r="T256" s="35"/>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c r="AS256" s="35"/>
      <c r="AT256" s="35"/>
      <c r="AU256" s="35"/>
      <c r="AV256" s="35"/>
      <c r="AW256" s="35"/>
      <c r="AX256" s="35"/>
      <c r="AY256" s="35"/>
      <c r="AZ256" s="35"/>
      <c r="BA256" s="35"/>
      <c r="BB256" s="35"/>
      <c r="BC256" s="35"/>
      <c r="BD256" s="35"/>
      <c r="BE256" s="35"/>
      <c r="BF256" s="35"/>
      <c r="BG256" s="35"/>
      <c r="BH256" s="35"/>
      <c r="BI256" s="35"/>
      <c r="BJ256" s="35"/>
      <c r="BK256" s="35"/>
      <c r="BL256" s="35"/>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35"/>
      <c r="CY256" s="35"/>
      <c r="CZ256" s="35"/>
      <c r="DA256" s="35"/>
      <c r="DB256" s="35"/>
      <c r="DC256" s="35"/>
      <c r="DD256" s="35"/>
      <c r="DE256" s="35"/>
      <c r="DF256" s="35"/>
      <c r="DG256" s="35"/>
      <c r="DH256" s="35"/>
      <c r="DI256" s="35"/>
      <c r="DJ256" s="35"/>
    </row>
    <row r="257" spans="1:114" x14ac:dyDescent="0.25">
      <c r="A257" s="34"/>
      <c r="B257" s="34"/>
      <c r="C257" s="34"/>
      <c r="D257" s="34"/>
      <c r="E257" s="34"/>
      <c r="F257" s="34"/>
      <c r="G257" s="34"/>
      <c r="H257" s="34"/>
      <c r="I257" s="34"/>
      <c r="J257" s="34"/>
      <c r="K257" s="34"/>
      <c r="L257" s="34"/>
      <c r="M257" s="34"/>
      <c r="N257" s="35"/>
      <c r="O257" s="35"/>
      <c r="P257" s="35"/>
      <c r="Q257" s="35"/>
      <c r="R257" s="35"/>
      <c r="S257" s="35"/>
      <c r="T257" s="35"/>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c r="AS257" s="35"/>
      <c r="AT257" s="35"/>
      <c r="AU257" s="35"/>
      <c r="AV257" s="35"/>
      <c r="AW257" s="35"/>
      <c r="AX257" s="35"/>
      <c r="AY257" s="35"/>
      <c r="AZ257" s="35"/>
      <c r="BA257" s="35"/>
      <c r="BB257" s="35"/>
      <c r="BC257" s="35"/>
      <c r="BD257" s="35"/>
      <c r="BE257" s="35"/>
      <c r="BF257" s="35"/>
      <c r="BG257" s="35"/>
      <c r="BH257" s="35"/>
      <c r="BI257" s="35"/>
      <c r="BJ257" s="35"/>
      <c r="BK257" s="35"/>
      <c r="BL257" s="35"/>
      <c r="BM257" s="35"/>
      <c r="BN257" s="35"/>
      <c r="BO257" s="35"/>
      <c r="BP257" s="35"/>
      <c r="BQ257" s="35"/>
      <c r="BR257" s="35"/>
      <c r="BS257" s="35"/>
      <c r="BT257" s="35"/>
      <c r="BU257" s="35"/>
      <c r="BV257" s="35"/>
      <c r="BW257" s="35"/>
      <c r="BX257" s="35"/>
      <c r="BY257" s="35"/>
      <c r="BZ257" s="35"/>
      <c r="CA257" s="35"/>
      <c r="CB257" s="35"/>
      <c r="CC257" s="35"/>
      <c r="CD257" s="35"/>
      <c r="CE257" s="35"/>
      <c r="CF257" s="35"/>
      <c r="CG257" s="35"/>
      <c r="CH257" s="35"/>
      <c r="CI257" s="35"/>
      <c r="CJ257" s="35"/>
      <c r="CK257" s="35"/>
      <c r="CL257" s="35"/>
      <c r="CM257" s="35"/>
      <c r="CN257" s="35"/>
      <c r="CO257" s="35"/>
      <c r="CP257" s="35"/>
      <c r="CQ257" s="35"/>
      <c r="CR257" s="35"/>
      <c r="CS257" s="35"/>
      <c r="CT257" s="35"/>
      <c r="CU257" s="35"/>
      <c r="CV257" s="35"/>
      <c r="CW257" s="35"/>
      <c r="CX257" s="35"/>
      <c r="CY257" s="35"/>
      <c r="CZ257" s="35"/>
      <c r="DA257" s="35"/>
      <c r="DB257" s="35"/>
      <c r="DC257" s="35"/>
      <c r="DD257" s="35"/>
      <c r="DE257" s="35"/>
      <c r="DF257" s="35"/>
      <c r="DG257" s="35"/>
      <c r="DH257" s="35"/>
      <c r="DI257" s="35"/>
      <c r="DJ257" s="35"/>
    </row>
    <row r="258" spans="1:114" x14ac:dyDescent="0.25">
      <c r="A258" s="34"/>
      <c r="B258" s="34"/>
      <c r="C258" s="34"/>
      <c r="D258" s="34"/>
      <c r="E258" s="34"/>
      <c r="F258" s="34"/>
      <c r="G258" s="34"/>
      <c r="H258" s="34"/>
      <c r="I258" s="34"/>
      <c r="J258" s="34"/>
      <c r="K258" s="34"/>
      <c r="L258" s="34"/>
      <c r="M258" s="34"/>
      <c r="N258" s="35"/>
      <c r="O258" s="35"/>
      <c r="P258" s="35"/>
      <c r="Q258" s="35"/>
      <c r="R258" s="35"/>
      <c r="S258" s="35"/>
      <c r="T258" s="35"/>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c r="AS258" s="35"/>
      <c r="AT258" s="35"/>
      <c r="AU258" s="35"/>
      <c r="AV258" s="35"/>
      <c r="AW258" s="35"/>
      <c r="AX258" s="35"/>
      <c r="AY258" s="35"/>
      <c r="AZ258" s="35"/>
      <c r="BA258" s="35"/>
      <c r="BB258" s="35"/>
      <c r="BC258" s="35"/>
      <c r="BD258" s="35"/>
      <c r="BE258" s="35"/>
      <c r="BF258" s="35"/>
      <c r="BG258" s="35"/>
      <c r="BH258" s="35"/>
      <c r="BI258" s="35"/>
      <c r="BJ258" s="35"/>
      <c r="BK258" s="35"/>
      <c r="BL258" s="35"/>
      <c r="BM258" s="35"/>
      <c r="BN258" s="35"/>
      <c r="BO258" s="35"/>
      <c r="BP258" s="35"/>
      <c r="BQ258" s="35"/>
      <c r="BR258" s="35"/>
      <c r="BS258" s="35"/>
      <c r="BT258" s="35"/>
      <c r="BU258" s="35"/>
      <c r="BV258" s="35"/>
      <c r="BW258" s="35"/>
      <c r="BX258" s="35"/>
      <c r="BY258" s="35"/>
      <c r="BZ258" s="35"/>
      <c r="CA258" s="35"/>
      <c r="CB258" s="35"/>
      <c r="CC258" s="35"/>
      <c r="CD258" s="35"/>
      <c r="CE258" s="35"/>
      <c r="CF258" s="35"/>
      <c r="CG258" s="35"/>
      <c r="CH258" s="35"/>
      <c r="CI258" s="35"/>
      <c r="CJ258" s="35"/>
      <c r="CK258" s="35"/>
      <c r="CL258" s="35"/>
      <c r="CM258" s="35"/>
      <c r="CN258" s="35"/>
      <c r="CO258" s="35"/>
      <c r="CP258" s="35"/>
      <c r="CQ258" s="35"/>
      <c r="CR258" s="35"/>
      <c r="CS258" s="35"/>
      <c r="CT258" s="35"/>
      <c r="CU258" s="35"/>
      <c r="CV258" s="35"/>
      <c r="CW258" s="35"/>
      <c r="CX258" s="35"/>
      <c r="CY258" s="35"/>
      <c r="CZ258" s="35"/>
      <c r="DA258" s="35"/>
      <c r="DB258" s="35"/>
      <c r="DC258" s="35"/>
      <c r="DD258" s="35"/>
      <c r="DE258" s="35"/>
      <c r="DF258" s="35"/>
      <c r="DG258" s="35"/>
      <c r="DH258" s="35"/>
      <c r="DI258" s="35"/>
      <c r="DJ258" s="35"/>
    </row>
    <row r="259" spans="1:114" s="152" customFormat="1" ht="19.5" x14ac:dyDescent="0.25">
      <c r="A259" s="70" t="str">
        <f>IF(OR('P(M)'!C17=TRUE,'P(M)'!C18=TRUE,'P(M)'!C19=TRUE,'P(M)'!C20=TRUE,'P(M)'!C21=TRUE,'P(M)'!C22=TRUE,'P(M)'!C23=TRUE,'P(M)'!C24=TRUE,'P(M)'!C25=TRUE,'P(M)'!C26=TRUE,'P(M)'!C28=TRUE,'P(M)'!C31=TRUE,'P(M)'!C34=TRUE,'P(M)'!C35=TRUE,'P(M)'!C36=TRUE,'P(M)'!C37=TRUE,'P(M)'!C29=TRUE,'P(M)'!C30=TRUE,'P(M)'!C32=TRUE,'P(M)'!C33=TRUE,'P(M)'!C27=TRUE),"總結：","")</f>
        <v>總結：</v>
      </c>
      <c r="B259" s="150"/>
      <c r="C259" s="150"/>
      <c r="D259" s="150"/>
      <c r="E259" s="150"/>
      <c r="F259" s="150"/>
      <c r="G259" s="150"/>
      <c r="H259" s="150"/>
      <c r="I259" s="150"/>
      <c r="J259" s="150"/>
      <c r="K259" s="150"/>
      <c r="L259" s="150"/>
      <c r="M259" s="150"/>
      <c r="N259" s="151"/>
      <c r="O259" s="151"/>
      <c r="P259" s="151"/>
      <c r="Q259" s="151"/>
      <c r="R259" s="151"/>
      <c r="S259" s="151"/>
      <c r="T259" s="151"/>
      <c r="U259" s="151"/>
      <c r="V259" s="151"/>
      <c r="W259" s="151"/>
      <c r="X259" s="151"/>
      <c r="Y259" s="151"/>
      <c r="Z259" s="151"/>
      <c r="AA259" s="151"/>
      <c r="AB259" s="151"/>
      <c r="AC259" s="151"/>
      <c r="AD259" s="151"/>
      <c r="AE259" s="151"/>
      <c r="AF259" s="151"/>
      <c r="AG259" s="151"/>
      <c r="AH259" s="151"/>
      <c r="AI259" s="151"/>
      <c r="AJ259" s="151"/>
      <c r="AK259" s="151"/>
      <c r="AL259" s="151"/>
      <c r="AM259" s="151"/>
      <c r="AN259" s="151"/>
      <c r="AO259" s="151"/>
      <c r="AP259" s="151"/>
      <c r="AQ259" s="151"/>
      <c r="AR259" s="151"/>
      <c r="AS259" s="151"/>
      <c r="AT259" s="151"/>
      <c r="AU259" s="151"/>
      <c r="AV259" s="151"/>
      <c r="AW259" s="151"/>
      <c r="AX259" s="151"/>
      <c r="AY259" s="151"/>
      <c r="AZ259" s="151"/>
      <c r="BA259" s="151"/>
      <c r="BB259" s="151"/>
      <c r="BC259" s="151"/>
      <c r="BD259" s="151"/>
      <c r="BE259" s="151"/>
      <c r="BF259" s="151"/>
      <c r="BG259" s="151"/>
      <c r="BH259" s="151"/>
      <c r="BI259" s="151"/>
      <c r="BJ259" s="151"/>
      <c r="BK259" s="151"/>
      <c r="BL259" s="151"/>
      <c r="BM259" s="151"/>
      <c r="BN259" s="151"/>
      <c r="BO259" s="151"/>
      <c r="BP259" s="151"/>
      <c r="BQ259" s="151"/>
      <c r="BR259" s="151"/>
      <c r="BS259" s="151"/>
      <c r="BT259" s="151"/>
      <c r="BU259" s="151"/>
      <c r="BV259" s="151"/>
      <c r="BW259" s="151"/>
      <c r="BX259" s="151"/>
      <c r="BY259" s="151"/>
      <c r="BZ259" s="151"/>
      <c r="CA259" s="151"/>
      <c r="CB259" s="151"/>
      <c r="CC259" s="151"/>
      <c r="CD259" s="151"/>
      <c r="CE259" s="151"/>
      <c r="CF259" s="151"/>
      <c r="CG259" s="151"/>
      <c r="CH259" s="151"/>
      <c r="CI259" s="151"/>
      <c r="CJ259" s="151"/>
      <c r="CK259" s="151"/>
      <c r="CL259" s="151"/>
      <c r="CM259" s="151"/>
      <c r="CN259" s="151"/>
      <c r="CO259" s="151"/>
      <c r="CP259" s="151"/>
      <c r="CQ259" s="151"/>
      <c r="CR259" s="151"/>
      <c r="CS259" s="151"/>
      <c r="CT259" s="151"/>
      <c r="CU259" s="151"/>
      <c r="CV259" s="151"/>
      <c r="CW259" s="151"/>
      <c r="CX259" s="151"/>
      <c r="CY259" s="151"/>
      <c r="CZ259" s="151"/>
      <c r="DA259" s="151"/>
      <c r="DB259" s="151"/>
      <c r="DC259" s="151"/>
      <c r="DD259" s="151"/>
      <c r="DE259" s="151"/>
      <c r="DF259" s="151"/>
      <c r="DG259" s="151"/>
      <c r="DH259" s="151"/>
      <c r="DI259" s="151"/>
      <c r="DJ259" s="151"/>
    </row>
    <row r="260" spans="1:114" s="152" customFormat="1" ht="19.5" x14ac:dyDescent="0.25">
      <c r="A260" s="70" t="str">
        <f>IF(OR('P(M)'!C17=TRUE,'P(M)'!C18=TRUE,'P(M)'!C19=TRUE,'P(M)'!C20=TRUE,'P(M)'!C21=TRUE,'P(M)'!C22=TRUE,'P(M)'!C23=TRUE,'P(M)'!C24=TRUE,'P(M)'!C25=TRUE,'P(M)'!C26=TRUE,'P(M)'!C28=TRUE,'P(M)'!C31=TRUE,'P(M)'!C34=TRUE,'P(M)'!C35=TRUE,'P(M)'!C36=TRUE,'P(M)'!C37=TRUE,'P(M)'!C29=TRUE,'P(M)'!C30=TRUE,'P(M)'!C32=TRUE,'P(M)'!C33=TRUE,'P(M)'!C27=TRUE),"1.專利佈局的時間越長，後續的專利維護費用(M)會明顯比前期的專利申請費用(A)更高。","")</f>
        <v>1.專利佈局的時間越長，後續的專利維護費用(M)會明顯比前期的專利申請費用(A)更高。</v>
      </c>
      <c r="B260" s="150"/>
      <c r="C260" s="150"/>
      <c r="D260" s="150"/>
      <c r="E260" s="150"/>
      <c r="F260" s="150"/>
      <c r="G260" s="150"/>
      <c r="H260" s="150"/>
      <c r="I260" s="150"/>
      <c r="J260" s="150"/>
      <c r="K260" s="150"/>
      <c r="L260" s="150"/>
      <c r="M260" s="150"/>
      <c r="N260" s="151"/>
      <c r="O260" s="151"/>
      <c r="P260" s="151"/>
      <c r="Q260" s="151"/>
      <c r="R260" s="151"/>
      <c r="S260" s="151"/>
      <c r="T260" s="151"/>
      <c r="U260" s="151"/>
      <c r="V260" s="151"/>
      <c r="W260" s="151"/>
      <c r="X260" s="151"/>
      <c r="Y260" s="151"/>
      <c r="Z260" s="151"/>
      <c r="AA260" s="151"/>
      <c r="AB260" s="151"/>
      <c r="AC260" s="151"/>
      <c r="AD260" s="151"/>
      <c r="AE260" s="151"/>
      <c r="AF260" s="151"/>
      <c r="AG260" s="151"/>
      <c r="AH260" s="151"/>
      <c r="AI260" s="151"/>
      <c r="AJ260" s="151"/>
      <c r="AK260" s="151"/>
      <c r="AL260" s="151"/>
      <c r="AM260" s="151"/>
      <c r="AN260" s="151"/>
      <c r="AO260" s="151"/>
      <c r="AP260" s="151"/>
      <c r="AQ260" s="151"/>
      <c r="AR260" s="151"/>
      <c r="AS260" s="151"/>
      <c r="AT260" s="151"/>
      <c r="AU260" s="151"/>
      <c r="AV260" s="151"/>
      <c r="AW260" s="151"/>
      <c r="AX260" s="151"/>
      <c r="AY260" s="151"/>
      <c r="AZ260" s="151"/>
      <c r="BA260" s="151"/>
      <c r="BB260" s="151"/>
      <c r="BC260" s="151"/>
      <c r="BD260" s="151"/>
      <c r="BE260" s="151"/>
      <c r="BF260" s="151"/>
      <c r="BG260" s="151"/>
      <c r="BH260" s="151"/>
      <c r="BI260" s="151"/>
      <c r="BJ260" s="151"/>
      <c r="BK260" s="151"/>
      <c r="BL260" s="151"/>
      <c r="BM260" s="151"/>
      <c r="BN260" s="151"/>
      <c r="BO260" s="151"/>
      <c r="BP260" s="151"/>
      <c r="BQ260" s="151"/>
      <c r="BR260" s="151"/>
      <c r="BS260" s="151"/>
      <c r="BT260" s="151"/>
      <c r="BU260" s="151"/>
      <c r="BV260" s="151"/>
      <c r="BW260" s="151"/>
      <c r="BX260" s="151"/>
      <c r="BY260" s="151"/>
      <c r="BZ260" s="151"/>
      <c r="CA260" s="151"/>
      <c r="CB260" s="151"/>
      <c r="CC260" s="151"/>
      <c r="CD260" s="151"/>
      <c r="CE260" s="151"/>
      <c r="CF260" s="151"/>
      <c r="CG260" s="151"/>
      <c r="CH260" s="151"/>
      <c r="CI260" s="151"/>
      <c r="CJ260" s="151"/>
      <c r="CK260" s="151"/>
      <c r="CL260" s="151"/>
      <c r="CM260" s="151"/>
      <c r="CN260" s="151"/>
      <c r="CO260" s="151"/>
      <c r="CP260" s="151"/>
      <c r="CQ260" s="151"/>
      <c r="CR260" s="151"/>
      <c r="CS260" s="151"/>
      <c r="CT260" s="151"/>
      <c r="CU260" s="151"/>
      <c r="CV260" s="151"/>
      <c r="CW260" s="151"/>
      <c r="CX260" s="151"/>
      <c r="CY260" s="151"/>
      <c r="CZ260" s="151"/>
      <c r="DA260" s="151"/>
      <c r="DB260" s="151"/>
      <c r="DC260" s="151"/>
      <c r="DD260" s="151"/>
      <c r="DE260" s="151"/>
      <c r="DF260" s="151"/>
      <c r="DG260" s="151"/>
      <c r="DH260" s="151"/>
      <c r="DI260" s="151"/>
      <c r="DJ260" s="151"/>
    </row>
    <row r="261" spans="1:114" s="152" customFormat="1" ht="19.5" x14ac:dyDescent="0.25">
      <c r="A261" s="70" t="str">
        <f>IF(OR('P(M)'!C17=TRUE,'P(M)'!C18=TRUE,'P(M)'!C19=TRUE,'P(M)'!C20=TRUE,'P(M)'!C21=TRUE,'P(M)'!C22=TRUE,'P(M)'!C23=TRUE,'P(M)'!C24=TRUE,'P(M)'!C25=TRUE,'P(M)'!C26=TRUE,'P(M)'!C28=TRUE,'P(M)'!C31=TRUE,'P(M)'!C34=TRUE,'P(M)'!C35=TRUE,'P(M)'!C36=TRUE,'P(M)'!C37=TRUE,'P(M)'!C29=TRUE,'P(M)'!C30=TRUE,'P(M)'!C32=TRUE,'P(M)'!C33=TRUE,'P(M)'!C27=TRUE),"2.專利佈局整體的效益高低，不僅與發明技術本身的市場價值有關，更取決於「初稿案」的撰寫品質。","")</f>
        <v>2.專利佈局整體的效益高低，不僅與發明技術本身的市場價值有關，更取決於「初稿案」的撰寫品質。</v>
      </c>
      <c r="B261" s="150"/>
      <c r="C261" s="150"/>
      <c r="D261" s="150"/>
      <c r="E261" s="150"/>
      <c r="F261" s="150"/>
      <c r="G261" s="150"/>
      <c r="H261" s="150"/>
      <c r="I261" s="150"/>
      <c r="J261" s="150"/>
      <c r="K261" s="150"/>
      <c r="L261" s="150"/>
      <c r="M261" s="150"/>
      <c r="N261" s="151"/>
      <c r="O261" s="151"/>
      <c r="P261" s="151"/>
      <c r="Q261" s="151"/>
      <c r="R261" s="151"/>
      <c r="S261" s="151"/>
      <c r="T261" s="151"/>
      <c r="U261" s="151"/>
      <c r="V261" s="151"/>
      <c r="W261" s="151"/>
      <c r="X261" s="151"/>
      <c r="Y261" s="151"/>
      <c r="Z261" s="151"/>
      <c r="AA261" s="151"/>
      <c r="AB261" s="151"/>
      <c r="AC261" s="151"/>
      <c r="AD261" s="151"/>
      <c r="AE261" s="151"/>
      <c r="AF261" s="151"/>
      <c r="AG261" s="151"/>
      <c r="AH261" s="151"/>
      <c r="AI261" s="151"/>
      <c r="AJ261" s="151"/>
      <c r="AK261" s="151"/>
      <c r="AL261" s="151"/>
      <c r="AM261" s="151"/>
      <c r="AN261" s="151"/>
      <c r="AO261" s="151"/>
      <c r="AP261" s="151"/>
      <c r="AQ261" s="151"/>
      <c r="AR261" s="151"/>
      <c r="AS261" s="151"/>
      <c r="AT261" s="151"/>
      <c r="AU261" s="151"/>
      <c r="AV261" s="151"/>
      <c r="AW261" s="151"/>
      <c r="AX261" s="151"/>
      <c r="AY261" s="151"/>
      <c r="AZ261" s="151"/>
      <c r="BA261" s="151"/>
      <c r="BB261" s="151"/>
      <c r="BC261" s="151"/>
      <c r="BD261" s="151"/>
      <c r="BE261" s="151"/>
      <c r="BF261" s="151"/>
      <c r="BG261" s="151"/>
      <c r="BH261" s="151"/>
      <c r="BI261" s="151"/>
      <c r="BJ261" s="151"/>
      <c r="BK261" s="151"/>
      <c r="BL261" s="151"/>
      <c r="BM261" s="151"/>
      <c r="BN261" s="151"/>
      <c r="BO261" s="151"/>
      <c r="BP261" s="151"/>
      <c r="BQ261" s="151"/>
      <c r="BR261" s="151"/>
      <c r="BS261" s="151"/>
      <c r="BT261" s="151"/>
      <c r="BU261" s="151"/>
      <c r="BV261" s="151"/>
      <c r="BW261" s="151"/>
      <c r="BX261" s="151"/>
      <c r="BY261" s="151"/>
      <c r="BZ261" s="151"/>
      <c r="CA261" s="151"/>
      <c r="CB261" s="151"/>
      <c r="CC261" s="151"/>
      <c r="CD261" s="151"/>
      <c r="CE261" s="151"/>
      <c r="CF261" s="151"/>
      <c r="CG261" s="151"/>
      <c r="CH261" s="151"/>
      <c r="CI261" s="151"/>
      <c r="CJ261" s="151"/>
      <c r="CK261" s="151"/>
      <c r="CL261" s="151"/>
      <c r="CM261" s="151"/>
      <c r="CN261" s="151"/>
      <c r="CO261" s="151"/>
      <c r="CP261" s="151"/>
      <c r="CQ261" s="151"/>
      <c r="CR261" s="151"/>
      <c r="CS261" s="151"/>
      <c r="CT261" s="151"/>
      <c r="CU261" s="151"/>
      <c r="CV261" s="151"/>
      <c r="CW261" s="151"/>
      <c r="CX261" s="151"/>
      <c r="CY261" s="151"/>
      <c r="CZ261" s="151"/>
      <c r="DA261" s="151"/>
      <c r="DB261" s="151"/>
      <c r="DC261" s="151"/>
      <c r="DD261" s="151"/>
      <c r="DE261" s="151"/>
      <c r="DF261" s="151"/>
      <c r="DG261" s="151"/>
      <c r="DH261" s="151"/>
      <c r="DI261" s="151"/>
      <c r="DJ261" s="151"/>
    </row>
    <row r="262" spans="1:114" s="152" customFormat="1" ht="19.5" x14ac:dyDescent="0.25">
      <c r="A262" s="70" t="str">
        <f>IF(OR('P(M)'!C17=TRUE,'P(M)'!C18=TRUE,'P(M)'!C19=TRUE,'P(M)'!C20=TRUE,'P(M)'!C21=TRUE,'P(M)'!C22=TRUE,'P(M)'!C23=TRUE,'P(M)'!C24=TRUE,'P(M)'!C25=TRUE,'P(M)'!C26=TRUE,'P(M)'!C28=TRUE,'P(M)'!C31=TRUE,'P(M)'!C34=TRUE,'P(M)'!C35=TRUE,'P(M)'!C36=TRUE,'P(M)'!C37=TRUE,'P(M)'!C29=TRUE,'P(M)'!C30=TRUE,'P(M)'!C32=TRUE,'P(M)'!C33=TRUE,'P(M)'!C27=TRUE),"3.選定地區之專利佈局總成本(T=A+C+R+M)，共計NTD"&amp;TEXT(L37+L81+L142+L111,"#,##0")&amp;"，慧盈之「初稿案」申請服務費僅佔其中的「"&amp;TEXT('P(M)'!CB38,"0.00%")&amp;"」。","")</f>
        <v>3.選定地區之專利佈局總成本(T=A+C+R+M)，共計NTD6,325,525，慧盈之「初稿案」申請服務費僅佔其中的「1.34%」。</v>
      </c>
      <c r="B262" s="150"/>
      <c r="C262" s="150"/>
      <c r="D262" s="150"/>
      <c r="E262" s="150"/>
      <c r="F262" s="150"/>
      <c r="G262" s="150"/>
      <c r="H262" s="150"/>
      <c r="I262" s="150"/>
      <c r="J262" s="150"/>
      <c r="K262" s="150"/>
      <c r="L262" s="150"/>
      <c r="M262" s="150"/>
      <c r="N262" s="151"/>
      <c r="O262" s="151"/>
      <c r="P262" s="151"/>
      <c r="Q262" s="151"/>
      <c r="R262" s="151"/>
      <c r="S262" s="151"/>
      <c r="T262" s="151"/>
      <c r="U262" s="151"/>
      <c r="V262" s="151"/>
      <c r="W262" s="151"/>
      <c r="X262" s="151"/>
      <c r="Y262" s="151"/>
      <c r="Z262" s="151"/>
      <c r="AA262" s="151"/>
      <c r="AB262" s="151"/>
      <c r="AC262" s="151"/>
      <c r="AD262" s="151"/>
      <c r="AE262" s="151"/>
      <c r="AF262" s="151"/>
      <c r="AG262" s="151"/>
      <c r="AH262" s="151"/>
      <c r="AI262" s="151"/>
      <c r="AJ262" s="151"/>
      <c r="AK262" s="151"/>
      <c r="AL262" s="151"/>
      <c r="AM262" s="151"/>
      <c r="AN262" s="151"/>
      <c r="AO262" s="151"/>
      <c r="AP262" s="151"/>
      <c r="AQ262" s="151"/>
      <c r="AR262" s="151"/>
      <c r="AS262" s="151"/>
      <c r="AT262" s="151"/>
      <c r="AU262" s="151"/>
      <c r="AV262" s="151"/>
      <c r="AW262" s="151"/>
      <c r="AX262" s="151"/>
      <c r="AY262" s="151"/>
      <c r="AZ262" s="151"/>
      <c r="BA262" s="151"/>
      <c r="BB262" s="151"/>
      <c r="BC262" s="151"/>
      <c r="BD262" s="151"/>
      <c r="BE262" s="151"/>
      <c r="BF262" s="151"/>
      <c r="BG262" s="151"/>
      <c r="BH262" s="151"/>
      <c r="BI262" s="151"/>
      <c r="BJ262" s="151"/>
      <c r="BK262" s="151"/>
      <c r="BL262" s="151"/>
      <c r="BM262" s="151"/>
      <c r="BN262" s="151"/>
      <c r="BO262" s="151"/>
      <c r="BP262" s="151"/>
      <c r="BQ262" s="151"/>
      <c r="BR262" s="151"/>
      <c r="BS262" s="151"/>
      <c r="BT262" s="151"/>
      <c r="BU262" s="151"/>
      <c r="BV262" s="151"/>
      <c r="BW262" s="151"/>
      <c r="BX262" s="151"/>
      <c r="BY262" s="151"/>
      <c r="BZ262" s="151"/>
      <c r="CA262" s="151"/>
      <c r="CB262" s="151"/>
      <c r="CC262" s="151"/>
      <c r="CD262" s="151"/>
      <c r="CE262" s="151"/>
      <c r="CF262" s="151"/>
      <c r="CG262" s="151"/>
      <c r="CH262" s="151"/>
      <c r="CI262" s="151"/>
      <c r="CJ262" s="151"/>
      <c r="CK262" s="151"/>
      <c r="CL262" s="151"/>
      <c r="CM262" s="151"/>
      <c r="CN262" s="151"/>
      <c r="CO262" s="151"/>
      <c r="CP262" s="151"/>
      <c r="CQ262" s="151"/>
      <c r="CR262" s="151"/>
      <c r="CS262" s="151"/>
      <c r="CT262" s="151"/>
      <c r="CU262" s="151"/>
      <c r="CV262" s="151"/>
      <c r="CW262" s="151"/>
      <c r="CX262" s="151"/>
      <c r="CY262" s="151"/>
      <c r="CZ262" s="151"/>
      <c r="DA262" s="151"/>
      <c r="DB262" s="151"/>
      <c r="DC262" s="151"/>
      <c r="DD262" s="151"/>
      <c r="DE262" s="151"/>
      <c r="DF262" s="151"/>
      <c r="DG262" s="151"/>
      <c r="DH262" s="151"/>
      <c r="DI262" s="151"/>
      <c r="DJ262" s="151"/>
    </row>
    <row r="263" spans="1:114" ht="16.5" x14ac:dyDescent="0.25">
      <c r="A263" s="153"/>
      <c r="B263" s="37"/>
      <c r="C263" s="37"/>
      <c r="D263" s="37"/>
      <c r="E263" s="37"/>
      <c r="F263" s="37"/>
      <c r="G263" s="37"/>
      <c r="H263" s="37"/>
      <c r="I263" s="37"/>
      <c r="J263" s="37"/>
      <c r="K263" s="37"/>
      <c r="L263" s="37"/>
      <c r="M263" s="37"/>
      <c r="N263" s="35"/>
      <c r="O263" s="35"/>
      <c r="P263" s="35"/>
      <c r="Q263" s="35"/>
      <c r="R263" s="35"/>
      <c r="S263" s="35"/>
      <c r="T263" s="35"/>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c r="AS263" s="35"/>
      <c r="AT263" s="35"/>
      <c r="AU263" s="35"/>
      <c r="AV263" s="35"/>
      <c r="AW263" s="35"/>
      <c r="AX263" s="35"/>
      <c r="AY263" s="35"/>
      <c r="AZ263" s="35"/>
      <c r="BA263" s="35"/>
      <c r="BB263" s="35"/>
      <c r="BC263" s="35"/>
      <c r="BD263" s="35"/>
      <c r="BE263" s="35"/>
      <c r="BF263" s="35"/>
      <c r="BG263" s="35"/>
      <c r="BH263" s="35"/>
      <c r="BI263" s="35"/>
      <c r="BJ263" s="35"/>
      <c r="BK263" s="35"/>
      <c r="BL263" s="35"/>
      <c r="BM263" s="35"/>
      <c r="BN263" s="35"/>
      <c r="BO263" s="35"/>
      <c r="BP263" s="35"/>
      <c r="BQ263" s="35"/>
      <c r="BR263" s="35"/>
      <c r="BS263" s="35"/>
      <c r="BT263" s="35"/>
      <c r="BU263" s="35"/>
      <c r="BV263" s="35"/>
      <c r="BW263" s="35"/>
      <c r="BX263" s="35"/>
      <c r="BY263" s="35"/>
      <c r="BZ263" s="35"/>
      <c r="CA263" s="35"/>
      <c r="CB263" s="35"/>
      <c r="CC263" s="35"/>
      <c r="CD263" s="35"/>
      <c r="CE263" s="35"/>
      <c r="CF263" s="35"/>
      <c r="CG263" s="35"/>
      <c r="CH263" s="35"/>
      <c r="CI263" s="35"/>
      <c r="CJ263" s="35"/>
      <c r="CK263" s="35"/>
      <c r="CL263" s="35"/>
      <c r="CM263" s="35"/>
      <c r="CN263" s="35"/>
      <c r="CO263" s="35"/>
      <c r="CP263" s="35"/>
      <c r="CQ263" s="35"/>
      <c r="CR263" s="35"/>
      <c r="CS263" s="35"/>
      <c r="CT263" s="35"/>
      <c r="CU263" s="35"/>
      <c r="CV263" s="35"/>
      <c r="CW263" s="35"/>
      <c r="CX263" s="35"/>
      <c r="CY263" s="35"/>
      <c r="CZ263" s="35"/>
      <c r="DA263" s="35"/>
      <c r="DB263" s="35"/>
      <c r="DC263" s="35"/>
      <c r="DD263" s="35"/>
      <c r="DE263" s="35"/>
      <c r="DF263" s="35"/>
      <c r="DG263" s="35"/>
      <c r="DH263" s="35"/>
      <c r="DI263" s="35"/>
      <c r="DJ263" s="35"/>
    </row>
    <row r="264" spans="1:114" x14ac:dyDescent="0.25">
      <c r="A264" s="34"/>
      <c r="B264" s="34"/>
      <c r="C264" s="34"/>
      <c r="D264" s="34"/>
      <c r="E264" s="34"/>
      <c r="F264" s="34"/>
      <c r="G264" s="34"/>
      <c r="H264" s="34"/>
      <c r="I264" s="34"/>
      <c r="J264" s="34"/>
      <c r="K264" s="34"/>
      <c r="L264" s="34"/>
      <c r="M264" s="34"/>
      <c r="N264" s="35"/>
      <c r="O264" s="35"/>
      <c r="P264" s="35"/>
      <c r="Q264" s="35"/>
      <c r="R264" s="35"/>
      <c r="S264" s="35"/>
      <c r="T264" s="35"/>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c r="AS264" s="35"/>
      <c r="AT264" s="35"/>
      <c r="AU264" s="35"/>
      <c r="AV264" s="35"/>
      <c r="AW264" s="35"/>
      <c r="AX264" s="35"/>
      <c r="AY264" s="35"/>
      <c r="AZ264" s="35"/>
      <c r="BA264" s="35"/>
      <c r="BB264" s="35"/>
      <c r="BC264" s="35"/>
      <c r="BD264" s="35"/>
      <c r="BE264" s="35"/>
      <c r="BF264" s="35"/>
      <c r="BG264" s="35"/>
      <c r="BH264" s="35"/>
      <c r="BI264" s="35"/>
      <c r="BJ264" s="35"/>
      <c r="BK264" s="35"/>
      <c r="BL264" s="35"/>
      <c r="BM264" s="35"/>
      <c r="BN264" s="35"/>
      <c r="BO264" s="35"/>
      <c r="BP264" s="35"/>
      <c r="BQ264" s="35"/>
      <c r="BR264" s="35"/>
      <c r="BS264" s="35"/>
      <c r="BT264" s="35"/>
      <c r="BU264" s="35"/>
      <c r="BV264" s="35"/>
      <c r="BW264" s="35"/>
      <c r="BX264" s="35"/>
      <c r="BY264" s="35"/>
      <c r="BZ264" s="35"/>
      <c r="CA264" s="35"/>
      <c r="CB264" s="35"/>
      <c r="CC264" s="35"/>
      <c r="CD264" s="35"/>
      <c r="CE264" s="35"/>
      <c r="CF264" s="35"/>
      <c r="CG264" s="35"/>
      <c r="CH264" s="35"/>
      <c r="CI264" s="35"/>
      <c r="CJ264" s="35"/>
      <c r="CK264" s="35"/>
      <c r="CL264" s="35"/>
      <c r="CM264" s="35"/>
      <c r="CN264" s="35"/>
      <c r="CO264" s="35"/>
      <c r="CP264" s="35"/>
      <c r="CQ264" s="35"/>
      <c r="CR264" s="35"/>
      <c r="CS264" s="35"/>
      <c r="CT264" s="35"/>
      <c r="CU264" s="35"/>
      <c r="CV264" s="35"/>
      <c r="CW264" s="35"/>
      <c r="CX264" s="35"/>
      <c r="CY264" s="35"/>
      <c r="CZ264" s="35"/>
      <c r="DA264" s="35"/>
      <c r="DB264" s="35"/>
      <c r="DC264" s="35"/>
      <c r="DD264" s="35"/>
      <c r="DE264" s="35"/>
      <c r="DF264" s="35"/>
      <c r="DG264" s="35"/>
      <c r="DH264" s="35"/>
      <c r="DI264" s="35"/>
      <c r="DJ264" s="35"/>
    </row>
    <row r="265" spans="1:114" x14ac:dyDescent="0.25">
      <c r="A265" s="34"/>
      <c r="B265" s="34"/>
      <c r="C265" s="34"/>
      <c r="D265" s="34"/>
      <c r="E265" s="34"/>
      <c r="F265" s="34"/>
      <c r="G265" s="34"/>
      <c r="H265" s="34"/>
      <c r="I265" s="34"/>
      <c r="J265" s="34"/>
      <c r="K265" s="34"/>
      <c r="L265" s="34"/>
      <c r="M265" s="34"/>
      <c r="N265" s="35"/>
      <c r="O265" s="35"/>
      <c r="P265" s="35"/>
      <c r="Q265" s="35"/>
      <c r="R265" s="35"/>
      <c r="S265" s="35"/>
      <c r="T265" s="35"/>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c r="AS265" s="35"/>
      <c r="AT265" s="35"/>
      <c r="AU265" s="35"/>
      <c r="AV265" s="35"/>
      <c r="AW265" s="35"/>
      <c r="AX265" s="35"/>
      <c r="AY265" s="35"/>
      <c r="AZ265" s="35"/>
      <c r="BA265" s="35"/>
      <c r="BB265" s="35"/>
      <c r="BC265" s="35"/>
      <c r="BD265" s="35"/>
      <c r="BE265" s="35"/>
      <c r="BF265" s="35"/>
      <c r="BG265" s="35"/>
      <c r="BH265" s="35"/>
      <c r="BI265" s="35"/>
      <c r="BJ265" s="35"/>
      <c r="BK265" s="35"/>
      <c r="BL265" s="35"/>
      <c r="BM265" s="35"/>
      <c r="BN265" s="35"/>
      <c r="BO265" s="35"/>
      <c r="BP265" s="35"/>
      <c r="BQ265" s="35"/>
      <c r="BR265" s="35"/>
      <c r="BS265" s="35"/>
      <c r="BT265" s="35"/>
      <c r="BU265" s="35"/>
      <c r="BV265" s="35"/>
      <c r="BW265" s="35"/>
      <c r="BX265" s="35"/>
      <c r="BY265" s="35"/>
      <c r="BZ265" s="35"/>
      <c r="CA265" s="35"/>
      <c r="CB265" s="35"/>
      <c r="CC265" s="35"/>
      <c r="CD265" s="35"/>
      <c r="CE265" s="35"/>
      <c r="CF265" s="35"/>
      <c r="CG265" s="35"/>
      <c r="CH265" s="35"/>
      <c r="CI265" s="35"/>
      <c r="CJ265" s="35"/>
      <c r="CK265" s="35"/>
      <c r="CL265" s="35"/>
      <c r="CM265" s="35"/>
      <c r="CN265" s="35"/>
      <c r="CO265" s="35"/>
      <c r="CP265" s="35"/>
      <c r="CQ265" s="35"/>
      <c r="CR265" s="35"/>
      <c r="CS265" s="35"/>
      <c r="CT265" s="35"/>
      <c r="CU265" s="35"/>
      <c r="CV265" s="35"/>
      <c r="CW265" s="35"/>
      <c r="CX265" s="35"/>
      <c r="CY265" s="35"/>
      <c r="CZ265" s="35"/>
      <c r="DA265" s="35"/>
      <c r="DB265" s="35"/>
      <c r="DC265" s="35"/>
      <c r="DD265" s="35"/>
      <c r="DE265" s="35"/>
      <c r="DF265" s="35"/>
      <c r="DG265" s="35"/>
      <c r="DH265" s="35"/>
      <c r="DI265" s="35"/>
      <c r="DJ265" s="35"/>
    </row>
    <row r="266" spans="1:114" x14ac:dyDescent="0.25">
      <c r="A266" s="34"/>
      <c r="B266" s="34"/>
      <c r="C266" s="34"/>
      <c r="D266" s="34"/>
      <c r="E266" s="34"/>
      <c r="F266" s="34"/>
      <c r="G266" s="34"/>
      <c r="H266" s="34"/>
      <c r="I266" s="34"/>
      <c r="J266" s="34"/>
      <c r="K266" s="34"/>
      <c r="L266" s="34"/>
      <c r="M266" s="34"/>
      <c r="N266" s="35"/>
      <c r="O266" s="35"/>
      <c r="P266" s="35"/>
      <c r="Q266" s="35"/>
      <c r="R266" s="35"/>
      <c r="S266" s="35"/>
      <c r="T266" s="35"/>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c r="AS266" s="35"/>
      <c r="AT266" s="35"/>
      <c r="AU266" s="35"/>
      <c r="AV266" s="35"/>
      <c r="AW266" s="35"/>
      <c r="AX266" s="35"/>
      <c r="AY266" s="35"/>
      <c r="AZ266" s="35"/>
      <c r="BA266" s="35"/>
      <c r="BB266" s="35"/>
      <c r="BC266" s="35"/>
      <c r="BD266" s="35"/>
      <c r="BE266" s="35"/>
      <c r="BF266" s="35"/>
      <c r="BG266" s="35"/>
      <c r="BH266" s="35"/>
      <c r="BI266" s="35"/>
      <c r="BJ266" s="35"/>
      <c r="BK266" s="35"/>
      <c r="BL266" s="35"/>
      <c r="BM266" s="35"/>
      <c r="BN266" s="35"/>
      <c r="BO266" s="35"/>
      <c r="BP266" s="35"/>
      <c r="BQ266" s="35"/>
      <c r="BR266" s="35"/>
      <c r="BS266" s="35"/>
      <c r="BT266" s="35"/>
      <c r="BU266" s="35"/>
      <c r="BV266" s="35"/>
      <c r="BW266" s="35"/>
      <c r="BX266" s="35"/>
      <c r="BY266" s="35"/>
      <c r="BZ266" s="35"/>
      <c r="CA266" s="35"/>
      <c r="CB266" s="35"/>
      <c r="CC266" s="35"/>
      <c r="CD266" s="35"/>
      <c r="CE266" s="35"/>
      <c r="CF266" s="35"/>
      <c r="CG266" s="35"/>
      <c r="CH266" s="35"/>
      <c r="CI266" s="35"/>
      <c r="CJ266" s="35"/>
      <c r="CK266" s="35"/>
      <c r="CL266" s="35"/>
      <c r="CM266" s="35"/>
      <c r="CN266" s="35"/>
      <c r="CO266" s="35"/>
      <c r="CP266" s="35"/>
      <c r="CQ266" s="35"/>
      <c r="CR266" s="35"/>
      <c r="CS266" s="35"/>
      <c r="CT266" s="35"/>
      <c r="CU266" s="35"/>
      <c r="CV266" s="35"/>
      <c r="CW266" s="35"/>
      <c r="CX266" s="35"/>
      <c r="CY266" s="35"/>
      <c r="CZ266" s="35"/>
      <c r="DA266" s="35"/>
      <c r="DB266" s="35"/>
      <c r="DC266" s="35"/>
      <c r="DD266" s="35"/>
      <c r="DE266" s="35"/>
      <c r="DF266" s="35"/>
      <c r="DG266" s="35"/>
      <c r="DH266" s="35"/>
      <c r="DI266" s="35"/>
      <c r="DJ266" s="35"/>
    </row>
    <row r="267" spans="1:114" x14ac:dyDescent="0.25">
      <c r="A267" s="34"/>
      <c r="B267" s="34"/>
      <c r="C267" s="34"/>
      <c r="D267" s="34"/>
      <c r="E267" s="34"/>
      <c r="F267" s="34"/>
      <c r="G267" s="34"/>
      <c r="H267" s="34"/>
      <c r="I267" s="34"/>
      <c r="J267" s="34"/>
      <c r="K267" s="34"/>
      <c r="L267" s="34"/>
      <c r="M267" s="34"/>
      <c r="N267" s="35"/>
      <c r="O267" s="35"/>
      <c r="P267" s="35"/>
      <c r="Q267" s="35"/>
      <c r="R267" s="35"/>
      <c r="S267" s="35"/>
      <c r="T267" s="35"/>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c r="AS267" s="35"/>
      <c r="AT267" s="35"/>
      <c r="AU267" s="35"/>
      <c r="AV267" s="35"/>
      <c r="AW267" s="35"/>
      <c r="AX267" s="35"/>
      <c r="AY267" s="35"/>
      <c r="AZ267" s="35"/>
      <c r="BA267" s="35"/>
      <c r="BB267" s="35"/>
      <c r="BC267" s="35"/>
      <c r="BD267" s="35"/>
      <c r="BE267" s="35"/>
      <c r="BF267" s="35"/>
      <c r="BG267" s="35"/>
      <c r="BH267" s="35"/>
      <c r="BI267" s="35"/>
      <c r="BJ267" s="35"/>
      <c r="BK267" s="35"/>
      <c r="BL267" s="35"/>
      <c r="BM267" s="35"/>
      <c r="BN267" s="35"/>
      <c r="BO267" s="35"/>
      <c r="BP267" s="35"/>
      <c r="BQ267" s="35"/>
      <c r="BR267" s="35"/>
      <c r="BS267" s="35"/>
      <c r="BT267" s="35"/>
      <c r="BU267" s="35"/>
      <c r="BV267" s="35"/>
      <c r="BW267" s="35"/>
      <c r="BX267" s="35"/>
      <c r="BY267" s="35"/>
      <c r="BZ267" s="35"/>
      <c r="CA267" s="35"/>
      <c r="CB267" s="35"/>
      <c r="CC267" s="35"/>
      <c r="CD267" s="35"/>
      <c r="CE267" s="35"/>
      <c r="CF267" s="35"/>
      <c r="CG267" s="35"/>
      <c r="CH267" s="35"/>
      <c r="CI267" s="35"/>
      <c r="CJ267" s="35"/>
      <c r="CK267" s="35"/>
      <c r="CL267" s="35"/>
      <c r="CM267" s="35"/>
      <c r="CN267" s="35"/>
      <c r="CO267" s="35"/>
      <c r="CP267" s="35"/>
      <c r="CQ267" s="35"/>
      <c r="CR267" s="35"/>
      <c r="CS267" s="35"/>
      <c r="CT267" s="35"/>
      <c r="CU267" s="35"/>
      <c r="CV267" s="35"/>
      <c r="CW267" s="35"/>
      <c r="CX267" s="35"/>
      <c r="CY267" s="35"/>
      <c r="CZ267" s="35"/>
      <c r="DA267" s="35"/>
      <c r="DB267" s="35"/>
      <c r="DC267" s="35"/>
      <c r="DD267" s="35"/>
      <c r="DE267" s="35"/>
      <c r="DF267" s="35"/>
      <c r="DG267" s="35"/>
      <c r="DH267" s="35"/>
      <c r="DI267" s="35"/>
      <c r="DJ267" s="35"/>
    </row>
    <row r="268" spans="1:114" x14ac:dyDescent="0.25">
      <c r="A268" s="34"/>
      <c r="B268" s="34"/>
      <c r="C268" s="34"/>
      <c r="D268" s="34"/>
      <c r="E268" s="34"/>
      <c r="F268" s="34"/>
      <c r="G268" s="34"/>
      <c r="H268" s="34"/>
      <c r="I268" s="34"/>
      <c r="J268" s="34"/>
      <c r="K268" s="34"/>
      <c r="L268" s="34"/>
      <c r="M268" s="34"/>
      <c r="N268" s="35"/>
      <c r="O268" s="35"/>
      <c r="P268" s="35"/>
      <c r="Q268" s="35"/>
      <c r="R268" s="35"/>
      <c r="S268" s="35"/>
      <c r="T268" s="35"/>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row>
    <row r="269" spans="1:114" x14ac:dyDescent="0.25">
      <c r="A269" s="34"/>
      <c r="B269" s="34"/>
      <c r="C269" s="34"/>
      <c r="D269" s="34"/>
      <c r="E269" s="34"/>
      <c r="F269" s="34"/>
      <c r="G269" s="34"/>
      <c r="H269" s="34"/>
      <c r="I269" s="34"/>
      <c r="J269" s="34"/>
      <c r="K269" s="34"/>
      <c r="L269" s="34"/>
      <c r="M269" s="34"/>
      <c r="N269" s="35"/>
      <c r="O269" s="35"/>
      <c r="P269" s="35"/>
      <c r="Q269" s="35"/>
      <c r="R269" s="35"/>
      <c r="S269" s="35"/>
      <c r="T269" s="35"/>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c r="AS269" s="35"/>
      <c r="AT269" s="35"/>
      <c r="AU269" s="35"/>
      <c r="AV269" s="35"/>
      <c r="AW269" s="35"/>
      <c r="AX269" s="35"/>
      <c r="AY269" s="35"/>
      <c r="AZ269" s="35"/>
      <c r="BA269" s="35"/>
      <c r="BB269" s="35"/>
      <c r="BC269" s="35"/>
      <c r="BD269" s="35"/>
      <c r="BE269" s="35"/>
      <c r="BF269" s="35"/>
      <c r="BG269" s="35"/>
      <c r="BH269" s="35"/>
      <c r="BI269" s="35"/>
      <c r="BJ269" s="35"/>
      <c r="BK269" s="35"/>
      <c r="BL269" s="35"/>
      <c r="BM269" s="35"/>
      <c r="BN269" s="35"/>
      <c r="BO269" s="35"/>
      <c r="BP269" s="35"/>
      <c r="BQ269" s="35"/>
      <c r="BR269" s="35"/>
      <c r="BS269" s="35"/>
      <c r="BT269" s="35"/>
      <c r="BU269" s="35"/>
      <c r="BV269" s="35"/>
      <c r="BW269" s="35"/>
      <c r="BX269" s="35"/>
      <c r="BY269" s="35"/>
      <c r="BZ269" s="35"/>
      <c r="CA269" s="35"/>
      <c r="CB269" s="35"/>
      <c r="CC269" s="35"/>
      <c r="CD269" s="35"/>
      <c r="CE269" s="35"/>
      <c r="CF269" s="35"/>
      <c r="CG269" s="35"/>
      <c r="CH269" s="35"/>
      <c r="CI269" s="35"/>
      <c r="CJ269" s="35"/>
      <c r="CK269" s="35"/>
      <c r="CL269" s="35"/>
      <c r="CM269" s="35"/>
      <c r="CN269" s="35"/>
      <c r="CO269" s="35"/>
      <c r="CP269" s="35"/>
      <c r="CQ269" s="35"/>
      <c r="CR269" s="35"/>
      <c r="CS269" s="35"/>
      <c r="CT269" s="35"/>
      <c r="CU269" s="35"/>
      <c r="CV269" s="35"/>
      <c r="CW269" s="35"/>
      <c r="CX269" s="35"/>
      <c r="CY269" s="35"/>
      <c r="CZ269" s="35"/>
      <c r="DA269" s="35"/>
      <c r="DB269" s="35"/>
      <c r="DC269" s="35"/>
      <c r="DD269" s="35"/>
      <c r="DE269" s="35"/>
      <c r="DF269" s="35"/>
      <c r="DG269" s="35"/>
      <c r="DH269" s="35"/>
      <c r="DI269" s="35"/>
      <c r="DJ269" s="35"/>
    </row>
    <row r="270" spans="1:114" x14ac:dyDescent="0.25">
      <c r="A270" s="34"/>
      <c r="B270" s="34"/>
      <c r="C270" s="34"/>
      <c r="D270" s="34"/>
      <c r="E270" s="34"/>
      <c r="F270" s="34"/>
      <c r="G270" s="34"/>
      <c r="H270" s="34"/>
      <c r="I270" s="34"/>
      <c r="J270" s="34"/>
      <c r="K270" s="34"/>
      <c r="L270" s="34"/>
      <c r="M270" s="34"/>
      <c r="N270" s="35"/>
      <c r="O270" s="35"/>
      <c r="P270" s="35"/>
      <c r="Q270" s="35"/>
      <c r="R270" s="35"/>
      <c r="S270" s="35"/>
      <c r="T270" s="35"/>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c r="AS270" s="35"/>
      <c r="AT270" s="35"/>
      <c r="AU270" s="35"/>
      <c r="AV270" s="35"/>
      <c r="AW270" s="35"/>
      <c r="AX270" s="35"/>
      <c r="AY270" s="35"/>
      <c r="AZ270" s="35"/>
      <c r="BA270" s="35"/>
      <c r="BB270" s="35"/>
      <c r="BC270" s="35"/>
      <c r="BD270" s="35"/>
      <c r="BE270" s="35"/>
      <c r="BF270" s="35"/>
      <c r="BG270" s="35"/>
      <c r="BH270" s="35"/>
      <c r="BI270" s="35"/>
      <c r="BJ270" s="35"/>
      <c r="BK270" s="35"/>
      <c r="BL270" s="35"/>
      <c r="BM270" s="35"/>
      <c r="BN270" s="35"/>
      <c r="BO270" s="35"/>
      <c r="BP270" s="35"/>
      <c r="BQ270" s="35"/>
      <c r="BR270" s="35"/>
      <c r="BS270" s="35"/>
      <c r="BT270" s="35"/>
      <c r="BU270" s="35"/>
      <c r="BV270" s="35"/>
      <c r="BW270" s="35"/>
      <c r="BX270" s="35"/>
      <c r="BY270" s="35"/>
      <c r="BZ270" s="35"/>
      <c r="CA270" s="35"/>
      <c r="CB270" s="35"/>
      <c r="CC270" s="35"/>
      <c r="CD270" s="35"/>
      <c r="CE270" s="35"/>
      <c r="CF270" s="35"/>
      <c r="CG270" s="35"/>
      <c r="CH270" s="35"/>
      <c r="CI270" s="35"/>
      <c r="CJ270" s="35"/>
      <c r="CK270" s="35"/>
      <c r="CL270" s="35"/>
      <c r="CM270" s="35"/>
      <c r="CN270" s="35"/>
      <c r="CO270" s="35"/>
      <c r="CP270" s="35"/>
      <c r="CQ270" s="35"/>
      <c r="CR270" s="35"/>
      <c r="CS270" s="35"/>
      <c r="CT270" s="35"/>
      <c r="CU270" s="35"/>
      <c r="CV270" s="35"/>
      <c r="CW270" s="35"/>
      <c r="CX270" s="35"/>
      <c r="CY270" s="35"/>
      <c r="CZ270" s="35"/>
      <c r="DA270" s="35"/>
      <c r="DB270" s="35"/>
      <c r="DC270" s="35"/>
      <c r="DD270" s="35"/>
      <c r="DE270" s="35"/>
      <c r="DF270" s="35"/>
      <c r="DG270" s="35"/>
      <c r="DH270" s="35"/>
      <c r="DI270" s="35"/>
      <c r="DJ270" s="35"/>
    </row>
    <row r="271" spans="1:114" x14ac:dyDescent="0.25">
      <c r="A271" s="34"/>
      <c r="B271" s="34"/>
      <c r="C271" s="34"/>
      <c r="D271" s="34"/>
      <c r="E271" s="34"/>
      <c r="F271" s="34"/>
      <c r="G271" s="34"/>
      <c r="H271" s="34"/>
      <c r="I271" s="34"/>
      <c r="J271" s="34"/>
      <c r="K271" s="34"/>
      <c r="L271" s="34"/>
      <c r="M271" s="34"/>
      <c r="N271" s="35"/>
      <c r="O271" s="35"/>
      <c r="P271" s="35"/>
      <c r="Q271" s="35"/>
      <c r="R271" s="35"/>
      <c r="S271" s="35"/>
      <c r="T271" s="35"/>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c r="AS271" s="35"/>
      <c r="AT271" s="35"/>
      <c r="AU271" s="35"/>
      <c r="AV271" s="35"/>
      <c r="AW271" s="35"/>
      <c r="AX271" s="35"/>
      <c r="AY271" s="35"/>
      <c r="AZ271" s="35"/>
      <c r="BA271" s="35"/>
      <c r="BB271" s="35"/>
      <c r="BC271" s="35"/>
      <c r="BD271" s="35"/>
      <c r="BE271" s="35"/>
      <c r="BF271" s="35"/>
      <c r="BG271" s="35"/>
      <c r="BH271" s="35"/>
      <c r="BI271" s="35"/>
      <c r="BJ271" s="35"/>
      <c r="BK271" s="35"/>
      <c r="BL271" s="35"/>
      <c r="BM271" s="35"/>
      <c r="BN271" s="35"/>
      <c r="BO271" s="35"/>
      <c r="BP271" s="35"/>
      <c r="BQ271" s="35"/>
      <c r="BR271" s="35"/>
      <c r="BS271" s="35"/>
      <c r="BT271" s="35"/>
      <c r="BU271" s="35"/>
      <c r="BV271" s="35"/>
      <c r="BW271" s="35"/>
      <c r="BX271" s="35"/>
      <c r="BY271" s="35"/>
      <c r="BZ271" s="35"/>
      <c r="CA271" s="35"/>
      <c r="CB271" s="35"/>
      <c r="CC271" s="35"/>
      <c r="CD271" s="35"/>
      <c r="CE271" s="35"/>
      <c r="CF271" s="35"/>
      <c r="CG271" s="35"/>
      <c r="CH271" s="35"/>
      <c r="CI271" s="35"/>
      <c r="CJ271" s="35"/>
      <c r="CK271" s="35"/>
      <c r="CL271" s="35"/>
      <c r="CM271" s="35"/>
      <c r="CN271" s="35"/>
      <c r="CO271" s="35"/>
      <c r="CP271" s="35"/>
      <c r="CQ271" s="35"/>
      <c r="CR271" s="35"/>
      <c r="CS271" s="35"/>
      <c r="CT271" s="35"/>
      <c r="CU271" s="35"/>
      <c r="CV271" s="35"/>
      <c r="CW271" s="35"/>
      <c r="CX271" s="35"/>
      <c r="CY271" s="35"/>
      <c r="CZ271" s="35"/>
      <c r="DA271" s="35"/>
      <c r="DB271" s="35"/>
      <c r="DC271" s="35"/>
      <c r="DD271" s="35"/>
      <c r="DE271" s="35"/>
      <c r="DF271" s="35"/>
      <c r="DG271" s="35"/>
      <c r="DH271" s="35"/>
      <c r="DI271" s="35"/>
      <c r="DJ271" s="35"/>
    </row>
    <row r="272" spans="1:114" x14ac:dyDescent="0.25">
      <c r="A272" s="34"/>
      <c r="B272" s="34"/>
      <c r="C272" s="34"/>
      <c r="D272" s="34"/>
      <c r="E272" s="34"/>
      <c r="F272" s="34"/>
      <c r="G272" s="34"/>
      <c r="H272" s="34"/>
      <c r="I272" s="34"/>
      <c r="J272" s="34"/>
      <c r="K272" s="34"/>
      <c r="L272" s="34"/>
      <c r="M272" s="34"/>
      <c r="N272" s="35"/>
      <c r="O272" s="35"/>
      <c r="P272" s="35"/>
      <c r="Q272" s="35"/>
      <c r="R272" s="35"/>
      <c r="S272" s="35"/>
      <c r="T272" s="35"/>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35"/>
      <c r="DI272" s="35"/>
      <c r="DJ272" s="35"/>
    </row>
    <row r="273" spans="1:114" x14ac:dyDescent="0.25">
      <c r="A273" s="34"/>
      <c r="B273" s="34"/>
      <c r="C273" s="34"/>
      <c r="D273" s="34"/>
      <c r="E273" s="34"/>
      <c r="F273" s="34"/>
      <c r="G273" s="34"/>
      <c r="H273" s="34"/>
      <c r="I273" s="34"/>
      <c r="J273" s="34"/>
      <c r="K273" s="34"/>
      <c r="L273" s="34"/>
      <c r="M273" s="34"/>
      <c r="N273" s="35"/>
      <c r="O273" s="35"/>
      <c r="P273" s="35"/>
      <c r="Q273" s="35"/>
      <c r="R273" s="35"/>
      <c r="S273" s="35"/>
      <c r="T273" s="35"/>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row>
    <row r="274" spans="1:114" x14ac:dyDescent="0.25">
      <c r="A274" s="34"/>
      <c r="B274" s="34"/>
      <c r="C274" s="34"/>
      <c r="D274" s="34"/>
      <c r="E274" s="34"/>
      <c r="F274" s="34"/>
      <c r="G274" s="34"/>
      <c r="H274" s="34"/>
      <c r="I274" s="34"/>
      <c r="J274" s="34"/>
      <c r="K274" s="34"/>
      <c r="L274" s="34"/>
      <c r="M274" s="34"/>
      <c r="N274" s="35"/>
      <c r="O274" s="35"/>
      <c r="P274" s="35"/>
      <c r="Q274" s="35"/>
      <c r="R274" s="35"/>
      <c r="S274" s="35"/>
      <c r="T274" s="35"/>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c r="AS274" s="35"/>
      <c r="AT274" s="35"/>
      <c r="AU274" s="35"/>
      <c r="AV274" s="35"/>
      <c r="AW274" s="35"/>
      <c r="AX274" s="35"/>
      <c r="AY274" s="35"/>
      <c r="AZ274" s="35"/>
      <c r="BA274" s="35"/>
      <c r="BB274" s="35"/>
      <c r="BC274" s="35"/>
      <c r="BD274" s="35"/>
      <c r="BE274" s="35"/>
      <c r="BF274" s="35"/>
      <c r="BG274" s="35"/>
      <c r="BH274" s="35"/>
      <c r="BI274" s="35"/>
      <c r="BJ274" s="35"/>
      <c r="BK274" s="35"/>
      <c r="BL274" s="35"/>
      <c r="BM274" s="35"/>
      <c r="BN274" s="35"/>
      <c r="BO274" s="35"/>
      <c r="BP274" s="35"/>
      <c r="BQ274" s="35"/>
      <c r="BR274" s="35"/>
      <c r="BS274" s="35"/>
      <c r="BT274" s="35"/>
      <c r="BU274" s="35"/>
      <c r="BV274" s="35"/>
      <c r="BW274" s="35"/>
      <c r="BX274" s="35"/>
      <c r="BY274" s="35"/>
      <c r="BZ274" s="35"/>
      <c r="CA274" s="35"/>
      <c r="CB274" s="35"/>
      <c r="CC274" s="35"/>
      <c r="CD274" s="35"/>
      <c r="CE274" s="35"/>
      <c r="CF274" s="35"/>
      <c r="CG274" s="35"/>
      <c r="CH274" s="35"/>
      <c r="CI274" s="35"/>
      <c r="CJ274" s="35"/>
      <c r="CK274" s="35"/>
      <c r="CL274" s="35"/>
      <c r="CM274" s="35"/>
      <c r="CN274" s="35"/>
      <c r="CO274" s="35"/>
      <c r="CP274" s="35"/>
      <c r="CQ274" s="35"/>
      <c r="CR274" s="35"/>
      <c r="CS274" s="35"/>
      <c r="CT274" s="35"/>
      <c r="CU274" s="35"/>
      <c r="CV274" s="35"/>
      <c r="CW274" s="35"/>
      <c r="CX274" s="35"/>
      <c r="CY274" s="35"/>
      <c r="CZ274" s="35"/>
      <c r="DA274" s="35"/>
      <c r="DB274" s="35"/>
      <c r="DC274" s="35"/>
      <c r="DD274" s="35"/>
      <c r="DE274" s="35"/>
      <c r="DF274" s="35"/>
      <c r="DG274" s="35"/>
      <c r="DH274" s="35"/>
      <c r="DI274" s="35"/>
      <c r="DJ274" s="35"/>
    </row>
    <row r="275" spans="1:114" x14ac:dyDescent="0.25">
      <c r="A275" s="34"/>
      <c r="B275" s="34"/>
      <c r="C275" s="34"/>
      <c r="D275" s="34"/>
      <c r="E275" s="34"/>
      <c r="F275" s="34"/>
      <c r="G275" s="34"/>
      <c r="H275" s="34"/>
      <c r="I275" s="34"/>
      <c r="J275" s="34"/>
      <c r="K275" s="34"/>
      <c r="L275" s="34"/>
      <c r="M275" s="34"/>
      <c r="N275" s="35"/>
      <c r="O275" s="35"/>
      <c r="P275" s="35"/>
      <c r="Q275" s="35"/>
      <c r="R275" s="35"/>
      <c r="S275" s="35"/>
      <c r="T275" s="35"/>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c r="AS275" s="35"/>
      <c r="AT275" s="35"/>
      <c r="AU275" s="35"/>
      <c r="AV275" s="35"/>
      <c r="AW275" s="35"/>
      <c r="AX275" s="35"/>
      <c r="AY275" s="35"/>
      <c r="AZ275" s="35"/>
      <c r="BA275" s="35"/>
      <c r="BB275" s="35"/>
      <c r="BC275" s="35"/>
      <c r="BD275" s="35"/>
      <c r="BE275" s="35"/>
      <c r="BF275" s="35"/>
      <c r="BG275" s="35"/>
      <c r="BH275" s="35"/>
      <c r="BI275" s="35"/>
      <c r="BJ275" s="35"/>
      <c r="BK275" s="35"/>
      <c r="BL275" s="35"/>
      <c r="BM275" s="35"/>
      <c r="BN275" s="35"/>
      <c r="BO275" s="35"/>
      <c r="BP275" s="35"/>
      <c r="BQ275" s="35"/>
      <c r="BR275" s="35"/>
      <c r="BS275" s="35"/>
      <c r="BT275" s="35"/>
      <c r="BU275" s="35"/>
      <c r="BV275" s="35"/>
      <c r="BW275" s="35"/>
      <c r="BX275" s="35"/>
      <c r="BY275" s="35"/>
      <c r="BZ275" s="35"/>
      <c r="CA275" s="35"/>
      <c r="CB275" s="35"/>
      <c r="CC275" s="35"/>
      <c r="CD275" s="35"/>
      <c r="CE275" s="35"/>
      <c r="CF275" s="35"/>
      <c r="CG275" s="35"/>
      <c r="CH275" s="35"/>
      <c r="CI275" s="35"/>
      <c r="CJ275" s="35"/>
      <c r="CK275" s="35"/>
      <c r="CL275" s="35"/>
      <c r="CM275" s="35"/>
      <c r="CN275" s="35"/>
      <c r="CO275" s="35"/>
      <c r="CP275" s="35"/>
      <c r="CQ275" s="35"/>
      <c r="CR275" s="35"/>
      <c r="CS275" s="35"/>
      <c r="CT275" s="35"/>
      <c r="CU275" s="35"/>
      <c r="CV275" s="35"/>
      <c r="CW275" s="35"/>
      <c r="CX275" s="35"/>
      <c r="CY275" s="35"/>
      <c r="CZ275" s="35"/>
      <c r="DA275" s="35"/>
      <c r="DB275" s="35"/>
      <c r="DC275" s="35"/>
      <c r="DD275" s="35"/>
      <c r="DE275" s="35"/>
      <c r="DF275" s="35"/>
      <c r="DG275" s="35"/>
      <c r="DH275" s="35"/>
      <c r="DI275" s="35"/>
      <c r="DJ275" s="35"/>
    </row>
    <row r="276" spans="1:114" x14ac:dyDescent="0.25">
      <c r="A276" s="34"/>
      <c r="B276" s="34"/>
      <c r="C276" s="34"/>
      <c r="D276" s="34"/>
      <c r="E276" s="34"/>
      <c r="F276" s="34"/>
      <c r="G276" s="34"/>
      <c r="H276" s="34"/>
      <c r="I276" s="34"/>
      <c r="J276" s="34"/>
      <c r="K276" s="34"/>
      <c r="L276" s="34"/>
      <c r="M276" s="34"/>
      <c r="N276" s="35"/>
      <c r="O276" s="35"/>
      <c r="P276" s="35"/>
      <c r="Q276" s="35"/>
      <c r="R276" s="35"/>
      <c r="S276" s="35"/>
      <c r="T276" s="35"/>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35"/>
      <c r="CD276" s="35"/>
      <c r="CE276" s="35"/>
      <c r="CF276" s="35"/>
      <c r="CG276" s="35"/>
      <c r="CH276" s="35"/>
      <c r="CI276" s="35"/>
      <c r="CJ276" s="35"/>
      <c r="CK276" s="35"/>
      <c r="CL276" s="35"/>
      <c r="CM276" s="35"/>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row>
    <row r="277" spans="1:114" x14ac:dyDescent="0.25">
      <c r="A277" s="34"/>
      <c r="B277" s="34"/>
      <c r="C277" s="34"/>
      <c r="D277" s="34"/>
      <c r="E277" s="34"/>
      <c r="F277" s="34"/>
      <c r="G277" s="34"/>
      <c r="H277" s="34"/>
      <c r="I277" s="34"/>
      <c r="J277" s="34"/>
      <c r="K277" s="34"/>
      <c r="L277" s="34"/>
      <c r="M277" s="34"/>
      <c r="N277" s="35"/>
      <c r="O277" s="35"/>
      <c r="P277" s="35"/>
      <c r="Q277" s="35"/>
      <c r="R277" s="35"/>
      <c r="S277" s="35"/>
      <c r="T277" s="35"/>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row>
    <row r="278" spans="1:114" x14ac:dyDescent="0.25">
      <c r="A278" s="34"/>
      <c r="B278" s="34"/>
      <c r="C278" s="34"/>
      <c r="D278" s="34"/>
      <c r="E278" s="34"/>
      <c r="F278" s="34"/>
      <c r="G278" s="34"/>
      <c r="H278" s="34"/>
      <c r="I278" s="34"/>
      <c r="J278" s="34"/>
      <c r="K278" s="34"/>
      <c r="L278" s="34"/>
      <c r="M278" s="34"/>
      <c r="N278" s="35"/>
      <c r="O278" s="35"/>
      <c r="P278" s="35"/>
      <c r="Q278" s="35"/>
      <c r="R278" s="35"/>
      <c r="S278" s="35"/>
      <c r="T278" s="35"/>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35"/>
      <c r="CD278" s="35"/>
      <c r="CE278" s="35"/>
      <c r="CF278" s="35"/>
      <c r="CG278" s="35"/>
      <c r="CH278" s="35"/>
      <c r="CI278" s="35"/>
      <c r="CJ278" s="35"/>
      <c r="CK278" s="35"/>
      <c r="CL278" s="35"/>
      <c r="CM278" s="35"/>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row>
    <row r="279" spans="1:114" x14ac:dyDescent="0.25">
      <c r="A279" s="34"/>
      <c r="B279" s="34"/>
      <c r="C279" s="34"/>
      <c r="D279" s="34"/>
      <c r="E279" s="34"/>
      <c r="F279" s="34"/>
      <c r="G279" s="34"/>
      <c r="H279" s="34"/>
      <c r="I279" s="34"/>
      <c r="J279" s="34"/>
      <c r="K279" s="34"/>
      <c r="L279" s="34"/>
      <c r="M279" s="34"/>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35"/>
      <c r="CD279" s="35"/>
      <c r="CE279" s="35"/>
      <c r="CF279" s="35"/>
      <c r="CG279" s="35"/>
      <c r="CH279" s="35"/>
      <c r="CI279" s="35"/>
      <c r="CJ279" s="35"/>
      <c r="CK279" s="35"/>
      <c r="CL279" s="35"/>
      <c r="CM279" s="35"/>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row>
    <row r="280" spans="1:114" x14ac:dyDescent="0.25">
      <c r="A280" s="34"/>
      <c r="B280" s="34"/>
      <c r="C280" s="34"/>
      <c r="D280" s="34"/>
      <c r="E280" s="34"/>
      <c r="F280" s="34"/>
      <c r="G280" s="34"/>
      <c r="H280" s="34"/>
      <c r="I280" s="34"/>
      <c r="J280" s="34"/>
      <c r="K280" s="34"/>
      <c r="L280" s="34"/>
      <c r="M280" s="34"/>
      <c r="N280" s="35"/>
      <c r="O280" s="35"/>
      <c r="P280" s="35"/>
      <c r="Q280" s="35"/>
      <c r="R280" s="35"/>
      <c r="S280" s="35"/>
      <c r="T280" s="35"/>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row>
    <row r="281" spans="1:114" x14ac:dyDescent="0.25">
      <c r="A281" s="34"/>
      <c r="B281" s="34"/>
      <c r="C281" s="34"/>
      <c r="D281" s="34"/>
      <c r="E281" s="34"/>
      <c r="F281" s="34"/>
      <c r="G281" s="34"/>
      <c r="H281" s="34"/>
      <c r="I281" s="34"/>
      <c r="J281" s="34"/>
      <c r="K281" s="34"/>
      <c r="L281" s="34"/>
      <c r="M281" s="34"/>
      <c r="N281" s="35"/>
      <c r="O281" s="35"/>
      <c r="P281" s="35"/>
      <c r="Q281" s="35"/>
      <c r="R281" s="35"/>
      <c r="S281" s="35"/>
      <c r="T281" s="35"/>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row>
    <row r="282" spans="1:114" x14ac:dyDescent="0.25">
      <c r="A282" s="34"/>
      <c r="B282" s="34"/>
      <c r="C282" s="34"/>
      <c r="D282" s="34"/>
      <c r="E282" s="34"/>
      <c r="F282" s="34"/>
      <c r="G282" s="34"/>
      <c r="H282" s="34"/>
      <c r="I282" s="34"/>
      <c r="J282" s="34"/>
      <c r="K282" s="34"/>
      <c r="L282" s="34"/>
      <c r="M282" s="34"/>
      <c r="N282" s="35"/>
      <c r="O282" s="35"/>
      <c r="P282" s="35"/>
      <c r="Q282" s="35"/>
      <c r="R282" s="35"/>
      <c r="S282" s="35"/>
      <c r="T282" s="35"/>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c r="DH282" s="35"/>
      <c r="DI282" s="35"/>
      <c r="DJ282" s="35"/>
    </row>
    <row r="283" spans="1:114" x14ac:dyDescent="0.25">
      <c r="A283" s="34"/>
      <c r="B283" s="34"/>
      <c r="C283" s="34"/>
      <c r="D283" s="34"/>
      <c r="E283" s="34"/>
      <c r="F283" s="34"/>
      <c r="G283" s="34"/>
      <c r="H283" s="34"/>
      <c r="I283" s="34"/>
      <c r="J283" s="34"/>
      <c r="K283" s="34"/>
      <c r="L283" s="34"/>
      <c r="M283" s="34"/>
      <c r="N283" s="35"/>
      <c r="O283" s="35"/>
      <c r="P283" s="35"/>
      <c r="Q283" s="35"/>
      <c r="R283" s="35"/>
      <c r="S283" s="35"/>
      <c r="T283" s="35"/>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c r="DH283" s="35"/>
      <c r="DI283" s="35"/>
      <c r="DJ283" s="35"/>
    </row>
    <row r="284" spans="1:114" x14ac:dyDescent="0.25">
      <c r="A284" s="34"/>
      <c r="B284" s="34"/>
      <c r="C284" s="34"/>
      <c r="D284" s="34"/>
      <c r="E284" s="34"/>
      <c r="F284" s="34"/>
      <c r="G284" s="34"/>
      <c r="H284" s="34"/>
      <c r="I284" s="34"/>
      <c r="J284" s="34"/>
      <c r="K284" s="34"/>
      <c r="L284" s="34"/>
      <c r="M284" s="34"/>
      <c r="N284" s="35"/>
      <c r="O284" s="35"/>
      <c r="P284" s="35"/>
      <c r="Q284" s="35"/>
      <c r="R284" s="35"/>
      <c r="S284" s="35"/>
      <c r="T284" s="35"/>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c r="DH284" s="35"/>
      <c r="DI284" s="35"/>
      <c r="DJ284" s="35"/>
    </row>
    <row r="285" spans="1:114" x14ac:dyDescent="0.25">
      <c r="A285" s="34"/>
      <c r="B285" s="34"/>
      <c r="C285" s="34"/>
      <c r="D285" s="34"/>
      <c r="E285" s="34"/>
      <c r="F285" s="34"/>
      <c r="G285" s="34"/>
      <c r="H285" s="34"/>
      <c r="I285" s="34"/>
      <c r="J285" s="34"/>
      <c r="K285" s="34"/>
      <c r="L285" s="34"/>
      <c r="M285" s="34"/>
      <c r="N285" s="35"/>
      <c r="O285" s="35"/>
      <c r="P285" s="35"/>
      <c r="Q285" s="35"/>
      <c r="R285" s="35"/>
      <c r="S285" s="35"/>
      <c r="T285" s="35"/>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c r="DH285" s="35"/>
      <c r="DI285" s="35"/>
      <c r="DJ285" s="35"/>
    </row>
    <row r="286" spans="1:114" x14ac:dyDescent="0.25">
      <c r="A286" s="34"/>
      <c r="B286" s="34"/>
      <c r="C286" s="34"/>
      <c r="D286" s="34"/>
      <c r="E286" s="34"/>
      <c r="F286" s="34"/>
      <c r="G286" s="34"/>
      <c r="H286" s="34"/>
      <c r="I286" s="34"/>
      <c r="J286" s="34"/>
      <c r="K286" s="34"/>
      <c r="L286" s="34"/>
      <c r="M286" s="34"/>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c r="AS286" s="35"/>
      <c r="AT286" s="35"/>
      <c r="AU286" s="35"/>
      <c r="AV286" s="35"/>
      <c r="AW286" s="35"/>
      <c r="AX286" s="35"/>
      <c r="AY286" s="35"/>
      <c r="AZ286" s="35"/>
      <c r="BA286" s="35"/>
      <c r="BB286" s="35"/>
      <c r="BC286" s="35"/>
      <c r="BD286" s="35"/>
      <c r="BE286" s="35"/>
      <c r="BF286" s="35"/>
      <c r="BG286" s="35"/>
      <c r="BH286" s="35"/>
      <c r="BI286" s="35"/>
      <c r="BJ286" s="35"/>
      <c r="BK286" s="35"/>
      <c r="BL286" s="35"/>
      <c r="BM286" s="35"/>
      <c r="BN286" s="35"/>
      <c r="BO286" s="35"/>
      <c r="BP286" s="35"/>
      <c r="BQ286" s="35"/>
      <c r="BR286" s="35"/>
      <c r="BS286" s="35"/>
      <c r="BT286" s="35"/>
      <c r="BU286" s="35"/>
      <c r="BV286" s="35"/>
      <c r="BW286" s="35"/>
      <c r="BX286" s="35"/>
      <c r="BY286" s="35"/>
      <c r="BZ286" s="35"/>
      <c r="CA286" s="35"/>
      <c r="CB286" s="35"/>
      <c r="CC286" s="35"/>
      <c r="CD286" s="35"/>
      <c r="CE286" s="35"/>
      <c r="CF286" s="35"/>
      <c r="CG286" s="35"/>
      <c r="CH286" s="35"/>
      <c r="CI286" s="35"/>
      <c r="CJ286" s="35"/>
      <c r="CK286" s="35"/>
      <c r="CL286" s="35"/>
      <c r="CM286" s="35"/>
      <c r="CN286" s="35"/>
      <c r="CO286" s="35"/>
      <c r="CP286" s="35"/>
      <c r="CQ286" s="35"/>
      <c r="CR286" s="35"/>
      <c r="CS286" s="35"/>
      <c r="CT286" s="35"/>
      <c r="CU286" s="35"/>
      <c r="CV286" s="35"/>
      <c r="CW286" s="35"/>
      <c r="CX286" s="35"/>
      <c r="CY286" s="35"/>
      <c r="CZ286" s="35"/>
      <c r="DA286" s="35"/>
      <c r="DB286" s="35"/>
      <c r="DC286" s="35"/>
      <c r="DD286" s="35"/>
      <c r="DE286" s="35"/>
      <c r="DF286" s="35"/>
      <c r="DG286" s="35"/>
      <c r="DH286" s="35"/>
      <c r="DI286" s="35"/>
      <c r="DJ286" s="35"/>
    </row>
    <row r="287" spans="1:114" x14ac:dyDescent="0.25">
      <c r="A287" s="34"/>
      <c r="B287" s="34"/>
      <c r="C287" s="34"/>
      <c r="D287" s="34"/>
      <c r="E287" s="34"/>
      <c r="F287" s="34"/>
      <c r="G287" s="34"/>
      <c r="H287" s="34"/>
      <c r="I287" s="34"/>
      <c r="J287" s="34"/>
      <c r="K287" s="34"/>
      <c r="L287" s="34"/>
      <c r="M287" s="34"/>
      <c r="N287" s="35"/>
      <c r="O287" s="35"/>
      <c r="P287" s="35"/>
      <c r="Q287" s="35"/>
      <c r="R287" s="35"/>
      <c r="S287" s="35"/>
      <c r="T287" s="35"/>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c r="AS287" s="35"/>
      <c r="AT287" s="35"/>
      <c r="AU287" s="35"/>
      <c r="AV287" s="35"/>
      <c r="AW287" s="35"/>
      <c r="AX287" s="35"/>
      <c r="AY287" s="35"/>
      <c r="AZ287" s="35"/>
      <c r="BA287" s="35"/>
      <c r="BB287" s="35"/>
      <c r="BC287" s="35"/>
      <c r="BD287" s="35"/>
      <c r="BE287" s="35"/>
      <c r="BF287" s="35"/>
      <c r="BG287" s="35"/>
      <c r="BH287" s="35"/>
      <c r="BI287" s="35"/>
      <c r="BJ287" s="35"/>
      <c r="BK287" s="35"/>
      <c r="BL287" s="35"/>
      <c r="BM287" s="35"/>
      <c r="BN287" s="35"/>
      <c r="BO287" s="35"/>
      <c r="BP287" s="35"/>
      <c r="BQ287" s="35"/>
      <c r="BR287" s="35"/>
      <c r="BS287" s="35"/>
      <c r="BT287" s="35"/>
      <c r="BU287" s="35"/>
      <c r="BV287" s="35"/>
      <c r="BW287" s="35"/>
      <c r="BX287" s="35"/>
      <c r="BY287" s="35"/>
      <c r="BZ287" s="35"/>
      <c r="CA287" s="35"/>
      <c r="CB287" s="35"/>
      <c r="CC287" s="35"/>
      <c r="CD287" s="35"/>
      <c r="CE287" s="35"/>
      <c r="CF287" s="35"/>
      <c r="CG287" s="35"/>
      <c r="CH287" s="35"/>
      <c r="CI287" s="35"/>
      <c r="CJ287" s="35"/>
      <c r="CK287" s="35"/>
      <c r="CL287" s="35"/>
      <c r="CM287" s="35"/>
      <c r="CN287" s="35"/>
      <c r="CO287" s="35"/>
      <c r="CP287" s="35"/>
      <c r="CQ287" s="35"/>
      <c r="CR287" s="35"/>
      <c r="CS287" s="35"/>
      <c r="CT287" s="35"/>
      <c r="CU287" s="35"/>
      <c r="CV287" s="35"/>
      <c r="CW287" s="35"/>
      <c r="CX287" s="35"/>
      <c r="CY287" s="35"/>
      <c r="CZ287" s="35"/>
      <c r="DA287" s="35"/>
      <c r="DB287" s="35"/>
      <c r="DC287" s="35"/>
      <c r="DD287" s="35"/>
      <c r="DE287" s="35"/>
      <c r="DF287" s="35"/>
      <c r="DG287" s="35"/>
      <c r="DH287" s="35"/>
      <c r="DI287" s="35"/>
      <c r="DJ287" s="35"/>
    </row>
    <row r="288" spans="1:114" x14ac:dyDescent="0.25">
      <c r="A288" s="34"/>
      <c r="B288" s="34"/>
      <c r="C288" s="34"/>
      <c r="D288" s="34"/>
      <c r="E288" s="34"/>
      <c r="F288" s="34"/>
      <c r="G288" s="34"/>
      <c r="H288" s="34"/>
      <c r="I288" s="34"/>
      <c r="J288" s="34"/>
      <c r="K288" s="34"/>
      <c r="L288" s="34"/>
      <c r="M288" s="34"/>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c r="AS288" s="35"/>
      <c r="AT288" s="35"/>
      <c r="AU288" s="35"/>
      <c r="AV288" s="35"/>
      <c r="AW288" s="35"/>
      <c r="AX288" s="35"/>
      <c r="AY288" s="35"/>
      <c r="AZ288" s="35"/>
      <c r="BA288" s="35"/>
      <c r="BB288" s="35"/>
      <c r="BC288" s="35"/>
      <c r="BD288" s="35"/>
      <c r="BE288" s="35"/>
      <c r="BF288" s="35"/>
      <c r="BG288" s="35"/>
      <c r="BH288" s="35"/>
      <c r="BI288" s="35"/>
      <c r="BJ288" s="35"/>
      <c r="BK288" s="35"/>
      <c r="BL288" s="35"/>
      <c r="BM288" s="35"/>
      <c r="BN288" s="35"/>
      <c r="BO288" s="35"/>
      <c r="BP288" s="35"/>
      <c r="BQ288" s="35"/>
      <c r="BR288" s="35"/>
      <c r="BS288" s="35"/>
      <c r="BT288" s="35"/>
      <c r="BU288" s="35"/>
      <c r="BV288" s="35"/>
      <c r="BW288" s="35"/>
      <c r="BX288" s="35"/>
      <c r="BY288" s="35"/>
      <c r="BZ288" s="35"/>
      <c r="CA288" s="35"/>
      <c r="CB288" s="35"/>
      <c r="CC288" s="35"/>
      <c r="CD288" s="35"/>
      <c r="CE288" s="35"/>
      <c r="CF288" s="35"/>
      <c r="CG288" s="35"/>
      <c r="CH288" s="35"/>
      <c r="CI288" s="35"/>
      <c r="CJ288" s="35"/>
      <c r="CK288" s="35"/>
      <c r="CL288" s="35"/>
      <c r="CM288" s="35"/>
      <c r="CN288" s="35"/>
      <c r="CO288" s="35"/>
      <c r="CP288" s="35"/>
      <c r="CQ288" s="35"/>
      <c r="CR288" s="35"/>
      <c r="CS288" s="35"/>
      <c r="CT288" s="35"/>
      <c r="CU288" s="35"/>
      <c r="CV288" s="35"/>
      <c r="CW288" s="35"/>
      <c r="CX288" s="35"/>
      <c r="CY288" s="35"/>
      <c r="CZ288" s="35"/>
      <c r="DA288" s="35"/>
      <c r="DB288" s="35"/>
      <c r="DC288" s="35"/>
      <c r="DD288" s="35"/>
      <c r="DE288" s="35"/>
      <c r="DF288" s="35"/>
      <c r="DG288" s="35"/>
      <c r="DH288" s="35"/>
      <c r="DI288" s="35"/>
      <c r="DJ288" s="35"/>
    </row>
    <row r="289" spans="1:114" x14ac:dyDescent="0.25">
      <c r="A289" s="34"/>
      <c r="B289" s="34"/>
      <c r="C289" s="34"/>
      <c r="D289" s="34"/>
      <c r="E289" s="34"/>
      <c r="F289" s="34"/>
      <c r="G289" s="34"/>
      <c r="H289" s="34"/>
      <c r="I289" s="34"/>
      <c r="J289" s="34"/>
      <c r="K289" s="34"/>
      <c r="L289" s="34"/>
      <c r="M289" s="34"/>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c r="AS289" s="35"/>
      <c r="AT289" s="35"/>
      <c r="AU289" s="35"/>
      <c r="AV289" s="35"/>
      <c r="AW289" s="35"/>
      <c r="AX289" s="35"/>
      <c r="AY289" s="35"/>
      <c r="AZ289" s="35"/>
      <c r="BA289" s="35"/>
      <c r="BB289" s="35"/>
      <c r="BC289" s="35"/>
      <c r="BD289" s="35"/>
      <c r="BE289" s="35"/>
      <c r="BF289" s="35"/>
      <c r="BG289" s="35"/>
      <c r="BH289" s="35"/>
      <c r="BI289" s="35"/>
      <c r="BJ289" s="35"/>
      <c r="BK289" s="35"/>
      <c r="BL289" s="35"/>
      <c r="BM289" s="35"/>
      <c r="BN289" s="35"/>
      <c r="BO289" s="35"/>
      <c r="BP289" s="35"/>
      <c r="BQ289" s="35"/>
      <c r="BR289" s="35"/>
      <c r="BS289" s="35"/>
      <c r="BT289" s="35"/>
      <c r="BU289" s="35"/>
      <c r="BV289" s="35"/>
      <c r="BW289" s="35"/>
      <c r="BX289" s="35"/>
      <c r="BY289" s="35"/>
      <c r="BZ289" s="35"/>
      <c r="CA289" s="35"/>
      <c r="CB289" s="35"/>
      <c r="CC289" s="35"/>
      <c r="CD289" s="35"/>
      <c r="CE289" s="35"/>
      <c r="CF289" s="35"/>
      <c r="CG289" s="35"/>
      <c r="CH289" s="35"/>
      <c r="CI289" s="35"/>
      <c r="CJ289" s="35"/>
      <c r="CK289" s="35"/>
      <c r="CL289" s="35"/>
      <c r="CM289" s="35"/>
      <c r="CN289" s="35"/>
      <c r="CO289" s="35"/>
      <c r="CP289" s="35"/>
      <c r="CQ289" s="35"/>
      <c r="CR289" s="35"/>
      <c r="CS289" s="35"/>
      <c r="CT289" s="35"/>
      <c r="CU289" s="35"/>
      <c r="CV289" s="35"/>
      <c r="CW289" s="35"/>
      <c r="CX289" s="35"/>
      <c r="CY289" s="35"/>
      <c r="CZ289" s="35"/>
      <c r="DA289" s="35"/>
      <c r="DB289" s="35"/>
      <c r="DC289" s="35"/>
      <c r="DD289" s="35"/>
      <c r="DE289" s="35"/>
      <c r="DF289" s="35"/>
      <c r="DG289" s="35"/>
      <c r="DH289" s="35"/>
      <c r="DI289" s="35"/>
      <c r="DJ289" s="35"/>
    </row>
    <row r="290" spans="1:114" x14ac:dyDescent="0.25">
      <c r="A290" s="34"/>
      <c r="B290" s="34"/>
      <c r="C290" s="34"/>
      <c r="D290" s="34"/>
      <c r="E290" s="34"/>
      <c r="F290" s="34"/>
      <c r="G290" s="34"/>
      <c r="H290" s="34"/>
      <c r="I290" s="34"/>
      <c r="J290" s="34"/>
      <c r="K290" s="34"/>
      <c r="L290" s="34"/>
      <c r="M290" s="34"/>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row>
    <row r="291" spans="1:114" x14ac:dyDescent="0.25">
      <c r="A291" s="34"/>
      <c r="B291" s="34"/>
      <c r="C291" s="34"/>
      <c r="D291" s="34"/>
      <c r="E291" s="34"/>
      <c r="F291" s="34"/>
      <c r="G291" s="34"/>
      <c r="H291" s="34"/>
      <c r="I291" s="34"/>
      <c r="J291" s="34"/>
      <c r="K291" s="34"/>
      <c r="L291" s="34"/>
      <c r="M291" s="34"/>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row>
    <row r="292" spans="1:114" x14ac:dyDescent="0.25">
      <c r="A292" s="34"/>
      <c r="B292" s="34"/>
      <c r="C292" s="34"/>
      <c r="D292" s="34"/>
      <c r="E292" s="34"/>
      <c r="F292" s="34"/>
      <c r="G292" s="34"/>
      <c r="H292" s="34"/>
      <c r="I292" s="34"/>
      <c r="J292" s="34"/>
      <c r="K292" s="34"/>
      <c r="L292" s="34"/>
      <c r="M292" s="34"/>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row>
    <row r="293" spans="1:114" x14ac:dyDescent="0.25">
      <c r="A293" s="34"/>
      <c r="B293" s="34"/>
      <c r="C293" s="34"/>
      <c r="D293" s="34"/>
      <c r="E293" s="34"/>
      <c r="F293" s="34"/>
      <c r="G293" s="34"/>
      <c r="H293" s="34"/>
      <c r="I293" s="34"/>
      <c r="J293" s="34"/>
      <c r="K293" s="34"/>
      <c r="L293" s="34"/>
      <c r="M293" s="34"/>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row>
    <row r="294" spans="1:114" x14ac:dyDescent="0.25">
      <c r="A294" s="34"/>
      <c r="B294" s="34"/>
      <c r="C294" s="34"/>
      <c r="D294" s="34"/>
      <c r="E294" s="34"/>
      <c r="F294" s="34"/>
      <c r="G294" s="34"/>
      <c r="H294" s="34"/>
      <c r="I294" s="34"/>
      <c r="J294" s="34"/>
      <c r="K294" s="34"/>
      <c r="L294" s="34"/>
      <c r="M294" s="34"/>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c r="DH294" s="35"/>
      <c r="DI294" s="35"/>
      <c r="DJ294" s="35"/>
    </row>
    <row r="295" spans="1:114" x14ac:dyDescent="0.25">
      <c r="A295" s="34"/>
      <c r="B295" s="34"/>
      <c r="C295" s="34"/>
      <c r="D295" s="34"/>
      <c r="E295" s="34"/>
      <c r="F295" s="34"/>
      <c r="G295" s="34"/>
      <c r="H295" s="34"/>
      <c r="I295" s="34"/>
      <c r="J295" s="34"/>
      <c r="K295" s="34"/>
      <c r="L295" s="34"/>
      <c r="M295" s="34"/>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c r="DH295" s="35"/>
      <c r="DI295" s="35"/>
      <c r="DJ295" s="35"/>
    </row>
    <row r="296" spans="1:114" x14ac:dyDescent="0.25">
      <c r="A296" s="34"/>
      <c r="B296" s="34"/>
      <c r="C296" s="34"/>
      <c r="D296" s="34"/>
      <c r="E296" s="34"/>
      <c r="F296" s="34"/>
      <c r="G296" s="34"/>
      <c r="H296" s="34"/>
      <c r="I296" s="34"/>
      <c r="J296" s="34"/>
      <c r="K296" s="34"/>
      <c r="L296" s="34"/>
      <c r="M296" s="34"/>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c r="AS296" s="35"/>
      <c r="AT296" s="35"/>
      <c r="AU296" s="35"/>
      <c r="AV296" s="35"/>
      <c r="AW296" s="35"/>
      <c r="AX296" s="35"/>
      <c r="AY296" s="35"/>
      <c r="AZ296" s="35"/>
      <c r="BA296" s="35"/>
      <c r="BB296" s="35"/>
      <c r="BC296" s="35"/>
      <c r="BD296" s="35"/>
      <c r="BE296" s="35"/>
      <c r="BF296" s="35"/>
      <c r="BG296" s="35"/>
      <c r="BH296" s="35"/>
      <c r="BI296" s="35"/>
      <c r="BJ296" s="35"/>
      <c r="BK296" s="35"/>
      <c r="BL296" s="35"/>
      <c r="BM296" s="35"/>
      <c r="BN296" s="35"/>
      <c r="BO296" s="35"/>
      <c r="BP296" s="35"/>
      <c r="BQ296" s="35"/>
      <c r="BR296" s="35"/>
      <c r="BS296" s="35"/>
      <c r="BT296" s="35"/>
      <c r="BU296" s="35"/>
      <c r="BV296" s="35"/>
      <c r="BW296" s="35"/>
      <c r="BX296" s="35"/>
      <c r="BY296" s="35"/>
      <c r="BZ296" s="35"/>
      <c r="CA296" s="35"/>
      <c r="CB296" s="35"/>
      <c r="CC296" s="35"/>
      <c r="CD296" s="35"/>
      <c r="CE296" s="35"/>
      <c r="CF296" s="35"/>
      <c r="CG296" s="35"/>
      <c r="CH296" s="35"/>
      <c r="CI296" s="35"/>
      <c r="CJ296" s="35"/>
      <c r="CK296" s="35"/>
      <c r="CL296" s="35"/>
      <c r="CM296" s="35"/>
      <c r="CN296" s="35"/>
      <c r="CO296" s="35"/>
      <c r="CP296" s="35"/>
      <c r="CQ296" s="35"/>
      <c r="CR296" s="35"/>
      <c r="CS296" s="35"/>
      <c r="CT296" s="35"/>
      <c r="CU296" s="35"/>
      <c r="CV296" s="35"/>
      <c r="CW296" s="35"/>
      <c r="CX296" s="35"/>
      <c r="CY296" s="35"/>
      <c r="CZ296" s="35"/>
      <c r="DA296" s="35"/>
      <c r="DB296" s="35"/>
      <c r="DC296" s="35"/>
      <c r="DD296" s="35"/>
      <c r="DE296" s="35"/>
      <c r="DF296" s="35"/>
      <c r="DG296" s="35"/>
      <c r="DH296" s="35"/>
      <c r="DI296" s="35"/>
      <c r="DJ296" s="35"/>
    </row>
    <row r="297" spans="1:114" x14ac:dyDescent="0.25">
      <c r="A297" s="34"/>
      <c r="B297" s="34"/>
      <c r="C297" s="34"/>
      <c r="D297" s="34"/>
      <c r="E297" s="34"/>
      <c r="F297" s="34"/>
      <c r="G297" s="34"/>
      <c r="H297" s="34"/>
      <c r="I297" s="34"/>
      <c r="J297" s="34"/>
      <c r="K297" s="34"/>
      <c r="L297" s="34"/>
      <c r="M297" s="34"/>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c r="DH297" s="35"/>
      <c r="DI297" s="35"/>
      <c r="DJ297" s="35"/>
    </row>
    <row r="298" spans="1:114" x14ac:dyDescent="0.25">
      <c r="A298" s="34"/>
      <c r="B298" s="34"/>
      <c r="C298" s="34"/>
      <c r="D298" s="34"/>
      <c r="E298" s="34"/>
      <c r="F298" s="34"/>
      <c r="G298" s="34"/>
      <c r="H298" s="34"/>
      <c r="I298" s="34"/>
      <c r="J298" s="34"/>
      <c r="K298" s="34"/>
      <c r="L298" s="34"/>
      <c r="M298" s="34"/>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c r="AS298" s="35"/>
      <c r="AT298" s="35"/>
      <c r="AU298" s="35"/>
      <c r="AV298" s="35"/>
      <c r="AW298" s="35"/>
      <c r="AX298" s="35"/>
      <c r="AY298" s="35"/>
      <c r="AZ298" s="35"/>
      <c r="BA298" s="35"/>
      <c r="BB298" s="35"/>
      <c r="BC298" s="35"/>
      <c r="BD298" s="35"/>
      <c r="BE298" s="35"/>
      <c r="BF298" s="35"/>
      <c r="BG298" s="35"/>
      <c r="BH298" s="35"/>
      <c r="BI298" s="35"/>
      <c r="BJ298" s="35"/>
      <c r="BK298" s="35"/>
      <c r="BL298" s="35"/>
      <c r="BM298" s="35"/>
      <c r="BN298" s="35"/>
      <c r="BO298" s="35"/>
      <c r="BP298" s="35"/>
      <c r="BQ298" s="35"/>
      <c r="BR298" s="35"/>
      <c r="BS298" s="35"/>
      <c r="BT298" s="35"/>
      <c r="BU298" s="35"/>
      <c r="BV298" s="35"/>
      <c r="BW298" s="35"/>
      <c r="BX298" s="35"/>
      <c r="BY298" s="35"/>
      <c r="BZ298" s="35"/>
      <c r="CA298" s="35"/>
      <c r="CB298" s="35"/>
      <c r="CC298" s="35"/>
      <c r="CD298" s="35"/>
      <c r="CE298" s="35"/>
      <c r="CF298" s="35"/>
      <c r="CG298" s="35"/>
      <c r="CH298" s="35"/>
      <c r="CI298" s="35"/>
      <c r="CJ298" s="35"/>
      <c r="CK298" s="35"/>
      <c r="CL298" s="35"/>
      <c r="CM298" s="35"/>
      <c r="CN298" s="35"/>
      <c r="CO298" s="35"/>
      <c r="CP298" s="35"/>
      <c r="CQ298" s="35"/>
      <c r="CR298" s="35"/>
      <c r="CS298" s="35"/>
      <c r="CT298" s="35"/>
      <c r="CU298" s="35"/>
      <c r="CV298" s="35"/>
      <c r="CW298" s="35"/>
      <c r="CX298" s="35"/>
      <c r="CY298" s="35"/>
      <c r="CZ298" s="35"/>
      <c r="DA298" s="35"/>
      <c r="DB298" s="35"/>
      <c r="DC298" s="35"/>
      <c r="DD298" s="35"/>
      <c r="DE298" s="35"/>
      <c r="DF298" s="35"/>
      <c r="DG298" s="35"/>
      <c r="DH298" s="35"/>
      <c r="DI298" s="35"/>
      <c r="DJ298" s="35"/>
    </row>
    <row r="299" spans="1:114" x14ac:dyDescent="0.25">
      <c r="A299" s="34"/>
      <c r="B299" s="34"/>
      <c r="C299" s="34"/>
      <c r="D299" s="34"/>
      <c r="E299" s="34"/>
      <c r="F299" s="34"/>
      <c r="G299" s="34"/>
      <c r="H299" s="34"/>
      <c r="I299" s="34"/>
      <c r="J299" s="34"/>
      <c r="K299" s="34"/>
      <c r="L299" s="34"/>
      <c r="M299" s="34"/>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c r="AS299" s="35"/>
      <c r="AT299" s="35"/>
      <c r="AU299" s="35"/>
      <c r="AV299" s="35"/>
      <c r="AW299" s="35"/>
      <c r="AX299" s="35"/>
      <c r="AY299" s="35"/>
      <c r="AZ299" s="35"/>
      <c r="BA299" s="35"/>
      <c r="BB299" s="35"/>
      <c r="BC299" s="35"/>
      <c r="BD299" s="35"/>
      <c r="BE299" s="35"/>
      <c r="BF299" s="35"/>
      <c r="BG299" s="35"/>
      <c r="BH299" s="35"/>
      <c r="BI299" s="35"/>
      <c r="BJ299" s="35"/>
      <c r="BK299" s="35"/>
      <c r="BL299" s="35"/>
      <c r="BM299" s="35"/>
      <c r="BN299" s="35"/>
      <c r="BO299" s="35"/>
      <c r="BP299" s="35"/>
      <c r="BQ299" s="35"/>
      <c r="BR299" s="35"/>
      <c r="BS299" s="35"/>
      <c r="BT299" s="35"/>
      <c r="BU299" s="35"/>
      <c r="BV299" s="35"/>
      <c r="BW299" s="35"/>
      <c r="BX299" s="35"/>
      <c r="BY299" s="35"/>
      <c r="BZ299" s="35"/>
      <c r="CA299" s="35"/>
      <c r="CB299" s="35"/>
      <c r="CC299" s="35"/>
      <c r="CD299" s="35"/>
      <c r="CE299" s="35"/>
      <c r="CF299" s="35"/>
      <c r="CG299" s="35"/>
      <c r="CH299" s="35"/>
      <c r="CI299" s="35"/>
      <c r="CJ299" s="35"/>
      <c r="CK299" s="35"/>
      <c r="CL299" s="35"/>
      <c r="CM299" s="35"/>
      <c r="CN299" s="35"/>
      <c r="CO299" s="35"/>
      <c r="CP299" s="35"/>
      <c r="CQ299" s="35"/>
      <c r="CR299" s="35"/>
      <c r="CS299" s="35"/>
      <c r="CT299" s="35"/>
      <c r="CU299" s="35"/>
      <c r="CV299" s="35"/>
      <c r="CW299" s="35"/>
      <c r="CX299" s="35"/>
      <c r="CY299" s="35"/>
      <c r="CZ299" s="35"/>
      <c r="DA299" s="35"/>
      <c r="DB299" s="35"/>
      <c r="DC299" s="35"/>
      <c r="DD299" s="35"/>
      <c r="DE299" s="35"/>
      <c r="DF299" s="35"/>
      <c r="DG299" s="35"/>
      <c r="DH299" s="35"/>
      <c r="DI299" s="35"/>
      <c r="DJ299" s="35"/>
    </row>
    <row r="300" spans="1:114" x14ac:dyDescent="0.25">
      <c r="A300" s="34"/>
      <c r="B300" s="34"/>
      <c r="C300" s="34"/>
      <c r="D300" s="34"/>
      <c r="E300" s="34"/>
      <c r="F300" s="34"/>
      <c r="G300" s="34"/>
      <c r="H300" s="34"/>
      <c r="I300" s="34"/>
      <c r="J300" s="34"/>
      <c r="K300" s="34"/>
      <c r="L300" s="34"/>
      <c r="M300" s="34"/>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c r="AS300" s="35"/>
      <c r="AT300" s="35"/>
      <c r="AU300" s="35"/>
      <c r="AV300" s="35"/>
      <c r="AW300" s="35"/>
      <c r="AX300" s="35"/>
      <c r="AY300" s="35"/>
      <c r="AZ300" s="35"/>
      <c r="BA300" s="35"/>
      <c r="BB300" s="35"/>
      <c r="BC300" s="35"/>
      <c r="BD300" s="35"/>
      <c r="BE300" s="35"/>
      <c r="BF300" s="35"/>
      <c r="BG300" s="35"/>
      <c r="BH300" s="35"/>
      <c r="BI300" s="35"/>
      <c r="BJ300" s="35"/>
      <c r="BK300" s="35"/>
      <c r="BL300" s="35"/>
      <c r="BM300" s="35"/>
      <c r="BN300" s="35"/>
      <c r="BO300" s="35"/>
      <c r="BP300" s="35"/>
      <c r="BQ300" s="35"/>
      <c r="BR300" s="35"/>
      <c r="BS300" s="35"/>
      <c r="BT300" s="35"/>
      <c r="BU300" s="35"/>
      <c r="BV300" s="35"/>
      <c r="BW300" s="35"/>
      <c r="BX300" s="35"/>
      <c r="BY300" s="35"/>
      <c r="BZ300" s="35"/>
      <c r="CA300" s="35"/>
      <c r="CB300" s="35"/>
      <c r="CC300" s="35"/>
      <c r="CD300" s="35"/>
      <c r="CE300" s="35"/>
      <c r="CF300" s="35"/>
      <c r="CG300" s="35"/>
      <c r="CH300" s="35"/>
      <c r="CI300" s="35"/>
      <c r="CJ300" s="35"/>
      <c r="CK300" s="35"/>
      <c r="CL300" s="35"/>
      <c r="CM300" s="35"/>
      <c r="CN300" s="35"/>
      <c r="CO300" s="35"/>
      <c r="CP300" s="35"/>
      <c r="CQ300" s="35"/>
      <c r="CR300" s="35"/>
      <c r="CS300" s="35"/>
      <c r="CT300" s="35"/>
      <c r="CU300" s="35"/>
      <c r="CV300" s="35"/>
      <c r="CW300" s="35"/>
      <c r="CX300" s="35"/>
      <c r="CY300" s="35"/>
      <c r="CZ300" s="35"/>
      <c r="DA300" s="35"/>
      <c r="DB300" s="35"/>
      <c r="DC300" s="35"/>
      <c r="DD300" s="35"/>
      <c r="DE300" s="35"/>
      <c r="DF300" s="35"/>
      <c r="DG300" s="35"/>
      <c r="DH300" s="35"/>
      <c r="DI300" s="35"/>
      <c r="DJ300" s="35"/>
    </row>
    <row r="301" spans="1:114" x14ac:dyDescent="0.25">
      <c r="A301" s="34"/>
      <c r="B301" s="34"/>
      <c r="C301" s="34"/>
      <c r="D301" s="34"/>
      <c r="E301" s="34"/>
      <c r="F301" s="34"/>
      <c r="G301" s="34"/>
      <c r="H301" s="34"/>
      <c r="I301" s="34"/>
      <c r="J301" s="34"/>
      <c r="K301" s="34"/>
      <c r="L301" s="34"/>
      <c r="M301" s="34"/>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c r="AS301" s="35"/>
      <c r="AT301" s="35"/>
      <c r="AU301" s="35"/>
      <c r="AV301" s="35"/>
      <c r="AW301" s="35"/>
      <c r="AX301" s="35"/>
      <c r="AY301" s="35"/>
      <c r="AZ301" s="35"/>
      <c r="BA301" s="35"/>
      <c r="BB301" s="35"/>
      <c r="BC301" s="35"/>
      <c r="BD301" s="35"/>
      <c r="BE301" s="35"/>
      <c r="BF301" s="35"/>
      <c r="BG301" s="35"/>
      <c r="BH301" s="35"/>
      <c r="BI301" s="35"/>
      <c r="BJ301" s="35"/>
      <c r="BK301" s="35"/>
      <c r="BL301" s="35"/>
      <c r="BM301" s="35"/>
      <c r="BN301" s="35"/>
      <c r="BO301" s="35"/>
      <c r="BP301" s="35"/>
      <c r="BQ301" s="35"/>
      <c r="BR301" s="35"/>
      <c r="BS301" s="35"/>
      <c r="BT301" s="35"/>
      <c r="BU301" s="35"/>
      <c r="BV301" s="35"/>
      <c r="BW301" s="35"/>
      <c r="BX301" s="35"/>
      <c r="BY301" s="35"/>
      <c r="BZ301" s="35"/>
      <c r="CA301" s="35"/>
      <c r="CB301" s="35"/>
      <c r="CC301" s="35"/>
      <c r="CD301" s="35"/>
      <c r="CE301" s="35"/>
      <c r="CF301" s="35"/>
      <c r="CG301" s="35"/>
      <c r="CH301" s="35"/>
      <c r="CI301" s="35"/>
      <c r="CJ301" s="35"/>
      <c r="CK301" s="35"/>
      <c r="CL301" s="35"/>
      <c r="CM301" s="35"/>
      <c r="CN301" s="35"/>
      <c r="CO301" s="35"/>
      <c r="CP301" s="35"/>
      <c r="CQ301" s="35"/>
      <c r="CR301" s="35"/>
      <c r="CS301" s="35"/>
      <c r="CT301" s="35"/>
      <c r="CU301" s="35"/>
      <c r="CV301" s="35"/>
      <c r="CW301" s="35"/>
      <c r="CX301" s="35"/>
      <c r="CY301" s="35"/>
      <c r="CZ301" s="35"/>
      <c r="DA301" s="35"/>
      <c r="DB301" s="35"/>
      <c r="DC301" s="35"/>
      <c r="DD301" s="35"/>
      <c r="DE301" s="35"/>
      <c r="DF301" s="35"/>
      <c r="DG301" s="35"/>
      <c r="DH301" s="35"/>
      <c r="DI301" s="35"/>
      <c r="DJ301" s="35"/>
    </row>
    <row r="302" spans="1:114" x14ac:dyDescent="0.25">
      <c r="A302" s="34"/>
      <c r="B302" s="34"/>
      <c r="C302" s="34"/>
      <c r="D302" s="34"/>
      <c r="E302" s="34"/>
      <c r="F302" s="34"/>
      <c r="G302" s="34"/>
      <c r="H302" s="34"/>
      <c r="I302" s="34"/>
      <c r="J302" s="34"/>
      <c r="K302" s="34"/>
      <c r="L302" s="34"/>
      <c r="M302" s="34"/>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c r="AS302" s="35"/>
      <c r="AT302" s="35"/>
      <c r="AU302" s="35"/>
      <c r="AV302" s="35"/>
      <c r="AW302" s="35"/>
      <c r="AX302" s="35"/>
      <c r="AY302" s="35"/>
      <c r="AZ302" s="35"/>
      <c r="BA302" s="35"/>
      <c r="BB302" s="35"/>
      <c r="BC302" s="35"/>
      <c r="BD302" s="35"/>
      <c r="BE302" s="35"/>
      <c r="BF302" s="35"/>
      <c r="BG302" s="35"/>
      <c r="BH302" s="35"/>
      <c r="BI302" s="35"/>
      <c r="BJ302" s="35"/>
      <c r="BK302" s="35"/>
      <c r="BL302" s="35"/>
      <c r="BM302" s="35"/>
      <c r="BN302" s="35"/>
      <c r="BO302" s="35"/>
      <c r="BP302" s="35"/>
      <c r="BQ302" s="35"/>
      <c r="BR302" s="35"/>
      <c r="BS302" s="35"/>
      <c r="BT302" s="35"/>
      <c r="BU302" s="35"/>
      <c r="BV302" s="35"/>
      <c r="BW302" s="35"/>
      <c r="BX302" s="35"/>
      <c r="BY302" s="35"/>
      <c r="BZ302" s="35"/>
      <c r="CA302" s="35"/>
      <c r="CB302" s="35"/>
      <c r="CC302" s="35"/>
      <c r="CD302" s="35"/>
      <c r="CE302" s="35"/>
      <c r="CF302" s="35"/>
      <c r="CG302" s="35"/>
      <c r="CH302" s="35"/>
      <c r="CI302" s="35"/>
      <c r="CJ302" s="35"/>
      <c r="CK302" s="35"/>
      <c r="CL302" s="35"/>
      <c r="CM302" s="35"/>
      <c r="CN302" s="35"/>
      <c r="CO302" s="35"/>
      <c r="CP302" s="35"/>
      <c r="CQ302" s="35"/>
      <c r="CR302" s="35"/>
      <c r="CS302" s="35"/>
      <c r="CT302" s="35"/>
      <c r="CU302" s="35"/>
      <c r="CV302" s="35"/>
      <c r="CW302" s="35"/>
      <c r="CX302" s="35"/>
      <c r="CY302" s="35"/>
      <c r="CZ302" s="35"/>
      <c r="DA302" s="35"/>
      <c r="DB302" s="35"/>
      <c r="DC302" s="35"/>
      <c r="DD302" s="35"/>
      <c r="DE302" s="35"/>
      <c r="DF302" s="35"/>
      <c r="DG302" s="35"/>
      <c r="DH302" s="35"/>
      <c r="DI302" s="35"/>
      <c r="DJ302" s="35"/>
    </row>
    <row r="303" spans="1:114" x14ac:dyDescent="0.25">
      <c r="A303" s="34"/>
      <c r="B303" s="34"/>
      <c r="C303" s="34"/>
      <c r="D303" s="34"/>
      <c r="E303" s="34"/>
      <c r="F303" s="34"/>
      <c r="G303" s="34"/>
      <c r="H303" s="34"/>
      <c r="I303" s="34"/>
      <c r="J303" s="34"/>
      <c r="K303" s="34"/>
      <c r="L303" s="34"/>
      <c r="M303" s="34"/>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c r="AS303" s="35"/>
      <c r="AT303" s="35"/>
      <c r="AU303" s="35"/>
      <c r="AV303" s="35"/>
      <c r="AW303" s="35"/>
      <c r="AX303" s="35"/>
      <c r="AY303" s="35"/>
      <c r="AZ303" s="35"/>
      <c r="BA303" s="35"/>
      <c r="BB303" s="35"/>
      <c r="BC303" s="35"/>
      <c r="BD303" s="35"/>
      <c r="BE303" s="35"/>
      <c r="BF303" s="35"/>
      <c r="BG303" s="35"/>
      <c r="BH303" s="35"/>
      <c r="BI303" s="35"/>
      <c r="BJ303" s="35"/>
      <c r="BK303" s="35"/>
      <c r="BL303" s="35"/>
      <c r="BM303" s="35"/>
      <c r="BN303" s="35"/>
      <c r="BO303" s="35"/>
      <c r="BP303" s="35"/>
      <c r="BQ303" s="35"/>
      <c r="BR303" s="35"/>
      <c r="BS303" s="35"/>
      <c r="BT303" s="35"/>
      <c r="BU303" s="35"/>
      <c r="BV303" s="35"/>
      <c r="BW303" s="35"/>
      <c r="BX303" s="35"/>
      <c r="BY303" s="35"/>
      <c r="BZ303" s="35"/>
      <c r="CA303" s="35"/>
      <c r="CB303" s="35"/>
      <c r="CC303" s="35"/>
      <c r="CD303" s="35"/>
      <c r="CE303" s="35"/>
      <c r="CF303" s="35"/>
      <c r="CG303" s="35"/>
      <c r="CH303" s="35"/>
      <c r="CI303" s="35"/>
      <c r="CJ303" s="35"/>
      <c r="CK303" s="35"/>
      <c r="CL303" s="35"/>
      <c r="CM303" s="35"/>
      <c r="CN303" s="35"/>
      <c r="CO303" s="35"/>
      <c r="CP303" s="35"/>
      <c r="CQ303" s="35"/>
      <c r="CR303" s="35"/>
      <c r="CS303" s="35"/>
      <c r="CT303" s="35"/>
      <c r="CU303" s="35"/>
      <c r="CV303" s="35"/>
      <c r="CW303" s="35"/>
      <c r="CX303" s="35"/>
      <c r="CY303" s="35"/>
      <c r="CZ303" s="35"/>
      <c r="DA303" s="35"/>
      <c r="DB303" s="35"/>
      <c r="DC303" s="35"/>
      <c r="DD303" s="35"/>
      <c r="DE303" s="35"/>
      <c r="DF303" s="35"/>
      <c r="DG303" s="35"/>
      <c r="DH303" s="35"/>
      <c r="DI303" s="35"/>
      <c r="DJ303" s="35"/>
    </row>
    <row r="304" spans="1:114" x14ac:dyDescent="0.25">
      <c r="A304" s="34"/>
      <c r="B304" s="34"/>
      <c r="C304" s="34"/>
      <c r="D304" s="34"/>
      <c r="E304" s="34"/>
      <c r="F304" s="34"/>
      <c r="G304" s="34"/>
      <c r="H304" s="34"/>
      <c r="I304" s="34"/>
      <c r="J304" s="34"/>
      <c r="K304" s="34"/>
      <c r="L304" s="34"/>
      <c r="M304" s="34"/>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c r="AS304" s="35"/>
      <c r="AT304" s="35"/>
      <c r="AU304" s="35"/>
      <c r="AV304" s="35"/>
      <c r="AW304" s="35"/>
      <c r="AX304" s="35"/>
      <c r="AY304" s="35"/>
      <c r="AZ304" s="35"/>
      <c r="BA304" s="35"/>
      <c r="BB304" s="35"/>
      <c r="BC304" s="35"/>
      <c r="BD304" s="35"/>
      <c r="BE304" s="35"/>
      <c r="BF304" s="35"/>
      <c r="BG304" s="35"/>
      <c r="BH304" s="35"/>
      <c r="BI304" s="35"/>
      <c r="BJ304" s="35"/>
      <c r="BK304" s="35"/>
      <c r="BL304" s="35"/>
      <c r="BM304" s="35"/>
      <c r="BN304" s="35"/>
      <c r="BO304" s="35"/>
      <c r="BP304" s="35"/>
      <c r="BQ304" s="35"/>
      <c r="BR304" s="35"/>
      <c r="BS304" s="35"/>
      <c r="BT304" s="35"/>
      <c r="BU304" s="35"/>
      <c r="BV304" s="35"/>
      <c r="BW304" s="35"/>
      <c r="BX304" s="35"/>
      <c r="BY304" s="35"/>
      <c r="BZ304" s="35"/>
      <c r="CA304" s="35"/>
      <c r="CB304" s="35"/>
      <c r="CC304" s="35"/>
      <c r="CD304" s="35"/>
      <c r="CE304" s="35"/>
      <c r="CF304" s="35"/>
      <c r="CG304" s="35"/>
      <c r="CH304" s="35"/>
      <c r="CI304" s="35"/>
      <c r="CJ304" s="35"/>
      <c r="CK304" s="35"/>
      <c r="CL304" s="35"/>
      <c r="CM304" s="35"/>
      <c r="CN304" s="35"/>
      <c r="CO304" s="35"/>
      <c r="CP304" s="35"/>
      <c r="CQ304" s="35"/>
      <c r="CR304" s="35"/>
      <c r="CS304" s="35"/>
      <c r="CT304" s="35"/>
      <c r="CU304" s="35"/>
      <c r="CV304" s="35"/>
      <c r="CW304" s="35"/>
      <c r="CX304" s="35"/>
      <c r="CY304" s="35"/>
      <c r="CZ304" s="35"/>
      <c r="DA304" s="35"/>
      <c r="DB304" s="35"/>
      <c r="DC304" s="35"/>
      <c r="DD304" s="35"/>
      <c r="DE304" s="35"/>
      <c r="DF304" s="35"/>
      <c r="DG304" s="35"/>
      <c r="DH304" s="35"/>
      <c r="DI304" s="35"/>
      <c r="DJ304" s="35"/>
    </row>
    <row r="305" spans="1:114" x14ac:dyDescent="0.25">
      <c r="A305" s="34"/>
      <c r="B305" s="34"/>
      <c r="C305" s="34"/>
      <c r="D305" s="34"/>
      <c r="E305" s="34"/>
      <c r="F305" s="34"/>
      <c r="G305" s="34"/>
      <c r="H305" s="34"/>
      <c r="I305" s="34"/>
      <c r="J305" s="34"/>
      <c r="K305" s="34"/>
      <c r="L305" s="34"/>
      <c r="M305" s="34"/>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c r="AS305" s="35"/>
      <c r="AT305" s="35"/>
      <c r="AU305" s="35"/>
      <c r="AV305" s="35"/>
      <c r="AW305" s="35"/>
      <c r="AX305" s="35"/>
      <c r="AY305" s="35"/>
      <c r="AZ305" s="35"/>
      <c r="BA305" s="35"/>
      <c r="BB305" s="35"/>
      <c r="BC305" s="35"/>
      <c r="BD305" s="35"/>
      <c r="BE305" s="35"/>
      <c r="BF305" s="35"/>
      <c r="BG305" s="35"/>
      <c r="BH305" s="35"/>
      <c r="BI305" s="35"/>
      <c r="BJ305" s="35"/>
      <c r="BK305" s="35"/>
      <c r="BL305" s="35"/>
      <c r="BM305" s="35"/>
      <c r="BN305" s="35"/>
      <c r="BO305" s="35"/>
      <c r="BP305" s="35"/>
      <c r="BQ305" s="35"/>
      <c r="BR305" s="35"/>
      <c r="BS305" s="35"/>
      <c r="BT305" s="35"/>
      <c r="BU305" s="35"/>
      <c r="BV305" s="35"/>
      <c r="BW305" s="35"/>
      <c r="BX305" s="35"/>
      <c r="BY305" s="35"/>
      <c r="BZ305" s="35"/>
      <c r="CA305" s="35"/>
      <c r="CB305" s="35"/>
      <c r="CC305" s="35"/>
      <c r="CD305" s="35"/>
      <c r="CE305" s="35"/>
      <c r="CF305" s="35"/>
      <c r="CG305" s="35"/>
      <c r="CH305" s="35"/>
      <c r="CI305" s="35"/>
      <c r="CJ305" s="35"/>
      <c r="CK305" s="35"/>
      <c r="CL305" s="35"/>
      <c r="CM305" s="35"/>
      <c r="CN305" s="35"/>
      <c r="CO305" s="35"/>
      <c r="CP305" s="35"/>
      <c r="CQ305" s="35"/>
      <c r="CR305" s="35"/>
      <c r="CS305" s="35"/>
      <c r="CT305" s="35"/>
      <c r="CU305" s="35"/>
      <c r="CV305" s="35"/>
      <c r="CW305" s="35"/>
      <c r="CX305" s="35"/>
      <c r="CY305" s="35"/>
      <c r="CZ305" s="35"/>
      <c r="DA305" s="35"/>
      <c r="DB305" s="35"/>
      <c r="DC305" s="35"/>
      <c r="DD305" s="35"/>
      <c r="DE305" s="35"/>
      <c r="DF305" s="35"/>
      <c r="DG305" s="35"/>
      <c r="DH305" s="35"/>
      <c r="DI305" s="35"/>
      <c r="DJ305" s="35"/>
    </row>
    <row r="306" spans="1:114" x14ac:dyDescent="0.25">
      <c r="A306" s="34"/>
      <c r="B306" s="34"/>
      <c r="C306" s="34"/>
      <c r="D306" s="34"/>
      <c r="E306" s="34"/>
      <c r="F306" s="34"/>
      <c r="G306" s="34"/>
      <c r="H306" s="34"/>
      <c r="I306" s="34"/>
      <c r="J306" s="34"/>
      <c r="K306" s="34"/>
      <c r="L306" s="34"/>
      <c r="M306" s="34"/>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c r="AS306" s="35"/>
      <c r="AT306" s="35"/>
      <c r="AU306" s="35"/>
      <c r="AV306" s="35"/>
      <c r="AW306" s="35"/>
      <c r="AX306" s="35"/>
      <c r="AY306" s="35"/>
      <c r="AZ306" s="35"/>
      <c r="BA306" s="35"/>
      <c r="BB306" s="35"/>
      <c r="BC306" s="35"/>
      <c r="BD306" s="35"/>
      <c r="BE306" s="35"/>
      <c r="BF306" s="35"/>
      <c r="BG306" s="35"/>
      <c r="BH306" s="35"/>
      <c r="BI306" s="35"/>
      <c r="BJ306" s="35"/>
      <c r="BK306" s="35"/>
      <c r="BL306" s="35"/>
      <c r="BM306" s="35"/>
      <c r="BN306" s="35"/>
      <c r="BO306" s="35"/>
      <c r="BP306" s="35"/>
      <c r="BQ306" s="35"/>
      <c r="BR306" s="35"/>
      <c r="BS306" s="35"/>
      <c r="BT306" s="35"/>
      <c r="BU306" s="35"/>
      <c r="BV306" s="35"/>
      <c r="BW306" s="35"/>
      <c r="BX306" s="35"/>
      <c r="BY306" s="35"/>
      <c r="BZ306" s="35"/>
      <c r="CA306" s="35"/>
      <c r="CB306" s="35"/>
      <c r="CC306" s="35"/>
      <c r="CD306" s="35"/>
      <c r="CE306" s="35"/>
      <c r="CF306" s="35"/>
      <c r="CG306" s="35"/>
      <c r="CH306" s="35"/>
      <c r="CI306" s="35"/>
      <c r="CJ306" s="35"/>
      <c r="CK306" s="35"/>
      <c r="CL306" s="35"/>
      <c r="CM306" s="35"/>
      <c r="CN306" s="35"/>
      <c r="CO306" s="35"/>
      <c r="CP306" s="35"/>
      <c r="CQ306" s="35"/>
      <c r="CR306" s="35"/>
      <c r="CS306" s="35"/>
      <c r="CT306" s="35"/>
      <c r="CU306" s="35"/>
      <c r="CV306" s="35"/>
      <c r="CW306" s="35"/>
      <c r="CX306" s="35"/>
      <c r="CY306" s="35"/>
      <c r="CZ306" s="35"/>
      <c r="DA306" s="35"/>
      <c r="DB306" s="35"/>
      <c r="DC306" s="35"/>
      <c r="DD306" s="35"/>
      <c r="DE306" s="35"/>
      <c r="DF306" s="35"/>
      <c r="DG306" s="35"/>
      <c r="DH306" s="35"/>
      <c r="DI306" s="35"/>
      <c r="DJ306" s="35"/>
    </row>
    <row r="307" spans="1:114" x14ac:dyDescent="0.25">
      <c r="A307" s="34"/>
      <c r="B307" s="34"/>
      <c r="C307" s="34"/>
      <c r="D307" s="34"/>
      <c r="E307" s="34"/>
      <c r="F307" s="34"/>
      <c r="G307" s="34"/>
      <c r="H307" s="34"/>
      <c r="I307" s="34"/>
      <c r="J307" s="34"/>
      <c r="K307" s="34"/>
      <c r="L307" s="34"/>
      <c r="M307" s="34"/>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c r="AS307" s="35"/>
      <c r="AT307" s="35"/>
      <c r="AU307" s="35"/>
      <c r="AV307" s="35"/>
      <c r="AW307" s="35"/>
      <c r="AX307" s="35"/>
      <c r="AY307" s="35"/>
      <c r="AZ307" s="35"/>
      <c r="BA307" s="35"/>
      <c r="BB307" s="35"/>
      <c r="BC307" s="35"/>
      <c r="BD307" s="35"/>
      <c r="BE307" s="35"/>
      <c r="BF307" s="35"/>
      <c r="BG307" s="35"/>
      <c r="BH307" s="35"/>
      <c r="BI307" s="35"/>
      <c r="BJ307" s="35"/>
      <c r="BK307" s="35"/>
      <c r="BL307" s="35"/>
      <c r="BM307" s="35"/>
      <c r="BN307" s="35"/>
      <c r="BO307" s="35"/>
      <c r="BP307" s="35"/>
      <c r="BQ307" s="35"/>
      <c r="BR307" s="35"/>
      <c r="BS307" s="35"/>
      <c r="BT307" s="35"/>
      <c r="BU307" s="35"/>
      <c r="BV307" s="35"/>
      <c r="BW307" s="35"/>
      <c r="BX307" s="35"/>
      <c r="BY307" s="35"/>
      <c r="BZ307" s="35"/>
      <c r="CA307" s="35"/>
      <c r="CB307" s="35"/>
      <c r="CC307" s="35"/>
      <c r="CD307" s="35"/>
      <c r="CE307" s="35"/>
      <c r="CF307" s="35"/>
      <c r="CG307" s="35"/>
      <c r="CH307" s="35"/>
      <c r="CI307" s="35"/>
      <c r="CJ307" s="35"/>
      <c r="CK307" s="35"/>
      <c r="CL307" s="35"/>
      <c r="CM307" s="35"/>
      <c r="CN307" s="35"/>
      <c r="CO307" s="35"/>
      <c r="CP307" s="35"/>
      <c r="CQ307" s="35"/>
      <c r="CR307" s="35"/>
      <c r="CS307" s="35"/>
      <c r="CT307" s="35"/>
      <c r="CU307" s="35"/>
      <c r="CV307" s="35"/>
      <c r="CW307" s="35"/>
      <c r="CX307" s="35"/>
      <c r="CY307" s="35"/>
      <c r="CZ307" s="35"/>
      <c r="DA307" s="35"/>
      <c r="DB307" s="35"/>
      <c r="DC307" s="35"/>
      <c r="DD307" s="35"/>
      <c r="DE307" s="35"/>
      <c r="DF307" s="35"/>
      <c r="DG307" s="35"/>
      <c r="DH307" s="35"/>
      <c r="DI307" s="35"/>
      <c r="DJ307" s="35"/>
    </row>
    <row r="308" spans="1:114" x14ac:dyDescent="0.25">
      <c r="A308" s="34"/>
      <c r="B308" s="34"/>
      <c r="C308" s="34"/>
      <c r="D308" s="34"/>
      <c r="E308" s="34"/>
      <c r="F308" s="34"/>
      <c r="G308" s="34"/>
      <c r="H308" s="34"/>
      <c r="I308" s="34"/>
      <c r="J308" s="34"/>
      <c r="K308" s="34"/>
      <c r="L308" s="34"/>
      <c r="M308" s="34"/>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c r="AS308" s="35"/>
      <c r="AT308" s="35"/>
      <c r="AU308" s="35"/>
      <c r="AV308" s="35"/>
      <c r="AW308" s="35"/>
      <c r="AX308" s="35"/>
      <c r="AY308" s="35"/>
      <c r="AZ308" s="35"/>
      <c r="BA308" s="35"/>
      <c r="BB308" s="35"/>
      <c r="BC308" s="35"/>
      <c r="BD308" s="35"/>
      <c r="BE308" s="35"/>
      <c r="BF308" s="35"/>
      <c r="BG308" s="35"/>
      <c r="BH308" s="35"/>
      <c r="BI308" s="35"/>
      <c r="BJ308" s="35"/>
      <c r="BK308" s="35"/>
      <c r="BL308" s="35"/>
      <c r="BM308" s="35"/>
      <c r="BN308" s="35"/>
      <c r="BO308" s="35"/>
      <c r="BP308" s="35"/>
      <c r="BQ308" s="35"/>
      <c r="BR308" s="35"/>
      <c r="BS308" s="35"/>
      <c r="BT308" s="35"/>
      <c r="BU308" s="35"/>
      <c r="BV308" s="35"/>
      <c r="BW308" s="35"/>
      <c r="BX308" s="35"/>
      <c r="BY308" s="35"/>
      <c r="BZ308" s="35"/>
      <c r="CA308" s="35"/>
      <c r="CB308" s="35"/>
      <c r="CC308" s="35"/>
      <c r="CD308" s="35"/>
      <c r="CE308" s="35"/>
      <c r="CF308" s="35"/>
      <c r="CG308" s="35"/>
      <c r="CH308" s="35"/>
      <c r="CI308" s="35"/>
      <c r="CJ308" s="35"/>
      <c r="CK308" s="35"/>
      <c r="CL308" s="35"/>
      <c r="CM308" s="35"/>
      <c r="CN308" s="35"/>
      <c r="CO308" s="35"/>
      <c r="CP308" s="35"/>
      <c r="CQ308" s="35"/>
      <c r="CR308" s="35"/>
      <c r="CS308" s="35"/>
      <c r="CT308" s="35"/>
      <c r="CU308" s="35"/>
      <c r="CV308" s="35"/>
      <c r="CW308" s="35"/>
      <c r="CX308" s="35"/>
      <c r="CY308" s="35"/>
      <c r="CZ308" s="35"/>
      <c r="DA308" s="35"/>
      <c r="DB308" s="35"/>
      <c r="DC308" s="35"/>
      <c r="DD308" s="35"/>
      <c r="DE308" s="35"/>
      <c r="DF308" s="35"/>
      <c r="DG308" s="35"/>
      <c r="DH308" s="35"/>
      <c r="DI308" s="35"/>
      <c r="DJ308" s="35"/>
    </row>
    <row r="309" spans="1:114" x14ac:dyDescent="0.25">
      <c r="A309" s="34"/>
      <c r="B309" s="34"/>
      <c r="C309" s="34"/>
      <c r="D309" s="34"/>
      <c r="E309" s="34"/>
      <c r="F309" s="34"/>
      <c r="G309" s="34"/>
      <c r="H309" s="34"/>
      <c r="I309" s="34"/>
      <c r="J309" s="34"/>
      <c r="K309" s="34"/>
      <c r="L309" s="34"/>
      <c r="M309" s="34"/>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c r="AS309" s="35"/>
      <c r="AT309" s="35"/>
      <c r="AU309" s="35"/>
      <c r="AV309" s="35"/>
      <c r="AW309" s="35"/>
      <c r="AX309" s="35"/>
      <c r="AY309" s="35"/>
      <c r="AZ309" s="35"/>
      <c r="BA309" s="35"/>
      <c r="BB309" s="35"/>
      <c r="BC309" s="35"/>
      <c r="BD309" s="35"/>
      <c r="BE309" s="35"/>
      <c r="BF309" s="35"/>
      <c r="BG309" s="35"/>
      <c r="BH309" s="35"/>
      <c r="BI309" s="35"/>
      <c r="BJ309" s="35"/>
      <c r="BK309" s="35"/>
      <c r="BL309" s="35"/>
      <c r="BM309" s="35"/>
      <c r="BN309" s="35"/>
      <c r="BO309" s="35"/>
      <c r="BP309" s="35"/>
      <c r="BQ309" s="35"/>
      <c r="BR309" s="35"/>
      <c r="BS309" s="35"/>
      <c r="BT309" s="35"/>
      <c r="BU309" s="35"/>
      <c r="BV309" s="35"/>
      <c r="BW309" s="35"/>
      <c r="BX309" s="35"/>
      <c r="BY309" s="35"/>
      <c r="BZ309" s="35"/>
      <c r="CA309" s="35"/>
      <c r="CB309" s="35"/>
      <c r="CC309" s="35"/>
      <c r="CD309" s="35"/>
      <c r="CE309" s="35"/>
      <c r="CF309" s="35"/>
      <c r="CG309" s="35"/>
      <c r="CH309" s="35"/>
      <c r="CI309" s="35"/>
      <c r="CJ309" s="35"/>
      <c r="CK309" s="35"/>
      <c r="CL309" s="35"/>
      <c r="CM309" s="35"/>
      <c r="CN309" s="35"/>
      <c r="CO309" s="35"/>
      <c r="CP309" s="35"/>
      <c r="CQ309" s="35"/>
      <c r="CR309" s="35"/>
      <c r="CS309" s="35"/>
      <c r="CT309" s="35"/>
      <c r="CU309" s="35"/>
      <c r="CV309" s="35"/>
      <c r="CW309" s="35"/>
      <c r="CX309" s="35"/>
      <c r="CY309" s="35"/>
      <c r="CZ309" s="35"/>
      <c r="DA309" s="35"/>
      <c r="DB309" s="35"/>
      <c r="DC309" s="35"/>
      <c r="DD309" s="35"/>
      <c r="DE309" s="35"/>
      <c r="DF309" s="35"/>
      <c r="DG309" s="35"/>
      <c r="DH309" s="35"/>
      <c r="DI309" s="35"/>
      <c r="DJ309" s="35"/>
    </row>
    <row r="310" spans="1:114" x14ac:dyDescent="0.25">
      <c r="A310" s="34"/>
      <c r="B310" s="34"/>
      <c r="C310" s="34"/>
      <c r="D310" s="34"/>
      <c r="E310" s="34"/>
      <c r="F310" s="34"/>
      <c r="G310" s="34"/>
      <c r="H310" s="34"/>
      <c r="I310" s="34"/>
      <c r="J310" s="34"/>
      <c r="K310" s="34"/>
      <c r="L310" s="34"/>
      <c r="M310" s="34"/>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c r="AS310" s="35"/>
      <c r="AT310" s="35"/>
      <c r="AU310" s="35"/>
      <c r="AV310" s="35"/>
      <c r="AW310" s="35"/>
      <c r="AX310" s="35"/>
      <c r="AY310" s="35"/>
      <c r="AZ310" s="35"/>
      <c r="BA310" s="35"/>
      <c r="BB310" s="35"/>
      <c r="BC310" s="35"/>
      <c r="BD310" s="35"/>
      <c r="BE310" s="35"/>
      <c r="BF310" s="35"/>
      <c r="BG310" s="35"/>
      <c r="BH310" s="35"/>
      <c r="BI310" s="35"/>
      <c r="BJ310" s="35"/>
      <c r="BK310" s="35"/>
      <c r="BL310" s="35"/>
      <c r="BM310" s="35"/>
      <c r="BN310" s="35"/>
      <c r="BO310" s="35"/>
      <c r="BP310" s="35"/>
      <c r="BQ310" s="35"/>
      <c r="BR310" s="35"/>
      <c r="BS310" s="35"/>
      <c r="BT310" s="35"/>
      <c r="BU310" s="35"/>
      <c r="BV310" s="35"/>
      <c r="BW310" s="35"/>
      <c r="BX310" s="35"/>
      <c r="BY310" s="35"/>
      <c r="BZ310" s="35"/>
      <c r="CA310" s="35"/>
      <c r="CB310" s="35"/>
      <c r="CC310" s="35"/>
      <c r="CD310" s="35"/>
      <c r="CE310" s="35"/>
      <c r="CF310" s="35"/>
      <c r="CG310" s="35"/>
      <c r="CH310" s="35"/>
      <c r="CI310" s="35"/>
      <c r="CJ310" s="35"/>
      <c r="CK310" s="35"/>
      <c r="CL310" s="35"/>
      <c r="CM310" s="35"/>
      <c r="CN310" s="35"/>
      <c r="CO310" s="35"/>
      <c r="CP310" s="35"/>
      <c r="CQ310" s="35"/>
      <c r="CR310" s="35"/>
      <c r="CS310" s="35"/>
      <c r="CT310" s="35"/>
      <c r="CU310" s="35"/>
      <c r="CV310" s="35"/>
      <c r="CW310" s="35"/>
      <c r="CX310" s="35"/>
      <c r="CY310" s="35"/>
      <c r="CZ310" s="35"/>
      <c r="DA310" s="35"/>
      <c r="DB310" s="35"/>
      <c r="DC310" s="35"/>
      <c r="DD310" s="35"/>
      <c r="DE310" s="35"/>
      <c r="DF310" s="35"/>
      <c r="DG310" s="35"/>
      <c r="DH310" s="35"/>
      <c r="DI310" s="35"/>
      <c r="DJ310" s="35"/>
    </row>
    <row r="311" spans="1:114" x14ac:dyDescent="0.25">
      <c r="A311" s="34"/>
      <c r="B311" s="34"/>
      <c r="C311" s="34"/>
      <c r="D311" s="34"/>
      <c r="E311" s="34"/>
      <c r="F311" s="34"/>
      <c r="G311" s="34"/>
      <c r="H311" s="34"/>
      <c r="I311" s="34"/>
      <c r="J311" s="34"/>
      <c r="K311" s="34"/>
      <c r="L311" s="34"/>
      <c r="M311" s="34"/>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c r="AS311" s="35"/>
      <c r="AT311" s="35"/>
      <c r="AU311" s="35"/>
      <c r="AV311" s="35"/>
      <c r="AW311" s="35"/>
      <c r="AX311" s="35"/>
      <c r="AY311" s="35"/>
      <c r="AZ311" s="35"/>
      <c r="BA311" s="35"/>
      <c r="BB311" s="35"/>
      <c r="BC311" s="35"/>
      <c r="BD311" s="35"/>
      <c r="BE311" s="35"/>
      <c r="BF311" s="35"/>
      <c r="BG311" s="35"/>
      <c r="BH311" s="35"/>
      <c r="BI311" s="35"/>
      <c r="BJ311" s="35"/>
      <c r="BK311" s="35"/>
      <c r="BL311" s="35"/>
      <c r="BM311" s="35"/>
      <c r="BN311" s="35"/>
      <c r="BO311" s="35"/>
      <c r="BP311" s="35"/>
      <c r="BQ311" s="35"/>
      <c r="BR311" s="35"/>
      <c r="BS311" s="35"/>
      <c r="BT311" s="35"/>
      <c r="BU311" s="35"/>
      <c r="BV311" s="35"/>
      <c r="BW311" s="35"/>
      <c r="BX311" s="35"/>
      <c r="BY311" s="35"/>
      <c r="BZ311" s="35"/>
      <c r="CA311" s="35"/>
      <c r="CB311" s="35"/>
      <c r="CC311" s="35"/>
      <c r="CD311" s="35"/>
      <c r="CE311" s="35"/>
      <c r="CF311" s="35"/>
      <c r="CG311" s="35"/>
      <c r="CH311" s="35"/>
      <c r="CI311" s="35"/>
      <c r="CJ311" s="35"/>
      <c r="CK311" s="35"/>
      <c r="CL311" s="35"/>
      <c r="CM311" s="35"/>
      <c r="CN311" s="35"/>
      <c r="CO311" s="35"/>
      <c r="CP311" s="35"/>
      <c r="CQ311" s="35"/>
      <c r="CR311" s="35"/>
      <c r="CS311" s="35"/>
      <c r="CT311" s="35"/>
      <c r="CU311" s="35"/>
      <c r="CV311" s="35"/>
      <c r="CW311" s="35"/>
      <c r="CX311" s="35"/>
      <c r="CY311" s="35"/>
      <c r="CZ311" s="35"/>
      <c r="DA311" s="35"/>
      <c r="DB311" s="35"/>
      <c r="DC311" s="35"/>
      <c r="DD311" s="35"/>
      <c r="DE311" s="35"/>
      <c r="DF311" s="35"/>
      <c r="DG311" s="35"/>
      <c r="DH311" s="35"/>
      <c r="DI311" s="35"/>
      <c r="DJ311" s="35"/>
    </row>
    <row r="312" spans="1:114" x14ac:dyDescent="0.25">
      <c r="A312" s="34"/>
      <c r="B312" s="34"/>
      <c r="C312" s="34"/>
      <c r="D312" s="34"/>
      <c r="E312" s="34"/>
      <c r="F312" s="34"/>
      <c r="G312" s="34"/>
      <c r="H312" s="34"/>
      <c r="I312" s="34"/>
      <c r="J312" s="34"/>
      <c r="K312" s="34"/>
      <c r="L312" s="34"/>
      <c r="M312" s="34"/>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c r="AS312" s="35"/>
      <c r="AT312" s="35"/>
      <c r="AU312" s="35"/>
      <c r="AV312" s="35"/>
      <c r="AW312" s="35"/>
      <c r="AX312" s="35"/>
      <c r="AY312" s="35"/>
      <c r="AZ312" s="35"/>
      <c r="BA312" s="35"/>
      <c r="BB312" s="35"/>
      <c r="BC312" s="35"/>
      <c r="BD312" s="35"/>
      <c r="BE312" s="35"/>
      <c r="BF312" s="35"/>
      <c r="BG312" s="35"/>
      <c r="BH312" s="35"/>
      <c r="BI312" s="35"/>
      <c r="BJ312" s="35"/>
      <c r="BK312" s="35"/>
      <c r="BL312" s="35"/>
      <c r="BM312" s="35"/>
      <c r="BN312" s="35"/>
      <c r="BO312" s="35"/>
      <c r="BP312" s="35"/>
      <c r="BQ312" s="35"/>
      <c r="BR312" s="35"/>
      <c r="BS312" s="35"/>
      <c r="BT312" s="35"/>
      <c r="BU312" s="35"/>
      <c r="BV312" s="35"/>
      <c r="BW312" s="35"/>
      <c r="BX312" s="35"/>
      <c r="BY312" s="35"/>
      <c r="BZ312" s="35"/>
      <c r="CA312" s="35"/>
      <c r="CB312" s="35"/>
      <c r="CC312" s="35"/>
      <c r="CD312" s="35"/>
      <c r="CE312" s="35"/>
      <c r="CF312" s="35"/>
      <c r="CG312" s="35"/>
      <c r="CH312" s="35"/>
      <c r="CI312" s="35"/>
      <c r="CJ312" s="35"/>
      <c r="CK312" s="35"/>
      <c r="CL312" s="35"/>
      <c r="CM312" s="35"/>
      <c r="CN312" s="35"/>
      <c r="CO312" s="35"/>
      <c r="CP312" s="35"/>
      <c r="CQ312" s="35"/>
      <c r="CR312" s="35"/>
      <c r="CS312" s="35"/>
      <c r="CT312" s="35"/>
      <c r="CU312" s="35"/>
      <c r="CV312" s="35"/>
      <c r="CW312" s="35"/>
      <c r="CX312" s="35"/>
      <c r="CY312" s="35"/>
      <c r="CZ312" s="35"/>
      <c r="DA312" s="35"/>
      <c r="DB312" s="35"/>
      <c r="DC312" s="35"/>
      <c r="DD312" s="35"/>
      <c r="DE312" s="35"/>
      <c r="DF312" s="35"/>
      <c r="DG312" s="35"/>
      <c r="DH312" s="35"/>
      <c r="DI312" s="35"/>
      <c r="DJ312" s="35"/>
    </row>
    <row r="313" spans="1:114" x14ac:dyDescent="0.25">
      <c r="A313" s="34"/>
      <c r="B313" s="34"/>
      <c r="C313" s="34"/>
      <c r="D313" s="34"/>
      <c r="E313" s="34"/>
      <c r="F313" s="34"/>
      <c r="G313" s="34"/>
      <c r="H313" s="34"/>
      <c r="I313" s="34"/>
      <c r="J313" s="34"/>
      <c r="K313" s="34"/>
      <c r="L313" s="34"/>
      <c r="M313" s="34"/>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c r="AS313" s="35"/>
      <c r="AT313" s="35"/>
      <c r="AU313" s="35"/>
      <c r="AV313" s="35"/>
      <c r="AW313" s="35"/>
      <c r="AX313" s="35"/>
      <c r="AY313" s="35"/>
      <c r="AZ313" s="35"/>
      <c r="BA313" s="35"/>
      <c r="BB313" s="35"/>
      <c r="BC313" s="35"/>
      <c r="BD313" s="35"/>
      <c r="BE313" s="35"/>
      <c r="BF313" s="35"/>
      <c r="BG313" s="35"/>
      <c r="BH313" s="35"/>
      <c r="BI313" s="35"/>
      <c r="BJ313" s="35"/>
      <c r="BK313" s="35"/>
      <c r="BL313" s="35"/>
      <c r="BM313" s="35"/>
      <c r="BN313" s="35"/>
      <c r="BO313" s="35"/>
      <c r="BP313" s="35"/>
      <c r="BQ313" s="35"/>
      <c r="BR313" s="35"/>
      <c r="BS313" s="35"/>
      <c r="BT313" s="35"/>
      <c r="BU313" s="35"/>
      <c r="BV313" s="35"/>
      <c r="BW313" s="35"/>
      <c r="BX313" s="35"/>
      <c r="BY313" s="35"/>
      <c r="BZ313" s="35"/>
      <c r="CA313" s="35"/>
      <c r="CB313" s="35"/>
      <c r="CC313" s="35"/>
      <c r="CD313" s="35"/>
      <c r="CE313" s="35"/>
      <c r="CF313" s="35"/>
      <c r="CG313" s="35"/>
      <c r="CH313" s="35"/>
      <c r="CI313" s="35"/>
      <c r="CJ313" s="35"/>
      <c r="CK313" s="35"/>
      <c r="CL313" s="35"/>
      <c r="CM313" s="35"/>
      <c r="CN313" s="35"/>
      <c r="CO313" s="35"/>
      <c r="CP313" s="35"/>
      <c r="CQ313" s="35"/>
      <c r="CR313" s="35"/>
      <c r="CS313" s="35"/>
      <c r="CT313" s="35"/>
      <c r="CU313" s="35"/>
      <c r="CV313" s="35"/>
      <c r="CW313" s="35"/>
      <c r="CX313" s="35"/>
      <c r="CY313" s="35"/>
      <c r="CZ313" s="35"/>
      <c r="DA313" s="35"/>
      <c r="DB313" s="35"/>
      <c r="DC313" s="35"/>
      <c r="DD313" s="35"/>
      <c r="DE313" s="35"/>
      <c r="DF313" s="35"/>
      <c r="DG313" s="35"/>
      <c r="DH313" s="35"/>
      <c r="DI313" s="35"/>
      <c r="DJ313" s="35"/>
    </row>
    <row r="314" spans="1:114" x14ac:dyDescent="0.25">
      <c r="A314" s="34"/>
      <c r="B314" s="34"/>
      <c r="C314" s="34"/>
      <c r="D314" s="34"/>
      <c r="E314" s="34"/>
      <c r="F314" s="34"/>
      <c r="G314" s="34"/>
      <c r="H314" s="34"/>
      <c r="I314" s="34"/>
      <c r="J314" s="34"/>
      <c r="K314" s="34"/>
      <c r="L314" s="34"/>
      <c r="M314" s="34"/>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c r="AS314" s="35"/>
      <c r="AT314" s="35"/>
      <c r="AU314" s="35"/>
      <c r="AV314" s="35"/>
      <c r="AW314" s="35"/>
      <c r="AX314" s="35"/>
      <c r="AY314" s="35"/>
      <c r="AZ314" s="35"/>
      <c r="BA314" s="35"/>
      <c r="BB314" s="35"/>
      <c r="BC314" s="35"/>
      <c r="BD314" s="35"/>
      <c r="BE314" s="35"/>
      <c r="BF314" s="35"/>
      <c r="BG314" s="35"/>
      <c r="BH314" s="35"/>
      <c r="BI314" s="35"/>
      <c r="BJ314" s="35"/>
      <c r="BK314" s="35"/>
      <c r="BL314" s="35"/>
      <c r="BM314" s="35"/>
      <c r="BN314" s="35"/>
      <c r="BO314" s="35"/>
      <c r="BP314" s="35"/>
      <c r="BQ314" s="35"/>
      <c r="BR314" s="35"/>
      <c r="BS314" s="35"/>
      <c r="BT314" s="35"/>
      <c r="BU314" s="35"/>
      <c r="BV314" s="35"/>
      <c r="BW314" s="35"/>
      <c r="BX314" s="35"/>
      <c r="BY314" s="35"/>
      <c r="BZ314" s="35"/>
      <c r="CA314" s="35"/>
      <c r="CB314" s="35"/>
      <c r="CC314" s="35"/>
      <c r="CD314" s="35"/>
      <c r="CE314" s="35"/>
      <c r="CF314" s="35"/>
      <c r="CG314" s="35"/>
      <c r="CH314" s="35"/>
      <c r="CI314" s="35"/>
      <c r="CJ314" s="35"/>
      <c r="CK314" s="35"/>
      <c r="CL314" s="35"/>
      <c r="CM314" s="35"/>
      <c r="CN314" s="35"/>
      <c r="CO314" s="35"/>
      <c r="CP314" s="35"/>
      <c r="CQ314" s="35"/>
      <c r="CR314" s="35"/>
      <c r="CS314" s="35"/>
      <c r="CT314" s="35"/>
      <c r="CU314" s="35"/>
      <c r="CV314" s="35"/>
      <c r="CW314" s="35"/>
      <c r="CX314" s="35"/>
      <c r="CY314" s="35"/>
      <c r="CZ314" s="35"/>
      <c r="DA314" s="35"/>
      <c r="DB314" s="35"/>
      <c r="DC314" s="35"/>
      <c r="DD314" s="35"/>
      <c r="DE314" s="35"/>
      <c r="DF314" s="35"/>
      <c r="DG314" s="35"/>
      <c r="DH314" s="35"/>
      <c r="DI314" s="35"/>
      <c r="DJ314" s="35"/>
    </row>
    <row r="315" spans="1:114" x14ac:dyDescent="0.25">
      <c r="A315" s="34"/>
      <c r="B315" s="34"/>
      <c r="C315" s="34"/>
      <c r="D315" s="34"/>
      <c r="E315" s="34"/>
      <c r="F315" s="34"/>
      <c r="G315" s="34"/>
      <c r="H315" s="34"/>
      <c r="I315" s="34"/>
      <c r="J315" s="34"/>
      <c r="K315" s="34"/>
      <c r="L315" s="34"/>
      <c r="M315" s="34"/>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c r="AS315" s="35"/>
      <c r="AT315" s="35"/>
      <c r="AU315" s="35"/>
      <c r="AV315" s="35"/>
      <c r="AW315" s="35"/>
      <c r="AX315" s="35"/>
      <c r="AY315" s="35"/>
      <c r="AZ315" s="35"/>
      <c r="BA315" s="35"/>
      <c r="BB315" s="35"/>
      <c r="BC315" s="35"/>
      <c r="BD315" s="35"/>
      <c r="BE315" s="35"/>
      <c r="BF315" s="35"/>
      <c r="BG315" s="35"/>
      <c r="BH315" s="35"/>
      <c r="BI315" s="35"/>
      <c r="BJ315" s="35"/>
      <c r="BK315" s="35"/>
      <c r="BL315" s="35"/>
      <c r="BM315" s="35"/>
      <c r="BN315" s="35"/>
      <c r="BO315" s="35"/>
      <c r="BP315" s="35"/>
      <c r="BQ315" s="35"/>
      <c r="BR315" s="35"/>
      <c r="BS315" s="35"/>
      <c r="BT315" s="35"/>
      <c r="BU315" s="35"/>
      <c r="BV315" s="35"/>
      <c r="BW315" s="35"/>
      <c r="BX315" s="35"/>
      <c r="BY315" s="35"/>
      <c r="BZ315" s="35"/>
      <c r="CA315" s="35"/>
      <c r="CB315" s="35"/>
      <c r="CC315" s="35"/>
      <c r="CD315" s="35"/>
      <c r="CE315" s="35"/>
      <c r="CF315" s="35"/>
      <c r="CG315" s="35"/>
      <c r="CH315" s="35"/>
      <c r="CI315" s="35"/>
      <c r="CJ315" s="35"/>
      <c r="CK315" s="35"/>
      <c r="CL315" s="35"/>
      <c r="CM315" s="35"/>
      <c r="CN315" s="35"/>
      <c r="CO315" s="35"/>
      <c r="CP315" s="35"/>
      <c r="CQ315" s="35"/>
      <c r="CR315" s="35"/>
      <c r="CS315" s="35"/>
      <c r="CT315" s="35"/>
      <c r="CU315" s="35"/>
      <c r="CV315" s="35"/>
      <c r="CW315" s="35"/>
      <c r="CX315" s="35"/>
      <c r="CY315" s="35"/>
      <c r="CZ315" s="35"/>
      <c r="DA315" s="35"/>
      <c r="DB315" s="35"/>
      <c r="DC315" s="35"/>
      <c r="DD315" s="35"/>
      <c r="DE315" s="35"/>
      <c r="DF315" s="35"/>
      <c r="DG315" s="35"/>
      <c r="DH315" s="35"/>
      <c r="DI315" s="35"/>
      <c r="DJ315" s="35"/>
    </row>
    <row r="316" spans="1:114" x14ac:dyDescent="0.25">
      <c r="A316" s="34"/>
      <c r="B316" s="34"/>
      <c r="C316" s="34"/>
      <c r="D316" s="34"/>
      <c r="E316" s="34"/>
      <c r="F316" s="34"/>
      <c r="G316" s="34"/>
      <c r="H316" s="34"/>
      <c r="I316" s="34"/>
      <c r="J316" s="34"/>
      <c r="K316" s="34"/>
      <c r="L316" s="34"/>
      <c r="M316" s="34"/>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c r="AS316" s="35"/>
      <c r="AT316" s="35"/>
      <c r="AU316" s="35"/>
      <c r="AV316" s="35"/>
      <c r="AW316" s="35"/>
      <c r="AX316" s="35"/>
      <c r="AY316" s="35"/>
      <c r="AZ316" s="35"/>
      <c r="BA316" s="35"/>
      <c r="BB316" s="35"/>
      <c r="BC316" s="35"/>
      <c r="BD316" s="35"/>
      <c r="BE316" s="35"/>
      <c r="BF316" s="35"/>
      <c r="BG316" s="35"/>
      <c r="BH316" s="35"/>
      <c r="BI316" s="35"/>
      <c r="BJ316" s="35"/>
      <c r="BK316" s="35"/>
      <c r="BL316" s="35"/>
      <c r="BM316" s="35"/>
      <c r="BN316" s="35"/>
      <c r="BO316" s="35"/>
      <c r="BP316" s="35"/>
      <c r="BQ316" s="35"/>
      <c r="BR316" s="35"/>
      <c r="BS316" s="35"/>
      <c r="BT316" s="35"/>
      <c r="BU316" s="35"/>
      <c r="BV316" s="35"/>
      <c r="BW316" s="35"/>
      <c r="BX316" s="35"/>
      <c r="BY316" s="35"/>
      <c r="BZ316" s="35"/>
      <c r="CA316" s="35"/>
      <c r="CB316" s="35"/>
      <c r="CC316" s="35"/>
      <c r="CD316" s="35"/>
      <c r="CE316" s="35"/>
      <c r="CF316" s="35"/>
      <c r="CG316" s="35"/>
      <c r="CH316" s="35"/>
      <c r="CI316" s="35"/>
      <c r="CJ316" s="35"/>
      <c r="CK316" s="35"/>
      <c r="CL316" s="35"/>
      <c r="CM316" s="35"/>
      <c r="CN316" s="35"/>
      <c r="CO316" s="35"/>
      <c r="CP316" s="35"/>
      <c r="CQ316" s="35"/>
      <c r="CR316" s="35"/>
      <c r="CS316" s="35"/>
      <c r="CT316" s="35"/>
      <c r="CU316" s="35"/>
      <c r="CV316" s="35"/>
      <c r="CW316" s="35"/>
      <c r="CX316" s="35"/>
      <c r="CY316" s="35"/>
      <c r="CZ316" s="35"/>
      <c r="DA316" s="35"/>
      <c r="DB316" s="35"/>
      <c r="DC316" s="35"/>
      <c r="DD316" s="35"/>
      <c r="DE316" s="35"/>
      <c r="DF316" s="35"/>
      <c r="DG316" s="35"/>
      <c r="DH316" s="35"/>
      <c r="DI316" s="35"/>
      <c r="DJ316" s="35"/>
    </row>
    <row r="317" spans="1:114" x14ac:dyDescent="0.25">
      <c r="A317" s="34"/>
      <c r="B317" s="34"/>
      <c r="C317" s="34"/>
      <c r="D317" s="34"/>
      <c r="E317" s="34"/>
      <c r="F317" s="34"/>
      <c r="G317" s="34"/>
      <c r="H317" s="34"/>
      <c r="I317" s="34"/>
      <c r="J317" s="34"/>
      <c r="K317" s="34"/>
      <c r="L317" s="34"/>
      <c r="M317" s="34"/>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c r="AS317" s="35"/>
      <c r="AT317" s="35"/>
      <c r="AU317" s="35"/>
      <c r="AV317" s="35"/>
      <c r="AW317" s="35"/>
      <c r="AX317" s="35"/>
      <c r="AY317" s="35"/>
      <c r="AZ317" s="35"/>
      <c r="BA317" s="35"/>
      <c r="BB317" s="35"/>
      <c r="BC317" s="35"/>
      <c r="BD317" s="35"/>
      <c r="BE317" s="35"/>
      <c r="BF317" s="35"/>
      <c r="BG317" s="35"/>
      <c r="BH317" s="35"/>
      <c r="BI317" s="35"/>
      <c r="BJ317" s="35"/>
      <c r="BK317" s="35"/>
      <c r="BL317" s="35"/>
      <c r="BM317" s="35"/>
      <c r="BN317" s="35"/>
      <c r="BO317" s="35"/>
      <c r="BP317" s="35"/>
      <c r="BQ317" s="35"/>
      <c r="BR317" s="35"/>
      <c r="BS317" s="35"/>
      <c r="BT317" s="35"/>
      <c r="BU317" s="35"/>
      <c r="BV317" s="35"/>
      <c r="BW317" s="35"/>
      <c r="BX317" s="35"/>
      <c r="BY317" s="35"/>
      <c r="BZ317" s="35"/>
      <c r="CA317" s="35"/>
      <c r="CB317" s="35"/>
      <c r="CC317" s="35"/>
      <c r="CD317" s="35"/>
      <c r="CE317" s="35"/>
      <c r="CF317" s="35"/>
      <c r="CG317" s="35"/>
      <c r="CH317" s="35"/>
      <c r="CI317" s="35"/>
      <c r="CJ317" s="35"/>
      <c r="CK317" s="35"/>
      <c r="CL317" s="35"/>
      <c r="CM317" s="35"/>
      <c r="CN317" s="35"/>
      <c r="CO317" s="35"/>
      <c r="CP317" s="35"/>
      <c r="CQ317" s="35"/>
      <c r="CR317" s="35"/>
      <c r="CS317" s="35"/>
      <c r="CT317" s="35"/>
      <c r="CU317" s="35"/>
      <c r="CV317" s="35"/>
      <c r="CW317" s="35"/>
      <c r="CX317" s="35"/>
      <c r="CY317" s="35"/>
      <c r="CZ317" s="35"/>
      <c r="DA317" s="35"/>
      <c r="DB317" s="35"/>
      <c r="DC317" s="35"/>
      <c r="DD317" s="35"/>
      <c r="DE317" s="35"/>
      <c r="DF317" s="35"/>
      <c r="DG317" s="35"/>
      <c r="DH317" s="35"/>
      <c r="DI317" s="35"/>
      <c r="DJ317" s="35"/>
    </row>
    <row r="318" spans="1:114" x14ac:dyDescent="0.25">
      <c r="A318" s="34"/>
      <c r="B318" s="34"/>
      <c r="C318" s="34"/>
      <c r="D318" s="34"/>
      <c r="E318" s="34"/>
      <c r="F318" s="34"/>
      <c r="G318" s="34"/>
      <c r="H318" s="34"/>
      <c r="I318" s="34"/>
      <c r="J318" s="34"/>
      <c r="K318" s="34"/>
      <c r="L318" s="34"/>
      <c r="M318" s="34"/>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c r="AS318" s="35"/>
      <c r="AT318" s="35"/>
      <c r="AU318" s="35"/>
      <c r="AV318" s="35"/>
      <c r="AW318" s="35"/>
      <c r="AX318" s="35"/>
      <c r="AY318" s="35"/>
      <c r="AZ318" s="35"/>
      <c r="BA318" s="35"/>
      <c r="BB318" s="35"/>
      <c r="BC318" s="35"/>
      <c r="BD318" s="35"/>
      <c r="BE318" s="35"/>
      <c r="BF318" s="35"/>
      <c r="BG318" s="35"/>
      <c r="BH318" s="35"/>
      <c r="BI318" s="35"/>
      <c r="BJ318" s="35"/>
      <c r="BK318" s="35"/>
      <c r="BL318" s="35"/>
      <c r="BM318" s="35"/>
      <c r="BN318" s="35"/>
      <c r="BO318" s="35"/>
      <c r="BP318" s="35"/>
      <c r="BQ318" s="35"/>
      <c r="BR318" s="35"/>
      <c r="BS318" s="35"/>
      <c r="BT318" s="35"/>
      <c r="BU318" s="35"/>
      <c r="BV318" s="35"/>
      <c r="BW318" s="35"/>
      <c r="BX318" s="35"/>
      <c r="BY318" s="35"/>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c r="DD318" s="35"/>
      <c r="DE318" s="35"/>
      <c r="DF318" s="35"/>
      <c r="DG318" s="35"/>
      <c r="DH318" s="35"/>
      <c r="DI318" s="35"/>
      <c r="DJ318" s="35"/>
    </row>
    <row r="319" spans="1:114" x14ac:dyDescent="0.25">
      <c r="A319" s="34"/>
      <c r="B319" s="34"/>
      <c r="C319" s="34"/>
      <c r="D319" s="34"/>
      <c r="E319" s="34"/>
      <c r="F319" s="34"/>
      <c r="G319" s="34"/>
      <c r="H319" s="34"/>
      <c r="I319" s="34"/>
      <c r="J319" s="34"/>
      <c r="K319" s="34"/>
      <c r="L319" s="34"/>
      <c r="M319" s="34"/>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c r="AS319" s="35"/>
      <c r="AT319" s="35"/>
      <c r="AU319" s="35"/>
      <c r="AV319" s="35"/>
      <c r="AW319" s="35"/>
      <c r="AX319" s="35"/>
      <c r="AY319" s="35"/>
      <c r="AZ319" s="35"/>
      <c r="BA319" s="35"/>
      <c r="BB319" s="35"/>
      <c r="BC319" s="35"/>
      <c r="BD319" s="35"/>
      <c r="BE319" s="35"/>
      <c r="BF319" s="35"/>
      <c r="BG319" s="35"/>
      <c r="BH319" s="35"/>
      <c r="BI319" s="35"/>
      <c r="BJ319" s="35"/>
      <c r="BK319" s="35"/>
      <c r="BL319" s="35"/>
      <c r="BM319" s="35"/>
      <c r="BN319" s="35"/>
      <c r="BO319" s="35"/>
      <c r="BP319" s="35"/>
      <c r="BQ319" s="35"/>
      <c r="BR319" s="35"/>
      <c r="BS319" s="35"/>
      <c r="BT319" s="35"/>
      <c r="BU319" s="35"/>
      <c r="BV319" s="35"/>
      <c r="BW319" s="35"/>
      <c r="BX319" s="35"/>
      <c r="BY319" s="35"/>
      <c r="BZ319" s="35"/>
      <c r="CA319" s="35"/>
      <c r="CB319" s="35"/>
      <c r="CC319" s="35"/>
      <c r="CD319" s="35"/>
      <c r="CE319" s="35"/>
      <c r="CF319" s="35"/>
      <c r="CG319" s="35"/>
      <c r="CH319" s="35"/>
      <c r="CI319" s="35"/>
      <c r="CJ319" s="35"/>
      <c r="CK319" s="35"/>
      <c r="CL319" s="35"/>
      <c r="CM319" s="35"/>
      <c r="CN319" s="35"/>
      <c r="CO319" s="35"/>
      <c r="CP319" s="35"/>
      <c r="CQ319" s="35"/>
      <c r="CR319" s="35"/>
      <c r="CS319" s="35"/>
      <c r="CT319" s="35"/>
      <c r="CU319" s="35"/>
      <c r="CV319" s="35"/>
      <c r="CW319" s="35"/>
      <c r="CX319" s="35"/>
      <c r="CY319" s="35"/>
      <c r="CZ319" s="35"/>
      <c r="DA319" s="35"/>
      <c r="DB319" s="35"/>
      <c r="DC319" s="35"/>
      <c r="DD319" s="35"/>
      <c r="DE319" s="35"/>
      <c r="DF319" s="35"/>
      <c r="DG319" s="35"/>
      <c r="DH319" s="35"/>
      <c r="DI319" s="35"/>
      <c r="DJ319" s="35"/>
    </row>
    <row r="320" spans="1:114" x14ac:dyDescent="0.25">
      <c r="A320" s="34"/>
      <c r="B320" s="34"/>
      <c r="C320" s="34"/>
      <c r="D320" s="34"/>
      <c r="E320" s="34"/>
      <c r="F320" s="34"/>
      <c r="G320" s="34"/>
      <c r="H320" s="34"/>
      <c r="I320" s="34"/>
      <c r="J320" s="34"/>
      <c r="K320" s="34"/>
      <c r="L320" s="34"/>
      <c r="M320" s="34"/>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c r="AS320" s="35"/>
      <c r="AT320" s="35"/>
      <c r="AU320" s="35"/>
      <c r="AV320" s="35"/>
      <c r="AW320" s="35"/>
      <c r="AX320" s="35"/>
      <c r="AY320" s="35"/>
      <c r="AZ320" s="35"/>
      <c r="BA320" s="35"/>
      <c r="BB320" s="35"/>
      <c r="BC320" s="35"/>
      <c r="BD320" s="35"/>
      <c r="BE320" s="35"/>
      <c r="BF320" s="35"/>
      <c r="BG320" s="35"/>
      <c r="BH320" s="35"/>
      <c r="BI320" s="35"/>
      <c r="BJ320" s="35"/>
      <c r="BK320" s="35"/>
      <c r="BL320" s="35"/>
      <c r="BM320" s="35"/>
      <c r="BN320" s="35"/>
      <c r="BO320" s="35"/>
      <c r="BP320" s="35"/>
      <c r="BQ320" s="35"/>
      <c r="BR320" s="35"/>
      <c r="BS320" s="35"/>
      <c r="BT320" s="35"/>
      <c r="BU320" s="35"/>
      <c r="BV320" s="35"/>
      <c r="BW320" s="35"/>
      <c r="BX320" s="35"/>
      <c r="BY320" s="35"/>
      <c r="BZ320" s="35"/>
      <c r="CA320" s="35"/>
      <c r="CB320" s="35"/>
      <c r="CC320" s="35"/>
      <c r="CD320" s="35"/>
      <c r="CE320" s="35"/>
      <c r="CF320" s="35"/>
      <c r="CG320" s="35"/>
      <c r="CH320" s="35"/>
      <c r="CI320" s="35"/>
      <c r="CJ320" s="35"/>
      <c r="CK320" s="35"/>
      <c r="CL320" s="35"/>
      <c r="CM320" s="35"/>
      <c r="CN320" s="35"/>
      <c r="CO320" s="35"/>
      <c r="CP320" s="35"/>
      <c r="CQ320" s="35"/>
      <c r="CR320" s="35"/>
      <c r="CS320" s="35"/>
      <c r="CT320" s="35"/>
      <c r="CU320" s="35"/>
      <c r="CV320" s="35"/>
      <c r="CW320" s="35"/>
      <c r="CX320" s="35"/>
      <c r="CY320" s="35"/>
      <c r="CZ320" s="35"/>
      <c r="DA320" s="35"/>
      <c r="DB320" s="35"/>
      <c r="DC320" s="35"/>
      <c r="DD320" s="35"/>
      <c r="DE320" s="35"/>
      <c r="DF320" s="35"/>
      <c r="DG320" s="35"/>
      <c r="DH320" s="35"/>
      <c r="DI320" s="35"/>
      <c r="DJ320" s="35"/>
    </row>
    <row r="321" spans="1:114" x14ac:dyDescent="0.25">
      <c r="A321" s="34"/>
      <c r="B321" s="34"/>
      <c r="C321" s="34"/>
      <c r="D321" s="34"/>
      <c r="E321" s="34"/>
      <c r="F321" s="34"/>
      <c r="G321" s="34"/>
      <c r="H321" s="34"/>
      <c r="I321" s="34"/>
      <c r="J321" s="34"/>
      <c r="K321" s="34"/>
      <c r="L321" s="34"/>
      <c r="M321" s="34"/>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c r="AS321" s="35"/>
      <c r="AT321" s="35"/>
      <c r="AU321" s="35"/>
      <c r="AV321" s="35"/>
      <c r="AW321" s="35"/>
      <c r="AX321" s="35"/>
      <c r="AY321" s="35"/>
      <c r="AZ321" s="35"/>
      <c r="BA321" s="35"/>
      <c r="BB321" s="35"/>
      <c r="BC321" s="35"/>
      <c r="BD321" s="35"/>
      <c r="BE321" s="35"/>
      <c r="BF321" s="35"/>
      <c r="BG321" s="35"/>
      <c r="BH321" s="35"/>
      <c r="BI321" s="35"/>
      <c r="BJ321" s="35"/>
      <c r="BK321" s="35"/>
      <c r="BL321" s="35"/>
      <c r="BM321" s="35"/>
      <c r="BN321" s="35"/>
      <c r="BO321" s="35"/>
      <c r="BP321" s="35"/>
      <c r="BQ321" s="35"/>
      <c r="BR321" s="35"/>
      <c r="BS321" s="35"/>
      <c r="BT321" s="35"/>
      <c r="BU321" s="35"/>
      <c r="BV321" s="35"/>
      <c r="BW321" s="35"/>
      <c r="BX321" s="35"/>
      <c r="BY321" s="35"/>
      <c r="BZ321" s="35"/>
      <c r="CA321" s="35"/>
      <c r="CB321" s="35"/>
      <c r="CC321" s="35"/>
      <c r="CD321" s="35"/>
      <c r="CE321" s="35"/>
      <c r="CF321" s="35"/>
      <c r="CG321" s="35"/>
      <c r="CH321" s="35"/>
      <c r="CI321" s="35"/>
      <c r="CJ321" s="35"/>
      <c r="CK321" s="35"/>
      <c r="CL321" s="35"/>
      <c r="CM321" s="35"/>
      <c r="CN321" s="35"/>
      <c r="CO321" s="35"/>
      <c r="CP321" s="35"/>
      <c r="CQ321" s="35"/>
      <c r="CR321" s="35"/>
      <c r="CS321" s="35"/>
      <c r="CT321" s="35"/>
      <c r="CU321" s="35"/>
      <c r="CV321" s="35"/>
      <c r="CW321" s="35"/>
      <c r="CX321" s="35"/>
      <c r="CY321" s="35"/>
      <c r="CZ321" s="35"/>
      <c r="DA321" s="35"/>
      <c r="DB321" s="35"/>
      <c r="DC321" s="35"/>
      <c r="DD321" s="35"/>
      <c r="DE321" s="35"/>
      <c r="DF321" s="35"/>
      <c r="DG321" s="35"/>
      <c r="DH321" s="35"/>
      <c r="DI321" s="35"/>
      <c r="DJ321" s="35"/>
    </row>
    <row r="322" spans="1:114" x14ac:dyDescent="0.25">
      <c r="A322" s="34"/>
      <c r="B322" s="34"/>
      <c r="C322" s="34"/>
      <c r="D322" s="34"/>
      <c r="E322" s="34"/>
      <c r="F322" s="34"/>
      <c r="G322" s="34"/>
      <c r="H322" s="34"/>
      <c r="I322" s="34"/>
      <c r="J322" s="34"/>
      <c r="K322" s="34"/>
      <c r="L322" s="34"/>
      <c r="M322" s="34"/>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c r="AS322" s="35"/>
      <c r="AT322" s="35"/>
      <c r="AU322" s="35"/>
      <c r="AV322" s="35"/>
      <c r="AW322" s="35"/>
      <c r="AX322" s="35"/>
      <c r="AY322" s="35"/>
      <c r="AZ322" s="35"/>
      <c r="BA322" s="35"/>
      <c r="BB322" s="35"/>
      <c r="BC322" s="35"/>
      <c r="BD322" s="35"/>
      <c r="BE322" s="35"/>
      <c r="BF322" s="35"/>
      <c r="BG322" s="35"/>
      <c r="BH322" s="35"/>
      <c r="BI322" s="35"/>
      <c r="BJ322" s="35"/>
      <c r="BK322" s="35"/>
      <c r="BL322" s="35"/>
      <c r="BM322" s="35"/>
      <c r="BN322" s="35"/>
      <c r="BO322" s="35"/>
      <c r="BP322" s="35"/>
      <c r="BQ322" s="35"/>
      <c r="BR322" s="35"/>
      <c r="BS322" s="35"/>
      <c r="BT322" s="35"/>
      <c r="BU322" s="35"/>
      <c r="BV322" s="35"/>
      <c r="BW322" s="35"/>
      <c r="BX322" s="35"/>
      <c r="BY322" s="35"/>
      <c r="BZ322" s="35"/>
      <c r="CA322" s="35"/>
      <c r="CB322" s="35"/>
      <c r="CC322" s="35"/>
      <c r="CD322" s="35"/>
      <c r="CE322" s="35"/>
      <c r="CF322" s="35"/>
      <c r="CG322" s="35"/>
      <c r="CH322" s="35"/>
      <c r="CI322" s="35"/>
      <c r="CJ322" s="35"/>
      <c r="CK322" s="35"/>
      <c r="CL322" s="35"/>
      <c r="CM322" s="35"/>
      <c r="CN322" s="35"/>
      <c r="CO322" s="35"/>
      <c r="CP322" s="35"/>
      <c r="CQ322" s="35"/>
      <c r="CR322" s="35"/>
      <c r="CS322" s="35"/>
      <c r="CT322" s="35"/>
      <c r="CU322" s="35"/>
      <c r="CV322" s="35"/>
      <c r="CW322" s="35"/>
      <c r="CX322" s="35"/>
      <c r="CY322" s="35"/>
      <c r="CZ322" s="35"/>
      <c r="DA322" s="35"/>
      <c r="DB322" s="35"/>
      <c r="DC322" s="35"/>
      <c r="DD322" s="35"/>
      <c r="DE322" s="35"/>
      <c r="DF322" s="35"/>
      <c r="DG322" s="35"/>
      <c r="DH322" s="35"/>
      <c r="DI322" s="35"/>
      <c r="DJ322" s="35"/>
    </row>
    <row r="323" spans="1:114" x14ac:dyDescent="0.25">
      <c r="A323" s="34"/>
      <c r="B323" s="34"/>
      <c r="C323" s="34"/>
      <c r="D323" s="34"/>
      <c r="E323" s="34"/>
      <c r="F323" s="34"/>
      <c r="G323" s="34"/>
      <c r="H323" s="34"/>
      <c r="I323" s="34"/>
      <c r="J323" s="34"/>
      <c r="K323" s="34"/>
      <c r="L323" s="34"/>
      <c r="M323" s="34"/>
      <c r="N323" s="35"/>
      <c r="O323" s="35"/>
      <c r="P323" s="35"/>
      <c r="Q323" s="35"/>
      <c r="R323" s="35"/>
      <c r="S323" s="35"/>
      <c r="T323" s="35"/>
      <c r="U323" s="35"/>
      <c r="V323" s="35"/>
      <c r="W323" s="35"/>
      <c r="X323" s="35"/>
      <c r="Y323" s="35"/>
      <c r="Z323" s="35"/>
      <c r="AA323" s="35"/>
      <c r="AB323" s="35"/>
      <c r="AC323" s="35"/>
      <c r="AD323" s="35"/>
      <c r="AE323" s="35"/>
      <c r="AF323" s="35"/>
      <c r="AG323" s="35"/>
      <c r="AH323" s="35"/>
      <c r="AI323" s="35"/>
      <c r="AJ323" s="35"/>
      <c r="AK323" s="35"/>
      <c r="AL323" s="35"/>
      <c r="AM323" s="35"/>
      <c r="AN323" s="35"/>
      <c r="AO323" s="35"/>
      <c r="AP323" s="35"/>
      <c r="AQ323" s="35"/>
      <c r="AR323" s="35"/>
      <c r="AS323" s="35"/>
      <c r="AT323" s="35"/>
      <c r="AU323" s="35"/>
      <c r="AV323" s="35"/>
      <c r="AW323" s="35"/>
      <c r="AX323" s="35"/>
      <c r="AY323" s="35"/>
      <c r="AZ323" s="35"/>
      <c r="BA323" s="35"/>
      <c r="BB323" s="35"/>
      <c r="BC323" s="35"/>
      <c r="BD323" s="35"/>
      <c r="BE323" s="35"/>
      <c r="BF323" s="35"/>
      <c r="BG323" s="35"/>
      <c r="BH323" s="35"/>
      <c r="BI323" s="35"/>
      <c r="BJ323" s="35"/>
      <c r="BK323" s="35"/>
      <c r="BL323" s="35"/>
      <c r="BM323" s="35"/>
      <c r="BN323" s="35"/>
      <c r="BO323" s="35"/>
      <c r="BP323" s="35"/>
      <c r="BQ323" s="35"/>
      <c r="BR323" s="35"/>
      <c r="BS323" s="35"/>
      <c r="BT323" s="35"/>
      <c r="BU323" s="35"/>
      <c r="BV323" s="35"/>
      <c r="BW323" s="35"/>
      <c r="BX323" s="35"/>
      <c r="BY323" s="35"/>
      <c r="BZ323" s="35"/>
      <c r="CA323" s="35"/>
      <c r="CB323" s="35"/>
      <c r="CC323" s="35"/>
      <c r="CD323" s="35"/>
      <c r="CE323" s="35"/>
      <c r="CF323" s="35"/>
      <c r="CG323" s="35"/>
      <c r="CH323" s="35"/>
      <c r="CI323" s="35"/>
      <c r="CJ323" s="35"/>
      <c r="CK323" s="35"/>
      <c r="CL323" s="35"/>
      <c r="CM323" s="35"/>
      <c r="CN323" s="35"/>
      <c r="CO323" s="35"/>
      <c r="CP323" s="35"/>
      <c r="CQ323" s="35"/>
      <c r="CR323" s="35"/>
      <c r="CS323" s="35"/>
      <c r="CT323" s="35"/>
      <c r="CU323" s="35"/>
      <c r="CV323" s="35"/>
      <c r="CW323" s="35"/>
      <c r="CX323" s="35"/>
      <c r="CY323" s="35"/>
      <c r="CZ323" s="35"/>
      <c r="DA323" s="35"/>
      <c r="DB323" s="35"/>
      <c r="DC323" s="35"/>
      <c r="DD323" s="35"/>
      <c r="DE323" s="35"/>
      <c r="DF323" s="35"/>
      <c r="DG323" s="35"/>
      <c r="DH323" s="35"/>
      <c r="DI323" s="35"/>
      <c r="DJ323" s="35"/>
    </row>
    <row r="324" spans="1:114" x14ac:dyDescent="0.25">
      <c r="A324" s="34"/>
      <c r="B324" s="34"/>
      <c r="C324" s="34"/>
      <c r="D324" s="34"/>
      <c r="E324" s="34"/>
      <c r="F324" s="34"/>
      <c r="G324" s="34"/>
      <c r="H324" s="34"/>
      <c r="I324" s="34"/>
      <c r="J324" s="34"/>
      <c r="K324" s="34"/>
      <c r="L324" s="34"/>
      <c r="M324" s="34"/>
      <c r="N324" s="35"/>
      <c r="O324" s="35"/>
      <c r="P324" s="35"/>
      <c r="Q324" s="35"/>
      <c r="R324" s="35"/>
      <c r="S324" s="35"/>
      <c r="T324" s="35"/>
      <c r="U324" s="35"/>
      <c r="V324" s="35"/>
      <c r="W324" s="35"/>
      <c r="X324" s="35"/>
      <c r="Y324" s="35"/>
      <c r="Z324" s="35"/>
      <c r="AA324" s="35"/>
      <c r="AB324" s="35"/>
      <c r="AC324" s="35"/>
      <c r="AD324" s="35"/>
      <c r="AE324" s="35"/>
      <c r="AF324" s="35"/>
      <c r="AG324" s="35"/>
      <c r="AH324" s="35"/>
      <c r="AI324" s="35"/>
      <c r="AJ324" s="35"/>
      <c r="AK324" s="35"/>
      <c r="AL324" s="35"/>
      <c r="AM324" s="35"/>
      <c r="AN324" s="35"/>
      <c r="AO324" s="35"/>
      <c r="AP324" s="35"/>
      <c r="AQ324" s="35"/>
      <c r="AR324" s="35"/>
      <c r="AS324" s="35"/>
      <c r="AT324" s="35"/>
      <c r="AU324" s="35"/>
      <c r="AV324" s="35"/>
      <c r="AW324" s="35"/>
      <c r="AX324" s="35"/>
      <c r="AY324" s="35"/>
      <c r="AZ324" s="35"/>
      <c r="BA324" s="35"/>
      <c r="BB324" s="35"/>
      <c r="BC324" s="35"/>
      <c r="BD324" s="35"/>
      <c r="BE324" s="35"/>
      <c r="BF324" s="35"/>
      <c r="BG324" s="35"/>
      <c r="BH324" s="35"/>
      <c r="BI324" s="35"/>
      <c r="BJ324" s="35"/>
      <c r="BK324" s="35"/>
      <c r="BL324" s="35"/>
      <c r="BM324" s="35"/>
      <c r="BN324" s="35"/>
      <c r="BO324" s="35"/>
      <c r="BP324" s="35"/>
      <c r="BQ324" s="35"/>
      <c r="BR324" s="35"/>
      <c r="BS324" s="35"/>
      <c r="BT324" s="35"/>
      <c r="BU324" s="35"/>
      <c r="BV324" s="35"/>
      <c r="BW324" s="35"/>
      <c r="BX324" s="35"/>
      <c r="BY324" s="35"/>
      <c r="BZ324" s="35"/>
      <c r="CA324" s="35"/>
      <c r="CB324" s="35"/>
      <c r="CC324" s="35"/>
      <c r="CD324" s="35"/>
      <c r="CE324" s="35"/>
      <c r="CF324" s="35"/>
      <c r="CG324" s="35"/>
      <c r="CH324" s="35"/>
      <c r="CI324" s="35"/>
      <c r="CJ324" s="35"/>
      <c r="CK324" s="35"/>
      <c r="CL324" s="35"/>
      <c r="CM324" s="35"/>
      <c r="CN324" s="35"/>
      <c r="CO324" s="35"/>
      <c r="CP324" s="35"/>
      <c r="CQ324" s="35"/>
      <c r="CR324" s="35"/>
      <c r="CS324" s="35"/>
      <c r="CT324" s="35"/>
      <c r="CU324" s="35"/>
      <c r="CV324" s="35"/>
      <c r="CW324" s="35"/>
      <c r="CX324" s="35"/>
      <c r="CY324" s="35"/>
      <c r="CZ324" s="35"/>
      <c r="DA324" s="35"/>
      <c r="DB324" s="35"/>
      <c r="DC324" s="35"/>
      <c r="DD324" s="35"/>
      <c r="DE324" s="35"/>
      <c r="DF324" s="35"/>
      <c r="DG324" s="35"/>
      <c r="DH324" s="35"/>
      <c r="DI324" s="35"/>
      <c r="DJ324" s="35"/>
    </row>
    <row r="325" spans="1:114" x14ac:dyDescent="0.25">
      <c r="A325" s="34"/>
      <c r="B325" s="34"/>
      <c r="C325" s="34"/>
      <c r="D325" s="34"/>
      <c r="E325" s="34"/>
      <c r="F325" s="34"/>
      <c r="G325" s="34"/>
      <c r="H325" s="34"/>
      <c r="I325" s="34"/>
      <c r="J325" s="34"/>
      <c r="K325" s="34"/>
      <c r="L325" s="34"/>
      <c r="M325" s="34"/>
      <c r="N325" s="35"/>
      <c r="O325" s="35"/>
      <c r="P325" s="35"/>
      <c r="Q325" s="35"/>
      <c r="R325" s="35"/>
      <c r="S325" s="35"/>
      <c r="T325" s="35"/>
      <c r="U325" s="35"/>
      <c r="V325" s="35"/>
      <c r="W325" s="35"/>
      <c r="X325" s="35"/>
      <c r="Y325" s="35"/>
      <c r="Z325" s="35"/>
      <c r="AA325" s="35"/>
      <c r="AB325" s="35"/>
      <c r="AC325" s="35"/>
      <c r="AD325" s="35"/>
      <c r="AE325" s="35"/>
      <c r="AF325" s="35"/>
      <c r="AG325" s="35"/>
      <c r="AH325" s="35"/>
      <c r="AI325" s="35"/>
      <c r="AJ325" s="35"/>
      <c r="AK325" s="35"/>
      <c r="AL325" s="35"/>
      <c r="AM325" s="35"/>
      <c r="AN325" s="35"/>
      <c r="AO325" s="35"/>
      <c r="AP325" s="35"/>
      <c r="AQ325" s="35"/>
      <c r="AR325" s="35"/>
      <c r="AS325" s="35"/>
      <c r="AT325" s="35"/>
      <c r="AU325" s="35"/>
      <c r="AV325" s="35"/>
      <c r="AW325" s="35"/>
      <c r="AX325" s="35"/>
      <c r="AY325" s="35"/>
      <c r="AZ325" s="35"/>
      <c r="BA325" s="35"/>
      <c r="BB325" s="35"/>
      <c r="BC325" s="35"/>
      <c r="BD325" s="35"/>
      <c r="BE325" s="35"/>
      <c r="BF325" s="35"/>
      <c r="BG325" s="35"/>
      <c r="BH325" s="35"/>
      <c r="BI325" s="35"/>
      <c r="BJ325" s="35"/>
      <c r="BK325" s="35"/>
      <c r="BL325" s="35"/>
      <c r="BM325" s="35"/>
      <c r="BN325" s="35"/>
      <c r="BO325" s="35"/>
      <c r="BP325" s="35"/>
      <c r="BQ325" s="35"/>
      <c r="BR325" s="35"/>
      <c r="BS325" s="35"/>
      <c r="BT325" s="35"/>
      <c r="BU325" s="35"/>
      <c r="BV325" s="35"/>
      <c r="BW325" s="35"/>
      <c r="BX325" s="35"/>
      <c r="BY325" s="35"/>
      <c r="BZ325" s="35"/>
      <c r="CA325" s="35"/>
      <c r="CB325" s="35"/>
      <c r="CC325" s="35"/>
      <c r="CD325" s="35"/>
      <c r="CE325" s="35"/>
      <c r="CF325" s="35"/>
      <c r="CG325" s="35"/>
      <c r="CH325" s="35"/>
      <c r="CI325" s="35"/>
      <c r="CJ325" s="35"/>
      <c r="CK325" s="35"/>
      <c r="CL325" s="35"/>
      <c r="CM325" s="35"/>
      <c r="CN325" s="35"/>
      <c r="CO325" s="35"/>
      <c r="CP325" s="35"/>
      <c r="CQ325" s="35"/>
      <c r="CR325" s="35"/>
      <c r="CS325" s="35"/>
      <c r="CT325" s="35"/>
      <c r="CU325" s="35"/>
      <c r="CV325" s="35"/>
      <c r="CW325" s="35"/>
      <c r="CX325" s="35"/>
      <c r="CY325" s="35"/>
      <c r="CZ325" s="35"/>
      <c r="DA325" s="35"/>
      <c r="DB325" s="35"/>
      <c r="DC325" s="35"/>
      <c r="DD325" s="35"/>
      <c r="DE325" s="35"/>
      <c r="DF325" s="35"/>
      <c r="DG325" s="35"/>
      <c r="DH325" s="35"/>
      <c r="DI325" s="35"/>
      <c r="DJ325" s="35"/>
    </row>
    <row r="326" spans="1:114" x14ac:dyDescent="0.25">
      <c r="A326" s="34"/>
      <c r="B326" s="34"/>
      <c r="C326" s="34"/>
      <c r="D326" s="34"/>
      <c r="E326" s="34"/>
      <c r="F326" s="34"/>
      <c r="G326" s="34"/>
      <c r="H326" s="34"/>
      <c r="I326" s="34"/>
      <c r="J326" s="34"/>
      <c r="K326" s="34"/>
      <c r="L326" s="34"/>
      <c r="M326" s="34"/>
      <c r="N326" s="35"/>
      <c r="O326" s="35"/>
      <c r="P326" s="35"/>
      <c r="Q326" s="35"/>
      <c r="R326" s="35"/>
      <c r="S326" s="35"/>
      <c r="T326" s="35"/>
      <c r="U326" s="35"/>
      <c r="V326" s="35"/>
      <c r="W326" s="35"/>
      <c r="X326" s="35"/>
      <c r="Y326" s="35"/>
      <c r="Z326" s="35"/>
      <c r="AA326" s="35"/>
      <c r="AB326" s="35"/>
      <c r="AC326" s="35"/>
      <c r="AD326" s="35"/>
      <c r="AE326" s="35"/>
      <c r="AF326" s="35"/>
      <c r="AG326" s="35"/>
      <c r="AH326" s="35"/>
      <c r="AI326" s="35"/>
      <c r="AJ326" s="35"/>
      <c r="AK326" s="35"/>
      <c r="AL326" s="35"/>
      <c r="AM326" s="35"/>
      <c r="AN326" s="35"/>
      <c r="AO326" s="35"/>
      <c r="AP326" s="35"/>
      <c r="AQ326" s="35"/>
      <c r="AR326" s="35"/>
      <c r="AS326" s="35"/>
      <c r="AT326" s="35"/>
      <c r="AU326" s="35"/>
      <c r="AV326" s="35"/>
      <c r="AW326" s="35"/>
      <c r="AX326" s="35"/>
      <c r="AY326" s="35"/>
      <c r="AZ326" s="35"/>
      <c r="BA326" s="35"/>
      <c r="BB326" s="35"/>
      <c r="BC326" s="35"/>
      <c r="BD326" s="35"/>
      <c r="BE326" s="35"/>
      <c r="BF326" s="35"/>
      <c r="BG326" s="35"/>
      <c r="BH326" s="35"/>
      <c r="BI326" s="35"/>
      <c r="BJ326" s="35"/>
      <c r="BK326" s="35"/>
      <c r="BL326" s="35"/>
      <c r="BM326" s="35"/>
      <c r="BN326" s="35"/>
      <c r="BO326" s="35"/>
      <c r="BP326" s="35"/>
      <c r="BQ326" s="35"/>
      <c r="BR326" s="35"/>
      <c r="BS326" s="35"/>
      <c r="BT326" s="35"/>
      <c r="BU326" s="35"/>
      <c r="BV326" s="35"/>
      <c r="BW326" s="35"/>
      <c r="BX326" s="35"/>
      <c r="BY326" s="35"/>
      <c r="BZ326" s="35"/>
      <c r="CA326" s="35"/>
      <c r="CB326" s="35"/>
      <c r="CC326" s="35"/>
      <c r="CD326" s="35"/>
      <c r="CE326" s="35"/>
      <c r="CF326" s="35"/>
      <c r="CG326" s="35"/>
      <c r="CH326" s="35"/>
      <c r="CI326" s="35"/>
      <c r="CJ326" s="35"/>
      <c r="CK326" s="35"/>
      <c r="CL326" s="35"/>
      <c r="CM326" s="35"/>
      <c r="CN326" s="35"/>
      <c r="CO326" s="35"/>
      <c r="CP326" s="35"/>
      <c r="CQ326" s="35"/>
      <c r="CR326" s="35"/>
      <c r="CS326" s="35"/>
      <c r="CT326" s="35"/>
      <c r="CU326" s="35"/>
      <c r="CV326" s="35"/>
      <c r="CW326" s="35"/>
      <c r="CX326" s="35"/>
      <c r="CY326" s="35"/>
      <c r="CZ326" s="35"/>
      <c r="DA326" s="35"/>
      <c r="DB326" s="35"/>
      <c r="DC326" s="35"/>
      <c r="DD326" s="35"/>
      <c r="DE326" s="35"/>
      <c r="DF326" s="35"/>
      <c r="DG326" s="35"/>
      <c r="DH326" s="35"/>
      <c r="DI326" s="35"/>
      <c r="DJ326" s="35"/>
    </row>
    <row r="327" spans="1:114" x14ac:dyDescent="0.25">
      <c r="A327" s="34"/>
      <c r="B327" s="34"/>
      <c r="C327" s="34"/>
      <c r="D327" s="34"/>
      <c r="E327" s="34"/>
      <c r="F327" s="34"/>
      <c r="G327" s="34"/>
      <c r="H327" s="34"/>
      <c r="I327" s="34"/>
      <c r="J327" s="34"/>
      <c r="K327" s="34"/>
      <c r="L327" s="34"/>
      <c r="M327" s="34"/>
      <c r="N327" s="35"/>
      <c r="O327" s="35"/>
      <c r="P327" s="35"/>
      <c r="Q327" s="35"/>
      <c r="R327" s="35"/>
      <c r="S327" s="35"/>
      <c r="T327" s="35"/>
      <c r="U327" s="35"/>
      <c r="V327" s="35"/>
      <c r="W327" s="35"/>
      <c r="X327" s="35"/>
      <c r="Y327" s="35"/>
      <c r="Z327" s="35"/>
      <c r="AA327" s="35"/>
      <c r="AB327" s="35"/>
      <c r="AC327" s="35"/>
      <c r="AD327" s="35"/>
      <c r="AE327" s="35"/>
      <c r="AF327" s="35"/>
      <c r="AG327" s="35"/>
      <c r="AH327" s="35"/>
      <c r="AI327" s="35"/>
      <c r="AJ327" s="35"/>
      <c r="AK327" s="35"/>
      <c r="AL327" s="35"/>
      <c r="AM327" s="35"/>
      <c r="AN327" s="35"/>
      <c r="AO327" s="35"/>
      <c r="AP327" s="35"/>
      <c r="AQ327" s="35"/>
      <c r="AR327" s="35"/>
      <c r="AS327" s="35"/>
      <c r="AT327" s="35"/>
      <c r="AU327" s="35"/>
      <c r="AV327" s="35"/>
      <c r="AW327" s="35"/>
      <c r="AX327" s="35"/>
      <c r="AY327" s="35"/>
      <c r="AZ327" s="35"/>
      <c r="BA327" s="35"/>
      <c r="BB327" s="35"/>
      <c r="BC327" s="35"/>
      <c r="BD327" s="35"/>
      <c r="BE327" s="35"/>
      <c r="BF327" s="35"/>
      <c r="BG327" s="35"/>
      <c r="BH327" s="35"/>
      <c r="BI327" s="35"/>
      <c r="BJ327" s="35"/>
      <c r="BK327" s="35"/>
      <c r="BL327" s="35"/>
      <c r="BM327" s="35"/>
      <c r="BN327" s="35"/>
      <c r="BO327" s="35"/>
      <c r="BP327" s="35"/>
      <c r="BQ327" s="35"/>
      <c r="BR327" s="35"/>
      <c r="BS327" s="35"/>
      <c r="BT327" s="35"/>
      <c r="BU327" s="35"/>
      <c r="BV327" s="35"/>
      <c r="BW327" s="35"/>
      <c r="BX327" s="35"/>
      <c r="BY327" s="35"/>
      <c r="BZ327" s="35"/>
      <c r="CA327" s="35"/>
      <c r="CB327" s="35"/>
      <c r="CC327" s="35"/>
      <c r="CD327" s="35"/>
      <c r="CE327" s="35"/>
      <c r="CF327" s="35"/>
      <c r="CG327" s="35"/>
      <c r="CH327" s="35"/>
      <c r="CI327" s="35"/>
      <c r="CJ327" s="35"/>
      <c r="CK327" s="35"/>
      <c r="CL327" s="35"/>
      <c r="CM327" s="35"/>
      <c r="CN327" s="35"/>
      <c r="CO327" s="35"/>
      <c r="CP327" s="35"/>
      <c r="CQ327" s="35"/>
      <c r="CR327" s="35"/>
      <c r="CS327" s="35"/>
      <c r="CT327" s="35"/>
      <c r="CU327" s="35"/>
      <c r="CV327" s="35"/>
      <c r="CW327" s="35"/>
      <c r="CX327" s="35"/>
      <c r="CY327" s="35"/>
      <c r="CZ327" s="35"/>
      <c r="DA327" s="35"/>
      <c r="DB327" s="35"/>
      <c r="DC327" s="35"/>
      <c r="DD327" s="35"/>
      <c r="DE327" s="35"/>
      <c r="DF327" s="35"/>
      <c r="DG327" s="35"/>
      <c r="DH327" s="35"/>
      <c r="DI327" s="35"/>
      <c r="DJ327" s="35"/>
    </row>
    <row r="328" spans="1:114" x14ac:dyDescent="0.25">
      <c r="A328" s="34"/>
      <c r="B328" s="34"/>
      <c r="C328" s="34"/>
      <c r="D328" s="34"/>
      <c r="E328" s="34"/>
      <c r="F328" s="34"/>
      <c r="G328" s="34"/>
      <c r="H328" s="34"/>
      <c r="I328" s="34"/>
      <c r="J328" s="34"/>
      <c r="K328" s="34"/>
      <c r="L328" s="34"/>
      <c r="M328" s="34"/>
      <c r="N328" s="35"/>
      <c r="O328" s="35"/>
      <c r="P328" s="35"/>
      <c r="Q328" s="35"/>
      <c r="R328" s="35"/>
      <c r="S328" s="35"/>
      <c r="T328" s="35"/>
      <c r="U328" s="35"/>
      <c r="V328" s="35"/>
      <c r="W328" s="35"/>
      <c r="X328" s="35"/>
      <c r="Y328" s="35"/>
      <c r="Z328" s="35"/>
      <c r="AA328" s="35"/>
      <c r="AB328" s="35"/>
      <c r="AC328" s="35"/>
      <c r="AD328" s="35"/>
      <c r="AE328" s="35"/>
      <c r="AF328" s="35"/>
      <c r="AG328" s="35"/>
      <c r="AH328" s="35"/>
      <c r="AI328" s="35"/>
      <c r="AJ328" s="35"/>
      <c r="AK328" s="35"/>
      <c r="AL328" s="35"/>
      <c r="AM328" s="35"/>
      <c r="AN328" s="35"/>
      <c r="AO328" s="35"/>
      <c r="AP328" s="35"/>
      <c r="AQ328" s="35"/>
      <c r="AR328" s="35"/>
      <c r="AS328" s="35"/>
      <c r="AT328" s="35"/>
      <c r="AU328" s="35"/>
      <c r="AV328" s="35"/>
      <c r="AW328" s="35"/>
      <c r="AX328" s="35"/>
      <c r="AY328" s="35"/>
      <c r="AZ328" s="35"/>
      <c r="BA328" s="35"/>
      <c r="BB328" s="35"/>
      <c r="BC328" s="35"/>
      <c r="BD328" s="35"/>
      <c r="BE328" s="35"/>
      <c r="BF328" s="35"/>
      <c r="BG328" s="35"/>
      <c r="BH328" s="35"/>
      <c r="BI328" s="35"/>
      <c r="BJ328" s="35"/>
      <c r="BK328" s="35"/>
      <c r="BL328" s="35"/>
      <c r="BM328" s="35"/>
      <c r="BN328" s="35"/>
      <c r="BO328" s="35"/>
      <c r="BP328" s="35"/>
      <c r="BQ328" s="35"/>
      <c r="BR328" s="35"/>
      <c r="BS328" s="35"/>
      <c r="BT328" s="35"/>
      <c r="BU328" s="35"/>
      <c r="BV328" s="35"/>
      <c r="BW328" s="35"/>
      <c r="BX328" s="35"/>
      <c r="BY328" s="35"/>
      <c r="BZ328" s="35"/>
      <c r="CA328" s="35"/>
      <c r="CB328" s="35"/>
      <c r="CC328" s="35"/>
      <c r="CD328" s="35"/>
      <c r="CE328" s="35"/>
      <c r="CF328" s="35"/>
      <c r="CG328" s="35"/>
      <c r="CH328" s="35"/>
      <c r="CI328" s="35"/>
      <c r="CJ328" s="35"/>
      <c r="CK328" s="35"/>
      <c r="CL328" s="35"/>
      <c r="CM328" s="35"/>
      <c r="CN328" s="35"/>
      <c r="CO328" s="35"/>
      <c r="CP328" s="35"/>
      <c r="CQ328" s="35"/>
      <c r="CR328" s="35"/>
      <c r="CS328" s="35"/>
      <c r="CT328" s="35"/>
      <c r="CU328" s="35"/>
      <c r="CV328" s="35"/>
      <c r="CW328" s="35"/>
      <c r="CX328" s="35"/>
      <c r="CY328" s="35"/>
      <c r="CZ328" s="35"/>
      <c r="DA328" s="35"/>
      <c r="DB328" s="35"/>
      <c r="DC328" s="35"/>
      <c r="DD328" s="35"/>
      <c r="DE328" s="35"/>
      <c r="DF328" s="35"/>
      <c r="DG328" s="35"/>
      <c r="DH328" s="35"/>
      <c r="DI328" s="35"/>
      <c r="DJ328" s="35"/>
    </row>
    <row r="329" spans="1:114" x14ac:dyDescent="0.25">
      <c r="A329" s="34"/>
      <c r="B329" s="34"/>
      <c r="C329" s="34"/>
      <c r="D329" s="34"/>
      <c r="E329" s="34"/>
      <c r="F329" s="34"/>
      <c r="G329" s="34"/>
      <c r="H329" s="34"/>
      <c r="I329" s="34"/>
      <c r="J329" s="34"/>
      <c r="K329" s="34"/>
      <c r="L329" s="34"/>
      <c r="M329" s="34"/>
      <c r="N329" s="35"/>
      <c r="O329" s="35"/>
      <c r="P329" s="35"/>
      <c r="Q329" s="35"/>
      <c r="R329" s="35"/>
      <c r="S329" s="35"/>
      <c r="T329" s="35"/>
      <c r="U329" s="35"/>
      <c r="V329" s="35"/>
      <c r="W329" s="35"/>
      <c r="X329" s="35"/>
      <c r="Y329" s="35"/>
      <c r="Z329" s="35"/>
      <c r="AA329" s="35"/>
      <c r="AB329" s="35"/>
      <c r="AC329" s="35"/>
      <c r="AD329" s="35"/>
      <c r="AE329" s="35"/>
      <c r="AF329" s="35"/>
      <c r="AG329" s="35"/>
      <c r="AH329" s="35"/>
      <c r="AI329" s="35"/>
      <c r="AJ329" s="35"/>
      <c r="AK329" s="35"/>
      <c r="AL329" s="35"/>
      <c r="AM329" s="35"/>
      <c r="AN329" s="35"/>
      <c r="AO329" s="35"/>
      <c r="AP329" s="35"/>
      <c r="AQ329" s="35"/>
      <c r="AR329" s="35"/>
      <c r="AS329" s="35"/>
      <c r="AT329" s="35"/>
      <c r="AU329" s="35"/>
      <c r="AV329" s="35"/>
      <c r="AW329" s="35"/>
      <c r="AX329" s="35"/>
      <c r="AY329" s="35"/>
      <c r="AZ329" s="35"/>
      <c r="BA329" s="35"/>
      <c r="BB329" s="35"/>
      <c r="BC329" s="35"/>
      <c r="BD329" s="35"/>
      <c r="BE329" s="35"/>
      <c r="BF329" s="35"/>
      <c r="BG329" s="35"/>
      <c r="BH329" s="35"/>
      <c r="BI329" s="35"/>
      <c r="BJ329" s="35"/>
      <c r="BK329" s="35"/>
      <c r="BL329" s="35"/>
      <c r="BM329" s="35"/>
      <c r="BN329" s="35"/>
      <c r="BO329" s="35"/>
      <c r="BP329" s="35"/>
      <c r="BQ329" s="35"/>
      <c r="BR329" s="35"/>
      <c r="BS329" s="35"/>
      <c r="BT329" s="35"/>
      <c r="BU329" s="35"/>
      <c r="BV329" s="35"/>
      <c r="BW329" s="35"/>
      <c r="BX329" s="35"/>
      <c r="BY329" s="35"/>
      <c r="BZ329" s="35"/>
      <c r="CA329" s="35"/>
      <c r="CB329" s="35"/>
      <c r="CC329" s="35"/>
      <c r="CD329" s="35"/>
      <c r="CE329" s="35"/>
      <c r="CF329" s="35"/>
      <c r="CG329" s="35"/>
      <c r="CH329" s="35"/>
      <c r="CI329" s="35"/>
      <c r="CJ329" s="35"/>
      <c r="CK329" s="35"/>
      <c r="CL329" s="35"/>
      <c r="CM329" s="35"/>
      <c r="CN329" s="35"/>
      <c r="CO329" s="35"/>
      <c r="CP329" s="35"/>
      <c r="CQ329" s="35"/>
      <c r="CR329" s="35"/>
      <c r="CS329" s="35"/>
      <c r="CT329" s="35"/>
      <c r="CU329" s="35"/>
      <c r="CV329" s="35"/>
      <c r="CW329" s="35"/>
      <c r="CX329" s="35"/>
      <c r="CY329" s="35"/>
      <c r="CZ329" s="35"/>
      <c r="DA329" s="35"/>
      <c r="DB329" s="35"/>
      <c r="DC329" s="35"/>
      <c r="DD329" s="35"/>
      <c r="DE329" s="35"/>
      <c r="DF329" s="35"/>
      <c r="DG329" s="35"/>
      <c r="DH329" s="35"/>
      <c r="DI329" s="35"/>
      <c r="DJ329" s="35"/>
    </row>
    <row r="330" spans="1:114" x14ac:dyDescent="0.25">
      <c r="A330" s="34"/>
      <c r="B330" s="34"/>
      <c r="C330" s="34"/>
      <c r="D330" s="34"/>
      <c r="E330" s="34"/>
      <c r="F330" s="34"/>
      <c r="G330" s="34"/>
      <c r="H330" s="34"/>
      <c r="I330" s="34"/>
      <c r="J330" s="34"/>
      <c r="K330" s="34"/>
      <c r="L330" s="34"/>
      <c r="M330" s="34"/>
      <c r="N330" s="35"/>
      <c r="O330" s="35"/>
      <c r="P330" s="35"/>
      <c r="Q330" s="35"/>
      <c r="R330" s="35"/>
      <c r="S330" s="35"/>
      <c r="T330" s="35"/>
      <c r="U330" s="35"/>
      <c r="V330" s="35"/>
      <c r="W330" s="35"/>
      <c r="X330" s="35"/>
      <c r="Y330" s="35"/>
      <c r="Z330" s="35"/>
      <c r="AA330" s="35"/>
      <c r="AB330" s="35"/>
      <c r="AC330" s="35"/>
      <c r="AD330" s="35"/>
      <c r="AE330" s="35"/>
      <c r="AF330" s="35"/>
      <c r="AG330" s="35"/>
      <c r="AH330" s="35"/>
      <c r="AI330" s="35"/>
      <c r="AJ330" s="35"/>
      <c r="AK330" s="35"/>
      <c r="AL330" s="35"/>
      <c r="AM330" s="35"/>
      <c r="AN330" s="35"/>
      <c r="AO330" s="35"/>
      <c r="AP330" s="35"/>
      <c r="AQ330" s="35"/>
      <c r="AR330" s="35"/>
      <c r="AS330" s="35"/>
      <c r="AT330" s="35"/>
      <c r="AU330" s="35"/>
      <c r="AV330" s="35"/>
      <c r="AW330" s="35"/>
      <c r="AX330" s="35"/>
      <c r="AY330" s="35"/>
      <c r="AZ330" s="35"/>
      <c r="BA330" s="35"/>
      <c r="BB330" s="35"/>
      <c r="BC330" s="35"/>
      <c r="BD330" s="35"/>
      <c r="BE330" s="35"/>
      <c r="BF330" s="35"/>
      <c r="BG330" s="35"/>
      <c r="BH330" s="35"/>
      <c r="BI330" s="35"/>
      <c r="BJ330" s="35"/>
      <c r="BK330" s="35"/>
      <c r="BL330" s="35"/>
      <c r="BM330" s="35"/>
      <c r="BN330" s="35"/>
      <c r="BO330" s="35"/>
      <c r="BP330" s="35"/>
      <c r="BQ330" s="35"/>
      <c r="BR330" s="35"/>
      <c r="BS330" s="35"/>
      <c r="BT330" s="35"/>
      <c r="BU330" s="35"/>
      <c r="BV330" s="35"/>
      <c r="BW330" s="35"/>
      <c r="BX330" s="35"/>
      <c r="BY330" s="35"/>
      <c r="BZ330" s="35"/>
      <c r="CA330" s="35"/>
      <c r="CB330" s="35"/>
      <c r="CC330" s="35"/>
      <c r="CD330" s="35"/>
      <c r="CE330" s="35"/>
      <c r="CF330" s="35"/>
      <c r="CG330" s="35"/>
      <c r="CH330" s="35"/>
      <c r="CI330" s="35"/>
      <c r="CJ330" s="35"/>
      <c r="CK330" s="35"/>
      <c r="CL330" s="35"/>
      <c r="CM330" s="35"/>
      <c r="CN330" s="35"/>
      <c r="CO330" s="35"/>
      <c r="CP330" s="35"/>
      <c r="CQ330" s="35"/>
      <c r="CR330" s="35"/>
      <c r="CS330" s="35"/>
      <c r="CT330" s="35"/>
      <c r="CU330" s="35"/>
      <c r="CV330" s="35"/>
      <c r="CW330" s="35"/>
      <c r="CX330" s="35"/>
      <c r="CY330" s="35"/>
      <c r="CZ330" s="35"/>
      <c r="DA330" s="35"/>
      <c r="DB330" s="35"/>
      <c r="DC330" s="35"/>
      <c r="DD330" s="35"/>
      <c r="DE330" s="35"/>
      <c r="DF330" s="35"/>
      <c r="DG330" s="35"/>
      <c r="DH330" s="35"/>
      <c r="DI330" s="35"/>
      <c r="DJ330" s="35"/>
    </row>
    <row r="331" spans="1:114" x14ac:dyDescent="0.25">
      <c r="A331" s="34"/>
      <c r="B331" s="34"/>
      <c r="C331" s="34"/>
      <c r="D331" s="34"/>
      <c r="E331" s="34"/>
      <c r="F331" s="34"/>
      <c r="G331" s="34"/>
      <c r="H331" s="34"/>
      <c r="I331" s="34"/>
      <c r="J331" s="34"/>
      <c r="K331" s="34"/>
      <c r="L331" s="34"/>
      <c r="M331" s="34"/>
      <c r="N331" s="35"/>
      <c r="O331" s="35"/>
      <c r="P331" s="35"/>
      <c r="Q331" s="35"/>
      <c r="R331" s="35"/>
      <c r="S331" s="35"/>
      <c r="T331" s="35"/>
      <c r="U331" s="35"/>
      <c r="V331" s="35"/>
      <c r="W331" s="35"/>
      <c r="X331" s="35"/>
      <c r="Y331" s="35"/>
      <c r="Z331" s="35"/>
      <c r="AA331" s="35"/>
      <c r="AB331" s="35"/>
      <c r="AC331" s="35"/>
      <c r="AD331" s="35"/>
      <c r="AE331" s="35"/>
      <c r="AF331" s="35"/>
      <c r="AG331" s="35"/>
      <c r="AH331" s="35"/>
      <c r="AI331" s="35"/>
      <c r="AJ331" s="35"/>
      <c r="AK331" s="35"/>
      <c r="AL331" s="35"/>
      <c r="AM331" s="35"/>
      <c r="AN331" s="35"/>
      <c r="AO331" s="35"/>
      <c r="AP331" s="35"/>
      <c r="AQ331" s="35"/>
      <c r="AR331" s="35"/>
      <c r="AS331" s="35"/>
      <c r="AT331" s="35"/>
      <c r="AU331" s="35"/>
      <c r="AV331" s="35"/>
      <c r="AW331" s="35"/>
      <c r="AX331" s="35"/>
      <c r="AY331" s="35"/>
      <c r="AZ331" s="35"/>
      <c r="BA331" s="35"/>
      <c r="BB331" s="35"/>
      <c r="BC331" s="35"/>
      <c r="BD331" s="35"/>
      <c r="BE331" s="35"/>
      <c r="BF331" s="35"/>
      <c r="BG331" s="35"/>
      <c r="BH331" s="35"/>
      <c r="BI331" s="35"/>
      <c r="BJ331" s="35"/>
      <c r="BK331" s="35"/>
      <c r="BL331" s="35"/>
      <c r="BM331" s="35"/>
      <c r="BN331" s="35"/>
      <c r="BO331" s="35"/>
      <c r="BP331" s="35"/>
      <c r="BQ331" s="35"/>
      <c r="BR331" s="35"/>
      <c r="BS331" s="35"/>
      <c r="BT331" s="35"/>
      <c r="BU331" s="35"/>
      <c r="BV331" s="35"/>
      <c r="BW331" s="35"/>
      <c r="BX331" s="35"/>
      <c r="BY331" s="35"/>
      <c r="BZ331" s="35"/>
      <c r="CA331" s="35"/>
      <c r="CB331" s="35"/>
      <c r="CC331" s="35"/>
      <c r="CD331" s="35"/>
      <c r="CE331" s="35"/>
      <c r="CF331" s="35"/>
      <c r="CG331" s="35"/>
      <c r="CH331" s="35"/>
      <c r="CI331" s="35"/>
      <c r="CJ331" s="35"/>
      <c r="CK331" s="35"/>
      <c r="CL331" s="35"/>
      <c r="CM331" s="35"/>
      <c r="CN331" s="35"/>
      <c r="CO331" s="35"/>
      <c r="CP331" s="35"/>
      <c r="CQ331" s="35"/>
      <c r="CR331" s="35"/>
      <c r="CS331" s="35"/>
      <c r="CT331" s="35"/>
      <c r="CU331" s="35"/>
      <c r="CV331" s="35"/>
      <c r="CW331" s="35"/>
      <c r="CX331" s="35"/>
      <c r="CY331" s="35"/>
      <c r="CZ331" s="35"/>
      <c r="DA331" s="35"/>
      <c r="DB331" s="35"/>
      <c r="DC331" s="35"/>
      <c r="DD331" s="35"/>
      <c r="DE331" s="35"/>
      <c r="DF331" s="35"/>
      <c r="DG331" s="35"/>
      <c r="DH331" s="35"/>
      <c r="DI331" s="35"/>
      <c r="DJ331" s="35"/>
    </row>
    <row r="332" spans="1:114" x14ac:dyDescent="0.25">
      <c r="A332" s="34"/>
      <c r="B332" s="34"/>
      <c r="C332" s="34"/>
      <c r="D332" s="34"/>
      <c r="E332" s="34"/>
      <c r="F332" s="34"/>
      <c r="G332" s="34"/>
      <c r="H332" s="34"/>
      <c r="I332" s="34"/>
      <c r="J332" s="34"/>
      <c r="K332" s="34"/>
      <c r="L332" s="34"/>
      <c r="M332" s="34"/>
      <c r="N332" s="35"/>
      <c r="O332" s="35"/>
      <c r="P332" s="35"/>
      <c r="Q332" s="35"/>
      <c r="R332" s="35"/>
      <c r="S332" s="35"/>
      <c r="T332" s="35"/>
      <c r="U332" s="35"/>
      <c r="V332" s="35"/>
      <c r="W332" s="35"/>
      <c r="X332" s="35"/>
      <c r="Y332" s="35"/>
      <c r="Z332" s="35"/>
      <c r="AA332" s="35"/>
      <c r="AB332" s="35"/>
      <c r="AC332" s="35"/>
      <c r="AD332" s="35"/>
      <c r="AE332" s="35"/>
      <c r="AF332" s="35"/>
      <c r="AG332" s="35"/>
      <c r="AH332" s="35"/>
      <c r="AI332" s="35"/>
      <c r="AJ332" s="35"/>
      <c r="AK332" s="35"/>
      <c r="AL332" s="35"/>
      <c r="AM332" s="35"/>
      <c r="AN332" s="35"/>
      <c r="AO332" s="35"/>
      <c r="AP332" s="35"/>
      <c r="AQ332" s="35"/>
      <c r="AR332" s="35"/>
      <c r="AS332" s="35"/>
      <c r="AT332" s="35"/>
      <c r="AU332" s="35"/>
      <c r="AV332" s="35"/>
      <c r="AW332" s="35"/>
      <c r="AX332" s="35"/>
      <c r="AY332" s="35"/>
      <c r="AZ332" s="35"/>
      <c r="BA332" s="35"/>
      <c r="BB332" s="35"/>
      <c r="BC332" s="35"/>
      <c r="BD332" s="35"/>
      <c r="BE332" s="35"/>
      <c r="BF332" s="35"/>
      <c r="BG332" s="35"/>
      <c r="BH332" s="35"/>
      <c r="BI332" s="35"/>
      <c r="BJ332" s="35"/>
      <c r="BK332" s="35"/>
      <c r="BL332" s="35"/>
      <c r="BM332" s="35"/>
      <c r="BN332" s="35"/>
      <c r="BO332" s="35"/>
      <c r="BP332" s="35"/>
      <c r="BQ332" s="35"/>
      <c r="BR332" s="35"/>
      <c r="BS332" s="35"/>
      <c r="BT332" s="35"/>
      <c r="BU332" s="35"/>
      <c r="BV332" s="35"/>
      <c r="BW332" s="35"/>
      <c r="BX332" s="35"/>
      <c r="BY332" s="35"/>
      <c r="BZ332" s="35"/>
      <c r="CA332" s="35"/>
      <c r="CB332" s="35"/>
      <c r="CC332" s="35"/>
      <c r="CD332" s="35"/>
      <c r="CE332" s="35"/>
      <c r="CF332" s="35"/>
      <c r="CG332" s="35"/>
      <c r="CH332" s="35"/>
      <c r="CI332" s="35"/>
      <c r="CJ332" s="35"/>
      <c r="CK332" s="35"/>
      <c r="CL332" s="35"/>
      <c r="CM332" s="35"/>
      <c r="CN332" s="35"/>
      <c r="CO332" s="35"/>
      <c r="CP332" s="35"/>
      <c r="CQ332" s="35"/>
      <c r="CR332" s="35"/>
      <c r="CS332" s="35"/>
      <c r="CT332" s="35"/>
      <c r="CU332" s="35"/>
      <c r="CV332" s="35"/>
      <c r="CW332" s="35"/>
      <c r="CX332" s="35"/>
      <c r="CY332" s="35"/>
      <c r="CZ332" s="35"/>
      <c r="DA332" s="35"/>
      <c r="DB332" s="35"/>
      <c r="DC332" s="35"/>
      <c r="DD332" s="35"/>
      <c r="DE332" s="35"/>
      <c r="DF332" s="35"/>
      <c r="DG332" s="35"/>
      <c r="DH332" s="35"/>
      <c r="DI332" s="35"/>
      <c r="DJ332" s="35"/>
    </row>
    <row r="333" spans="1:114" x14ac:dyDescent="0.25">
      <c r="A333" s="34"/>
      <c r="B333" s="34"/>
      <c r="C333" s="34"/>
      <c r="D333" s="34"/>
      <c r="E333" s="34"/>
      <c r="F333" s="34"/>
      <c r="G333" s="34"/>
      <c r="H333" s="34"/>
      <c r="I333" s="34"/>
      <c r="J333" s="34"/>
      <c r="K333" s="34"/>
      <c r="L333" s="34"/>
      <c r="M333" s="34"/>
      <c r="N333" s="35"/>
      <c r="O333" s="35"/>
      <c r="P333" s="35"/>
      <c r="Q333" s="35"/>
      <c r="R333" s="35"/>
      <c r="S333" s="35"/>
      <c r="T333" s="35"/>
      <c r="U333" s="35"/>
      <c r="V333" s="35"/>
      <c r="W333" s="35"/>
      <c r="X333" s="35"/>
      <c r="Y333" s="35"/>
      <c r="Z333" s="35"/>
      <c r="AA333" s="35"/>
      <c r="AB333" s="35"/>
      <c r="AC333" s="35"/>
      <c r="AD333" s="35"/>
      <c r="AE333" s="35"/>
      <c r="AF333" s="35"/>
      <c r="AG333" s="35"/>
      <c r="AH333" s="35"/>
      <c r="AI333" s="35"/>
      <c r="AJ333" s="35"/>
      <c r="AK333" s="35"/>
      <c r="AL333" s="35"/>
      <c r="AM333" s="35"/>
      <c r="AN333" s="35"/>
      <c r="AO333" s="35"/>
      <c r="AP333" s="35"/>
      <c r="AQ333" s="35"/>
      <c r="AR333" s="35"/>
      <c r="AS333" s="35"/>
      <c r="AT333" s="35"/>
      <c r="AU333" s="35"/>
      <c r="AV333" s="35"/>
      <c r="AW333" s="35"/>
      <c r="AX333" s="35"/>
      <c r="AY333" s="35"/>
      <c r="AZ333" s="35"/>
      <c r="BA333" s="35"/>
      <c r="BB333" s="35"/>
      <c r="BC333" s="35"/>
      <c r="BD333" s="35"/>
      <c r="BE333" s="35"/>
      <c r="BF333" s="35"/>
      <c r="BG333" s="35"/>
      <c r="BH333" s="35"/>
      <c r="BI333" s="35"/>
      <c r="BJ333" s="35"/>
      <c r="BK333" s="35"/>
      <c r="BL333" s="35"/>
      <c r="BM333" s="35"/>
      <c r="BN333" s="35"/>
      <c r="BO333" s="35"/>
      <c r="BP333" s="35"/>
      <c r="BQ333" s="35"/>
      <c r="BR333" s="35"/>
      <c r="BS333" s="35"/>
      <c r="BT333" s="35"/>
      <c r="BU333" s="35"/>
      <c r="BV333" s="35"/>
      <c r="BW333" s="35"/>
      <c r="BX333" s="35"/>
      <c r="BY333" s="35"/>
      <c r="BZ333" s="35"/>
      <c r="CA333" s="35"/>
      <c r="CB333" s="35"/>
      <c r="CC333" s="35"/>
      <c r="CD333" s="35"/>
      <c r="CE333" s="35"/>
      <c r="CF333" s="35"/>
      <c r="CG333" s="35"/>
      <c r="CH333" s="35"/>
      <c r="CI333" s="35"/>
      <c r="CJ333" s="35"/>
      <c r="CK333" s="35"/>
      <c r="CL333" s="35"/>
      <c r="CM333" s="35"/>
      <c r="CN333" s="35"/>
      <c r="CO333" s="35"/>
      <c r="CP333" s="35"/>
      <c r="CQ333" s="35"/>
      <c r="CR333" s="35"/>
      <c r="CS333" s="35"/>
      <c r="CT333" s="35"/>
      <c r="CU333" s="35"/>
      <c r="CV333" s="35"/>
      <c r="CW333" s="35"/>
      <c r="CX333" s="35"/>
      <c r="CY333" s="35"/>
      <c r="CZ333" s="35"/>
      <c r="DA333" s="35"/>
      <c r="DB333" s="35"/>
      <c r="DC333" s="35"/>
      <c r="DD333" s="35"/>
      <c r="DE333" s="35"/>
      <c r="DF333" s="35"/>
      <c r="DG333" s="35"/>
      <c r="DH333" s="35"/>
      <c r="DI333" s="35"/>
      <c r="DJ333" s="35"/>
    </row>
    <row r="334" spans="1:114" x14ac:dyDescent="0.25">
      <c r="A334" s="34"/>
      <c r="B334" s="34"/>
      <c r="C334" s="34"/>
      <c r="D334" s="34"/>
      <c r="E334" s="34"/>
      <c r="F334" s="34"/>
      <c r="G334" s="34"/>
      <c r="H334" s="34"/>
      <c r="I334" s="34"/>
      <c r="J334" s="34"/>
      <c r="K334" s="34"/>
      <c r="L334" s="34"/>
      <c r="M334" s="34"/>
      <c r="N334" s="35"/>
      <c r="O334" s="35"/>
      <c r="P334" s="35"/>
      <c r="Q334" s="35"/>
      <c r="R334" s="35"/>
      <c r="S334" s="35"/>
      <c r="T334" s="35"/>
      <c r="U334" s="35"/>
      <c r="V334" s="35"/>
      <c r="W334" s="35"/>
      <c r="X334" s="35"/>
      <c r="Y334" s="35"/>
      <c r="Z334" s="35"/>
      <c r="AA334" s="35"/>
      <c r="AB334" s="35"/>
      <c r="AC334" s="35"/>
      <c r="AD334" s="35"/>
      <c r="AE334" s="35"/>
      <c r="AF334" s="35"/>
      <c r="AG334" s="35"/>
      <c r="AH334" s="35"/>
      <c r="AI334" s="35"/>
      <c r="AJ334" s="35"/>
      <c r="AK334" s="35"/>
      <c r="AL334" s="35"/>
      <c r="AM334" s="35"/>
      <c r="AN334" s="35"/>
      <c r="AO334" s="35"/>
      <c r="AP334" s="35"/>
      <c r="AQ334" s="35"/>
      <c r="AR334" s="35"/>
      <c r="AS334" s="35"/>
      <c r="AT334" s="35"/>
      <c r="AU334" s="35"/>
      <c r="AV334" s="35"/>
      <c r="AW334" s="35"/>
      <c r="AX334" s="35"/>
      <c r="AY334" s="35"/>
      <c r="AZ334" s="35"/>
      <c r="BA334" s="35"/>
      <c r="BB334" s="35"/>
      <c r="BC334" s="35"/>
      <c r="BD334" s="35"/>
      <c r="BE334" s="35"/>
      <c r="BF334" s="35"/>
      <c r="BG334" s="35"/>
      <c r="BH334" s="35"/>
      <c r="BI334" s="35"/>
      <c r="BJ334" s="35"/>
      <c r="BK334" s="35"/>
      <c r="BL334" s="35"/>
      <c r="BM334" s="35"/>
      <c r="BN334" s="35"/>
      <c r="BO334" s="35"/>
      <c r="BP334" s="35"/>
      <c r="BQ334" s="35"/>
      <c r="BR334" s="35"/>
      <c r="BS334" s="35"/>
      <c r="BT334" s="35"/>
      <c r="BU334" s="35"/>
      <c r="BV334" s="35"/>
      <c r="BW334" s="35"/>
      <c r="BX334" s="35"/>
      <c r="BY334" s="35"/>
      <c r="BZ334" s="35"/>
      <c r="CA334" s="35"/>
      <c r="CB334" s="35"/>
      <c r="CC334" s="35"/>
      <c r="CD334" s="35"/>
      <c r="CE334" s="35"/>
      <c r="CF334" s="35"/>
      <c r="CG334" s="35"/>
      <c r="CH334" s="35"/>
      <c r="CI334" s="35"/>
      <c r="CJ334" s="35"/>
      <c r="CK334" s="35"/>
      <c r="CL334" s="35"/>
      <c r="CM334" s="35"/>
      <c r="CN334" s="35"/>
      <c r="CO334" s="35"/>
      <c r="CP334" s="35"/>
      <c r="CQ334" s="35"/>
      <c r="CR334" s="35"/>
      <c r="CS334" s="35"/>
      <c r="CT334" s="35"/>
      <c r="CU334" s="35"/>
      <c r="CV334" s="35"/>
      <c r="CW334" s="35"/>
      <c r="CX334" s="35"/>
      <c r="CY334" s="35"/>
      <c r="CZ334" s="35"/>
      <c r="DA334" s="35"/>
      <c r="DB334" s="35"/>
      <c r="DC334" s="35"/>
      <c r="DD334" s="35"/>
      <c r="DE334" s="35"/>
      <c r="DF334" s="35"/>
      <c r="DG334" s="35"/>
      <c r="DH334" s="35"/>
      <c r="DI334" s="35"/>
      <c r="DJ334" s="35"/>
    </row>
    <row r="335" spans="1:114" x14ac:dyDescent="0.25">
      <c r="A335" s="34"/>
      <c r="B335" s="34"/>
      <c r="C335" s="34"/>
      <c r="D335" s="34"/>
      <c r="E335" s="34"/>
      <c r="F335" s="34"/>
      <c r="G335" s="34"/>
      <c r="H335" s="34"/>
      <c r="I335" s="34"/>
      <c r="J335" s="34"/>
      <c r="K335" s="34"/>
      <c r="L335" s="34"/>
      <c r="M335" s="34"/>
      <c r="N335" s="35"/>
      <c r="O335" s="35"/>
      <c r="P335" s="35"/>
      <c r="Q335" s="35"/>
      <c r="R335" s="35"/>
      <c r="S335" s="35"/>
      <c r="T335" s="35"/>
      <c r="U335" s="35"/>
      <c r="V335" s="35"/>
      <c r="W335" s="35"/>
      <c r="X335" s="35"/>
      <c r="Y335" s="35"/>
      <c r="Z335" s="35"/>
      <c r="AA335" s="35"/>
      <c r="AB335" s="35"/>
      <c r="AC335" s="35"/>
      <c r="AD335" s="35"/>
      <c r="AE335" s="35"/>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row>
    <row r="336" spans="1:114" x14ac:dyDescent="0.25">
      <c r="A336" s="34"/>
      <c r="B336" s="34"/>
      <c r="C336" s="34"/>
      <c r="D336" s="34"/>
      <c r="E336" s="34"/>
      <c r="F336" s="34"/>
      <c r="G336" s="34"/>
      <c r="H336" s="34"/>
      <c r="I336" s="34"/>
      <c r="J336" s="34"/>
      <c r="K336" s="34"/>
      <c r="L336" s="34"/>
      <c r="M336" s="34"/>
      <c r="N336" s="35"/>
      <c r="O336" s="35"/>
      <c r="P336" s="35"/>
      <c r="Q336" s="35"/>
      <c r="R336" s="35"/>
      <c r="S336" s="35"/>
      <c r="T336" s="35"/>
      <c r="U336" s="35"/>
      <c r="V336" s="35"/>
      <c r="W336" s="35"/>
      <c r="X336" s="35"/>
      <c r="Y336" s="35"/>
      <c r="Z336" s="35"/>
      <c r="AA336" s="35"/>
      <c r="AB336" s="35"/>
      <c r="AC336" s="35"/>
      <c r="AD336" s="35"/>
      <c r="AE336" s="35"/>
      <c r="AF336" s="35"/>
      <c r="AG336" s="35"/>
      <c r="AH336" s="35"/>
      <c r="AI336" s="35"/>
      <c r="AJ336" s="35"/>
      <c r="AK336" s="35"/>
      <c r="AL336" s="35"/>
      <c r="AM336" s="35"/>
      <c r="AN336" s="35"/>
      <c r="AO336" s="35"/>
      <c r="AP336" s="35"/>
      <c r="AQ336" s="35"/>
      <c r="AR336" s="35"/>
      <c r="AS336" s="35"/>
      <c r="AT336" s="35"/>
      <c r="AU336" s="35"/>
      <c r="AV336" s="35"/>
      <c r="AW336" s="35"/>
      <c r="AX336" s="35"/>
      <c r="AY336" s="35"/>
      <c r="AZ336" s="35"/>
      <c r="BA336" s="35"/>
      <c r="BB336" s="35"/>
      <c r="BC336" s="35"/>
      <c r="BD336" s="35"/>
      <c r="BE336" s="35"/>
      <c r="BF336" s="35"/>
      <c r="BG336" s="35"/>
      <c r="BH336" s="35"/>
      <c r="BI336" s="35"/>
      <c r="BJ336" s="35"/>
      <c r="BK336" s="35"/>
      <c r="BL336" s="35"/>
      <c r="BM336" s="35"/>
      <c r="BN336" s="35"/>
      <c r="BO336" s="35"/>
      <c r="BP336" s="35"/>
      <c r="BQ336" s="35"/>
      <c r="BR336" s="35"/>
      <c r="BS336" s="35"/>
      <c r="BT336" s="35"/>
      <c r="BU336" s="35"/>
      <c r="BV336" s="35"/>
      <c r="BW336" s="35"/>
      <c r="BX336" s="35"/>
      <c r="BY336" s="35"/>
      <c r="BZ336" s="35"/>
      <c r="CA336" s="35"/>
      <c r="CB336" s="35"/>
      <c r="CC336" s="35"/>
      <c r="CD336" s="35"/>
      <c r="CE336" s="35"/>
      <c r="CF336" s="35"/>
      <c r="CG336" s="35"/>
      <c r="CH336" s="35"/>
      <c r="CI336" s="35"/>
      <c r="CJ336" s="35"/>
      <c r="CK336" s="35"/>
      <c r="CL336" s="35"/>
      <c r="CM336" s="35"/>
      <c r="CN336" s="35"/>
      <c r="CO336" s="35"/>
      <c r="CP336" s="35"/>
      <c r="CQ336" s="35"/>
      <c r="CR336" s="35"/>
      <c r="CS336" s="35"/>
      <c r="CT336" s="35"/>
      <c r="CU336" s="35"/>
      <c r="CV336" s="35"/>
      <c r="CW336" s="35"/>
      <c r="CX336" s="35"/>
      <c r="CY336" s="35"/>
      <c r="CZ336" s="35"/>
      <c r="DA336" s="35"/>
      <c r="DB336" s="35"/>
      <c r="DC336" s="35"/>
      <c r="DD336" s="35"/>
      <c r="DE336" s="35"/>
      <c r="DF336" s="35"/>
      <c r="DG336" s="35"/>
      <c r="DH336" s="35"/>
      <c r="DI336" s="35"/>
      <c r="DJ336" s="35"/>
    </row>
    <row r="337" spans="1:114" x14ac:dyDescent="0.25">
      <c r="A337" s="34"/>
      <c r="B337" s="34"/>
      <c r="C337" s="34"/>
      <c r="D337" s="34"/>
      <c r="E337" s="34"/>
      <c r="F337" s="34"/>
      <c r="G337" s="34"/>
      <c r="H337" s="34"/>
      <c r="I337" s="34"/>
      <c r="J337" s="34"/>
      <c r="K337" s="34"/>
      <c r="L337" s="34"/>
      <c r="M337" s="34"/>
      <c r="N337" s="35"/>
      <c r="O337" s="35"/>
      <c r="P337" s="35"/>
      <c r="Q337" s="35"/>
      <c r="R337" s="35"/>
      <c r="S337" s="35"/>
      <c r="T337" s="35"/>
      <c r="U337" s="35"/>
      <c r="V337" s="35"/>
      <c r="W337" s="35"/>
      <c r="X337" s="35"/>
      <c r="Y337" s="35"/>
      <c r="Z337" s="35"/>
      <c r="AA337" s="35"/>
      <c r="AB337" s="35"/>
      <c r="AC337" s="35"/>
      <c r="AD337" s="35"/>
      <c r="AE337" s="35"/>
      <c r="AF337" s="35"/>
      <c r="AG337" s="35"/>
      <c r="AH337" s="35"/>
      <c r="AI337" s="35"/>
      <c r="AJ337" s="35"/>
      <c r="AK337" s="35"/>
      <c r="AL337" s="35"/>
      <c r="AM337" s="35"/>
      <c r="AN337" s="35"/>
      <c r="AO337" s="35"/>
      <c r="AP337" s="35"/>
      <c r="AQ337" s="35"/>
      <c r="AR337" s="35"/>
      <c r="AS337" s="35"/>
      <c r="AT337" s="35"/>
      <c r="AU337" s="35"/>
      <c r="AV337" s="35"/>
      <c r="AW337" s="35"/>
      <c r="AX337" s="35"/>
      <c r="AY337" s="35"/>
      <c r="AZ337" s="35"/>
      <c r="BA337" s="35"/>
      <c r="BB337" s="35"/>
      <c r="BC337" s="35"/>
      <c r="BD337" s="35"/>
      <c r="BE337" s="35"/>
      <c r="BF337" s="35"/>
      <c r="BG337" s="35"/>
      <c r="BH337" s="35"/>
      <c r="BI337" s="35"/>
      <c r="BJ337" s="35"/>
      <c r="BK337" s="35"/>
      <c r="BL337" s="35"/>
      <c r="BM337" s="35"/>
      <c r="BN337" s="35"/>
      <c r="BO337" s="35"/>
      <c r="BP337" s="35"/>
      <c r="BQ337" s="35"/>
      <c r="BR337" s="35"/>
      <c r="BS337" s="35"/>
      <c r="BT337" s="35"/>
      <c r="BU337" s="35"/>
      <c r="BV337" s="35"/>
      <c r="BW337" s="35"/>
      <c r="BX337" s="35"/>
      <c r="BY337" s="35"/>
      <c r="BZ337" s="35"/>
      <c r="CA337" s="35"/>
      <c r="CB337" s="35"/>
      <c r="CC337" s="35"/>
      <c r="CD337" s="35"/>
      <c r="CE337" s="35"/>
      <c r="CF337" s="35"/>
      <c r="CG337" s="35"/>
      <c r="CH337" s="35"/>
      <c r="CI337" s="35"/>
      <c r="CJ337" s="35"/>
      <c r="CK337" s="35"/>
      <c r="CL337" s="35"/>
      <c r="CM337" s="35"/>
      <c r="CN337" s="35"/>
      <c r="CO337" s="35"/>
      <c r="CP337" s="35"/>
      <c r="CQ337" s="35"/>
      <c r="CR337" s="35"/>
      <c r="CS337" s="35"/>
      <c r="CT337" s="35"/>
      <c r="CU337" s="35"/>
      <c r="CV337" s="35"/>
      <c r="CW337" s="35"/>
      <c r="CX337" s="35"/>
      <c r="CY337" s="35"/>
      <c r="CZ337" s="35"/>
      <c r="DA337" s="35"/>
      <c r="DB337" s="35"/>
      <c r="DC337" s="35"/>
      <c r="DD337" s="35"/>
      <c r="DE337" s="35"/>
      <c r="DF337" s="35"/>
      <c r="DG337" s="35"/>
      <c r="DH337" s="35"/>
      <c r="DI337" s="35"/>
      <c r="DJ337" s="35"/>
    </row>
    <row r="338" spans="1:114" x14ac:dyDescent="0.25">
      <c r="A338" s="34"/>
      <c r="B338" s="34"/>
      <c r="C338" s="34"/>
      <c r="D338" s="34"/>
      <c r="E338" s="34"/>
      <c r="F338" s="34"/>
      <c r="G338" s="34"/>
      <c r="H338" s="34"/>
      <c r="I338" s="34"/>
      <c r="J338" s="34"/>
      <c r="K338" s="34"/>
      <c r="L338" s="34"/>
      <c r="M338" s="34"/>
      <c r="N338" s="35"/>
      <c r="O338" s="35"/>
      <c r="P338" s="35"/>
      <c r="Q338" s="35"/>
      <c r="R338" s="35"/>
      <c r="S338" s="35"/>
      <c r="T338" s="35"/>
      <c r="U338" s="35"/>
      <c r="V338" s="35"/>
      <c r="W338" s="35"/>
      <c r="X338" s="35"/>
      <c r="Y338" s="35"/>
      <c r="Z338" s="35"/>
      <c r="AA338" s="35"/>
      <c r="AB338" s="35"/>
      <c r="AC338" s="35"/>
      <c r="AD338" s="35"/>
      <c r="AE338" s="35"/>
      <c r="AF338" s="35"/>
      <c r="AG338" s="35"/>
      <c r="AH338" s="35"/>
      <c r="AI338" s="35"/>
      <c r="AJ338" s="35"/>
      <c r="AK338" s="35"/>
      <c r="AL338" s="35"/>
      <c r="AM338" s="35"/>
      <c r="AN338" s="35"/>
      <c r="AO338" s="35"/>
      <c r="AP338" s="35"/>
      <c r="AQ338" s="35"/>
      <c r="AR338" s="35"/>
      <c r="AS338" s="35"/>
      <c r="AT338" s="35"/>
      <c r="AU338" s="35"/>
      <c r="AV338" s="35"/>
      <c r="AW338" s="35"/>
      <c r="AX338" s="35"/>
      <c r="AY338" s="35"/>
      <c r="AZ338" s="35"/>
      <c r="BA338" s="35"/>
      <c r="BB338" s="35"/>
      <c r="BC338" s="35"/>
      <c r="BD338" s="35"/>
      <c r="BE338" s="35"/>
      <c r="BF338" s="35"/>
      <c r="BG338" s="35"/>
      <c r="BH338" s="35"/>
      <c r="BI338" s="35"/>
      <c r="BJ338" s="35"/>
      <c r="BK338" s="35"/>
      <c r="BL338" s="35"/>
      <c r="BM338" s="35"/>
      <c r="BN338" s="35"/>
      <c r="BO338" s="35"/>
      <c r="BP338" s="35"/>
      <c r="BQ338" s="35"/>
      <c r="BR338" s="35"/>
      <c r="BS338" s="35"/>
      <c r="BT338" s="35"/>
      <c r="BU338" s="35"/>
      <c r="BV338" s="35"/>
      <c r="BW338" s="35"/>
      <c r="BX338" s="35"/>
      <c r="BY338" s="35"/>
      <c r="BZ338" s="35"/>
      <c r="CA338" s="35"/>
      <c r="CB338" s="35"/>
      <c r="CC338" s="35"/>
      <c r="CD338" s="35"/>
      <c r="CE338" s="35"/>
      <c r="CF338" s="35"/>
      <c r="CG338" s="35"/>
      <c r="CH338" s="35"/>
      <c r="CI338" s="35"/>
      <c r="CJ338" s="35"/>
      <c r="CK338" s="35"/>
      <c r="CL338" s="35"/>
      <c r="CM338" s="35"/>
      <c r="CN338" s="35"/>
      <c r="CO338" s="35"/>
      <c r="CP338" s="35"/>
      <c r="CQ338" s="35"/>
      <c r="CR338" s="35"/>
      <c r="CS338" s="35"/>
      <c r="CT338" s="35"/>
      <c r="CU338" s="35"/>
      <c r="CV338" s="35"/>
      <c r="CW338" s="35"/>
      <c r="CX338" s="35"/>
      <c r="CY338" s="35"/>
      <c r="CZ338" s="35"/>
      <c r="DA338" s="35"/>
      <c r="DB338" s="35"/>
      <c r="DC338" s="35"/>
      <c r="DD338" s="35"/>
      <c r="DE338" s="35"/>
      <c r="DF338" s="35"/>
      <c r="DG338" s="35"/>
      <c r="DH338" s="35"/>
      <c r="DI338" s="35"/>
      <c r="DJ338" s="35"/>
    </row>
    <row r="339" spans="1:114" x14ac:dyDescent="0.25">
      <c r="A339" s="34"/>
      <c r="B339" s="34"/>
      <c r="C339" s="34"/>
      <c r="D339" s="34"/>
      <c r="E339" s="34"/>
      <c r="F339" s="34"/>
      <c r="G339" s="34"/>
      <c r="H339" s="34"/>
      <c r="I339" s="34"/>
      <c r="J339" s="34"/>
      <c r="K339" s="34"/>
      <c r="L339" s="34"/>
      <c r="M339" s="34"/>
      <c r="N339" s="35"/>
      <c r="O339" s="35"/>
      <c r="P339" s="35"/>
      <c r="Q339" s="35"/>
      <c r="R339" s="35"/>
      <c r="S339" s="35"/>
      <c r="T339" s="35"/>
      <c r="U339" s="35"/>
      <c r="V339" s="35"/>
      <c r="W339" s="35"/>
      <c r="X339" s="35"/>
      <c r="Y339" s="35"/>
      <c r="Z339" s="35"/>
      <c r="AA339" s="35"/>
      <c r="AB339" s="35"/>
      <c r="AC339" s="35"/>
      <c r="AD339" s="35"/>
      <c r="AE339" s="35"/>
      <c r="AF339" s="35"/>
      <c r="AG339" s="35"/>
      <c r="AH339" s="35"/>
      <c r="AI339" s="35"/>
      <c r="AJ339" s="35"/>
      <c r="AK339" s="35"/>
      <c r="AL339" s="35"/>
      <c r="AM339" s="35"/>
      <c r="AN339" s="35"/>
      <c r="AO339" s="35"/>
      <c r="AP339" s="35"/>
      <c r="AQ339" s="35"/>
      <c r="AR339" s="35"/>
      <c r="AS339" s="35"/>
      <c r="AT339" s="35"/>
      <c r="AU339" s="35"/>
      <c r="AV339" s="35"/>
      <c r="AW339" s="35"/>
      <c r="AX339" s="35"/>
      <c r="AY339" s="35"/>
      <c r="AZ339" s="35"/>
      <c r="BA339" s="35"/>
      <c r="BB339" s="35"/>
      <c r="BC339" s="35"/>
      <c r="BD339" s="35"/>
      <c r="BE339" s="35"/>
      <c r="BF339" s="35"/>
      <c r="BG339" s="35"/>
      <c r="BH339" s="35"/>
      <c r="BI339" s="35"/>
      <c r="BJ339" s="35"/>
      <c r="BK339" s="35"/>
      <c r="BL339" s="35"/>
      <c r="BM339" s="35"/>
      <c r="BN339" s="35"/>
      <c r="BO339" s="35"/>
      <c r="BP339" s="35"/>
      <c r="BQ339" s="35"/>
      <c r="BR339" s="35"/>
      <c r="BS339" s="35"/>
      <c r="BT339" s="35"/>
      <c r="BU339" s="35"/>
      <c r="BV339" s="35"/>
      <c r="BW339" s="35"/>
      <c r="BX339" s="35"/>
      <c r="BY339" s="35"/>
      <c r="BZ339" s="35"/>
      <c r="CA339" s="35"/>
      <c r="CB339" s="35"/>
      <c r="CC339" s="35"/>
      <c r="CD339" s="35"/>
      <c r="CE339" s="35"/>
      <c r="CF339" s="35"/>
      <c r="CG339" s="35"/>
      <c r="CH339" s="35"/>
      <c r="CI339" s="35"/>
      <c r="CJ339" s="35"/>
      <c r="CK339" s="35"/>
      <c r="CL339" s="35"/>
      <c r="CM339" s="35"/>
      <c r="CN339" s="35"/>
      <c r="CO339" s="35"/>
      <c r="CP339" s="35"/>
      <c r="CQ339" s="35"/>
      <c r="CR339" s="35"/>
      <c r="CS339" s="35"/>
      <c r="CT339" s="35"/>
      <c r="CU339" s="35"/>
      <c r="CV339" s="35"/>
      <c r="CW339" s="35"/>
      <c r="CX339" s="35"/>
      <c r="CY339" s="35"/>
      <c r="CZ339" s="35"/>
      <c r="DA339" s="35"/>
      <c r="DB339" s="35"/>
      <c r="DC339" s="35"/>
      <c r="DD339" s="35"/>
      <c r="DE339" s="35"/>
      <c r="DF339" s="35"/>
      <c r="DG339" s="35"/>
      <c r="DH339" s="35"/>
      <c r="DI339" s="35"/>
      <c r="DJ339" s="35"/>
    </row>
    <row r="340" spans="1:114" x14ac:dyDescent="0.25">
      <c r="A340" s="34"/>
      <c r="B340" s="34"/>
      <c r="C340" s="34"/>
      <c r="D340" s="34"/>
      <c r="E340" s="34"/>
      <c r="F340" s="34"/>
      <c r="G340" s="34"/>
      <c r="H340" s="34"/>
      <c r="I340" s="34"/>
      <c r="J340" s="34"/>
      <c r="K340" s="34"/>
      <c r="L340" s="34"/>
      <c r="M340" s="34"/>
      <c r="N340" s="35"/>
      <c r="O340" s="35"/>
      <c r="P340" s="35"/>
      <c r="Q340" s="35"/>
      <c r="R340" s="35"/>
      <c r="S340" s="35"/>
      <c r="T340" s="35"/>
      <c r="U340" s="35"/>
      <c r="V340" s="35"/>
      <c r="W340" s="35"/>
      <c r="X340" s="35"/>
      <c r="Y340" s="35"/>
      <c r="Z340" s="35"/>
      <c r="AA340" s="35"/>
      <c r="AB340" s="35"/>
      <c r="AC340" s="35"/>
      <c r="AD340" s="35"/>
      <c r="AE340" s="35"/>
      <c r="AF340" s="35"/>
      <c r="AG340" s="35"/>
      <c r="AH340" s="35"/>
      <c r="AI340" s="35"/>
      <c r="AJ340" s="35"/>
      <c r="AK340" s="35"/>
      <c r="AL340" s="35"/>
      <c r="AM340" s="35"/>
      <c r="AN340" s="35"/>
      <c r="AO340" s="35"/>
      <c r="AP340" s="35"/>
      <c r="AQ340" s="35"/>
      <c r="AR340" s="35"/>
      <c r="AS340" s="35"/>
      <c r="AT340" s="35"/>
      <c r="AU340" s="35"/>
      <c r="AV340" s="35"/>
      <c r="AW340" s="35"/>
      <c r="AX340" s="35"/>
      <c r="AY340" s="35"/>
      <c r="AZ340" s="35"/>
      <c r="BA340" s="35"/>
      <c r="BB340" s="35"/>
      <c r="BC340" s="35"/>
      <c r="BD340" s="35"/>
      <c r="BE340" s="35"/>
      <c r="BF340" s="35"/>
      <c r="BG340" s="35"/>
      <c r="BH340" s="35"/>
      <c r="BI340" s="35"/>
      <c r="BJ340" s="35"/>
      <c r="BK340" s="35"/>
      <c r="BL340" s="35"/>
      <c r="BM340" s="35"/>
      <c r="BN340" s="35"/>
      <c r="BO340" s="35"/>
      <c r="BP340" s="35"/>
      <c r="BQ340" s="35"/>
      <c r="BR340" s="35"/>
      <c r="BS340" s="35"/>
      <c r="BT340" s="35"/>
      <c r="BU340" s="35"/>
      <c r="BV340" s="35"/>
      <c r="BW340" s="35"/>
      <c r="BX340" s="35"/>
      <c r="BY340" s="35"/>
      <c r="BZ340" s="35"/>
      <c r="CA340" s="35"/>
      <c r="CB340" s="35"/>
      <c r="CC340" s="35"/>
      <c r="CD340" s="35"/>
      <c r="CE340" s="35"/>
      <c r="CF340" s="35"/>
      <c r="CG340" s="35"/>
      <c r="CH340" s="35"/>
      <c r="CI340" s="35"/>
      <c r="CJ340" s="35"/>
      <c r="CK340" s="35"/>
      <c r="CL340" s="35"/>
      <c r="CM340" s="35"/>
      <c r="CN340" s="35"/>
      <c r="CO340" s="35"/>
      <c r="CP340" s="35"/>
      <c r="CQ340" s="35"/>
      <c r="CR340" s="35"/>
      <c r="CS340" s="35"/>
      <c r="CT340" s="35"/>
      <c r="CU340" s="35"/>
      <c r="CV340" s="35"/>
      <c r="CW340" s="35"/>
      <c r="CX340" s="35"/>
      <c r="CY340" s="35"/>
      <c r="CZ340" s="35"/>
      <c r="DA340" s="35"/>
      <c r="DB340" s="35"/>
      <c r="DC340" s="35"/>
      <c r="DD340" s="35"/>
      <c r="DE340" s="35"/>
      <c r="DF340" s="35"/>
      <c r="DG340" s="35"/>
      <c r="DH340" s="35"/>
      <c r="DI340" s="35"/>
      <c r="DJ340" s="35"/>
    </row>
    <row r="341" spans="1:114" x14ac:dyDescent="0.25">
      <c r="A341" s="34"/>
      <c r="B341" s="34"/>
      <c r="C341" s="34"/>
      <c r="D341" s="34"/>
      <c r="E341" s="34"/>
      <c r="F341" s="34"/>
      <c r="G341" s="34"/>
      <c r="H341" s="34"/>
      <c r="I341" s="34"/>
      <c r="J341" s="34"/>
      <c r="K341" s="34"/>
      <c r="L341" s="34"/>
      <c r="M341" s="34"/>
      <c r="N341" s="35"/>
      <c r="O341" s="35"/>
      <c r="P341" s="35"/>
      <c r="Q341" s="35"/>
      <c r="R341" s="35"/>
      <c r="S341" s="35"/>
      <c r="T341" s="35"/>
      <c r="U341" s="35"/>
      <c r="V341" s="35"/>
      <c r="W341" s="35"/>
      <c r="X341" s="35"/>
      <c r="Y341" s="35"/>
      <c r="Z341" s="35"/>
      <c r="AA341" s="35"/>
      <c r="AB341" s="35"/>
      <c r="AC341" s="35"/>
      <c r="AD341" s="35"/>
      <c r="AE341" s="35"/>
      <c r="AF341" s="35"/>
      <c r="AG341" s="35"/>
      <c r="AH341" s="35"/>
      <c r="AI341" s="35"/>
      <c r="AJ341" s="35"/>
      <c r="AK341" s="35"/>
      <c r="AL341" s="35"/>
      <c r="AM341" s="35"/>
      <c r="AN341" s="35"/>
      <c r="AO341" s="35"/>
      <c r="AP341" s="35"/>
      <c r="AQ341" s="35"/>
      <c r="AR341" s="35"/>
      <c r="AS341" s="35"/>
      <c r="AT341" s="35"/>
      <c r="AU341" s="35"/>
      <c r="AV341" s="35"/>
      <c r="AW341" s="35"/>
      <c r="AX341" s="35"/>
      <c r="AY341" s="35"/>
      <c r="AZ341" s="35"/>
      <c r="BA341" s="35"/>
      <c r="BB341" s="35"/>
      <c r="BC341" s="35"/>
      <c r="BD341" s="35"/>
      <c r="BE341" s="35"/>
      <c r="BF341" s="35"/>
      <c r="BG341" s="35"/>
      <c r="BH341" s="35"/>
      <c r="BI341" s="35"/>
      <c r="BJ341" s="35"/>
      <c r="BK341" s="35"/>
      <c r="BL341" s="35"/>
      <c r="BM341" s="35"/>
      <c r="BN341" s="35"/>
      <c r="BO341" s="35"/>
      <c r="BP341" s="35"/>
      <c r="BQ341" s="35"/>
      <c r="BR341" s="35"/>
      <c r="BS341" s="35"/>
      <c r="BT341" s="35"/>
      <c r="BU341" s="35"/>
      <c r="BV341" s="35"/>
      <c r="BW341" s="35"/>
      <c r="BX341" s="35"/>
      <c r="BY341" s="35"/>
      <c r="BZ341" s="35"/>
      <c r="CA341" s="35"/>
      <c r="CB341" s="35"/>
      <c r="CC341" s="35"/>
      <c r="CD341" s="35"/>
      <c r="CE341" s="35"/>
      <c r="CF341" s="35"/>
      <c r="CG341" s="35"/>
      <c r="CH341" s="35"/>
      <c r="CI341" s="35"/>
      <c r="CJ341" s="35"/>
      <c r="CK341" s="35"/>
      <c r="CL341" s="35"/>
      <c r="CM341" s="35"/>
      <c r="CN341" s="35"/>
      <c r="CO341" s="35"/>
      <c r="CP341" s="35"/>
      <c r="CQ341" s="35"/>
      <c r="CR341" s="35"/>
      <c r="CS341" s="35"/>
      <c r="CT341" s="35"/>
      <c r="CU341" s="35"/>
      <c r="CV341" s="35"/>
      <c r="CW341" s="35"/>
      <c r="CX341" s="35"/>
      <c r="CY341" s="35"/>
      <c r="CZ341" s="35"/>
      <c r="DA341" s="35"/>
      <c r="DB341" s="35"/>
      <c r="DC341" s="35"/>
      <c r="DD341" s="35"/>
      <c r="DE341" s="35"/>
      <c r="DF341" s="35"/>
      <c r="DG341" s="35"/>
      <c r="DH341" s="35"/>
      <c r="DI341" s="35"/>
      <c r="DJ341" s="35"/>
    </row>
    <row r="342" spans="1:114" x14ac:dyDescent="0.25">
      <c r="A342" s="34"/>
      <c r="B342" s="34"/>
      <c r="C342" s="34"/>
      <c r="D342" s="34"/>
      <c r="E342" s="34"/>
      <c r="F342" s="34"/>
      <c r="G342" s="34"/>
      <c r="H342" s="34"/>
      <c r="I342" s="34"/>
      <c r="J342" s="34"/>
      <c r="K342" s="34"/>
      <c r="L342" s="34"/>
      <c r="M342" s="34"/>
      <c r="N342" s="35"/>
      <c r="O342" s="35"/>
      <c r="P342" s="35"/>
      <c r="Q342" s="35"/>
      <c r="R342" s="35"/>
      <c r="S342" s="35"/>
      <c r="T342" s="35"/>
      <c r="U342" s="35"/>
      <c r="V342" s="35"/>
      <c r="W342" s="35"/>
      <c r="X342" s="35"/>
      <c r="Y342" s="35"/>
      <c r="Z342" s="35"/>
      <c r="AA342" s="35"/>
      <c r="AB342" s="35"/>
      <c r="AC342" s="35"/>
      <c r="AD342" s="35"/>
      <c r="AE342" s="35"/>
      <c r="AF342" s="35"/>
      <c r="AG342" s="35"/>
      <c r="AH342" s="35"/>
      <c r="AI342" s="35"/>
      <c r="AJ342" s="35"/>
      <c r="AK342" s="35"/>
      <c r="AL342" s="35"/>
      <c r="AM342" s="35"/>
      <c r="AN342" s="35"/>
      <c r="AO342" s="35"/>
      <c r="AP342" s="35"/>
      <c r="AQ342" s="35"/>
      <c r="AR342" s="35"/>
      <c r="AS342" s="35"/>
      <c r="AT342" s="35"/>
      <c r="AU342" s="35"/>
      <c r="AV342" s="35"/>
      <c r="AW342" s="35"/>
      <c r="AX342" s="35"/>
      <c r="AY342" s="35"/>
      <c r="AZ342" s="35"/>
      <c r="BA342" s="35"/>
      <c r="BB342" s="35"/>
      <c r="BC342" s="35"/>
      <c r="BD342" s="35"/>
      <c r="BE342" s="35"/>
      <c r="BF342" s="35"/>
      <c r="BG342" s="35"/>
      <c r="BH342" s="35"/>
      <c r="BI342" s="35"/>
      <c r="BJ342" s="35"/>
      <c r="BK342" s="35"/>
      <c r="BL342" s="35"/>
      <c r="BM342" s="35"/>
      <c r="BN342" s="35"/>
      <c r="BO342" s="35"/>
      <c r="BP342" s="35"/>
      <c r="BQ342" s="35"/>
      <c r="BR342" s="35"/>
      <c r="BS342" s="35"/>
      <c r="BT342" s="35"/>
      <c r="BU342" s="35"/>
      <c r="BV342" s="35"/>
      <c r="BW342" s="35"/>
      <c r="BX342" s="35"/>
      <c r="BY342" s="35"/>
      <c r="BZ342" s="35"/>
      <c r="CA342" s="35"/>
      <c r="CB342" s="35"/>
      <c r="CC342" s="35"/>
      <c r="CD342" s="35"/>
      <c r="CE342" s="35"/>
      <c r="CF342" s="35"/>
      <c r="CG342" s="35"/>
      <c r="CH342" s="35"/>
      <c r="CI342" s="35"/>
      <c r="CJ342" s="35"/>
      <c r="CK342" s="35"/>
      <c r="CL342" s="35"/>
      <c r="CM342" s="35"/>
      <c r="CN342" s="35"/>
      <c r="CO342" s="35"/>
      <c r="CP342" s="35"/>
      <c r="CQ342" s="35"/>
      <c r="CR342" s="35"/>
      <c r="CS342" s="35"/>
      <c r="CT342" s="35"/>
      <c r="CU342" s="35"/>
      <c r="CV342" s="35"/>
      <c r="CW342" s="35"/>
      <c r="CX342" s="35"/>
      <c r="CY342" s="35"/>
      <c r="CZ342" s="35"/>
      <c r="DA342" s="35"/>
      <c r="DB342" s="35"/>
      <c r="DC342" s="35"/>
      <c r="DD342" s="35"/>
      <c r="DE342" s="35"/>
      <c r="DF342" s="35"/>
      <c r="DG342" s="35"/>
      <c r="DH342" s="35"/>
      <c r="DI342" s="35"/>
      <c r="DJ342" s="35"/>
    </row>
    <row r="343" spans="1:114" x14ac:dyDescent="0.25">
      <c r="A343" s="34"/>
      <c r="B343" s="34"/>
      <c r="C343" s="34"/>
      <c r="D343" s="34"/>
      <c r="E343" s="34"/>
      <c r="F343" s="34"/>
      <c r="G343" s="34"/>
      <c r="H343" s="34"/>
      <c r="I343" s="34"/>
      <c r="J343" s="34"/>
      <c r="K343" s="34"/>
      <c r="L343" s="34"/>
      <c r="M343" s="34"/>
      <c r="N343" s="35"/>
      <c r="O343" s="35"/>
      <c r="P343" s="35"/>
      <c r="Q343" s="35"/>
      <c r="R343" s="35"/>
      <c r="S343" s="35"/>
      <c r="T343" s="35"/>
      <c r="U343" s="35"/>
      <c r="V343" s="35"/>
      <c r="W343" s="35"/>
      <c r="X343" s="35"/>
      <c r="Y343" s="35"/>
      <c r="Z343" s="35"/>
      <c r="AA343" s="35"/>
      <c r="AB343" s="35"/>
      <c r="AC343" s="35"/>
      <c r="AD343" s="35"/>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35"/>
      <c r="CD343" s="35"/>
      <c r="CE343" s="35"/>
      <c r="CF343" s="35"/>
      <c r="CG343" s="35"/>
      <c r="CH343" s="35"/>
      <c r="CI343" s="35"/>
      <c r="CJ343" s="35"/>
      <c r="CK343" s="35"/>
      <c r="CL343" s="35"/>
      <c r="CM343" s="35"/>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row>
    <row r="344" spans="1:114" x14ac:dyDescent="0.25">
      <c r="A344" s="34"/>
      <c r="B344" s="34"/>
      <c r="C344" s="34"/>
      <c r="D344" s="34"/>
      <c r="E344" s="34"/>
      <c r="F344" s="34"/>
      <c r="G344" s="34"/>
      <c r="H344" s="34"/>
      <c r="I344" s="34"/>
      <c r="J344" s="34"/>
      <c r="K344" s="34"/>
      <c r="L344" s="34"/>
      <c r="M344" s="34"/>
      <c r="N344" s="35"/>
      <c r="O344" s="35"/>
      <c r="P344" s="35"/>
      <c r="Q344" s="35"/>
      <c r="R344" s="35"/>
      <c r="S344" s="35"/>
      <c r="T344" s="35"/>
      <c r="U344" s="35"/>
      <c r="V344" s="35"/>
      <c r="W344" s="35"/>
      <c r="X344" s="35"/>
      <c r="Y344" s="35"/>
      <c r="Z344" s="35"/>
      <c r="AA344" s="35"/>
      <c r="AB344" s="35"/>
      <c r="AC344" s="35"/>
      <c r="AD344" s="35"/>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row>
    <row r="345" spans="1:114" x14ac:dyDescent="0.25">
      <c r="A345" s="34"/>
      <c r="B345" s="34"/>
      <c r="C345" s="34"/>
      <c r="D345" s="34"/>
      <c r="E345" s="34"/>
      <c r="F345" s="34"/>
      <c r="G345" s="34"/>
      <c r="H345" s="34"/>
      <c r="I345" s="34"/>
      <c r="J345" s="34"/>
      <c r="K345" s="34"/>
      <c r="L345" s="34"/>
      <c r="M345" s="34"/>
      <c r="N345" s="35"/>
      <c r="O345" s="35"/>
      <c r="P345" s="35"/>
      <c r="Q345" s="35"/>
      <c r="R345" s="35"/>
      <c r="S345" s="35"/>
      <c r="T345" s="35"/>
      <c r="U345" s="35"/>
      <c r="V345" s="35"/>
      <c r="W345" s="35"/>
      <c r="X345" s="35"/>
      <c r="Y345" s="35"/>
      <c r="Z345" s="35"/>
      <c r="AA345" s="35"/>
      <c r="AB345" s="35"/>
      <c r="AC345" s="35"/>
      <c r="AD345" s="35"/>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35"/>
      <c r="CD345" s="35"/>
      <c r="CE345" s="35"/>
      <c r="CF345" s="35"/>
      <c r="CG345" s="35"/>
      <c r="CH345" s="35"/>
      <c r="CI345" s="35"/>
      <c r="CJ345" s="35"/>
      <c r="CK345" s="35"/>
      <c r="CL345" s="35"/>
      <c r="CM345" s="35"/>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row>
    <row r="346" spans="1:114" x14ac:dyDescent="0.25">
      <c r="A346" s="34"/>
      <c r="B346" s="34"/>
      <c r="C346" s="34"/>
      <c r="D346" s="34"/>
      <c r="E346" s="34"/>
      <c r="F346" s="34"/>
      <c r="G346" s="34"/>
      <c r="H346" s="34"/>
      <c r="I346" s="34"/>
      <c r="J346" s="34"/>
      <c r="K346" s="34"/>
      <c r="L346" s="34"/>
      <c r="M346" s="34"/>
      <c r="N346" s="35"/>
      <c r="O346" s="35"/>
      <c r="P346" s="35"/>
      <c r="Q346" s="35"/>
      <c r="R346" s="35"/>
      <c r="S346" s="35"/>
      <c r="T346" s="35"/>
      <c r="U346" s="35"/>
      <c r="V346" s="35"/>
      <c r="W346" s="35"/>
      <c r="X346" s="35"/>
      <c r="Y346" s="35"/>
      <c r="Z346" s="35"/>
      <c r="AA346" s="35"/>
      <c r="AB346" s="35"/>
      <c r="AC346" s="35"/>
      <c r="AD346" s="35"/>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35"/>
      <c r="CD346" s="35"/>
      <c r="CE346" s="35"/>
      <c r="CF346" s="35"/>
      <c r="CG346" s="35"/>
      <c r="CH346" s="35"/>
      <c r="CI346" s="35"/>
      <c r="CJ346" s="35"/>
      <c r="CK346" s="35"/>
      <c r="CL346" s="35"/>
      <c r="CM346" s="35"/>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row>
    <row r="347" spans="1:114" x14ac:dyDescent="0.25">
      <c r="A347" s="34"/>
      <c r="B347" s="34"/>
      <c r="C347" s="34"/>
      <c r="D347" s="34"/>
      <c r="E347" s="34"/>
      <c r="F347" s="34"/>
      <c r="G347" s="34"/>
      <c r="H347" s="34"/>
      <c r="I347" s="34"/>
      <c r="J347" s="34"/>
      <c r="K347" s="34"/>
      <c r="L347" s="34"/>
      <c r="M347" s="34"/>
      <c r="N347" s="35"/>
      <c r="O347" s="35"/>
      <c r="P347" s="35"/>
      <c r="Q347" s="35"/>
      <c r="R347" s="35"/>
      <c r="S347" s="35"/>
      <c r="T347" s="35"/>
      <c r="U347" s="35"/>
      <c r="V347" s="35"/>
      <c r="W347" s="35"/>
      <c r="X347" s="35"/>
      <c r="Y347" s="35"/>
      <c r="Z347" s="35"/>
      <c r="AA347" s="35"/>
      <c r="AB347" s="35"/>
      <c r="AC347" s="35"/>
      <c r="AD347" s="35"/>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row>
    <row r="348" spans="1:114" x14ac:dyDescent="0.25">
      <c r="A348" s="34"/>
      <c r="B348" s="34"/>
      <c r="C348" s="34"/>
      <c r="D348" s="34"/>
      <c r="E348" s="34"/>
      <c r="F348" s="34"/>
      <c r="G348" s="34"/>
      <c r="H348" s="34"/>
      <c r="I348" s="34"/>
      <c r="J348" s="34"/>
      <c r="K348" s="34"/>
      <c r="L348" s="34"/>
      <c r="M348" s="34"/>
      <c r="N348" s="35"/>
      <c r="O348" s="35"/>
      <c r="P348" s="35"/>
      <c r="Q348" s="35"/>
      <c r="R348" s="35"/>
      <c r="S348" s="35"/>
      <c r="T348" s="35"/>
      <c r="U348" s="35"/>
      <c r="V348" s="35"/>
      <c r="W348" s="35"/>
      <c r="X348" s="35"/>
      <c r="Y348" s="35"/>
      <c r="Z348" s="35"/>
      <c r="AA348" s="35"/>
      <c r="AB348" s="35"/>
      <c r="AC348" s="35"/>
      <c r="AD348" s="35"/>
      <c r="AE348" s="35"/>
      <c r="AF348" s="35"/>
      <c r="AG348" s="35"/>
      <c r="AH348" s="35"/>
      <c r="AI348" s="35"/>
      <c r="AJ348" s="35"/>
      <c r="AK348" s="35"/>
      <c r="AL348" s="35"/>
      <c r="AM348" s="35"/>
      <c r="AN348" s="35"/>
      <c r="AO348" s="35"/>
      <c r="AP348" s="35"/>
      <c r="AQ348" s="35"/>
      <c r="AR348" s="35"/>
      <c r="AS348" s="35"/>
      <c r="AT348" s="35"/>
      <c r="AU348" s="35"/>
      <c r="AV348" s="35"/>
      <c r="AW348" s="35"/>
      <c r="AX348" s="35"/>
      <c r="AY348" s="35"/>
      <c r="AZ348" s="35"/>
      <c r="BA348" s="35"/>
      <c r="BB348" s="35"/>
      <c r="BC348" s="35"/>
      <c r="BD348" s="35"/>
      <c r="BE348" s="35"/>
      <c r="BF348" s="35"/>
      <c r="BG348" s="35"/>
      <c r="BH348" s="35"/>
      <c r="BI348" s="35"/>
      <c r="BJ348" s="35"/>
      <c r="BK348" s="35"/>
      <c r="BL348" s="35"/>
      <c r="BM348" s="35"/>
      <c r="BN348" s="35"/>
      <c r="BO348" s="35"/>
      <c r="BP348" s="35"/>
      <c r="BQ348" s="35"/>
      <c r="BR348" s="35"/>
      <c r="BS348" s="35"/>
      <c r="BT348" s="35"/>
      <c r="BU348" s="35"/>
      <c r="BV348" s="35"/>
      <c r="BW348" s="35"/>
      <c r="BX348" s="35"/>
      <c r="BY348" s="35"/>
      <c r="BZ348" s="35"/>
      <c r="CA348" s="35"/>
      <c r="CB348" s="35"/>
      <c r="CC348" s="35"/>
      <c r="CD348" s="35"/>
      <c r="CE348" s="35"/>
      <c r="CF348" s="35"/>
      <c r="CG348" s="35"/>
      <c r="CH348" s="35"/>
      <c r="CI348" s="35"/>
      <c r="CJ348" s="35"/>
      <c r="CK348" s="35"/>
      <c r="CL348" s="35"/>
      <c r="CM348" s="35"/>
      <c r="CN348" s="35"/>
      <c r="CO348" s="35"/>
      <c r="CP348" s="35"/>
      <c r="CQ348" s="35"/>
      <c r="CR348" s="35"/>
      <c r="CS348" s="35"/>
      <c r="CT348" s="35"/>
      <c r="CU348" s="35"/>
      <c r="CV348" s="35"/>
      <c r="CW348" s="35"/>
      <c r="CX348" s="35"/>
      <c r="CY348" s="35"/>
      <c r="CZ348" s="35"/>
      <c r="DA348" s="35"/>
      <c r="DB348" s="35"/>
      <c r="DC348" s="35"/>
      <c r="DD348" s="35"/>
      <c r="DE348" s="35"/>
      <c r="DF348" s="35"/>
      <c r="DG348" s="35"/>
      <c r="DH348" s="35"/>
      <c r="DI348" s="35"/>
      <c r="DJ348" s="35"/>
    </row>
    <row r="349" spans="1:114" x14ac:dyDescent="0.25">
      <c r="A349" s="34"/>
      <c r="B349" s="34"/>
      <c r="C349" s="34"/>
      <c r="D349" s="34"/>
      <c r="E349" s="34"/>
      <c r="F349" s="34"/>
      <c r="G349" s="34"/>
      <c r="H349" s="34"/>
      <c r="I349" s="34"/>
      <c r="J349" s="34"/>
      <c r="K349" s="34"/>
      <c r="L349" s="34"/>
      <c r="M349" s="34"/>
      <c r="N349" s="35"/>
      <c r="O349" s="35"/>
      <c r="P349" s="35"/>
      <c r="Q349" s="35"/>
      <c r="R349" s="35"/>
      <c r="S349" s="35"/>
      <c r="T349" s="35"/>
      <c r="U349" s="35"/>
      <c r="V349" s="35"/>
      <c r="W349" s="35"/>
      <c r="X349" s="35"/>
      <c r="Y349" s="35"/>
      <c r="Z349" s="35"/>
      <c r="AA349" s="35"/>
      <c r="AB349" s="35"/>
      <c r="AC349" s="35"/>
      <c r="AD349" s="35"/>
      <c r="AE349" s="35"/>
      <c r="AF349" s="35"/>
      <c r="AG349" s="35"/>
      <c r="AH349" s="35"/>
      <c r="AI349" s="35"/>
      <c r="AJ349" s="35"/>
      <c r="AK349" s="35"/>
      <c r="AL349" s="35"/>
      <c r="AM349" s="35"/>
      <c r="AN349" s="35"/>
      <c r="AO349" s="35"/>
      <c r="AP349" s="35"/>
      <c r="AQ349" s="35"/>
      <c r="AR349" s="35"/>
      <c r="AS349" s="35"/>
      <c r="AT349" s="35"/>
      <c r="AU349" s="35"/>
      <c r="AV349" s="35"/>
      <c r="AW349" s="35"/>
      <c r="AX349" s="35"/>
      <c r="AY349" s="35"/>
      <c r="AZ349" s="35"/>
      <c r="BA349" s="35"/>
      <c r="BB349" s="35"/>
      <c r="BC349" s="35"/>
      <c r="BD349" s="35"/>
      <c r="BE349" s="35"/>
      <c r="BF349" s="35"/>
      <c r="BG349" s="35"/>
      <c r="BH349" s="35"/>
      <c r="BI349" s="35"/>
      <c r="BJ349" s="35"/>
      <c r="BK349" s="35"/>
      <c r="BL349" s="35"/>
      <c r="BM349" s="35"/>
      <c r="BN349" s="35"/>
      <c r="BO349" s="35"/>
      <c r="BP349" s="35"/>
      <c r="BQ349" s="35"/>
      <c r="BR349" s="35"/>
      <c r="BS349" s="35"/>
      <c r="BT349" s="35"/>
      <c r="BU349" s="35"/>
      <c r="BV349" s="35"/>
      <c r="BW349" s="35"/>
      <c r="BX349" s="35"/>
      <c r="BY349" s="35"/>
      <c r="BZ349" s="35"/>
      <c r="CA349" s="35"/>
      <c r="CB349" s="35"/>
      <c r="CC349" s="35"/>
      <c r="CD349" s="35"/>
      <c r="CE349" s="35"/>
      <c r="CF349" s="35"/>
      <c r="CG349" s="35"/>
      <c r="CH349" s="35"/>
      <c r="CI349" s="35"/>
      <c r="CJ349" s="35"/>
      <c r="CK349" s="35"/>
      <c r="CL349" s="35"/>
      <c r="CM349" s="35"/>
      <c r="CN349" s="35"/>
      <c r="CO349" s="35"/>
      <c r="CP349" s="35"/>
      <c r="CQ349" s="35"/>
      <c r="CR349" s="35"/>
      <c r="CS349" s="35"/>
      <c r="CT349" s="35"/>
      <c r="CU349" s="35"/>
      <c r="CV349" s="35"/>
      <c r="CW349" s="35"/>
      <c r="CX349" s="35"/>
      <c r="CY349" s="35"/>
      <c r="CZ349" s="35"/>
      <c r="DA349" s="35"/>
      <c r="DB349" s="35"/>
      <c r="DC349" s="35"/>
      <c r="DD349" s="35"/>
      <c r="DE349" s="35"/>
      <c r="DF349" s="35"/>
      <c r="DG349" s="35"/>
      <c r="DH349" s="35"/>
      <c r="DI349" s="35"/>
      <c r="DJ349" s="35"/>
    </row>
    <row r="350" spans="1:114" x14ac:dyDescent="0.25">
      <c r="A350" s="34"/>
      <c r="B350" s="34"/>
      <c r="C350" s="34"/>
      <c r="D350" s="34"/>
      <c r="E350" s="34"/>
      <c r="F350" s="34"/>
      <c r="G350" s="34"/>
      <c r="H350" s="34"/>
      <c r="I350" s="34"/>
      <c r="J350" s="34"/>
      <c r="K350" s="34"/>
      <c r="L350" s="34"/>
      <c r="M350" s="34"/>
      <c r="N350" s="35"/>
      <c r="O350" s="35"/>
      <c r="P350" s="35"/>
      <c r="Q350" s="35"/>
      <c r="R350" s="35"/>
      <c r="S350" s="35"/>
      <c r="T350" s="35"/>
      <c r="U350" s="35"/>
      <c r="V350" s="35"/>
      <c r="W350" s="35"/>
      <c r="X350" s="35"/>
      <c r="Y350" s="35"/>
      <c r="Z350" s="35"/>
      <c r="AA350" s="35"/>
      <c r="AB350" s="35"/>
      <c r="AC350" s="35"/>
      <c r="AD350" s="35"/>
      <c r="AE350" s="35"/>
      <c r="AF350" s="35"/>
      <c r="AG350" s="35"/>
      <c r="AH350" s="35"/>
      <c r="AI350" s="35"/>
      <c r="AJ350" s="35"/>
      <c r="AK350" s="35"/>
      <c r="AL350" s="35"/>
      <c r="AM350" s="35"/>
      <c r="AN350" s="35"/>
      <c r="AO350" s="35"/>
      <c r="AP350" s="35"/>
      <c r="AQ350" s="35"/>
      <c r="AR350" s="35"/>
      <c r="AS350" s="35"/>
      <c r="AT350" s="35"/>
      <c r="AU350" s="35"/>
      <c r="AV350" s="35"/>
      <c r="AW350" s="35"/>
      <c r="AX350" s="35"/>
      <c r="AY350" s="35"/>
      <c r="AZ350" s="35"/>
      <c r="BA350" s="35"/>
      <c r="BB350" s="35"/>
      <c r="BC350" s="35"/>
      <c r="BD350" s="35"/>
      <c r="BE350" s="35"/>
      <c r="BF350" s="35"/>
      <c r="BG350" s="35"/>
      <c r="BH350" s="35"/>
      <c r="BI350" s="35"/>
      <c r="BJ350" s="35"/>
      <c r="BK350" s="35"/>
      <c r="BL350" s="35"/>
      <c r="BM350" s="35"/>
      <c r="BN350" s="35"/>
      <c r="BO350" s="35"/>
      <c r="BP350" s="35"/>
      <c r="BQ350" s="35"/>
      <c r="BR350" s="35"/>
      <c r="BS350" s="35"/>
      <c r="BT350" s="35"/>
      <c r="BU350" s="35"/>
      <c r="BV350" s="35"/>
      <c r="BW350" s="35"/>
      <c r="BX350" s="35"/>
      <c r="BY350" s="35"/>
      <c r="BZ350" s="35"/>
      <c r="CA350" s="35"/>
      <c r="CB350" s="35"/>
      <c r="CC350" s="35"/>
      <c r="CD350" s="35"/>
      <c r="CE350" s="35"/>
      <c r="CF350" s="35"/>
      <c r="CG350" s="35"/>
      <c r="CH350" s="35"/>
      <c r="CI350" s="35"/>
      <c r="CJ350" s="35"/>
      <c r="CK350" s="35"/>
      <c r="CL350" s="35"/>
      <c r="CM350" s="35"/>
      <c r="CN350" s="35"/>
      <c r="CO350" s="35"/>
      <c r="CP350" s="35"/>
      <c r="CQ350" s="35"/>
      <c r="CR350" s="35"/>
      <c r="CS350" s="35"/>
      <c r="CT350" s="35"/>
      <c r="CU350" s="35"/>
      <c r="CV350" s="35"/>
      <c r="CW350" s="35"/>
      <c r="CX350" s="35"/>
      <c r="CY350" s="35"/>
      <c r="CZ350" s="35"/>
      <c r="DA350" s="35"/>
      <c r="DB350" s="35"/>
      <c r="DC350" s="35"/>
      <c r="DD350" s="35"/>
      <c r="DE350" s="35"/>
      <c r="DF350" s="35"/>
      <c r="DG350" s="35"/>
      <c r="DH350" s="35"/>
      <c r="DI350" s="35"/>
      <c r="DJ350" s="35"/>
    </row>
    <row r="351" spans="1:114" x14ac:dyDescent="0.25">
      <c r="A351" s="34"/>
      <c r="B351" s="34"/>
      <c r="C351" s="34"/>
      <c r="D351" s="34"/>
      <c r="E351" s="34"/>
      <c r="F351" s="34"/>
      <c r="G351" s="34"/>
      <c r="H351" s="34"/>
      <c r="I351" s="34"/>
      <c r="J351" s="34"/>
      <c r="K351" s="34"/>
      <c r="L351" s="34"/>
      <c r="M351" s="34"/>
      <c r="N351" s="35"/>
      <c r="O351" s="35"/>
      <c r="P351" s="35"/>
      <c r="Q351" s="35"/>
      <c r="R351" s="35"/>
      <c r="S351" s="35"/>
      <c r="T351" s="35"/>
      <c r="U351" s="35"/>
      <c r="V351" s="35"/>
      <c r="W351" s="35"/>
      <c r="X351" s="35"/>
      <c r="Y351" s="35"/>
      <c r="Z351" s="35"/>
      <c r="AA351" s="35"/>
      <c r="AB351" s="35"/>
      <c r="AC351" s="35"/>
      <c r="AD351" s="35"/>
      <c r="AE351" s="35"/>
      <c r="AF351" s="35"/>
      <c r="AG351" s="35"/>
      <c r="AH351" s="35"/>
      <c r="AI351" s="35"/>
      <c r="AJ351" s="35"/>
      <c r="AK351" s="35"/>
      <c r="AL351" s="35"/>
      <c r="AM351" s="35"/>
      <c r="AN351" s="35"/>
      <c r="AO351" s="35"/>
      <c r="AP351" s="35"/>
      <c r="AQ351" s="35"/>
      <c r="AR351" s="35"/>
      <c r="AS351" s="35"/>
      <c r="AT351" s="35"/>
      <c r="AU351" s="35"/>
      <c r="AV351" s="35"/>
      <c r="AW351" s="35"/>
      <c r="AX351" s="35"/>
      <c r="AY351" s="35"/>
      <c r="AZ351" s="35"/>
      <c r="BA351" s="35"/>
      <c r="BB351" s="35"/>
      <c r="BC351" s="35"/>
      <c r="BD351" s="35"/>
      <c r="BE351" s="35"/>
      <c r="BF351" s="35"/>
      <c r="BG351" s="35"/>
      <c r="BH351" s="35"/>
      <c r="BI351" s="35"/>
      <c r="BJ351" s="35"/>
      <c r="BK351" s="35"/>
      <c r="BL351" s="35"/>
      <c r="BM351" s="35"/>
      <c r="BN351" s="35"/>
      <c r="BO351" s="35"/>
      <c r="BP351" s="35"/>
      <c r="BQ351" s="35"/>
      <c r="BR351" s="35"/>
      <c r="BS351" s="35"/>
      <c r="BT351" s="35"/>
      <c r="BU351" s="35"/>
      <c r="BV351" s="35"/>
      <c r="BW351" s="35"/>
      <c r="BX351" s="35"/>
      <c r="BY351" s="35"/>
      <c r="BZ351" s="35"/>
      <c r="CA351" s="35"/>
      <c r="CB351" s="35"/>
      <c r="CC351" s="35"/>
      <c r="CD351" s="35"/>
      <c r="CE351" s="35"/>
      <c r="CF351" s="35"/>
      <c r="CG351" s="35"/>
      <c r="CH351" s="35"/>
      <c r="CI351" s="35"/>
      <c r="CJ351" s="35"/>
      <c r="CK351" s="35"/>
      <c r="CL351" s="35"/>
      <c r="CM351" s="35"/>
      <c r="CN351" s="35"/>
      <c r="CO351" s="35"/>
      <c r="CP351" s="35"/>
      <c r="CQ351" s="35"/>
      <c r="CR351" s="35"/>
      <c r="CS351" s="35"/>
      <c r="CT351" s="35"/>
      <c r="CU351" s="35"/>
      <c r="CV351" s="35"/>
      <c r="CW351" s="35"/>
      <c r="CX351" s="35"/>
      <c r="CY351" s="35"/>
      <c r="CZ351" s="35"/>
      <c r="DA351" s="35"/>
      <c r="DB351" s="35"/>
      <c r="DC351" s="35"/>
      <c r="DD351" s="35"/>
      <c r="DE351" s="35"/>
      <c r="DF351" s="35"/>
      <c r="DG351" s="35"/>
      <c r="DH351" s="35"/>
      <c r="DI351" s="35"/>
      <c r="DJ351" s="35"/>
    </row>
    <row r="352" spans="1:114" x14ac:dyDescent="0.25">
      <c r="A352" s="34"/>
      <c r="B352" s="34"/>
      <c r="C352" s="34"/>
      <c r="D352" s="34"/>
      <c r="E352" s="34"/>
      <c r="F352" s="34"/>
      <c r="G352" s="34"/>
      <c r="H352" s="34"/>
      <c r="I352" s="34"/>
      <c r="J352" s="34"/>
      <c r="K352" s="34"/>
      <c r="L352" s="34"/>
      <c r="M352" s="34"/>
      <c r="N352" s="35"/>
      <c r="O352" s="35"/>
      <c r="P352" s="35"/>
      <c r="Q352" s="35"/>
      <c r="R352" s="35"/>
      <c r="S352" s="35"/>
      <c r="T352" s="35"/>
      <c r="U352" s="35"/>
      <c r="V352" s="35"/>
      <c r="W352" s="35"/>
      <c r="X352" s="35"/>
      <c r="Y352" s="35"/>
      <c r="Z352" s="35"/>
      <c r="AA352" s="35"/>
      <c r="AB352" s="35"/>
      <c r="AC352" s="35"/>
      <c r="AD352" s="35"/>
      <c r="AE352" s="35"/>
      <c r="AF352" s="35"/>
      <c r="AG352" s="35"/>
      <c r="AH352" s="35"/>
      <c r="AI352" s="35"/>
      <c r="AJ352" s="35"/>
      <c r="AK352" s="35"/>
      <c r="AL352" s="35"/>
      <c r="AM352" s="35"/>
      <c r="AN352" s="35"/>
      <c r="AO352" s="35"/>
      <c r="AP352" s="35"/>
      <c r="AQ352" s="35"/>
      <c r="AR352" s="35"/>
      <c r="AS352" s="35"/>
      <c r="AT352" s="35"/>
      <c r="AU352" s="35"/>
      <c r="AV352" s="35"/>
      <c r="AW352" s="35"/>
      <c r="AX352" s="35"/>
      <c r="AY352" s="35"/>
      <c r="AZ352" s="35"/>
      <c r="BA352" s="35"/>
      <c r="BB352" s="35"/>
      <c r="BC352" s="35"/>
      <c r="BD352" s="35"/>
      <c r="BE352" s="35"/>
      <c r="BF352" s="35"/>
      <c r="BG352" s="35"/>
      <c r="BH352" s="35"/>
      <c r="BI352" s="35"/>
      <c r="BJ352" s="35"/>
      <c r="BK352" s="35"/>
      <c r="BL352" s="35"/>
      <c r="BM352" s="35"/>
      <c r="BN352" s="35"/>
      <c r="BO352" s="35"/>
      <c r="BP352" s="35"/>
      <c r="BQ352" s="35"/>
      <c r="BR352" s="35"/>
      <c r="BS352" s="35"/>
      <c r="BT352" s="35"/>
      <c r="BU352" s="35"/>
      <c r="BV352" s="35"/>
      <c r="BW352" s="35"/>
      <c r="BX352" s="35"/>
      <c r="BY352" s="35"/>
      <c r="BZ352" s="35"/>
      <c r="CA352" s="35"/>
      <c r="CB352" s="35"/>
      <c r="CC352" s="35"/>
      <c r="CD352" s="35"/>
      <c r="CE352" s="35"/>
      <c r="CF352" s="35"/>
      <c r="CG352" s="35"/>
      <c r="CH352" s="35"/>
      <c r="CI352" s="35"/>
      <c r="CJ352" s="35"/>
      <c r="CK352" s="35"/>
      <c r="CL352" s="35"/>
      <c r="CM352" s="35"/>
      <c r="CN352" s="35"/>
      <c r="CO352" s="35"/>
      <c r="CP352" s="35"/>
      <c r="CQ352" s="35"/>
      <c r="CR352" s="35"/>
      <c r="CS352" s="35"/>
      <c r="CT352" s="35"/>
      <c r="CU352" s="35"/>
      <c r="CV352" s="35"/>
      <c r="CW352" s="35"/>
      <c r="CX352" s="35"/>
      <c r="CY352" s="35"/>
      <c r="CZ352" s="35"/>
      <c r="DA352" s="35"/>
      <c r="DB352" s="35"/>
      <c r="DC352" s="35"/>
      <c r="DD352" s="35"/>
      <c r="DE352" s="35"/>
      <c r="DF352" s="35"/>
      <c r="DG352" s="35"/>
      <c r="DH352" s="35"/>
      <c r="DI352" s="35"/>
      <c r="DJ352" s="35"/>
    </row>
    <row r="353" spans="1:114" x14ac:dyDescent="0.25">
      <c r="A353" s="34"/>
      <c r="B353" s="34"/>
      <c r="C353" s="34"/>
      <c r="D353" s="34"/>
      <c r="E353" s="34"/>
      <c r="F353" s="34"/>
      <c r="G353" s="34"/>
      <c r="H353" s="34"/>
      <c r="I353" s="34"/>
      <c r="J353" s="34"/>
      <c r="K353" s="34"/>
      <c r="L353" s="34"/>
      <c r="M353" s="34"/>
      <c r="N353" s="35"/>
      <c r="O353" s="35"/>
      <c r="P353" s="35"/>
      <c r="Q353" s="35"/>
      <c r="R353" s="35"/>
      <c r="S353" s="35"/>
      <c r="T353" s="35"/>
      <c r="U353" s="35"/>
      <c r="V353" s="35"/>
      <c r="W353" s="35"/>
      <c r="X353" s="35"/>
      <c r="Y353" s="35"/>
      <c r="Z353" s="35"/>
      <c r="AA353" s="35"/>
      <c r="AB353" s="35"/>
      <c r="AC353" s="35"/>
      <c r="AD353" s="35"/>
      <c r="AE353" s="35"/>
      <c r="AF353" s="35"/>
      <c r="AG353" s="35"/>
      <c r="AH353" s="35"/>
      <c r="AI353" s="35"/>
      <c r="AJ353" s="35"/>
      <c r="AK353" s="35"/>
      <c r="AL353" s="35"/>
      <c r="AM353" s="35"/>
      <c r="AN353" s="35"/>
      <c r="AO353" s="35"/>
      <c r="AP353" s="35"/>
      <c r="AQ353" s="35"/>
      <c r="AR353" s="35"/>
      <c r="AS353" s="35"/>
      <c r="AT353" s="35"/>
      <c r="AU353" s="35"/>
      <c r="AV353" s="35"/>
      <c r="AW353" s="35"/>
      <c r="AX353" s="35"/>
      <c r="AY353" s="35"/>
      <c r="AZ353" s="35"/>
      <c r="BA353" s="35"/>
      <c r="BB353" s="35"/>
      <c r="BC353" s="35"/>
      <c r="BD353" s="35"/>
      <c r="BE353" s="35"/>
      <c r="BF353" s="35"/>
      <c r="BG353" s="35"/>
      <c r="BH353" s="35"/>
      <c r="BI353" s="35"/>
      <c r="BJ353" s="35"/>
      <c r="BK353" s="35"/>
      <c r="BL353" s="35"/>
      <c r="BM353" s="35"/>
      <c r="BN353" s="35"/>
      <c r="BO353" s="35"/>
      <c r="BP353" s="35"/>
      <c r="BQ353" s="35"/>
      <c r="BR353" s="35"/>
      <c r="BS353" s="35"/>
      <c r="BT353" s="35"/>
      <c r="BU353" s="35"/>
      <c r="BV353" s="35"/>
      <c r="BW353" s="35"/>
      <c r="BX353" s="35"/>
      <c r="BY353" s="35"/>
      <c r="BZ353" s="35"/>
      <c r="CA353" s="35"/>
      <c r="CB353" s="35"/>
      <c r="CC353" s="35"/>
      <c r="CD353" s="35"/>
      <c r="CE353" s="35"/>
      <c r="CF353" s="35"/>
      <c r="CG353" s="35"/>
      <c r="CH353" s="35"/>
      <c r="CI353" s="35"/>
      <c r="CJ353" s="35"/>
      <c r="CK353" s="35"/>
      <c r="CL353" s="35"/>
      <c r="CM353" s="35"/>
      <c r="CN353" s="35"/>
      <c r="CO353" s="35"/>
      <c r="CP353" s="35"/>
      <c r="CQ353" s="35"/>
      <c r="CR353" s="35"/>
      <c r="CS353" s="35"/>
      <c r="CT353" s="35"/>
      <c r="CU353" s="35"/>
      <c r="CV353" s="35"/>
      <c r="CW353" s="35"/>
      <c r="CX353" s="35"/>
      <c r="CY353" s="35"/>
      <c r="CZ353" s="35"/>
      <c r="DA353" s="35"/>
      <c r="DB353" s="35"/>
      <c r="DC353" s="35"/>
      <c r="DD353" s="35"/>
      <c r="DE353" s="35"/>
      <c r="DF353" s="35"/>
      <c r="DG353" s="35"/>
      <c r="DH353" s="35"/>
      <c r="DI353" s="35"/>
      <c r="DJ353" s="35"/>
    </row>
    <row r="354" spans="1:114" x14ac:dyDescent="0.25">
      <c r="A354" s="34"/>
      <c r="B354" s="34"/>
      <c r="C354" s="34"/>
      <c r="D354" s="34"/>
      <c r="E354" s="34"/>
      <c r="F354" s="34"/>
      <c r="G354" s="34"/>
      <c r="H354" s="34"/>
      <c r="I354" s="34"/>
      <c r="J354" s="34"/>
      <c r="K354" s="34"/>
      <c r="L354" s="34"/>
      <c r="M354" s="34"/>
      <c r="N354" s="35"/>
      <c r="O354" s="35"/>
      <c r="P354" s="35"/>
      <c r="Q354" s="35"/>
      <c r="R354" s="35"/>
      <c r="S354" s="35"/>
      <c r="T354" s="35"/>
      <c r="U354" s="35"/>
      <c r="V354" s="35"/>
      <c r="W354" s="35"/>
      <c r="X354" s="35"/>
      <c r="Y354" s="35"/>
      <c r="Z354" s="35"/>
      <c r="AA354" s="35"/>
      <c r="AB354" s="35"/>
      <c r="AC354" s="35"/>
      <c r="AD354" s="35"/>
      <c r="AE354" s="35"/>
      <c r="AF354" s="35"/>
      <c r="AG354" s="35"/>
      <c r="AH354" s="35"/>
      <c r="AI354" s="35"/>
      <c r="AJ354" s="35"/>
      <c r="AK354" s="35"/>
      <c r="AL354" s="35"/>
      <c r="AM354" s="35"/>
      <c r="AN354" s="35"/>
      <c r="AO354" s="35"/>
      <c r="AP354" s="35"/>
      <c r="AQ354" s="35"/>
      <c r="AR354" s="35"/>
      <c r="AS354" s="35"/>
      <c r="AT354" s="35"/>
      <c r="AU354" s="35"/>
      <c r="AV354" s="35"/>
      <c r="AW354" s="35"/>
      <c r="AX354" s="35"/>
      <c r="AY354" s="35"/>
      <c r="AZ354" s="35"/>
      <c r="BA354" s="35"/>
      <c r="BB354" s="35"/>
      <c r="BC354" s="35"/>
      <c r="BD354" s="35"/>
      <c r="BE354" s="35"/>
      <c r="BF354" s="35"/>
      <c r="BG354" s="35"/>
      <c r="BH354" s="35"/>
      <c r="BI354" s="35"/>
      <c r="BJ354" s="35"/>
      <c r="BK354" s="35"/>
      <c r="BL354" s="35"/>
      <c r="BM354" s="35"/>
      <c r="BN354" s="35"/>
      <c r="BO354" s="35"/>
      <c r="BP354" s="35"/>
      <c r="BQ354" s="35"/>
      <c r="BR354" s="35"/>
      <c r="BS354" s="35"/>
      <c r="BT354" s="35"/>
      <c r="BU354" s="35"/>
      <c r="BV354" s="35"/>
      <c r="BW354" s="35"/>
      <c r="BX354" s="35"/>
      <c r="BY354" s="35"/>
      <c r="BZ354" s="35"/>
      <c r="CA354" s="35"/>
      <c r="CB354" s="35"/>
      <c r="CC354" s="35"/>
      <c r="CD354" s="35"/>
      <c r="CE354" s="35"/>
      <c r="CF354" s="35"/>
      <c r="CG354" s="35"/>
      <c r="CH354" s="35"/>
      <c r="CI354" s="35"/>
      <c r="CJ354" s="35"/>
      <c r="CK354" s="35"/>
      <c r="CL354" s="35"/>
      <c r="CM354" s="35"/>
      <c r="CN354" s="35"/>
      <c r="CO354" s="35"/>
      <c r="CP354" s="35"/>
      <c r="CQ354" s="35"/>
      <c r="CR354" s="35"/>
      <c r="CS354" s="35"/>
      <c r="CT354" s="35"/>
      <c r="CU354" s="35"/>
      <c r="CV354" s="35"/>
      <c r="CW354" s="35"/>
      <c r="CX354" s="35"/>
      <c r="CY354" s="35"/>
      <c r="CZ354" s="35"/>
      <c r="DA354" s="35"/>
      <c r="DB354" s="35"/>
      <c r="DC354" s="35"/>
      <c r="DD354" s="35"/>
      <c r="DE354" s="35"/>
      <c r="DF354" s="35"/>
      <c r="DG354" s="35"/>
      <c r="DH354" s="35"/>
      <c r="DI354" s="35"/>
      <c r="DJ354" s="35"/>
    </row>
    <row r="355" spans="1:114" x14ac:dyDescent="0.25">
      <c r="A355" s="34"/>
      <c r="B355" s="34"/>
      <c r="C355" s="34"/>
      <c r="D355" s="34"/>
      <c r="E355" s="34"/>
      <c r="F355" s="34"/>
      <c r="G355" s="34"/>
      <c r="H355" s="34"/>
      <c r="I355" s="34"/>
      <c r="J355" s="34"/>
      <c r="K355" s="34"/>
      <c r="L355" s="34"/>
      <c r="M355" s="34"/>
      <c r="N355" s="35"/>
      <c r="O355" s="35"/>
      <c r="P355" s="35"/>
      <c r="Q355" s="35"/>
      <c r="R355" s="35"/>
      <c r="S355" s="35"/>
      <c r="T355" s="35"/>
      <c r="U355" s="35"/>
      <c r="V355" s="35"/>
      <c r="W355" s="35"/>
      <c r="X355" s="35"/>
      <c r="Y355" s="35"/>
      <c r="Z355" s="35"/>
      <c r="AA355" s="35"/>
      <c r="AB355" s="35"/>
      <c r="AC355" s="35"/>
      <c r="AD355" s="35"/>
      <c r="AE355" s="35"/>
      <c r="AF355" s="35"/>
      <c r="AG355" s="35"/>
      <c r="AH355" s="35"/>
      <c r="AI355" s="35"/>
      <c r="AJ355" s="35"/>
      <c r="AK355" s="35"/>
      <c r="AL355" s="35"/>
      <c r="AM355" s="35"/>
      <c r="AN355" s="35"/>
      <c r="AO355" s="35"/>
      <c r="AP355" s="35"/>
      <c r="AQ355" s="35"/>
      <c r="AR355" s="35"/>
      <c r="AS355" s="35"/>
      <c r="AT355" s="35"/>
      <c r="AU355" s="35"/>
      <c r="AV355" s="35"/>
      <c r="AW355" s="35"/>
      <c r="AX355" s="35"/>
      <c r="AY355" s="35"/>
      <c r="AZ355" s="35"/>
      <c r="BA355" s="35"/>
      <c r="BB355" s="35"/>
      <c r="BC355" s="35"/>
      <c r="BD355" s="35"/>
      <c r="BE355" s="35"/>
      <c r="BF355" s="35"/>
      <c r="BG355" s="35"/>
      <c r="BH355" s="35"/>
      <c r="BI355" s="35"/>
      <c r="BJ355" s="35"/>
      <c r="BK355" s="35"/>
      <c r="BL355" s="35"/>
      <c r="BM355" s="35"/>
      <c r="BN355" s="35"/>
      <c r="BO355" s="35"/>
      <c r="BP355" s="35"/>
      <c r="BQ355" s="35"/>
      <c r="BR355" s="35"/>
      <c r="BS355" s="35"/>
      <c r="BT355" s="35"/>
      <c r="BU355" s="35"/>
      <c r="BV355" s="35"/>
      <c r="BW355" s="35"/>
      <c r="BX355" s="35"/>
      <c r="BY355" s="35"/>
      <c r="BZ355" s="35"/>
      <c r="CA355" s="35"/>
      <c r="CB355" s="35"/>
      <c r="CC355" s="35"/>
      <c r="CD355" s="35"/>
      <c r="CE355" s="35"/>
      <c r="CF355" s="35"/>
      <c r="CG355" s="35"/>
      <c r="CH355" s="35"/>
      <c r="CI355" s="35"/>
      <c r="CJ355" s="35"/>
      <c r="CK355" s="35"/>
      <c r="CL355" s="35"/>
      <c r="CM355" s="35"/>
      <c r="CN355" s="35"/>
      <c r="CO355" s="35"/>
      <c r="CP355" s="35"/>
      <c r="CQ355" s="35"/>
      <c r="CR355" s="35"/>
      <c r="CS355" s="35"/>
      <c r="CT355" s="35"/>
      <c r="CU355" s="35"/>
      <c r="CV355" s="35"/>
      <c r="CW355" s="35"/>
      <c r="CX355" s="35"/>
      <c r="CY355" s="35"/>
      <c r="CZ355" s="35"/>
      <c r="DA355" s="35"/>
      <c r="DB355" s="35"/>
      <c r="DC355" s="35"/>
      <c r="DD355" s="35"/>
      <c r="DE355" s="35"/>
      <c r="DF355" s="35"/>
      <c r="DG355" s="35"/>
      <c r="DH355" s="35"/>
      <c r="DI355" s="35"/>
      <c r="DJ355" s="35"/>
    </row>
    <row r="356" spans="1:114" x14ac:dyDescent="0.25">
      <c r="A356" s="34"/>
      <c r="B356" s="34"/>
      <c r="C356" s="34"/>
      <c r="D356" s="34"/>
      <c r="E356" s="34"/>
      <c r="F356" s="34"/>
      <c r="G356" s="34"/>
      <c r="H356" s="34"/>
      <c r="I356" s="34"/>
      <c r="J356" s="34"/>
      <c r="K356" s="34"/>
      <c r="L356" s="34"/>
      <c r="M356" s="34"/>
      <c r="N356" s="35"/>
      <c r="O356" s="35"/>
      <c r="P356" s="35"/>
      <c r="Q356" s="35"/>
      <c r="R356" s="35"/>
      <c r="S356" s="35"/>
      <c r="T356" s="35"/>
      <c r="U356" s="35"/>
      <c r="V356" s="35"/>
      <c r="W356" s="35"/>
      <c r="X356" s="35"/>
      <c r="Y356" s="35"/>
      <c r="Z356" s="35"/>
      <c r="AA356" s="35"/>
      <c r="AB356" s="35"/>
      <c r="AC356" s="35"/>
      <c r="AD356" s="35"/>
      <c r="AE356" s="35"/>
      <c r="AF356" s="35"/>
      <c r="AG356" s="35"/>
      <c r="AH356" s="35"/>
      <c r="AI356" s="35"/>
      <c r="AJ356" s="35"/>
      <c r="AK356" s="35"/>
      <c r="AL356" s="35"/>
      <c r="AM356" s="35"/>
      <c r="AN356" s="35"/>
      <c r="AO356" s="35"/>
      <c r="AP356" s="35"/>
      <c r="AQ356" s="35"/>
      <c r="AR356" s="35"/>
      <c r="AS356" s="35"/>
      <c r="AT356" s="35"/>
      <c r="AU356" s="35"/>
      <c r="AV356" s="35"/>
      <c r="AW356" s="35"/>
      <c r="AX356" s="35"/>
      <c r="AY356" s="35"/>
      <c r="AZ356" s="35"/>
      <c r="BA356" s="35"/>
      <c r="BB356" s="35"/>
      <c r="BC356" s="35"/>
      <c r="BD356" s="35"/>
      <c r="BE356" s="35"/>
      <c r="BF356" s="35"/>
      <c r="BG356" s="35"/>
      <c r="BH356" s="35"/>
      <c r="BI356" s="35"/>
      <c r="BJ356" s="35"/>
      <c r="BK356" s="35"/>
      <c r="BL356" s="35"/>
      <c r="BM356" s="35"/>
      <c r="BN356" s="35"/>
      <c r="BO356" s="35"/>
      <c r="BP356" s="35"/>
      <c r="BQ356" s="35"/>
      <c r="BR356" s="35"/>
      <c r="BS356" s="35"/>
      <c r="BT356" s="35"/>
      <c r="BU356" s="35"/>
      <c r="BV356" s="35"/>
      <c r="BW356" s="35"/>
      <c r="BX356" s="35"/>
      <c r="BY356" s="35"/>
      <c r="BZ356" s="35"/>
      <c r="CA356" s="35"/>
      <c r="CB356" s="35"/>
      <c r="CC356" s="35"/>
      <c r="CD356" s="35"/>
      <c r="CE356" s="35"/>
      <c r="CF356" s="35"/>
      <c r="CG356" s="35"/>
      <c r="CH356" s="35"/>
      <c r="CI356" s="35"/>
      <c r="CJ356" s="35"/>
      <c r="CK356" s="35"/>
      <c r="CL356" s="35"/>
      <c r="CM356" s="35"/>
      <c r="CN356" s="35"/>
      <c r="CO356" s="35"/>
      <c r="CP356" s="35"/>
      <c r="CQ356" s="35"/>
      <c r="CR356" s="35"/>
      <c r="CS356" s="35"/>
      <c r="CT356" s="35"/>
      <c r="CU356" s="35"/>
      <c r="CV356" s="35"/>
      <c r="CW356" s="35"/>
      <c r="CX356" s="35"/>
      <c r="CY356" s="35"/>
      <c r="CZ356" s="35"/>
      <c r="DA356" s="35"/>
      <c r="DB356" s="35"/>
      <c r="DC356" s="35"/>
      <c r="DD356" s="35"/>
      <c r="DE356" s="35"/>
      <c r="DF356" s="35"/>
      <c r="DG356" s="35"/>
      <c r="DH356" s="35"/>
      <c r="DI356" s="35"/>
      <c r="DJ356" s="35"/>
    </row>
    <row r="357" spans="1:114" x14ac:dyDescent="0.25">
      <c r="A357" s="34"/>
      <c r="B357" s="34"/>
      <c r="C357" s="34"/>
      <c r="D357" s="34"/>
      <c r="E357" s="34"/>
      <c r="F357" s="34"/>
      <c r="G357" s="34"/>
      <c r="H357" s="34"/>
      <c r="I357" s="34"/>
      <c r="J357" s="34"/>
      <c r="K357" s="34"/>
      <c r="L357" s="34"/>
      <c r="M357" s="34"/>
      <c r="N357" s="35"/>
      <c r="O357" s="35"/>
      <c r="P357" s="35"/>
      <c r="Q357" s="35"/>
      <c r="R357" s="35"/>
      <c r="S357" s="35"/>
      <c r="T357" s="35"/>
      <c r="U357" s="35"/>
      <c r="V357" s="35"/>
      <c r="W357" s="35"/>
      <c r="X357" s="35"/>
      <c r="Y357" s="35"/>
      <c r="Z357" s="35"/>
      <c r="AA357" s="35"/>
      <c r="AB357" s="35"/>
      <c r="AC357" s="35"/>
      <c r="AD357" s="35"/>
      <c r="AE357" s="35"/>
      <c r="AF357" s="35"/>
      <c r="AG357" s="35"/>
      <c r="AH357" s="35"/>
      <c r="AI357" s="35"/>
      <c r="AJ357" s="35"/>
      <c r="AK357" s="35"/>
      <c r="AL357" s="35"/>
      <c r="AM357" s="35"/>
      <c r="AN357" s="35"/>
      <c r="AO357" s="35"/>
      <c r="AP357" s="35"/>
      <c r="AQ357" s="35"/>
      <c r="AR357" s="35"/>
      <c r="AS357" s="35"/>
      <c r="AT357" s="35"/>
      <c r="AU357" s="35"/>
      <c r="AV357" s="35"/>
      <c r="AW357" s="35"/>
      <c r="AX357" s="35"/>
      <c r="AY357" s="35"/>
      <c r="AZ357" s="35"/>
      <c r="BA357" s="35"/>
      <c r="BB357" s="35"/>
      <c r="BC357" s="35"/>
      <c r="BD357" s="35"/>
      <c r="BE357" s="35"/>
      <c r="BF357" s="35"/>
      <c r="BG357" s="35"/>
      <c r="BH357" s="35"/>
      <c r="BI357" s="35"/>
      <c r="BJ357" s="35"/>
      <c r="BK357" s="35"/>
      <c r="BL357" s="35"/>
      <c r="BM357" s="35"/>
      <c r="BN357" s="35"/>
      <c r="BO357" s="35"/>
      <c r="BP357" s="35"/>
      <c r="BQ357" s="35"/>
      <c r="BR357" s="35"/>
      <c r="BS357" s="35"/>
      <c r="BT357" s="35"/>
      <c r="BU357" s="35"/>
      <c r="BV357" s="35"/>
      <c r="BW357" s="35"/>
      <c r="BX357" s="35"/>
      <c r="BY357" s="35"/>
      <c r="BZ357" s="35"/>
      <c r="CA357" s="35"/>
      <c r="CB357" s="35"/>
      <c r="CC357" s="35"/>
      <c r="CD357" s="35"/>
      <c r="CE357" s="35"/>
      <c r="CF357" s="35"/>
      <c r="CG357" s="35"/>
      <c r="CH357" s="35"/>
      <c r="CI357" s="35"/>
      <c r="CJ357" s="35"/>
      <c r="CK357" s="35"/>
      <c r="CL357" s="35"/>
      <c r="CM357" s="35"/>
      <c r="CN357" s="35"/>
      <c r="CO357" s="35"/>
      <c r="CP357" s="35"/>
      <c r="CQ357" s="35"/>
      <c r="CR357" s="35"/>
      <c r="CS357" s="35"/>
      <c r="CT357" s="35"/>
      <c r="CU357" s="35"/>
      <c r="CV357" s="35"/>
      <c r="CW357" s="35"/>
      <c r="CX357" s="35"/>
      <c r="CY357" s="35"/>
      <c r="CZ357" s="35"/>
      <c r="DA357" s="35"/>
      <c r="DB357" s="35"/>
      <c r="DC357" s="35"/>
      <c r="DD357" s="35"/>
      <c r="DE357" s="35"/>
      <c r="DF357" s="35"/>
      <c r="DG357" s="35"/>
      <c r="DH357" s="35"/>
      <c r="DI357" s="35"/>
      <c r="DJ357" s="35"/>
    </row>
    <row r="358" spans="1:114" x14ac:dyDescent="0.25">
      <c r="A358" s="34"/>
      <c r="B358" s="34"/>
      <c r="C358" s="34"/>
      <c r="D358" s="34"/>
      <c r="E358" s="34"/>
      <c r="F358" s="34"/>
      <c r="G358" s="34"/>
      <c r="H358" s="34"/>
      <c r="I358" s="34"/>
      <c r="J358" s="34"/>
      <c r="K358" s="34"/>
      <c r="L358" s="34"/>
      <c r="M358" s="34"/>
      <c r="N358" s="35"/>
      <c r="O358" s="35"/>
      <c r="P358" s="35"/>
      <c r="Q358" s="35"/>
      <c r="R358" s="35"/>
      <c r="S358" s="35"/>
      <c r="T358" s="35"/>
      <c r="U358" s="35"/>
      <c r="V358" s="35"/>
      <c r="W358" s="35"/>
      <c r="X358" s="35"/>
      <c r="Y358" s="35"/>
      <c r="Z358" s="35"/>
      <c r="AA358" s="35"/>
      <c r="AB358" s="35"/>
      <c r="AC358" s="35"/>
      <c r="AD358" s="35"/>
      <c r="AE358" s="35"/>
      <c r="AF358" s="35"/>
      <c r="AG358" s="35"/>
      <c r="AH358" s="35"/>
      <c r="AI358" s="35"/>
      <c r="AJ358" s="35"/>
      <c r="AK358" s="35"/>
      <c r="AL358" s="35"/>
      <c r="AM358" s="35"/>
      <c r="AN358" s="35"/>
      <c r="AO358" s="35"/>
      <c r="AP358" s="35"/>
      <c r="AQ358" s="35"/>
      <c r="AR358" s="35"/>
      <c r="AS358" s="35"/>
      <c r="AT358" s="35"/>
      <c r="AU358" s="35"/>
      <c r="AV358" s="35"/>
      <c r="AW358" s="35"/>
      <c r="AX358" s="35"/>
      <c r="AY358" s="35"/>
      <c r="AZ358" s="35"/>
      <c r="BA358" s="35"/>
      <c r="BB358" s="35"/>
      <c r="BC358" s="35"/>
      <c r="BD358" s="35"/>
      <c r="BE358" s="35"/>
      <c r="BF358" s="35"/>
      <c r="BG358" s="35"/>
      <c r="BH358" s="35"/>
      <c r="BI358" s="35"/>
      <c r="BJ358" s="35"/>
      <c r="BK358" s="35"/>
      <c r="BL358" s="35"/>
      <c r="BM358" s="35"/>
      <c r="BN358" s="35"/>
      <c r="BO358" s="35"/>
      <c r="BP358" s="35"/>
      <c r="BQ358" s="35"/>
      <c r="BR358" s="35"/>
      <c r="BS358" s="35"/>
      <c r="BT358" s="35"/>
      <c r="BU358" s="35"/>
      <c r="BV358" s="35"/>
      <c r="BW358" s="35"/>
      <c r="BX358" s="35"/>
      <c r="BY358" s="35"/>
      <c r="BZ358" s="35"/>
      <c r="CA358" s="35"/>
      <c r="CB358" s="35"/>
      <c r="CC358" s="35"/>
      <c r="CD358" s="35"/>
      <c r="CE358" s="35"/>
      <c r="CF358" s="35"/>
      <c r="CG358" s="35"/>
      <c r="CH358" s="35"/>
      <c r="CI358" s="35"/>
      <c r="CJ358" s="35"/>
      <c r="CK358" s="35"/>
      <c r="CL358" s="35"/>
      <c r="CM358" s="35"/>
      <c r="CN358" s="35"/>
      <c r="CO358" s="35"/>
      <c r="CP358" s="35"/>
      <c r="CQ358" s="35"/>
      <c r="CR358" s="35"/>
      <c r="CS358" s="35"/>
      <c r="CT358" s="35"/>
      <c r="CU358" s="35"/>
      <c r="CV358" s="35"/>
      <c r="CW358" s="35"/>
      <c r="CX358" s="35"/>
      <c r="CY358" s="35"/>
      <c r="CZ358" s="35"/>
      <c r="DA358" s="35"/>
      <c r="DB358" s="35"/>
      <c r="DC358" s="35"/>
      <c r="DD358" s="35"/>
      <c r="DE358" s="35"/>
      <c r="DF358" s="35"/>
      <c r="DG358" s="35"/>
      <c r="DH358" s="35"/>
      <c r="DI358" s="35"/>
      <c r="DJ358" s="35"/>
    </row>
    <row r="359" spans="1:114" x14ac:dyDescent="0.25">
      <c r="A359" s="34"/>
      <c r="B359" s="34"/>
      <c r="C359" s="34"/>
      <c r="D359" s="34"/>
      <c r="E359" s="34"/>
      <c r="F359" s="34"/>
      <c r="G359" s="34"/>
      <c r="H359" s="34"/>
      <c r="I359" s="34"/>
      <c r="J359" s="34"/>
      <c r="K359" s="34"/>
      <c r="L359" s="34"/>
      <c r="M359" s="34"/>
      <c r="N359" s="35"/>
      <c r="O359" s="35"/>
      <c r="P359" s="35"/>
      <c r="Q359" s="35"/>
      <c r="R359" s="35"/>
      <c r="S359" s="35"/>
      <c r="T359" s="35"/>
      <c r="U359" s="35"/>
      <c r="V359" s="35"/>
      <c r="W359" s="35"/>
      <c r="X359" s="35"/>
      <c r="Y359" s="35"/>
      <c r="Z359" s="35"/>
      <c r="AA359" s="35"/>
      <c r="AB359" s="35"/>
      <c r="AC359" s="35"/>
      <c r="AD359" s="35"/>
      <c r="AE359" s="35"/>
      <c r="AF359" s="35"/>
      <c r="AG359" s="35"/>
      <c r="AH359" s="35"/>
      <c r="AI359" s="35"/>
      <c r="AJ359" s="35"/>
      <c r="AK359" s="35"/>
      <c r="AL359" s="35"/>
      <c r="AM359" s="35"/>
      <c r="AN359" s="35"/>
      <c r="AO359" s="35"/>
      <c r="AP359" s="35"/>
      <c r="AQ359" s="35"/>
      <c r="AR359" s="35"/>
      <c r="AS359" s="35"/>
      <c r="AT359" s="35"/>
      <c r="AU359" s="35"/>
      <c r="AV359" s="35"/>
      <c r="AW359" s="35"/>
      <c r="AX359" s="35"/>
      <c r="AY359" s="35"/>
      <c r="AZ359" s="35"/>
      <c r="BA359" s="35"/>
      <c r="BB359" s="35"/>
      <c r="BC359" s="35"/>
      <c r="BD359" s="35"/>
      <c r="BE359" s="35"/>
      <c r="BF359" s="35"/>
      <c r="BG359" s="35"/>
      <c r="BH359" s="35"/>
      <c r="BI359" s="35"/>
      <c r="BJ359" s="35"/>
      <c r="BK359" s="35"/>
      <c r="BL359" s="35"/>
      <c r="BM359" s="35"/>
      <c r="BN359" s="35"/>
      <c r="BO359" s="35"/>
      <c r="BP359" s="35"/>
      <c r="BQ359" s="35"/>
      <c r="BR359" s="35"/>
      <c r="BS359" s="35"/>
      <c r="BT359" s="35"/>
      <c r="BU359" s="35"/>
      <c r="BV359" s="35"/>
      <c r="BW359" s="35"/>
      <c r="BX359" s="35"/>
      <c r="BY359" s="35"/>
      <c r="BZ359" s="35"/>
      <c r="CA359" s="35"/>
      <c r="CB359" s="35"/>
      <c r="CC359" s="35"/>
      <c r="CD359" s="35"/>
      <c r="CE359" s="35"/>
      <c r="CF359" s="35"/>
      <c r="CG359" s="35"/>
      <c r="CH359" s="35"/>
      <c r="CI359" s="35"/>
      <c r="CJ359" s="35"/>
      <c r="CK359" s="35"/>
      <c r="CL359" s="35"/>
      <c r="CM359" s="35"/>
      <c r="CN359" s="35"/>
      <c r="CO359" s="35"/>
      <c r="CP359" s="35"/>
      <c r="CQ359" s="35"/>
      <c r="CR359" s="35"/>
      <c r="CS359" s="35"/>
      <c r="CT359" s="35"/>
      <c r="CU359" s="35"/>
      <c r="CV359" s="35"/>
      <c r="CW359" s="35"/>
      <c r="CX359" s="35"/>
      <c r="CY359" s="35"/>
      <c r="CZ359" s="35"/>
      <c r="DA359" s="35"/>
      <c r="DB359" s="35"/>
      <c r="DC359" s="35"/>
      <c r="DD359" s="35"/>
      <c r="DE359" s="35"/>
      <c r="DF359" s="35"/>
      <c r="DG359" s="35"/>
      <c r="DH359" s="35"/>
      <c r="DI359" s="35"/>
      <c r="DJ359" s="35"/>
    </row>
    <row r="360" spans="1:114" x14ac:dyDescent="0.25">
      <c r="A360" s="34"/>
      <c r="B360" s="34"/>
      <c r="C360" s="34"/>
      <c r="D360" s="34"/>
      <c r="E360" s="34"/>
      <c r="F360" s="34"/>
      <c r="G360" s="34"/>
      <c r="H360" s="34"/>
      <c r="I360" s="34"/>
      <c r="J360" s="34"/>
      <c r="K360" s="34"/>
      <c r="L360" s="34"/>
      <c r="M360" s="34"/>
      <c r="N360" s="35"/>
      <c r="O360" s="35"/>
      <c r="P360" s="35"/>
      <c r="Q360" s="35"/>
      <c r="R360" s="35"/>
      <c r="S360" s="35"/>
      <c r="T360" s="35"/>
      <c r="U360" s="35"/>
      <c r="V360" s="35"/>
      <c r="W360" s="35"/>
      <c r="X360" s="35"/>
      <c r="Y360" s="35"/>
      <c r="Z360" s="35"/>
      <c r="AA360" s="35"/>
      <c r="AB360" s="35"/>
      <c r="AC360" s="35"/>
      <c r="AD360" s="35"/>
      <c r="AE360" s="35"/>
      <c r="AF360" s="35"/>
      <c r="AG360" s="35"/>
      <c r="AH360" s="35"/>
      <c r="AI360" s="35"/>
      <c r="AJ360" s="35"/>
      <c r="AK360" s="35"/>
      <c r="AL360" s="35"/>
      <c r="AM360" s="35"/>
      <c r="AN360" s="35"/>
      <c r="AO360" s="35"/>
      <c r="AP360" s="35"/>
      <c r="AQ360" s="35"/>
      <c r="AR360" s="35"/>
      <c r="AS360" s="35"/>
      <c r="AT360" s="35"/>
      <c r="AU360" s="35"/>
      <c r="AV360" s="35"/>
      <c r="AW360" s="35"/>
      <c r="AX360" s="35"/>
      <c r="AY360" s="35"/>
      <c r="AZ360" s="35"/>
      <c r="BA360" s="35"/>
      <c r="BB360" s="35"/>
      <c r="BC360" s="35"/>
      <c r="BD360" s="35"/>
      <c r="BE360" s="35"/>
      <c r="BF360" s="35"/>
      <c r="BG360" s="35"/>
      <c r="BH360" s="35"/>
      <c r="BI360" s="35"/>
      <c r="BJ360" s="35"/>
      <c r="BK360" s="35"/>
      <c r="BL360" s="35"/>
      <c r="BM360" s="35"/>
      <c r="BN360" s="35"/>
      <c r="BO360" s="35"/>
      <c r="BP360" s="35"/>
      <c r="BQ360" s="35"/>
      <c r="BR360" s="35"/>
      <c r="BS360" s="35"/>
      <c r="BT360" s="35"/>
      <c r="BU360" s="35"/>
      <c r="BV360" s="35"/>
      <c r="BW360" s="35"/>
      <c r="BX360" s="35"/>
      <c r="BY360" s="35"/>
      <c r="BZ360" s="35"/>
      <c r="CA360" s="35"/>
      <c r="CB360" s="35"/>
      <c r="CC360" s="35"/>
      <c r="CD360" s="35"/>
      <c r="CE360" s="35"/>
      <c r="CF360" s="35"/>
      <c r="CG360" s="35"/>
      <c r="CH360" s="35"/>
      <c r="CI360" s="35"/>
      <c r="CJ360" s="35"/>
      <c r="CK360" s="35"/>
      <c r="CL360" s="35"/>
      <c r="CM360" s="35"/>
      <c r="CN360" s="35"/>
      <c r="CO360" s="35"/>
      <c r="CP360" s="35"/>
      <c r="CQ360" s="35"/>
      <c r="CR360" s="35"/>
      <c r="CS360" s="35"/>
      <c r="CT360" s="35"/>
      <c r="CU360" s="35"/>
      <c r="CV360" s="35"/>
      <c r="CW360" s="35"/>
      <c r="CX360" s="35"/>
      <c r="CY360" s="35"/>
      <c r="CZ360" s="35"/>
      <c r="DA360" s="35"/>
      <c r="DB360" s="35"/>
      <c r="DC360" s="35"/>
      <c r="DD360" s="35"/>
      <c r="DE360" s="35"/>
      <c r="DF360" s="35"/>
      <c r="DG360" s="35"/>
      <c r="DH360" s="35"/>
      <c r="DI360" s="35"/>
      <c r="DJ360" s="35"/>
    </row>
    <row r="361" spans="1:114" x14ac:dyDescent="0.25">
      <c r="A361" s="34"/>
      <c r="B361" s="34"/>
      <c r="C361" s="34"/>
      <c r="D361" s="34"/>
      <c r="E361" s="34"/>
      <c r="F361" s="34"/>
      <c r="G361" s="34"/>
      <c r="H361" s="34"/>
      <c r="I361" s="34"/>
      <c r="J361" s="34"/>
      <c r="K361" s="34"/>
      <c r="L361" s="34"/>
      <c r="M361" s="34"/>
      <c r="N361" s="35"/>
      <c r="O361" s="35"/>
      <c r="P361" s="35"/>
      <c r="Q361" s="35"/>
      <c r="R361" s="35"/>
      <c r="S361" s="35"/>
      <c r="T361" s="35"/>
      <c r="U361" s="35"/>
      <c r="V361" s="35"/>
      <c r="W361" s="35"/>
      <c r="X361" s="35"/>
      <c r="Y361" s="35"/>
      <c r="Z361" s="35"/>
      <c r="AA361" s="35"/>
      <c r="AB361" s="35"/>
      <c r="AC361" s="35"/>
      <c r="AD361" s="35"/>
      <c r="AE361" s="35"/>
      <c r="AF361" s="35"/>
      <c r="AG361" s="35"/>
      <c r="AH361" s="35"/>
      <c r="AI361" s="35"/>
      <c r="AJ361" s="35"/>
      <c r="AK361" s="35"/>
      <c r="AL361" s="35"/>
      <c r="AM361" s="35"/>
      <c r="AN361" s="35"/>
      <c r="AO361" s="35"/>
      <c r="AP361" s="35"/>
      <c r="AQ361" s="35"/>
      <c r="AR361" s="35"/>
      <c r="AS361" s="35"/>
      <c r="AT361" s="35"/>
      <c r="AU361" s="35"/>
      <c r="AV361" s="35"/>
      <c r="AW361" s="35"/>
      <c r="AX361" s="35"/>
      <c r="AY361" s="35"/>
      <c r="AZ361" s="35"/>
      <c r="BA361" s="35"/>
      <c r="BB361" s="35"/>
      <c r="BC361" s="35"/>
      <c r="BD361" s="35"/>
      <c r="BE361" s="35"/>
      <c r="BF361" s="35"/>
      <c r="BG361" s="35"/>
      <c r="BH361" s="35"/>
      <c r="BI361" s="35"/>
      <c r="BJ361" s="35"/>
      <c r="BK361" s="35"/>
      <c r="BL361" s="35"/>
      <c r="BM361" s="35"/>
      <c r="BN361" s="35"/>
      <c r="BO361" s="35"/>
      <c r="BP361" s="35"/>
      <c r="BQ361" s="35"/>
      <c r="BR361" s="35"/>
      <c r="BS361" s="35"/>
      <c r="BT361" s="35"/>
      <c r="BU361" s="35"/>
      <c r="BV361" s="35"/>
      <c r="BW361" s="35"/>
      <c r="BX361" s="35"/>
      <c r="BY361" s="35"/>
      <c r="BZ361" s="35"/>
      <c r="CA361" s="35"/>
      <c r="CB361" s="35"/>
      <c r="CC361" s="35"/>
      <c r="CD361" s="35"/>
      <c r="CE361" s="35"/>
      <c r="CF361" s="35"/>
      <c r="CG361" s="35"/>
      <c r="CH361" s="35"/>
      <c r="CI361" s="35"/>
      <c r="CJ361" s="35"/>
      <c r="CK361" s="35"/>
      <c r="CL361" s="35"/>
      <c r="CM361" s="35"/>
      <c r="CN361" s="35"/>
      <c r="CO361" s="35"/>
      <c r="CP361" s="35"/>
      <c r="CQ361" s="35"/>
      <c r="CR361" s="35"/>
      <c r="CS361" s="35"/>
      <c r="CT361" s="35"/>
      <c r="CU361" s="35"/>
      <c r="CV361" s="35"/>
      <c r="CW361" s="35"/>
      <c r="CX361" s="35"/>
      <c r="CY361" s="35"/>
      <c r="CZ361" s="35"/>
      <c r="DA361" s="35"/>
      <c r="DB361" s="35"/>
      <c r="DC361" s="35"/>
      <c r="DD361" s="35"/>
      <c r="DE361" s="35"/>
      <c r="DF361" s="35"/>
      <c r="DG361" s="35"/>
      <c r="DH361" s="35"/>
      <c r="DI361" s="35"/>
      <c r="DJ361" s="35"/>
    </row>
    <row r="362" spans="1:114" x14ac:dyDescent="0.25">
      <c r="A362" s="34"/>
      <c r="B362" s="34"/>
      <c r="C362" s="34"/>
      <c r="D362" s="34"/>
      <c r="E362" s="34"/>
      <c r="F362" s="34"/>
      <c r="G362" s="34"/>
      <c r="H362" s="34"/>
      <c r="I362" s="34"/>
      <c r="J362" s="34"/>
      <c r="K362" s="34"/>
      <c r="L362" s="34"/>
      <c r="M362" s="34"/>
      <c r="N362" s="35"/>
      <c r="O362" s="35"/>
      <c r="P362" s="35"/>
      <c r="Q362" s="35"/>
      <c r="R362" s="35"/>
      <c r="S362" s="35"/>
      <c r="T362" s="35"/>
      <c r="U362" s="35"/>
      <c r="V362" s="35"/>
      <c r="W362" s="35"/>
      <c r="X362" s="35"/>
      <c r="Y362" s="35"/>
      <c r="Z362" s="35"/>
      <c r="AA362" s="35"/>
      <c r="AB362" s="35"/>
      <c r="AC362" s="35"/>
      <c r="AD362" s="35"/>
      <c r="AE362" s="35"/>
      <c r="AF362" s="35"/>
      <c r="AG362" s="35"/>
      <c r="AH362" s="35"/>
      <c r="AI362" s="35"/>
      <c r="AJ362" s="35"/>
      <c r="AK362" s="35"/>
      <c r="AL362" s="35"/>
      <c r="AM362" s="35"/>
      <c r="AN362" s="35"/>
      <c r="AO362" s="35"/>
      <c r="AP362" s="35"/>
      <c r="AQ362" s="35"/>
      <c r="AR362" s="35"/>
      <c r="AS362" s="35"/>
      <c r="AT362" s="35"/>
      <c r="AU362" s="35"/>
      <c r="AV362" s="35"/>
      <c r="AW362" s="35"/>
      <c r="AX362" s="35"/>
      <c r="AY362" s="35"/>
      <c r="AZ362" s="35"/>
      <c r="BA362" s="35"/>
      <c r="BB362" s="35"/>
      <c r="BC362" s="35"/>
      <c r="BD362" s="35"/>
      <c r="BE362" s="35"/>
      <c r="BF362" s="35"/>
      <c r="BG362" s="35"/>
      <c r="BH362" s="35"/>
      <c r="BI362" s="35"/>
      <c r="BJ362" s="35"/>
      <c r="BK362" s="35"/>
      <c r="BL362" s="35"/>
      <c r="BM362" s="35"/>
      <c r="BN362" s="35"/>
      <c r="BO362" s="35"/>
      <c r="BP362" s="35"/>
      <c r="BQ362" s="35"/>
      <c r="BR362" s="35"/>
      <c r="BS362" s="35"/>
      <c r="BT362" s="35"/>
      <c r="BU362" s="35"/>
      <c r="BV362" s="35"/>
      <c r="BW362" s="35"/>
      <c r="BX362" s="35"/>
      <c r="BY362" s="35"/>
      <c r="BZ362" s="35"/>
      <c r="CA362" s="35"/>
      <c r="CB362" s="35"/>
      <c r="CC362" s="35"/>
      <c r="CD362" s="35"/>
      <c r="CE362" s="35"/>
      <c r="CF362" s="35"/>
      <c r="CG362" s="35"/>
      <c r="CH362" s="35"/>
      <c r="CI362" s="35"/>
      <c r="CJ362" s="35"/>
      <c r="CK362" s="35"/>
      <c r="CL362" s="35"/>
      <c r="CM362" s="35"/>
      <c r="CN362" s="35"/>
      <c r="CO362" s="35"/>
      <c r="CP362" s="35"/>
      <c r="CQ362" s="35"/>
      <c r="CR362" s="35"/>
      <c r="CS362" s="35"/>
      <c r="CT362" s="35"/>
      <c r="CU362" s="35"/>
      <c r="CV362" s="35"/>
      <c r="CW362" s="35"/>
      <c r="CX362" s="35"/>
      <c r="CY362" s="35"/>
      <c r="CZ362" s="35"/>
      <c r="DA362" s="35"/>
      <c r="DB362" s="35"/>
      <c r="DC362" s="35"/>
      <c r="DD362" s="35"/>
      <c r="DE362" s="35"/>
      <c r="DF362" s="35"/>
      <c r="DG362" s="35"/>
      <c r="DH362" s="35"/>
      <c r="DI362" s="35"/>
      <c r="DJ362" s="35"/>
    </row>
    <row r="363" spans="1:114" x14ac:dyDescent="0.25">
      <c r="A363" s="34"/>
      <c r="B363" s="34"/>
      <c r="C363" s="34"/>
      <c r="D363" s="34"/>
      <c r="E363" s="34"/>
      <c r="F363" s="34"/>
      <c r="G363" s="34"/>
      <c r="H363" s="34"/>
      <c r="I363" s="34"/>
      <c r="J363" s="34"/>
      <c r="K363" s="34"/>
      <c r="L363" s="34"/>
      <c r="M363" s="34"/>
      <c r="N363" s="35"/>
      <c r="O363" s="35"/>
      <c r="P363" s="35"/>
      <c r="Q363" s="35"/>
      <c r="R363" s="35"/>
      <c r="S363" s="35"/>
      <c r="T363" s="35"/>
      <c r="U363" s="35"/>
      <c r="V363" s="35"/>
      <c r="W363" s="35"/>
      <c r="X363" s="35"/>
      <c r="Y363" s="35"/>
      <c r="Z363" s="35"/>
      <c r="AA363" s="35"/>
      <c r="AB363" s="35"/>
      <c r="AC363" s="35"/>
      <c r="AD363" s="35"/>
      <c r="AE363" s="35"/>
      <c r="AF363" s="35"/>
      <c r="AG363" s="35"/>
      <c r="AH363" s="35"/>
      <c r="AI363" s="35"/>
      <c r="AJ363" s="35"/>
      <c r="AK363" s="35"/>
      <c r="AL363" s="35"/>
      <c r="AM363" s="35"/>
      <c r="AN363" s="35"/>
      <c r="AO363" s="35"/>
      <c r="AP363" s="35"/>
      <c r="AQ363" s="35"/>
      <c r="AR363" s="35"/>
      <c r="AS363" s="35"/>
      <c r="AT363" s="35"/>
      <c r="AU363" s="35"/>
      <c r="AV363" s="35"/>
      <c r="AW363" s="35"/>
      <c r="AX363" s="35"/>
      <c r="AY363" s="35"/>
      <c r="AZ363" s="35"/>
      <c r="BA363" s="35"/>
      <c r="BB363" s="35"/>
      <c r="BC363" s="35"/>
      <c r="BD363" s="35"/>
      <c r="BE363" s="35"/>
      <c r="BF363" s="35"/>
      <c r="BG363" s="35"/>
      <c r="BH363" s="35"/>
      <c r="BI363" s="35"/>
      <c r="BJ363" s="35"/>
      <c r="BK363" s="35"/>
      <c r="BL363" s="35"/>
      <c r="BM363" s="35"/>
      <c r="BN363" s="35"/>
      <c r="BO363" s="35"/>
      <c r="BP363" s="35"/>
      <c r="BQ363" s="35"/>
      <c r="BR363" s="35"/>
      <c r="BS363" s="35"/>
      <c r="BT363" s="35"/>
      <c r="BU363" s="35"/>
      <c r="BV363" s="35"/>
      <c r="BW363" s="35"/>
      <c r="BX363" s="35"/>
      <c r="BY363" s="35"/>
      <c r="BZ363" s="35"/>
      <c r="CA363" s="35"/>
      <c r="CB363" s="35"/>
      <c r="CC363" s="35"/>
      <c r="CD363" s="35"/>
      <c r="CE363" s="35"/>
      <c r="CF363" s="35"/>
      <c r="CG363" s="35"/>
      <c r="CH363" s="35"/>
      <c r="CI363" s="35"/>
      <c r="CJ363" s="35"/>
      <c r="CK363" s="35"/>
      <c r="CL363" s="35"/>
      <c r="CM363" s="35"/>
      <c r="CN363" s="35"/>
      <c r="CO363" s="35"/>
      <c r="CP363" s="35"/>
      <c r="CQ363" s="35"/>
      <c r="CR363" s="35"/>
      <c r="CS363" s="35"/>
      <c r="CT363" s="35"/>
      <c r="CU363" s="35"/>
      <c r="CV363" s="35"/>
      <c r="CW363" s="35"/>
      <c r="CX363" s="35"/>
      <c r="CY363" s="35"/>
      <c r="CZ363" s="35"/>
      <c r="DA363" s="35"/>
      <c r="DB363" s="35"/>
      <c r="DC363" s="35"/>
      <c r="DD363" s="35"/>
      <c r="DE363" s="35"/>
      <c r="DF363" s="35"/>
      <c r="DG363" s="35"/>
      <c r="DH363" s="35"/>
      <c r="DI363" s="35"/>
      <c r="DJ363" s="35"/>
    </row>
    <row r="364" spans="1:114" x14ac:dyDescent="0.25">
      <c r="A364" s="34"/>
      <c r="B364" s="34"/>
      <c r="C364" s="34"/>
      <c r="D364" s="34"/>
      <c r="E364" s="34"/>
      <c r="F364" s="34"/>
      <c r="G364" s="34"/>
      <c r="H364" s="34"/>
      <c r="I364" s="34"/>
      <c r="J364" s="34"/>
      <c r="K364" s="34"/>
      <c r="L364" s="34"/>
      <c r="M364" s="34"/>
      <c r="N364" s="35"/>
      <c r="O364" s="35"/>
      <c r="P364" s="35"/>
      <c r="Q364" s="35"/>
      <c r="R364" s="35"/>
      <c r="S364" s="35"/>
      <c r="T364" s="35"/>
      <c r="U364" s="35"/>
      <c r="V364" s="35"/>
      <c r="W364" s="35"/>
      <c r="X364" s="35"/>
      <c r="Y364" s="35"/>
      <c r="Z364" s="35"/>
      <c r="AA364" s="35"/>
      <c r="AB364" s="35"/>
      <c r="AC364" s="35"/>
      <c r="AD364" s="35"/>
      <c r="AE364" s="35"/>
      <c r="AF364" s="35"/>
      <c r="AG364" s="35"/>
      <c r="AH364" s="35"/>
      <c r="AI364" s="35"/>
      <c r="AJ364" s="35"/>
      <c r="AK364" s="35"/>
      <c r="AL364" s="35"/>
      <c r="AM364" s="35"/>
      <c r="AN364" s="35"/>
      <c r="AO364" s="35"/>
      <c r="AP364" s="35"/>
      <c r="AQ364" s="35"/>
      <c r="AR364" s="35"/>
      <c r="AS364" s="35"/>
      <c r="AT364" s="35"/>
      <c r="AU364" s="35"/>
      <c r="AV364" s="35"/>
      <c r="AW364" s="35"/>
      <c r="AX364" s="35"/>
      <c r="AY364" s="35"/>
      <c r="AZ364" s="35"/>
      <c r="BA364" s="35"/>
      <c r="BB364" s="35"/>
      <c r="BC364" s="35"/>
      <c r="BD364" s="35"/>
      <c r="BE364" s="35"/>
      <c r="BF364" s="35"/>
      <c r="BG364" s="35"/>
      <c r="BH364" s="35"/>
      <c r="BI364" s="35"/>
      <c r="BJ364" s="35"/>
      <c r="BK364" s="35"/>
      <c r="BL364" s="35"/>
      <c r="BM364" s="35"/>
      <c r="BN364" s="35"/>
      <c r="BO364" s="35"/>
      <c r="BP364" s="35"/>
      <c r="BQ364" s="35"/>
      <c r="BR364" s="35"/>
      <c r="BS364" s="35"/>
      <c r="BT364" s="35"/>
      <c r="BU364" s="35"/>
      <c r="BV364" s="35"/>
      <c r="BW364" s="35"/>
      <c r="BX364" s="35"/>
      <c r="BY364" s="35"/>
      <c r="BZ364" s="35"/>
      <c r="CA364" s="35"/>
      <c r="CB364" s="35"/>
      <c r="CC364" s="35"/>
      <c r="CD364" s="35"/>
      <c r="CE364" s="35"/>
      <c r="CF364" s="35"/>
      <c r="CG364" s="35"/>
      <c r="CH364" s="35"/>
      <c r="CI364" s="35"/>
      <c r="CJ364" s="35"/>
      <c r="CK364" s="35"/>
      <c r="CL364" s="35"/>
      <c r="CM364" s="35"/>
      <c r="CN364" s="35"/>
      <c r="CO364" s="35"/>
      <c r="CP364" s="35"/>
      <c r="CQ364" s="35"/>
      <c r="CR364" s="35"/>
      <c r="CS364" s="35"/>
      <c r="CT364" s="35"/>
      <c r="CU364" s="35"/>
      <c r="CV364" s="35"/>
      <c r="CW364" s="35"/>
      <c r="CX364" s="35"/>
      <c r="CY364" s="35"/>
      <c r="CZ364" s="35"/>
      <c r="DA364" s="35"/>
      <c r="DB364" s="35"/>
      <c r="DC364" s="35"/>
      <c r="DD364" s="35"/>
      <c r="DE364" s="35"/>
      <c r="DF364" s="35"/>
      <c r="DG364" s="35"/>
      <c r="DH364" s="35"/>
      <c r="DI364" s="35"/>
      <c r="DJ364" s="35"/>
    </row>
    <row r="365" spans="1:114" x14ac:dyDescent="0.25">
      <c r="A365" s="34"/>
      <c r="B365" s="34"/>
      <c r="C365" s="34"/>
      <c r="D365" s="34"/>
      <c r="E365" s="34"/>
      <c r="F365" s="34"/>
      <c r="G365" s="34"/>
      <c r="H365" s="34"/>
      <c r="I365" s="34"/>
      <c r="J365" s="34"/>
      <c r="K365" s="34"/>
      <c r="L365" s="34"/>
      <c r="M365" s="34"/>
      <c r="N365" s="35"/>
      <c r="O365" s="35"/>
      <c r="P365" s="35"/>
      <c r="Q365" s="35"/>
      <c r="R365" s="35"/>
      <c r="S365" s="35"/>
      <c r="T365" s="35"/>
      <c r="U365" s="35"/>
      <c r="V365" s="35"/>
      <c r="W365" s="35"/>
      <c r="X365" s="35"/>
      <c r="Y365" s="35"/>
      <c r="Z365" s="35"/>
      <c r="AA365" s="35"/>
      <c r="AB365" s="35"/>
      <c r="AC365" s="35"/>
      <c r="AD365" s="35"/>
      <c r="AE365" s="35"/>
      <c r="AF365" s="35"/>
      <c r="AG365" s="35"/>
      <c r="AH365" s="35"/>
      <c r="AI365" s="35"/>
      <c r="AJ365" s="35"/>
      <c r="AK365" s="35"/>
      <c r="AL365" s="35"/>
      <c r="AM365" s="35"/>
      <c r="AN365" s="35"/>
      <c r="AO365" s="35"/>
      <c r="AP365" s="35"/>
      <c r="AQ365" s="35"/>
      <c r="AR365" s="35"/>
      <c r="AS365" s="35"/>
      <c r="AT365" s="35"/>
      <c r="AU365" s="35"/>
      <c r="AV365" s="35"/>
      <c r="AW365" s="35"/>
      <c r="AX365" s="35"/>
      <c r="AY365" s="35"/>
      <c r="AZ365" s="35"/>
      <c r="BA365" s="35"/>
      <c r="BB365" s="35"/>
      <c r="BC365" s="35"/>
      <c r="BD365" s="35"/>
      <c r="BE365" s="35"/>
      <c r="BF365" s="35"/>
      <c r="BG365" s="35"/>
      <c r="BH365" s="35"/>
      <c r="BI365" s="35"/>
      <c r="BJ365" s="35"/>
      <c r="BK365" s="35"/>
      <c r="BL365" s="35"/>
      <c r="BM365" s="35"/>
      <c r="BN365" s="35"/>
      <c r="BO365" s="35"/>
      <c r="BP365" s="35"/>
      <c r="BQ365" s="35"/>
      <c r="BR365" s="35"/>
      <c r="BS365" s="35"/>
      <c r="BT365" s="35"/>
      <c r="BU365" s="35"/>
      <c r="BV365" s="35"/>
      <c r="BW365" s="35"/>
      <c r="BX365" s="35"/>
      <c r="BY365" s="35"/>
      <c r="BZ365" s="35"/>
      <c r="CA365" s="35"/>
      <c r="CB365" s="35"/>
      <c r="CC365" s="35"/>
      <c r="CD365" s="35"/>
      <c r="CE365" s="35"/>
      <c r="CF365" s="35"/>
      <c r="CG365" s="35"/>
      <c r="CH365" s="35"/>
      <c r="CI365" s="35"/>
      <c r="CJ365" s="35"/>
      <c r="CK365" s="35"/>
      <c r="CL365" s="35"/>
      <c r="CM365" s="35"/>
      <c r="CN365" s="35"/>
      <c r="CO365" s="35"/>
      <c r="CP365" s="35"/>
      <c r="CQ365" s="35"/>
      <c r="CR365" s="35"/>
      <c r="CS365" s="35"/>
      <c r="CT365" s="35"/>
      <c r="CU365" s="35"/>
      <c r="CV365" s="35"/>
      <c r="CW365" s="35"/>
      <c r="CX365" s="35"/>
      <c r="CY365" s="35"/>
      <c r="CZ365" s="35"/>
      <c r="DA365" s="35"/>
      <c r="DB365" s="35"/>
      <c r="DC365" s="35"/>
      <c r="DD365" s="35"/>
      <c r="DE365" s="35"/>
      <c r="DF365" s="35"/>
      <c r="DG365" s="35"/>
      <c r="DH365" s="35"/>
      <c r="DI365" s="35"/>
      <c r="DJ365" s="35"/>
    </row>
    <row r="366" spans="1:114" x14ac:dyDescent="0.25">
      <c r="A366" s="34"/>
      <c r="B366" s="34"/>
      <c r="C366" s="34"/>
      <c r="D366" s="34"/>
      <c r="E366" s="34"/>
      <c r="F366" s="34"/>
      <c r="G366" s="34"/>
      <c r="H366" s="34"/>
      <c r="I366" s="34"/>
      <c r="J366" s="34"/>
      <c r="K366" s="34"/>
      <c r="L366" s="34"/>
      <c r="M366" s="34"/>
      <c r="N366" s="35"/>
      <c r="O366" s="35"/>
      <c r="P366" s="35"/>
      <c r="Q366" s="35"/>
      <c r="R366" s="35"/>
      <c r="S366" s="35"/>
      <c r="T366" s="35"/>
      <c r="U366" s="35"/>
      <c r="V366" s="35"/>
      <c r="W366" s="35"/>
      <c r="X366" s="35"/>
      <c r="Y366" s="35"/>
      <c r="Z366" s="35"/>
      <c r="AA366" s="35"/>
      <c r="AB366" s="35"/>
      <c r="AC366" s="35"/>
      <c r="AD366" s="35"/>
      <c r="AE366" s="35"/>
      <c r="AF366" s="35"/>
      <c r="AG366" s="35"/>
      <c r="AH366" s="35"/>
      <c r="AI366" s="35"/>
      <c r="AJ366" s="35"/>
      <c r="AK366" s="35"/>
      <c r="AL366" s="35"/>
      <c r="AM366" s="35"/>
      <c r="AN366" s="35"/>
      <c r="AO366" s="35"/>
      <c r="AP366" s="35"/>
      <c r="AQ366" s="35"/>
      <c r="AR366" s="35"/>
      <c r="AS366" s="35"/>
      <c r="AT366" s="35"/>
      <c r="AU366" s="35"/>
      <c r="AV366" s="35"/>
      <c r="AW366" s="35"/>
      <c r="AX366" s="35"/>
      <c r="AY366" s="35"/>
      <c r="AZ366" s="35"/>
      <c r="BA366" s="35"/>
      <c r="BB366" s="35"/>
      <c r="BC366" s="35"/>
      <c r="BD366" s="35"/>
      <c r="BE366" s="35"/>
      <c r="BF366" s="35"/>
      <c r="BG366" s="35"/>
      <c r="BH366" s="35"/>
      <c r="BI366" s="35"/>
      <c r="BJ366" s="35"/>
      <c r="BK366" s="35"/>
      <c r="BL366" s="35"/>
      <c r="BM366" s="35"/>
      <c r="BN366" s="35"/>
      <c r="BO366" s="35"/>
      <c r="BP366" s="35"/>
      <c r="BQ366" s="35"/>
      <c r="BR366" s="35"/>
      <c r="BS366" s="35"/>
      <c r="BT366" s="35"/>
      <c r="BU366" s="35"/>
      <c r="BV366" s="35"/>
      <c r="BW366" s="35"/>
      <c r="BX366" s="35"/>
      <c r="BY366" s="35"/>
      <c r="BZ366" s="35"/>
      <c r="CA366" s="35"/>
      <c r="CB366" s="35"/>
      <c r="CC366" s="35"/>
      <c r="CD366" s="35"/>
      <c r="CE366" s="35"/>
      <c r="CF366" s="35"/>
      <c r="CG366" s="35"/>
      <c r="CH366" s="35"/>
      <c r="CI366" s="35"/>
      <c r="CJ366" s="35"/>
      <c r="CK366" s="35"/>
      <c r="CL366" s="35"/>
      <c r="CM366" s="35"/>
      <c r="CN366" s="35"/>
      <c r="CO366" s="35"/>
      <c r="CP366" s="35"/>
      <c r="CQ366" s="35"/>
      <c r="CR366" s="35"/>
      <c r="CS366" s="35"/>
      <c r="CT366" s="35"/>
      <c r="CU366" s="35"/>
      <c r="CV366" s="35"/>
      <c r="CW366" s="35"/>
      <c r="CX366" s="35"/>
      <c r="CY366" s="35"/>
      <c r="CZ366" s="35"/>
      <c r="DA366" s="35"/>
      <c r="DB366" s="35"/>
      <c r="DC366" s="35"/>
      <c r="DD366" s="35"/>
      <c r="DE366" s="35"/>
      <c r="DF366" s="35"/>
      <c r="DG366" s="35"/>
      <c r="DH366" s="35"/>
      <c r="DI366" s="35"/>
      <c r="DJ366" s="35"/>
    </row>
    <row r="367" spans="1:114" x14ac:dyDescent="0.25">
      <c r="A367" s="34"/>
      <c r="B367" s="34"/>
      <c r="C367" s="34"/>
      <c r="D367" s="34"/>
      <c r="E367" s="34"/>
      <c r="F367" s="34"/>
      <c r="G367" s="34"/>
      <c r="H367" s="34"/>
      <c r="I367" s="34"/>
      <c r="J367" s="34"/>
      <c r="K367" s="34"/>
      <c r="L367" s="34"/>
      <c r="M367" s="34"/>
      <c r="N367" s="35"/>
      <c r="O367" s="35"/>
      <c r="P367" s="35"/>
      <c r="Q367" s="35"/>
      <c r="R367" s="35"/>
      <c r="S367" s="35"/>
      <c r="T367" s="35"/>
      <c r="U367" s="35"/>
      <c r="V367" s="35"/>
      <c r="W367" s="35"/>
      <c r="X367" s="35"/>
      <c r="Y367" s="35"/>
      <c r="Z367" s="35"/>
      <c r="AA367" s="35"/>
      <c r="AB367" s="35"/>
      <c r="AC367" s="35"/>
      <c r="AD367" s="35"/>
      <c r="AE367" s="35"/>
      <c r="AF367" s="35"/>
      <c r="AG367" s="35"/>
      <c r="AH367" s="35"/>
      <c r="AI367" s="35"/>
      <c r="AJ367" s="35"/>
      <c r="AK367" s="35"/>
      <c r="AL367" s="35"/>
      <c r="AM367" s="35"/>
      <c r="AN367" s="35"/>
      <c r="AO367" s="35"/>
      <c r="AP367" s="35"/>
      <c r="AQ367" s="35"/>
      <c r="AR367" s="35"/>
      <c r="AS367" s="35"/>
      <c r="AT367" s="35"/>
      <c r="AU367" s="35"/>
      <c r="AV367" s="35"/>
      <c r="AW367" s="35"/>
      <c r="AX367" s="35"/>
      <c r="AY367" s="35"/>
      <c r="AZ367" s="35"/>
      <c r="BA367" s="35"/>
      <c r="BB367" s="35"/>
      <c r="BC367" s="35"/>
      <c r="BD367" s="35"/>
      <c r="BE367" s="35"/>
      <c r="BF367" s="35"/>
      <c r="BG367" s="35"/>
      <c r="BH367" s="35"/>
      <c r="BI367" s="35"/>
      <c r="BJ367" s="35"/>
      <c r="BK367" s="35"/>
      <c r="BL367" s="35"/>
      <c r="BM367" s="35"/>
      <c r="BN367" s="35"/>
      <c r="BO367" s="35"/>
      <c r="BP367" s="35"/>
      <c r="BQ367" s="35"/>
      <c r="BR367" s="35"/>
      <c r="BS367" s="35"/>
      <c r="BT367" s="35"/>
      <c r="BU367" s="35"/>
      <c r="BV367" s="35"/>
      <c r="BW367" s="35"/>
      <c r="BX367" s="35"/>
      <c r="BY367" s="35"/>
      <c r="BZ367" s="35"/>
      <c r="CA367" s="35"/>
      <c r="CB367" s="35"/>
      <c r="CC367" s="35"/>
      <c r="CD367" s="35"/>
      <c r="CE367" s="35"/>
      <c r="CF367" s="35"/>
      <c r="CG367" s="35"/>
      <c r="CH367" s="35"/>
      <c r="CI367" s="35"/>
      <c r="CJ367" s="35"/>
      <c r="CK367" s="35"/>
      <c r="CL367" s="35"/>
      <c r="CM367" s="35"/>
      <c r="CN367" s="35"/>
      <c r="CO367" s="35"/>
      <c r="CP367" s="35"/>
      <c r="CQ367" s="35"/>
      <c r="CR367" s="35"/>
      <c r="CS367" s="35"/>
      <c r="CT367" s="35"/>
      <c r="CU367" s="35"/>
      <c r="CV367" s="35"/>
      <c r="CW367" s="35"/>
      <c r="CX367" s="35"/>
      <c r="CY367" s="35"/>
      <c r="CZ367" s="35"/>
      <c r="DA367" s="35"/>
      <c r="DB367" s="35"/>
      <c r="DC367" s="35"/>
      <c r="DD367" s="35"/>
      <c r="DE367" s="35"/>
      <c r="DF367" s="35"/>
      <c r="DG367" s="35"/>
      <c r="DH367" s="35"/>
      <c r="DI367" s="35"/>
      <c r="DJ367" s="35"/>
    </row>
    <row r="368" spans="1:114" x14ac:dyDescent="0.25">
      <c r="A368" s="34"/>
      <c r="B368" s="34"/>
      <c r="C368" s="34"/>
      <c r="D368" s="34"/>
      <c r="E368" s="34"/>
      <c r="F368" s="34"/>
      <c r="G368" s="34"/>
      <c r="H368" s="34"/>
      <c r="I368" s="34"/>
      <c r="J368" s="34"/>
      <c r="K368" s="34"/>
      <c r="L368" s="34"/>
      <c r="M368" s="34"/>
      <c r="N368" s="35"/>
      <c r="O368" s="35"/>
      <c r="P368" s="35"/>
      <c r="Q368" s="35"/>
      <c r="R368" s="35"/>
      <c r="S368" s="35"/>
      <c r="T368" s="35"/>
      <c r="U368" s="35"/>
      <c r="V368" s="35"/>
      <c r="W368" s="35"/>
      <c r="X368" s="35"/>
      <c r="Y368" s="35"/>
      <c r="Z368" s="35"/>
      <c r="AA368" s="35"/>
      <c r="AB368" s="35"/>
      <c r="AC368" s="35"/>
      <c r="AD368" s="35"/>
      <c r="AE368" s="35"/>
      <c r="AF368" s="35"/>
      <c r="AG368" s="35"/>
      <c r="AH368" s="35"/>
      <c r="AI368" s="35"/>
      <c r="AJ368" s="35"/>
      <c r="AK368" s="35"/>
      <c r="AL368" s="35"/>
      <c r="AM368" s="35"/>
      <c r="AN368" s="35"/>
      <c r="AO368" s="35"/>
      <c r="AP368" s="35"/>
      <c r="AQ368" s="35"/>
      <c r="AR368" s="35"/>
      <c r="AS368" s="35"/>
      <c r="AT368" s="35"/>
      <c r="AU368" s="35"/>
      <c r="AV368" s="35"/>
      <c r="AW368" s="35"/>
      <c r="AX368" s="35"/>
      <c r="AY368" s="35"/>
      <c r="AZ368" s="35"/>
      <c r="BA368" s="35"/>
      <c r="BB368" s="35"/>
      <c r="BC368" s="35"/>
      <c r="BD368" s="35"/>
      <c r="BE368" s="35"/>
      <c r="BF368" s="35"/>
      <c r="BG368" s="35"/>
      <c r="BH368" s="35"/>
      <c r="BI368" s="35"/>
      <c r="BJ368" s="35"/>
      <c r="BK368" s="35"/>
      <c r="BL368" s="35"/>
      <c r="BM368" s="35"/>
      <c r="BN368" s="35"/>
      <c r="BO368" s="35"/>
      <c r="BP368" s="35"/>
      <c r="BQ368" s="35"/>
      <c r="BR368" s="35"/>
      <c r="BS368" s="35"/>
      <c r="BT368" s="35"/>
      <c r="BU368" s="35"/>
      <c r="BV368" s="35"/>
      <c r="BW368" s="35"/>
      <c r="BX368" s="35"/>
      <c r="BY368" s="35"/>
      <c r="BZ368" s="35"/>
      <c r="CA368" s="35"/>
      <c r="CB368" s="35"/>
      <c r="CC368" s="35"/>
      <c r="CD368" s="35"/>
      <c r="CE368" s="35"/>
      <c r="CF368" s="35"/>
      <c r="CG368" s="35"/>
      <c r="CH368" s="35"/>
      <c r="CI368" s="35"/>
      <c r="CJ368" s="35"/>
      <c r="CK368" s="35"/>
      <c r="CL368" s="35"/>
      <c r="CM368" s="35"/>
      <c r="CN368" s="35"/>
      <c r="CO368" s="35"/>
      <c r="CP368" s="35"/>
      <c r="CQ368" s="35"/>
      <c r="CR368" s="35"/>
      <c r="CS368" s="35"/>
      <c r="CT368" s="35"/>
      <c r="CU368" s="35"/>
      <c r="CV368" s="35"/>
      <c r="CW368" s="35"/>
      <c r="CX368" s="35"/>
      <c r="CY368" s="35"/>
      <c r="CZ368" s="35"/>
      <c r="DA368" s="35"/>
      <c r="DB368" s="35"/>
      <c r="DC368" s="35"/>
      <c r="DD368" s="35"/>
      <c r="DE368" s="35"/>
      <c r="DF368" s="35"/>
      <c r="DG368" s="35"/>
      <c r="DH368" s="35"/>
      <c r="DI368" s="35"/>
      <c r="DJ368" s="35"/>
    </row>
    <row r="369" spans="1:114" x14ac:dyDescent="0.25">
      <c r="A369" s="34"/>
      <c r="B369" s="34"/>
      <c r="C369" s="34"/>
      <c r="D369" s="34"/>
      <c r="E369" s="34"/>
      <c r="F369" s="34"/>
      <c r="G369" s="34"/>
      <c r="H369" s="34"/>
      <c r="I369" s="34"/>
      <c r="J369" s="34"/>
      <c r="K369" s="34"/>
      <c r="L369" s="34"/>
      <c r="M369" s="34"/>
      <c r="N369" s="35"/>
      <c r="O369" s="35"/>
      <c r="P369" s="35"/>
      <c r="Q369" s="35"/>
      <c r="R369" s="35"/>
      <c r="S369" s="35"/>
      <c r="T369" s="35"/>
      <c r="U369" s="35"/>
      <c r="V369" s="35"/>
      <c r="W369" s="35"/>
      <c r="X369" s="35"/>
      <c r="Y369" s="35"/>
      <c r="Z369" s="35"/>
      <c r="AA369" s="35"/>
      <c r="AB369" s="35"/>
      <c r="AC369" s="35"/>
      <c r="AD369" s="35"/>
      <c r="AE369" s="35"/>
      <c r="AF369" s="35"/>
      <c r="AG369" s="35"/>
      <c r="AH369" s="35"/>
      <c r="AI369" s="35"/>
      <c r="AJ369" s="35"/>
      <c r="AK369" s="35"/>
      <c r="AL369" s="35"/>
      <c r="AM369" s="35"/>
      <c r="AN369" s="35"/>
      <c r="AO369" s="35"/>
      <c r="AP369" s="35"/>
      <c r="AQ369" s="35"/>
      <c r="AR369" s="35"/>
      <c r="AS369" s="35"/>
      <c r="AT369" s="35"/>
      <c r="AU369" s="35"/>
      <c r="AV369" s="35"/>
      <c r="AW369" s="35"/>
      <c r="AX369" s="35"/>
      <c r="AY369" s="35"/>
      <c r="AZ369" s="35"/>
      <c r="BA369" s="35"/>
      <c r="BB369" s="35"/>
      <c r="BC369" s="35"/>
      <c r="BD369" s="35"/>
      <c r="BE369" s="35"/>
      <c r="BF369" s="35"/>
      <c r="BG369" s="35"/>
      <c r="BH369" s="35"/>
      <c r="BI369" s="35"/>
      <c r="BJ369" s="35"/>
      <c r="BK369" s="35"/>
      <c r="BL369" s="35"/>
      <c r="BM369" s="35"/>
      <c r="BN369" s="35"/>
      <c r="BO369" s="35"/>
      <c r="BP369" s="35"/>
      <c r="BQ369" s="35"/>
      <c r="BR369" s="35"/>
      <c r="BS369" s="35"/>
      <c r="BT369" s="35"/>
      <c r="BU369" s="35"/>
      <c r="BV369" s="35"/>
      <c r="BW369" s="35"/>
      <c r="BX369" s="35"/>
      <c r="BY369" s="35"/>
      <c r="BZ369" s="35"/>
      <c r="CA369" s="35"/>
      <c r="CB369" s="35"/>
      <c r="CC369" s="35"/>
      <c r="CD369" s="35"/>
      <c r="CE369" s="35"/>
      <c r="CF369" s="35"/>
      <c r="CG369" s="35"/>
      <c r="CH369" s="35"/>
      <c r="CI369" s="35"/>
      <c r="CJ369" s="35"/>
      <c r="CK369" s="35"/>
      <c r="CL369" s="35"/>
      <c r="CM369" s="35"/>
      <c r="CN369" s="35"/>
      <c r="CO369" s="35"/>
      <c r="CP369" s="35"/>
      <c r="CQ369" s="35"/>
      <c r="CR369" s="35"/>
      <c r="CS369" s="35"/>
      <c r="CT369" s="35"/>
      <c r="CU369" s="35"/>
      <c r="CV369" s="35"/>
      <c r="CW369" s="35"/>
      <c r="CX369" s="35"/>
      <c r="CY369" s="35"/>
      <c r="CZ369" s="35"/>
      <c r="DA369" s="35"/>
      <c r="DB369" s="35"/>
      <c r="DC369" s="35"/>
      <c r="DD369" s="35"/>
      <c r="DE369" s="35"/>
      <c r="DF369" s="35"/>
      <c r="DG369" s="35"/>
      <c r="DH369" s="35"/>
      <c r="DI369" s="35"/>
      <c r="DJ369" s="35"/>
    </row>
    <row r="370" spans="1:114" x14ac:dyDescent="0.25">
      <c r="A370" s="34"/>
      <c r="B370" s="34"/>
      <c r="C370" s="34"/>
      <c r="D370" s="34"/>
      <c r="E370" s="34"/>
      <c r="F370" s="34"/>
      <c r="G370" s="34"/>
      <c r="H370" s="34"/>
      <c r="I370" s="34"/>
      <c r="J370" s="34"/>
      <c r="K370" s="34"/>
      <c r="L370" s="34"/>
      <c r="M370" s="34"/>
      <c r="N370" s="35"/>
      <c r="O370" s="35"/>
      <c r="P370" s="35"/>
      <c r="Q370" s="35"/>
      <c r="R370" s="35"/>
      <c r="S370" s="35"/>
      <c r="T370" s="35"/>
      <c r="U370" s="35"/>
      <c r="V370" s="35"/>
      <c r="W370" s="35"/>
      <c r="X370" s="35"/>
      <c r="Y370" s="35"/>
      <c r="Z370" s="35"/>
      <c r="AA370" s="35"/>
      <c r="AB370" s="35"/>
      <c r="AC370" s="35"/>
      <c r="AD370" s="35"/>
      <c r="AE370" s="35"/>
      <c r="AF370" s="35"/>
      <c r="AG370" s="35"/>
      <c r="AH370" s="35"/>
      <c r="AI370" s="35"/>
      <c r="AJ370" s="35"/>
      <c r="AK370" s="35"/>
      <c r="AL370" s="35"/>
      <c r="AM370" s="35"/>
      <c r="AN370" s="35"/>
      <c r="AO370" s="35"/>
      <c r="AP370" s="35"/>
      <c r="AQ370" s="35"/>
      <c r="AR370" s="35"/>
      <c r="AS370" s="35"/>
      <c r="AT370" s="35"/>
      <c r="AU370" s="35"/>
      <c r="AV370" s="35"/>
      <c r="AW370" s="35"/>
      <c r="AX370" s="35"/>
      <c r="AY370" s="35"/>
      <c r="AZ370" s="35"/>
      <c r="BA370" s="35"/>
      <c r="BB370" s="35"/>
      <c r="BC370" s="35"/>
      <c r="BD370" s="35"/>
      <c r="BE370" s="35"/>
      <c r="BF370" s="35"/>
      <c r="BG370" s="35"/>
      <c r="BH370" s="35"/>
      <c r="BI370" s="35"/>
      <c r="BJ370" s="35"/>
      <c r="BK370" s="35"/>
      <c r="BL370" s="35"/>
      <c r="BM370" s="35"/>
      <c r="BN370" s="35"/>
      <c r="BO370" s="35"/>
      <c r="BP370" s="35"/>
      <c r="BQ370" s="35"/>
      <c r="BR370" s="35"/>
      <c r="BS370" s="35"/>
      <c r="BT370" s="35"/>
      <c r="BU370" s="35"/>
      <c r="BV370" s="35"/>
      <c r="BW370" s="35"/>
      <c r="BX370" s="35"/>
      <c r="BY370" s="35"/>
      <c r="BZ370" s="35"/>
      <c r="CA370" s="35"/>
      <c r="CB370" s="35"/>
      <c r="CC370" s="35"/>
      <c r="CD370" s="35"/>
      <c r="CE370" s="35"/>
      <c r="CF370" s="35"/>
      <c r="CG370" s="35"/>
      <c r="CH370" s="35"/>
      <c r="CI370" s="35"/>
      <c r="CJ370" s="35"/>
      <c r="CK370" s="35"/>
      <c r="CL370" s="35"/>
      <c r="CM370" s="35"/>
      <c r="CN370" s="35"/>
      <c r="CO370" s="35"/>
      <c r="CP370" s="35"/>
      <c r="CQ370" s="35"/>
      <c r="CR370" s="35"/>
      <c r="CS370" s="35"/>
      <c r="CT370" s="35"/>
      <c r="CU370" s="35"/>
      <c r="CV370" s="35"/>
      <c r="CW370" s="35"/>
      <c r="CX370" s="35"/>
      <c r="CY370" s="35"/>
      <c r="CZ370" s="35"/>
      <c r="DA370" s="35"/>
      <c r="DB370" s="35"/>
      <c r="DC370" s="35"/>
      <c r="DD370" s="35"/>
      <c r="DE370" s="35"/>
      <c r="DF370" s="35"/>
      <c r="DG370" s="35"/>
      <c r="DH370" s="35"/>
      <c r="DI370" s="35"/>
      <c r="DJ370" s="35"/>
    </row>
    <row r="371" spans="1:114" x14ac:dyDescent="0.25">
      <c r="A371" s="34"/>
      <c r="B371" s="34"/>
      <c r="C371" s="34"/>
      <c r="D371" s="34"/>
      <c r="E371" s="34"/>
      <c r="F371" s="34"/>
      <c r="G371" s="34"/>
      <c r="H371" s="34"/>
      <c r="I371" s="34"/>
      <c r="J371" s="34"/>
      <c r="K371" s="34"/>
      <c r="L371" s="34"/>
      <c r="M371" s="34"/>
      <c r="N371" s="35"/>
      <c r="O371" s="35"/>
      <c r="P371" s="35"/>
      <c r="Q371" s="35"/>
      <c r="R371" s="35"/>
      <c r="S371" s="35"/>
      <c r="T371" s="35"/>
      <c r="U371" s="35"/>
      <c r="V371" s="35"/>
      <c r="W371" s="35"/>
      <c r="X371" s="35"/>
      <c r="Y371" s="35"/>
      <c r="Z371" s="35"/>
      <c r="AA371" s="35"/>
      <c r="AB371" s="35"/>
      <c r="AC371" s="35"/>
      <c r="AD371" s="35"/>
      <c r="AE371" s="35"/>
      <c r="AF371" s="35"/>
      <c r="AG371" s="35"/>
      <c r="AH371" s="35"/>
      <c r="AI371" s="35"/>
      <c r="AJ371" s="35"/>
      <c r="AK371" s="35"/>
      <c r="AL371" s="35"/>
      <c r="AM371" s="35"/>
      <c r="AN371" s="35"/>
      <c r="AO371" s="35"/>
      <c r="AP371" s="35"/>
      <c r="AQ371" s="35"/>
      <c r="AR371" s="35"/>
      <c r="AS371" s="35"/>
      <c r="AT371" s="35"/>
      <c r="AU371" s="35"/>
      <c r="AV371" s="35"/>
      <c r="AW371" s="35"/>
      <c r="AX371" s="35"/>
      <c r="AY371" s="35"/>
      <c r="AZ371" s="35"/>
      <c r="BA371" s="35"/>
      <c r="BB371" s="35"/>
      <c r="BC371" s="35"/>
      <c r="BD371" s="35"/>
      <c r="BE371" s="35"/>
      <c r="BF371" s="35"/>
      <c r="BG371" s="35"/>
      <c r="BH371" s="35"/>
      <c r="BI371" s="35"/>
      <c r="BJ371" s="35"/>
      <c r="BK371" s="35"/>
      <c r="BL371" s="35"/>
      <c r="BM371" s="35"/>
      <c r="BN371" s="35"/>
      <c r="BO371" s="35"/>
      <c r="BP371" s="35"/>
      <c r="BQ371" s="35"/>
      <c r="BR371" s="35"/>
      <c r="BS371" s="35"/>
      <c r="BT371" s="35"/>
      <c r="BU371" s="35"/>
      <c r="BV371" s="35"/>
      <c r="BW371" s="35"/>
      <c r="BX371" s="35"/>
      <c r="BY371" s="35"/>
      <c r="BZ371" s="35"/>
      <c r="CA371" s="35"/>
      <c r="CB371" s="35"/>
      <c r="CC371" s="35"/>
      <c r="CD371" s="35"/>
      <c r="CE371" s="35"/>
      <c r="CF371" s="35"/>
      <c r="CG371" s="35"/>
      <c r="CH371" s="35"/>
      <c r="CI371" s="35"/>
      <c r="CJ371" s="35"/>
      <c r="CK371" s="35"/>
      <c r="CL371" s="35"/>
      <c r="CM371" s="35"/>
      <c r="CN371" s="35"/>
      <c r="CO371" s="35"/>
      <c r="CP371" s="35"/>
      <c r="CQ371" s="35"/>
      <c r="CR371" s="35"/>
      <c r="CS371" s="35"/>
      <c r="CT371" s="35"/>
      <c r="CU371" s="35"/>
      <c r="CV371" s="35"/>
      <c r="CW371" s="35"/>
      <c r="CX371" s="35"/>
      <c r="CY371" s="35"/>
      <c r="CZ371" s="35"/>
      <c r="DA371" s="35"/>
      <c r="DB371" s="35"/>
      <c r="DC371" s="35"/>
      <c r="DD371" s="35"/>
      <c r="DE371" s="35"/>
      <c r="DF371" s="35"/>
      <c r="DG371" s="35"/>
      <c r="DH371" s="35"/>
      <c r="DI371" s="35"/>
      <c r="DJ371" s="35"/>
    </row>
    <row r="372" spans="1:114" x14ac:dyDescent="0.25">
      <c r="A372" s="34"/>
      <c r="B372" s="34"/>
      <c r="C372" s="34"/>
      <c r="D372" s="34"/>
      <c r="E372" s="34"/>
      <c r="F372" s="34"/>
      <c r="G372" s="34"/>
      <c r="H372" s="34"/>
      <c r="I372" s="34"/>
      <c r="J372" s="34"/>
      <c r="K372" s="34"/>
      <c r="L372" s="34"/>
      <c r="M372" s="34"/>
      <c r="N372" s="35"/>
      <c r="O372" s="35"/>
      <c r="P372" s="35"/>
      <c r="Q372" s="35"/>
      <c r="R372" s="35"/>
      <c r="S372" s="35"/>
      <c r="T372" s="35"/>
      <c r="U372" s="35"/>
      <c r="V372" s="35"/>
      <c r="W372" s="35"/>
      <c r="X372" s="35"/>
      <c r="Y372" s="35"/>
      <c r="Z372" s="35"/>
      <c r="AA372" s="35"/>
      <c r="AB372" s="35"/>
      <c r="AC372" s="35"/>
      <c r="AD372" s="35"/>
      <c r="AE372" s="35"/>
      <c r="AF372" s="35"/>
      <c r="AG372" s="35"/>
      <c r="AH372" s="35"/>
      <c r="AI372" s="35"/>
      <c r="AJ372" s="35"/>
      <c r="AK372" s="35"/>
      <c r="AL372" s="35"/>
      <c r="AM372" s="35"/>
      <c r="AN372" s="35"/>
      <c r="AO372" s="35"/>
      <c r="AP372" s="35"/>
      <c r="AQ372" s="35"/>
      <c r="AR372" s="35"/>
      <c r="AS372" s="35"/>
      <c r="AT372" s="35"/>
      <c r="AU372" s="35"/>
      <c r="AV372" s="35"/>
      <c r="AW372" s="35"/>
      <c r="AX372" s="35"/>
      <c r="AY372" s="35"/>
      <c r="AZ372" s="35"/>
      <c r="BA372" s="35"/>
      <c r="BB372" s="35"/>
      <c r="BC372" s="35"/>
      <c r="BD372" s="35"/>
      <c r="BE372" s="35"/>
      <c r="BF372" s="35"/>
      <c r="BG372" s="35"/>
      <c r="BH372" s="35"/>
      <c r="BI372" s="35"/>
      <c r="BJ372" s="35"/>
      <c r="BK372" s="35"/>
      <c r="BL372" s="35"/>
      <c r="BM372" s="35"/>
      <c r="BN372" s="35"/>
      <c r="BO372" s="35"/>
      <c r="BP372" s="35"/>
      <c r="BQ372" s="35"/>
      <c r="BR372" s="35"/>
      <c r="BS372" s="35"/>
      <c r="BT372" s="35"/>
      <c r="BU372" s="35"/>
      <c r="BV372" s="35"/>
      <c r="BW372" s="35"/>
      <c r="BX372" s="35"/>
      <c r="BY372" s="35"/>
      <c r="BZ372" s="35"/>
      <c r="CA372" s="35"/>
      <c r="CB372" s="35"/>
      <c r="CC372" s="35"/>
      <c r="CD372" s="35"/>
      <c r="CE372" s="35"/>
      <c r="CF372" s="35"/>
      <c r="CG372" s="35"/>
      <c r="CH372" s="35"/>
      <c r="CI372" s="35"/>
      <c r="CJ372" s="35"/>
      <c r="CK372" s="35"/>
      <c r="CL372" s="35"/>
      <c r="CM372" s="35"/>
      <c r="CN372" s="35"/>
      <c r="CO372" s="35"/>
      <c r="CP372" s="35"/>
      <c r="CQ372" s="35"/>
      <c r="CR372" s="35"/>
      <c r="CS372" s="35"/>
      <c r="CT372" s="35"/>
      <c r="CU372" s="35"/>
      <c r="CV372" s="35"/>
      <c r="CW372" s="35"/>
      <c r="CX372" s="35"/>
      <c r="CY372" s="35"/>
      <c r="CZ372" s="35"/>
      <c r="DA372" s="35"/>
      <c r="DB372" s="35"/>
      <c r="DC372" s="35"/>
      <c r="DD372" s="35"/>
      <c r="DE372" s="35"/>
      <c r="DF372" s="35"/>
      <c r="DG372" s="35"/>
      <c r="DH372" s="35"/>
      <c r="DI372" s="35"/>
      <c r="DJ372" s="35"/>
    </row>
    <row r="373" spans="1:114" x14ac:dyDescent="0.25">
      <c r="A373" s="34"/>
      <c r="B373" s="34"/>
      <c r="C373" s="34"/>
      <c r="D373" s="34"/>
      <c r="E373" s="34"/>
      <c r="F373" s="34"/>
      <c r="G373" s="34"/>
      <c r="H373" s="34"/>
      <c r="I373" s="34"/>
      <c r="J373" s="34"/>
      <c r="K373" s="34"/>
      <c r="L373" s="34"/>
      <c r="M373" s="34"/>
      <c r="N373" s="35"/>
      <c r="O373" s="35"/>
      <c r="P373" s="35"/>
      <c r="Q373" s="35"/>
      <c r="R373" s="35"/>
      <c r="S373" s="35"/>
      <c r="T373" s="35"/>
      <c r="U373" s="35"/>
      <c r="V373" s="35"/>
      <c r="W373" s="35"/>
      <c r="X373" s="35"/>
      <c r="Y373" s="35"/>
      <c r="Z373" s="35"/>
      <c r="AA373" s="35"/>
      <c r="AB373" s="35"/>
      <c r="AC373" s="35"/>
      <c r="AD373" s="35"/>
      <c r="AE373" s="35"/>
      <c r="AF373" s="35"/>
      <c r="AG373" s="35"/>
      <c r="AH373" s="35"/>
      <c r="AI373" s="35"/>
      <c r="AJ373" s="35"/>
      <c r="AK373" s="35"/>
      <c r="AL373" s="35"/>
      <c r="AM373" s="35"/>
      <c r="AN373" s="35"/>
      <c r="AO373" s="35"/>
      <c r="AP373" s="35"/>
      <c r="AQ373" s="35"/>
      <c r="AR373" s="35"/>
      <c r="AS373" s="35"/>
      <c r="AT373" s="35"/>
      <c r="AU373" s="35"/>
      <c r="AV373" s="35"/>
      <c r="AW373" s="35"/>
      <c r="AX373" s="35"/>
      <c r="AY373" s="35"/>
      <c r="AZ373" s="35"/>
      <c r="BA373" s="35"/>
      <c r="BB373" s="35"/>
      <c r="BC373" s="35"/>
      <c r="BD373" s="35"/>
      <c r="BE373" s="35"/>
      <c r="BF373" s="35"/>
      <c r="BG373" s="35"/>
      <c r="BH373" s="35"/>
      <c r="BI373" s="35"/>
      <c r="BJ373" s="35"/>
      <c r="BK373" s="35"/>
      <c r="BL373" s="35"/>
      <c r="BM373" s="35"/>
      <c r="BN373" s="35"/>
      <c r="BO373" s="35"/>
      <c r="BP373" s="35"/>
      <c r="BQ373" s="35"/>
      <c r="BR373" s="35"/>
      <c r="BS373" s="35"/>
      <c r="BT373" s="35"/>
      <c r="BU373" s="35"/>
      <c r="BV373" s="35"/>
      <c r="BW373" s="35"/>
      <c r="BX373" s="35"/>
      <c r="BY373" s="35"/>
      <c r="BZ373" s="35"/>
      <c r="CA373" s="35"/>
      <c r="CB373" s="35"/>
      <c r="CC373" s="35"/>
      <c r="CD373" s="35"/>
      <c r="CE373" s="35"/>
      <c r="CF373" s="35"/>
      <c r="CG373" s="35"/>
      <c r="CH373" s="35"/>
      <c r="CI373" s="35"/>
      <c r="CJ373" s="35"/>
      <c r="CK373" s="35"/>
      <c r="CL373" s="35"/>
      <c r="CM373" s="35"/>
      <c r="CN373" s="35"/>
      <c r="CO373" s="35"/>
      <c r="CP373" s="35"/>
      <c r="CQ373" s="35"/>
      <c r="CR373" s="35"/>
      <c r="CS373" s="35"/>
      <c r="CT373" s="35"/>
      <c r="CU373" s="35"/>
      <c r="CV373" s="35"/>
      <c r="CW373" s="35"/>
      <c r="CX373" s="35"/>
      <c r="CY373" s="35"/>
      <c r="CZ373" s="35"/>
      <c r="DA373" s="35"/>
      <c r="DB373" s="35"/>
      <c r="DC373" s="35"/>
      <c r="DD373" s="35"/>
      <c r="DE373" s="35"/>
      <c r="DF373" s="35"/>
      <c r="DG373" s="35"/>
      <c r="DH373" s="35"/>
      <c r="DI373" s="35"/>
      <c r="DJ373" s="35"/>
    </row>
    <row r="374" spans="1:114" x14ac:dyDescent="0.25">
      <c r="A374" s="34"/>
      <c r="B374" s="34"/>
      <c r="C374" s="34"/>
      <c r="D374" s="34"/>
      <c r="E374" s="34"/>
      <c r="F374" s="34"/>
      <c r="G374" s="34"/>
      <c r="H374" s="34"/>
      <c r="I374" s="34"/>
      <c r="J374" s="34"/>
      <c r="K374" s="34"/>
      <c r="L374" s="34"/>
      <c r="M374" s="34"/>
      <c r="N374" s="35"/>
      <c r="O374" s="35"/>
      <c r="P374" s="35"/>
      <c r="Q374" s="35"/>
      <c r="R374" s="35"/>
      <c r="S374" s="35"/>
      <c r="T374" s="35"/>
      <c r="U374" s="35"/>
      <c r="V374" s="35"/>
      <c r="W374" s="35"/>
      <c r="X374" s="35"/>
      <c r="Y374" s="35"/>
      <c r="Z374" s="35"/>
      <c r="AA374" s="35"/>
      <c r="AB374" s="35"/>
      <c r="AC374" s="35"/>
      <c r="AD374" s="35"/>
      <c r="AE374" s="35"/>
      <c r="AF374" s="35"/>
      <c r="AG374" s="35"/>
      <c r="AH374" s="35"/>
      <c r="AI374" s="35"/>
      <c r="AJ374" s="35"/>
      <c r="AK374" s="35"/>
      <c r="AL374" s="35"/>
      <c r="AM374" s="35"/>
      <c r="AN374" s="35"/>
      <c r="AO374" s="35"/>
      <c r="AP374" s="35"/>
      <c r="AQ374" s="35"/>
      <c r="AR374" s="35"/>
      <c r="AS374" s="35"/>
      <c r="AT374" s="35"/>
      <c r="AU374" s="35"/>
      <c r="AV374" s="35"/>
      <c r="AW374" s="35"/>
      <c r="AX374" s="35"/>
      <c r="AY374" s="35"/>
      <c r="AZ374" s="35"/>
      <c r="BA374" s="35"/>
      <c r="BB374" s="35"/>
      <c r="BC374" s="35"/>
      <c r="BD374" s="35"/>
      <c r="BE374" s="35"/>
      <c r="BF374" s="35"/>
      <c r="BG374" s="35"/>
      <c r="BH374" s="35"/>
      <c r="BI374" s="35"/>
      <c r="BJ374" s="35"/>
      <c r="BK374" s="35"/>
      <c r="BL374" s="35"/>
      <c r="BM374" s="35"/>
      <c r="BN374" s="35"/>
      <c r="BO374" s="35"/>
      <c r="BP374" s="35"/>
      <c r="BQ374" s="35"/>
      <c r="BR374" s="35"/>
      <c r="BS374" s="35"/>
      <c r="BT374" s="35"/>
      <c r="BU374" s="35"/>
      <c r="BV374" s="35"/>
      <c r="BW374" s="35"/>
      <c r="BX374" s="35"/>
      <c r="BY374" s="35"/>
      <c r="BZ374" s="35"/>
      <c r="CA374" s="35"/>
      <c r="CB374" s="35"/>
      <c r="CC374" s="35"/>
      <c r="CD374" s="35"/>
      <c r="CE374" s="35"/>
      <c r="CF374" s="35"/>
      <c r="CG374" s="35"/>
      <c r="CH374" s="35"/>
      <c r="CI374" s="35"/>
      <c r="CJ374" s="35"/>
      <c r="CK374" s="35"/>
      <c r="CL374" s="35"/>
      <c r="CM374" s="35"/>
      <c r="CN374" s="35"/>
      <c r="CO374" s="35"/>
      <c r="CP374" s="35"/>
      <c r="CQ374" s="35"/>
      <c r="CR374" s="35"/>
      <c r="CS374" s="35"/>
      <c r="CT374" s="35"/>
      <c r="CU374" s="35"/>
      <c r="CV374" s="35"/>
      <c r="CW374" s="35"/>
      <c r="CX374" s="35"/>
      <c r="CY374" s="35"/>
      <c r="CZ374" s="35"/>
      <c r="DA374" s="35"/>
      <c r="DB374" s="35"/>
      <c r="DC374" s="35"/>
      <c r="DD374" s="35"/>
      <c r="DE374" s="35"/>
      <c r="DF374" s="35"/>
      <c r="DG374" s="35"/>
      <c r="DH374" s="35"/>
      <c r="DI374" s="35"/>
      <c r="DJ374" s="35"/>
    </row>
    <row r="375" spans="1:114" x14ac:dyDescent="0.25">
      <c r="A375" s="34"/>
      <c r="B375" s="34"/>
      <c r="C375" s="34"/>
      <c r="D375" s="34"/>
      <c r="E375" s="34"/>
      <c r="F375" s="34"/>
      <c r="G375" s="34"/>
      <c r="H375" s="34"/>
      <c r="I375" s="34"/>
      <c r="J375" s="34"/>
      <c r="K375" s="34"/>
      <c r="L375" s="34"/>
      <c r="M375" s="34"/>
      <c r="N375" s="35"/>
      <c r="O375" s="35"/>
      <c r="P375" s="35"/>
      <c r="Q375" s="35"/>
      <c r="R375" s="35"/>
      <c r="S375" s="35"/>
      <c r="T375" s="35"/>
      <c r="U375" s="35"/>
      <c r="V375" s="35"/>
      <c r="W375" s="35"/>
      <c r="X375" s="35"/>
      <c r="Y375" s="35"/>
      <c r="Z375" s="35"/>
      <c r="AA375" s="35"/>
      <c r="AB375" s="35"/>
      <c r="AC375" s="35"/>
      <c r="AD375" s="35"/>
      <c r="AE375" s="35"/>
      <c r="AF375" s="35"/>
      <c r="AG375" s="35"/>
      <c r="AH375" s="35"/>
      <c r="AI375" s="35"/>
      <c r="AJ375" s="35"/>
      <c r="AK375" s="35"/>
      <c r="AL375" s="35"/>
      <c r="AM375" s="35"/>
      <c r="AN375" s="35"/>
      <c r="AO375" s="35"/>
      <c r="AP375" s="35"/>
      <c r="AQ375" s="35"/>
      <c r="AR375" s="35"/>
      <c r="AS375" s="35"/>
      <c r="AT375" s="35"/>
      <c r="AU375" s="35"/>
      <c r="AV375" s="35"/>
      <c r="AW375" s="35"/>
      <c r="AX375" s="35"/>
      <c r="AY375" s="35"/>
      <c r="AZ375" s="35"/>
      <c r="BA375" s="35"/>
      <c r="BB375" s="35"/>
      <c r="BC375" s="35"/>
      <c r="BD375" s="35"/>
      <c r="BE375" s="35"/>
      <c r="BF375" s="35"/>
      <c r="BG375" s="35"/>
      <c r="BH375" s="35"/>
      <c r="BI375" s="35"/>
      <c r="BJ375" s="35"/>
      <c r="BK375" s="35"/>
      <c r="BL375" s="35"/>
      <c r="BM375" s="35"/>
      <c r="BN375" s="35"/>
      <c r="BO375" s="35"/>
      <c r="BP375" s="35"/>
      <c r="BQ375" s="35"/>
      <c r="BR375" s="35"/>
      <c r="BS375" s="35"/>
      <c r="BT375" s="35"/>
      <c r="BU375" s="35"/>
      <c r="BV375" s="35"/>
      <c r="BW375" s="35"/>
      <c r="BX375" s="35"/>
      <c r="BY375" s="35"/>
      <c r="BZ375" s="35"/>
      <c r="CA375" s="35"/>
      <c r="CB375" s="35"/>
      <c r="CC375" s="35"/>
      <c r="CD375" s="35"/>
      <c r="CE375" s="35"/>
      <c r="CF375" s="35"/>
      <c r="CG375" s="35"/>
      <c r="CH375" s="35"/>
      <c r="CI375" s="35"/>
      <c r="CJ375" s="35"/>
      <c r="CK375" s="35"/>
      <c r="CL375" s="35"/>
      <c r="CM375" s="35"/>
      <c r="CN375" s="35"/>
      <c r="CO375" s="35"/>
      <c r="CP375" s="35"/>
      <c r="CQ375" s="35"/>
      <c r="CR375" s="35"/>
      <c r="CS375" s="35"/>
      <c r="CT375" s="35"/>
      <c r="CU375" s="35"/>
      <c r="CV375" s="35"/>
      <c r="CW375" s="35"/>
      <c r="CX375" s="35"/>
      <c r="CY375" s="35"/>
      <c r="CZ375" s="35"/>
      <c r="DA375" s="35"/>
      <c r="DB375" s="35"/>
      <c r="DC375" s="35"/>
      <c r="DD375" s="35"/>
      <c r="DE375" s="35"/>
      <c r="DF375" s="35"/>
      <c r="DG375" s="35"/>
      <c r="DH375" s="35"/>
      <c r="DI375" s="35"/>
      <c r="DJ375" s="35"/>
    </row>
    <row r="376" spans="1:114" x14ac:dyDescent="0.25">
      <c r="A376" s="34"/>
      <c r="B376" s="34"/>
      <c r="C376" s="34"/>
      <c r="D376" s="34"/>
      <c r="E376" s="34"/>
      <c r="F376" s="34"/>
      <c r="G376" s="34"/>
      <c r="H376" s="34"/>
      <c r="I376" s="34"/>
      <c r="J376" s="34"/>
      <c r="K376" s="34"/>
      <c r="L376" s="34"/>
      <c r="M376" s="34"/>
      <c r="N376" s="35"/>
      <c r="O376" s="35"/>
      <c r="P376" s="35"/>
      <c r="Q376" s="35"/>
      <c r="R376" s="35"/>
      <c r="S376" s="35"/>
      <c r="T376" s="35"/>
      <c r="U376" s="35"/>
      <c r="V376" s="35"/>
      <c r="W376" s="35"/>
      <c r="X376" s="35"/>
      <c r="Y376" s="35"/>
      <c r="Z376" s="35"/>
      <c r="AA376" s="35"/>
      <c r="AB376" s="35"/>
      <c r="AC376" s="35"/>
      <c r="AD376" s="35"/>
      <c r="AE376" s="35"/>
      <c r="AF376" s="35"/>
      <c r="AG376" s="35"/>
      <c r="AH376" s="35"/>
      <c r="AI376" s="35"/>
      <c r="AJ376" s="35"/>
      <c r="AK376" s="35"/>
      <c r="AL376" s="35"/>
      <c r="AM376" s="35"/>
      <c r="AN376" s="35"/>
      <c r="AO376" s="35"/>
      <c r="AP376" s="35"/>
      <c r="AQ376" s="35"/>
      <c r="AR376" s="35"/>
      <c r="AS376" s="35"/>
      <c r="AT376" s="35"/>
      <c r="AU376" s="35"/>
      <c r="AV376" s="35"/>
      <c r="AW376" s="35"/>
      <c r="AX376" s="35"/>
      <c r="AY376" s="35"/>
      <c r="AZ376" s="35"/>
      <c r="BA376" s="35"/>
      <c r="BB376" s="35"/>
      <c r="BC376" s="35"/>
      <c r="BD376" s="35"/>
      <c r="BE376" s="35"/>
      <c r="BF376" s="35"/>
      <c r="BG376" s="35"/>
      <c r="BH376" s="35"/>
      <c r="BI376" s="35"/>
      <c r="BJ376" s="35"/>
      <c r="BK376" s="35"/>
      <c r="BL376" s="35"/>
      <c r="BM376" s="35"/>
      <c r="BN376" s="35"/>
      <c r="BO376" s="35"/>
      <c r="BP376" s="35"/>
      <c r="BQ376" s="35"/>
      <c r="BR376" s="35"/>
      <c r="BS376" s="35"/>
      <c r="BT376" s="35"/>
      <c r="BU376" s="35"/>
      <c r="BV376" s="35"/>
      <c r="BW376" s="35"/>
      <c r="BX376" s="35"/>
      <c r="BY376" s="35"/>
      <c r="BZ376" s="35"/>
      <c r="CA376" s="35"/>
      <c r="CB376" s="35"/>
      <c r="CC376" s="35"/>
      <c r="CD376" s="35"/>
      <c r="CE376" s="35"/>
      <c r="CF376" s="35"/>
      <c r="CG376" s="35"/>
      <c r="CH376" s="35"/>
      <c r="CI376" s="35"/>
      <c r="CJ376" s="35"/>
      <c r="CK376" s="35"/>
      <c r="CL376" s="35"/>
      <c r="CM376" s="35"/>
      <c r="CN376" s="35"/>
      <c r="CO376" s="35"/>
      <c r="CP376" s="35"/>
      <c r="CQ376" s="35"/>
      <c r="CR376" s="35"/>
      <c r="CS376" s="35"/>
      <c r="CT376" s="35"/>
      <c r="CU376" s="35"/>
      <c r="CV376" s="35"/>
      <c r="CW376" s="35"/>
      <c r="CX376" s="35"/>
      <c r="CY376" s="35"/>
      <c r="CZ376" s="35"/>
      <c r="DA376" s="35"/>
      <c r="DB376" s="35"/>
      <c r="DC376" s="35"/>
      <c r="DD376" s="35"/>
      <c r="DE376" s="35"/>
      <c r="DF376" s="35"/>
      <c r="DG376" s="35"/>
      <c r="DH376" s="35"/>
      <c r="DI376" s="35"/>
      <c r="DJ376" s="35"/>
    </row>
    <row r="377" spans="1:114" x14ac:dyDescent="0.25">
      <c r="A377" s="34"/>
      <c r="B377" s="34"/>
      <c r="C377" s="34"/>
      <c r="D377" s="34"/>
      <c r="E377" s="34"/>
      <c r="F377" s="34"/>
      <c r="G377" s="34"/>
      <c r="H377" s="34"/>
      <c r="I377" s="34"/>
      <c r="J377" s="34"/>
      <c r="K377" s="34"/>
      <c r="L377" s="34"/>
      <c r="M377" s="34"/>
      <c r="N377" s="35"/>
      <c r="O377" s="35"/>
      <c r="P377" s="35"/>
      <c r="Q377" s="35"/>
      <c r="R377" s="35"/>
      <c r="S377" s="35"/>
      <c r="T377" s="35"/>
      <c r="U377" s="35"/>
      <c r="V377" s="35"/>
      <c r="W377" s="35"/>
      <c r="X377" s="35"/>
      <c r="Y377" s="35"/>
      <c r="Z377" s="35"/>
      <c r="AA377" s="35"/>
      <c r="AB377" s="35"/>
      <c r="AC377" s="35"/>
      <c r="AD377" s="35"/>
      <c r="AE377" s="35"/>
      <c r="AF377" s="35"/>
      <c r="AG377" s="35"/>
      <c r="AH377" s="35"/>
      <c r="AI377" s="35"/>
      <c r="AJ377" s="35"/>
      <c r="AK377" s="35"/>
      <c r="AL377" s="35"/>
      <c r="AM377" s="35"/>
      <c r="AN377" s="35"/>
      <c r="AO377" s="35"/>
      <c r="AP377" s="35"/>
      <c r="AQ377" s="35"/>
      <c r="AR377" s="35"/>
      <c r="AS377" s="35"/>
      <c r="AT377" s="35"/>
      <c r="AU377" s="35"/>
      <c r="AV377" s="35"/>
      <c r="AW377" s="35"/>
      <c r="AX377" s="35"/>
      <c r="AY377" s="35"/>
      <c r="AZ377" s="35"/>
      <c r="BA377" s="35"/>
      <c r="BB377" s="35"/>
      <c r="BC377" s="35"/>
      <c r="BD377" s="35"/>
      <c r="BE377" s="35"/>
      <c r="BF377" s="35"/>
      <c r="BG377" s="35"/>
      <c r="BH377" s="35"/>
      <c r="BI377" s="35"/>
      <c r="BJ377" s="35"/>
      <c r="BK377" s="35"/>
      <c r="BL377" s="35"/>
      <c r="BM377" s="35"/>
      <c r="BN377" s="35"/>
      <c r="BO377" s="35"/>
      <c r="BP377" s="35"/>
      <c r="BQ377" s="35"/>
      <c r="BR377" s="35"/>
      <c r="BS377" s="35"/>
      <c r="BT377" s="35"/>
      <c r="BU377" s="35"/>
      <c r="BV377" s="35"/>
      <c r="BW377" s="35"/>
      <c r="BX377" s="35"/>
      <c r="BY377" s="35"/>
      <c r="BZ377" s="35"/>
      <c r="CA377" s="35"/>
      <c r="CB377" s="35"/>
      <c r="CC377" s="35"/>
      <c r="CD377" s="35"/>
      <c r="CE377" s="35"/>
      <c r="CF377" s="35"/>
      <c r="CG377" s="35"/>
      <c r="CH377" s="35"/>
      <c r="CI377" s="35"/>
      <c r="CJ377" s="35"/>
      <c r="CK377" s="35"/>
      <c r="CL377" s="35"/>
      <c r="CM377" s="35"/>
      <c r="CN377" s="35"/>
      <c r="CO377" s="35"/>
      <c r="CP377" s="35"/>
      <c r="CQ377" s="35"/>
      <c r="CR377" s="35"/>
      <c r="CS377" s="35"/>
      <c r="CT377" s="35"/>
      <c r="CU377" s="35"/>
      <c r="CV377" s="35"/>
      <c r="CW377" s="35"/>
      <c r="CX377" s="35"/>
      <c r="CY377" s="35"/>
      <c r="CZ377" s="35"/>
      <c r="DA377" s="35"/>
      <c r="DB377" s="35"/>
      <c r="DC377" s="35"/>
      <c r="DD377" s="35"/>
      <c r="DE377" s="35"/>
      <c r="DF377" s="35"/>
      <c r="DG377" s="35"/>
      <c r="DH377" s="35"/>
      <c r="DI377" s="35"/>
      <c r="DJ377" s="35"/>
    </row>
    <row r="378" spans="1:114" x14ac:dyDescent="0.25">
      <c r="A378" s="34"/>
      <c r="B378" s="34"/>
      <c r="C378" s="34"/>
      <c r="D378" s="34"/>
      <c r="E378" s="34"/>
      <c r="F378" s="34"/>
      <c r="G378" s="34"/>
      <c r="H378" s="34"/>
      <c r="I378" s="34"/>
      <c r="J378" s="34"/>
      <c r="K378" s="34"/>
      <c r="L378" s="34"/>
      <c r="M378" s="34"/>
      <c r="N378" s="35"/>
      <c r="O378" s="35"/>
      <c r="P378" s="35"/>
      <c r="Q378" s="35"/>
      <c r="R378" s="35"/>
      <c r="S378" s="35"/>
      <c r="T378" s="35"/>
      <c r="U378" s="35"/>
      <c r="V378" s="35"/>
      <c r="W378" s="35"/>
      <c r="X378" s="35"/>
      <c r="Y378" s="35"/>
      <c r="Z378" s="35"/>
      <c r="AA378" s="35"/>
      <c r="AB378" s="35"/>
      <c r="AC378" s="35"/>
      <c r="AD378" s="35"/>
      <c r="AE378" s="35"/>
      <c r="AF378" s="35"/>
      <c r="AG378" s="35"/>
      <c r="AH378" s="35"/>
      <c r="AI378" s="35"/>
      <c r="AJ378" s="35"/>
      <c r="AK378" s="35"/>
      <c r="AL378" s="35"/>
      <c r="AM378" s="35"/>
      <c r="AN378" s="35"/>
      <c r="AO378" s="35"/>
      <c r="AP378" s="35"/>
      <c r="AQ378" s="35"/>
      <c r="AR378" s="35"/>
      <c r="AS378" s="35"/>
      <c r="AT378" s="35"/>
      <c r="AU378" s="35"/>
      <c r="AV378" s="35"/>
      <c r="AW378" s="35"/>
      <c r="AX378" s="35"/>
      <c r="AY378" s="35"/>
      <c r="AZ378" s="35"/>
      <c r="BA378" s="35"/>
      <c r="BB378" s="35"/>
      <c r="BC378" s="35"/>
      <c r="BD378" s="35"/>
      <c r="BE378" s="35"/>
      <c r="BF378" s="35"/>
      <c r="BG378" s="35"/>
      <c r="BH378" s="35"/>
      <c r="BI378" s="35"/>
      <c r="BJ378" s="35"/>
      <c r="BK378" s="35"/>
      <c r="BL378" s="35"/>
      <c r="BM378" s="35"/>
      <c r="BN378" s="35"/>
      <c r="BO378" s="35"/>
      <c r="BP378" s="35"/>
      <c r="BQ378" s="35"/>
      <c r="BR378" s="35"/>
      <c r="BS378" s="35"/>
      <c r="BT378" s="35"/>
      <c r="BU378" s="35"/>
      <c r="BV378" s="35"/>
      <c r="BW378" s="35"/>
      <c r="BX378" s="35"/>
      <c r="BY378" s="35"/>
      <c r="BZ378" s="35"/>
      <c r="CA378" s="35"/>
      <c r="CB378" s="35"/>
      <c r="CC378" s="35"/>
      <c r="CD378" s="35"/>
      <c r="CE378" s="35"/>
      <c r="CF378" s="35"/>
      <c r="CG378" s="35"/>
      <c r="CH378" s="35"/>
      <c r="CI378" s="35"/>
      <c r="CJ378" s="35"/>
      <c r="CK378" s="35"/>
      <c r="CL378" s="35"/>
      <c r="CM378" s="35"/>
      <c r="CN378" s="35"/>
      <c r="CO378" s="35"/>
      <c r="CP378" s="35"/>
      <c r="CQ378" s="35"/>
      <c r="CR378" s="35"/>
      <c r="CS378" s="35"/>
      <c r="CT378" s="35"/>
      <c r="CU378" s="35"/>
      <c r="CV378" s="35"/>
      <c r="CW378" s="35"/>
      <c r="CX378" s="35"/>
      <c r="CY378" s="35"/>
      <c r="CZ378" s="35"/>
      <c r="DA378" s="35"/>
      <c r="DB378" s="35"/>
      <c r="DC378" s="35"/>
      <c r="DD378" s="35"/>
      <c r="DE378" s="35"/>
      <c r="DF378" s="35"/>
      <c r="DG378" s="35"/>
      <c r="DH378" s="35"/>
      <c r="DI378" s="35"/>
      <c r="DJ378" s="35"/>
    </row>
    <row r="379" spans="1:114" x14ac:dyDescent="0.25">
      <c r="A379" s="34"/>
      <c r="B379" s="34"/>
      <c r="C379" s="34"/>
      <c r="D379" s="34"/>
      <c r="E379" s="34"/>
      <c r="F379" s="34"/>
      <c r="G379" s="34"/>
      <c r="H379" s="34"/>
      <c r="I379" s="34"/>
      <c r="J379" s="34"/>
      <c r="K379" s="34"/>
      <c r="L379" s="34"/>
      <c r="M379" s="34"/>
      <c r="N379" s="35"/>
      <c r="O379" s="35"/>
      <c r="P379" s="35"/>
      <c r="Q379" s="35"/>
      <c r="R379" s="35"/>
      <c r="S379" s="35"/>
      <c r="T379" s="35"/>
      <c r="U379" s="35"/>
      <c r="V379" s="35"/>
      <c r="W379" s="35"/>
      <c r="X379" s="35"/>
      <c r="Y379" s="35"/>
      <c r="Z379" s="35"/>
      <c r="AA379" s="35"/>
      <c r="AB379" s="35"/>
      <c r="AC379" s="35"/>
      <c r="AD379" s="35"/>
      <c r="AE379" s="35"/>
      <c r="AF379" s="35"/>
      <c r="AG379" s="35"/>
      <c r="AH379" s="35"/>
      <c r="AI379" s="35"/>
      <c r="AJ379" s="35"/>
      <c r="AK379" s="35"/>
      <c r="AL379" s="35"/>
      <c r="AM379" s="35"/>
      <c r="AN379" s="35"/>
      <c r="AO379" s="35"/>
      <c r="AP379" s="35"/>
      <c r="AQ379" s="35"/>
      <c r="AR379" s="35"/>
      <c r="AS379" s="35"/>
      <c r="AT379" s="35"/>
      <c r="AU379" s="35"/>
      <c r="AV379" s="35"/>
      <c r="AW379" s="35"/>
      <c r="AX379" s="35"/>
      <c r="AY379" s="35"/>
      <c r="AZ379" s="35"/>
      <c r="BA379" s="35"/>
      <c r="BB379" s="35"/>
      <c r="BC379" s="35"/>
      <c r="BD379" s="35"/>
      <c r="BE379" s="35"/>
      <c r="BF379" s="35"/>
      <c r="BG379" s="35"/>
      <c r="BH379" s="35"/>
      <c r="BI379" s="35"/>
      <c r="BJ379" s="35"/>
      <c r="BK379" s="35"/>
      <c r="BL379" s="35"/>
      <c r="BM379" s="35"/>
      <c r="BN379" s="35"/>
      <c r="BO379" s="35"/>
      <c r="BP379" s="35"/>
      <c r="BQ379" s="35"/>
      <c r="BR379" s="35"/>
      <c r="BS379" s="35"/>
      <c r="BT379" s="35"/>
      <c r="BU379" s="35"/>
      <c r="BV379" s="35"/>
      <c r="BW379" s="35"/>
      <c r="BX379" s="35"/>
      <c r="BY379" s="35"/>
      <c r="BZ379" s="35"/>
      <c r="CA379" s="35"/>
      <c r="CB379" s="35"/>
      <c r="CC379" s="35"/>
      <c r="CD379" s="35"/>
      <c r="CE379" s="35"/>
      <c r="CF379" s="35"/>
      <c r="CG379" s="35"/>
      <c r="CH379" s="35"/>
      <c r="CI379" s="35"/>
      <c r="CJ379" s="35"/>
      <c r="CK379" s="35"/>
      <c r="CL379" s="35"/>
      <c r="CM379" s="35"/>
      <c r="CN379" s="35"/>
      <c r="CO379" s="35"/>
      <c r="CP379" s="35"/>
      <c r="CQ379" s="35"/>
      <c r="CR379" s="35"/>
      <c r="CS379" s="35"/>
      <c r="CT379" s="35"/>
      <c r="CU379" s="35"/>
      <c r="CV379" s="35"/>
      <c r="CW379" s="35"/>
      <c r="CX379" s="35"/>
      <c r="CY379" s="35"/>
      <c r="CZ379" s="35"/>
      <c r="DA379" s="35"/>
      <c r="DB379" s="35"/>
      <c r="DC379" s="35"/>
      <c r="DD379" s="35"/>
      <c r="DE379" s="35"/>
      <c r="DF379" s="35"/>
      <c r="DG379" s="35"/>
      <c r="DH379" s="35"/>
      <c r="DI379" s="35"/>
      <c r="DJ379" s="35"/>
    </row>
    <row r="380" spans="1:114" x14ac:dyDescent="0.25">
      <c r="A380" s="34"/>
      <c r="B380" s="34"/>
      <c r="C380" s="34"/>
      <c r="D380" s="34"/>
      <c r="E380" s="34"/>
      <c r="F380" s="34"/>
      <c r="G380" s="34"/>
      <c r="H380" s="34"/>
      <c r="I380" s="34"/>
      <c r="J380" s="34"/>
      <c r="K380" s="34"/>
      <c r="L380" s="34"/>
      <c r="M380" s="34"/>
      <c r="N380" s="35"/>
      <c r="O380" s="35"/>
      <c r="P380" s="35"/>
      <c r="Q380" s="35"/>
      <c r="R380" s="35"/>
      <c r="S380" s="35"/>
      <c r="T380" s="35"/>
      <c r="U380" s="35"/>
      <c r="V380" s="35"/>
      <c r="W380" s="35"/>
      <c r="X380" s="35"/>
      <c r="Y380" s="35"/>
      <c r="Z380" s="35"/>
      <c r="AA380" s="35"/>
      <c r="AB380" s="35"/>
      <c r="AC380" s="35"/>
      <c r="AD380" s="35"/>
      <c r="AE380" s="35"/>
      <c r="AF380" s="35"/>
      <c r="AG380" s="35"/>
      <c r="AH380" s="35"/>
      <c r="AI380" s="35"/>
      <c r="AJ380" s="35"/>
      <c r="AK380" s="35"/>
      <c r="AL380" s="35"/>
      <c r="AM380" s="35"/>
      <c r="AN380" s="35"/>
      <c r="AO380" s="35"/>
      <c r="AP380" s="35"/>
      <c r="AQ380" s="35"/>
      <c r="AR380" s="35"/>
      <c r="AS380" s="35"/>
      <c r="AT380" s="35"/>
      <c r="AU380" s="35"/>
      <c r="AV380" s="35"/>
      <c r="AW380" s="35"/>
      <c r="AX380" s="35"/>
      <c r="AY380" s="35"/>
      <c r="AZ380" s="35"/>
      <c r="BA380" s="35"/>
      <c r="BB380" s="35"/>
      <c r="BC380" s="35"/>
      <c r="BD380" s="35"/>
      <c r="BE380" s="35"/>
      <c r="BF380" s="35"/>
      <c r="BG380" s="35"/>
      <c r="BH380" s="35"/>
      <c r="BI380" s="35"/>
      <c r="BJ380" s="35"/>
      <c r="BK380" s="35"/>
      <c r="BL380" s="35"/>
      <c r="BM380" s="35"/>
      <c r="BN380" s="35"/>
      <c r="BO380" s="35"/>
      <c r="BP380" s="35"/>
      <c r="BQ380" s="35"/>
      <c r="BR380" s="35"/>
      <c r="BS380" s="35"/>
      <c r="BT380" s="35"/>
      <c r="BU380" s="35"/>
      <c r="BV380" s="35"/>
      <c r="BW380" s="35"/>
      <c r="BX380" s="35"/>
      <c r="BY380" s="35"/>
      <c r="BZ380" s="35"/>
      <c r="CA380" s="35"/>
      <c r="CB380" s="35"/>
      <c r="CC380" s="35"/>
      <c r="CD380" s="35"/>
      <c r="CE380" s="35"/>
      <c r="CF380" s="35"/>
      <c r="CG380" s="35"/>
      <c r="CH380" s="35"/>
      <c r="CI380" s="35"/>
      <c r="CJ380" s="35"/>
      <c r="CK380" s="35"/>
      <c r="CL380" s="35"/>
      <c r="CM380" s="35"/>
      <c r="CN380" s="35"/>
      <c r="CO380" s="35"/>
      <c r="CP380" s="35"/>
      <c r="CQ380" s="35"/>
      <c r="CR380" s="35"/>
      <c r="CS380" s="35"/>
      <c r="CT380" s="35"/>
      <c r="CU380" s="35"/>
      <c r="CV380" s="35"/>
      <c r="CW380" s="35"/>
      <c r="CX380" s="35"/>
      <c r="CY380" s="35"/>
      <c r="CZ380" s="35"/>
      <c r="DA380" s="35"/>
      <c r="DB380" s="35"/>
      <c r="DC380" s="35"/>
      <c r="DD380" s="35"/>
      <c r="DE380" s="35"/>
      <c r="DF380" s="35"/>
      <c r="DG380" s="35"/>
      <c r="DH380" s="35"/>
      <c r="DI380" s="35"/>
      <c r="DJ380" s="35"/>
    </row>
    <row r="381" spans="1:114" x14ac:dyDescent="0.25">
      <c r="A381" s="34"/>
      <c r="B381" s="34"/>
      <c r="C381" s="34"/>
      <c r="D381" s="34"/>
      <c r="E381" s="34"/>
      <c r="F381" s="34"/>
      <c r="G381" s="34"/>
      <c r="H381" s="34"/>
      <c r="I381" s="34"/>
      <c r="J381" s="34"/>
      <c r="K381" s="34"/>
      <c r="L381" s="34"/>
      <c r="M381" s="34"/>
      <c r="N381" s="35"/>
      <c r="O381" s="35"/>
      <c r="P381" s="35"/>
      <c r="Q381" s="35"/>
      <c r="R381" s="35"/>
      <c r="S381" s="35"/>
      <c r="T381" s="35"/>
      <c r="U381" s="35"/>
      <c r="V381" s="35"/>
      <c r="W381" s="35"/>
      <c r="X381" s="35"/>
      <c r="Y381" s="35"/>
      <c r="Z381" s="35"/>
      <c r="AA381" s="35"/>
      <c r="AB381" s="35"/>
      <c r="AC381" s="35"/>
      <c r="AD381" s="35"/>
      <c r="AE381" s="35"/>
      <c r="AF381" s="35"/>
      <c r="AG381" s="35"/>
      <c r="AH381" s="35"/>
      <c r="AI381" s="35"/>
      <c r="AJ381" s="35"/>
      <c r="AK381" s="35"/>
      <c r="AL381" s="35"/>
      <c r="AM381" s="35"/>
      <c r="AN381" s="35"/>
      <c r="AO381" s="35"/>
      <c r="AP381" s="35"/>
      <c r="AQ381" s="35"/>
      <c r="AR381" s="35"/>
      <c r="AS381" s="35"/>
      <c r="AT381" s="35"/>
      <c r="AU381" s="35"/>
      <c r="AV381" s="35"/>
      <c r="AW381" s="35"/>
      <c r="AX381" s="35"/>
      <c r="AY381" s="35"/>
      <c r="AZ381" s="35"/>
      <c r="BA381" s="35"/>
      <c r="BB381" s="35"/>
      <c r="BC381" s="35"/>
      <c r="BD381" s="35"/>
      <c r="BE381" s="35"/>
      <c r="BF381" s="35"/>
      <c r="BG381" s="35"/>
      <c r="BH381" s="35"/>
      <c r="BI381" s="35"/>
      <c r="BJ381" s="35"/>
      <c r="BK381" s="35"/>
      <c r="BL381" s="35"/>
      <c r="BM381" s="35"/>
      <c r="BN381" s="35"/>
      <c r="BO381" s="35"/>
      <c r="BP381" s="35"/>
      <c r="BQ381" s="35"/>
      <c r="BR381" s="35"/>
      <c r="BS381" s="35"/>
      <c r="BT381" s="35"/>
      <c r="BU381" s="35"/>
      <c r="BV381" s="35"/>
      <c r="BW381" s="35"/>
      <c r="BX381" s="35"/>
      <c r="BY381" s="35"/>
      <c r="BZ381" s="35"/>
      <c r="CA381" s="35"/>
      <c r="CB381" s="35"/>
      <c r="CC381" s="35"/>
      <c r="CD381" s="35"/>
      <c r="CE381" s="35"/>
      <c r="CF381" s="35"/>
      <c r="CG381" s="35"/>
      <c r="CH381" s="35"/>
      <c r="CI381" s="35"/>
      <c r="CJ381" s="35"/>
      <c r="CK381" s="35"/>
      <c r="CL381" s="35"/>
      <c r="CM381" s="35"/>
      <c r="CN381" s="35"/>
      <c r="CO381" s="35"/>
      <c r="CP381" s="35"/>
      <c r="CQ381" s="35"/>
      <c r="CR381" s="35"/>
      <c r="CS381" s="35"/>
      <c r="CT381" s="35"/>
      <c r="CU381" s="35"/>
      <c r="CV381" s="35"/>
      <c r="CW381" s="35"/>
      <c r="CX381" s="35"/>
      <c r="CY381" s="35"/>
      <c r="CZ381" s="35"/>
      <c r="DA381" s="35"/>
      <c r="DB381" s="35"/>
      <c r="DC381" s="35"/>
      <c r="DD381" s="35"/>
      <c r="DE381" s="35"/>
      <c r="DF381" s="35"/>
      <c r="DG381" s="35"/>
      <c r="DH381" s="35"/>
      <c r="DI381" s="35"/>
      <c r="DJ381" s="35"/>
    </row>
    <row r="382" spans="1:114" x14ac:dyDescent="0.25">
      <c r="A382" s="34"/>
      <c r="B382" s="34"/>
      <c r="C382" s="34"/>
      <c r="D382" s="34"/>
      <c r="E382" s="34"/>
      <c r="F382" s="34"/>
      <c r="G382" s="34"/>
      <c r="H382" s="34"/>
      <c r="I382" s="34"/>
      <c r="J382" s="34"/>
      <c r="K382" s="34"/>
      <c r="L382" s="34"/>
      <c r="M382" s="34"/>
      <c r="N382" s="35"/>
      <c r="O382" s="35"/>
      <c r="P382" s="35"/>
      <c r="Q382" s="35"/>
      <c r="R382" s="35"/>
      <c r="S382" s="35"/>
      <c r="T382" s="35"/>
      <c r="U382" s="35"/>
      <c r="V382" s="35"/>
      <c r="W382" s="35"/>
      <c r="X382" s="35"/>
      <c r="Y382" s="35"/>
      <c r="Z382" s="35"/>
      <c r="AA382" s="35"/>
      <c r="AB382" s="35"/>
      <c r="AC382" s="35"/>
      <c r="AD382" s="35"/>
      <c r="AE382" s="35"/>
      <c r="AF382" s="35"/>
      <c r="AG382" s="35"/>
      <c r="AH382" s="35"/>
      <c r="AI382" s="35"/>
      <c r="AJ382" s="35"/>
      <c r="AK382" s="35"/>
      <c r="AL382" s="35"/>
      <c r="AM382" s="35"/>
      <c r="AN382" s="35"/>
      <c r="AO382" s="35"/>
      <c r="AP382" s="35"/>
      <c r="AQ382" s="35"/>
      <c r="AR382" s="35"/>
      <c r="AS382" s="35"/>
      <c r="AT382" s="35"/>
      <c r="AU382" s="35"/>
      <c r="AV382" s="35"/>
      <c r="AW382" s="35"/>
      <c r="AX382" s="35"/>
      <c r="AY382" s="35"/>
      <c r="AZ382" s="35"/>
      <c r="BA382" s="35"/>
      <c r="BB382" s="35"/>
      <c r="BC382" s="35"/>
      <c r="BD382" s="35"/>
      <c r="BE382" s="35"/>
      <c r="BF382" s="35"/>
      <c r="BG382" s="35"/>
      <c r="BH382" s="35"/>
      <c r="BI382" s="35"/>
      <c r="BJ382" s="35"/>
      <c r="BK382" s="35"/>
      <c r="BL382" s="35"/>
      <c r="BM382" s="35"/>
      <c r="BN382" s="35"/>
      <c r="BO382" s="35"/>
      <c r="BP382" s="35"/>
      <c r="BQ382" s="35"/>
      <c r="BR382" s="35"/>
      <c r="BS382" s="35"/>
      <c r="BT382" s="35"/>
      <c r="BU382" s="35"/>
      <c r="BV382" s="35"/>
      <c r="BW382" s="35"/>
      <c r="BX382" s="35"/>
      <c r="BY382" s="35"/>
      <c r="BZ382" s="35"/>
      <c r="CA382" s="35"/>
      <c r="CB382" s="35"/>
      <c r="CC382" s="35"/>
      <c r="CD382" s="35"/>
      <c r="CE382" s="35"/>
      <c r="CF382" s="35"/>
      <c r="CG382" s="35"/>
      <c r="CH382" s="35"/>
      <c r="CI382" s="35"/>
      <c r="CJ382" s="35"/>
      <c r="CK382" s="35"/>
      <c r="CL382" s="35"/>
      <c r="CM382" s="35"/>
      <c r="CN382" s="35"/>
      <c r="CO382" s="35"/>
      <c r="CP382" s="35"/>
      <c r="CQ382" s="35"/>
      <c r="CR382" s="35"/>
      <c r="CS382" s="35"/>
      <c r="CT382" s="35"/>
      <c r="CU382" s="35"/>
      <c r="CV382" s="35"/>
      <c r="CW382" s="35"/>
      <c r="CX382" s="35"/>
      <c r="CY382" s="35"/>
      <c r="CZ382" s="35"/>
      <c r="DA382" s="35"/>
      <c r="DB382" s="35"/>
      <c r="DC382" s="35"/>
      <c r="DD382" s="35"/>
      <c r="DE382" s="35"/>
      <c r="DF382" s="35"/>
      <c r="DG382" s="35"/>
      <c r="DH382" s="35"/>
      <c r="DI382" s="35"/>
      <c r="DJ382" s="35"/>
    </row>
    <row r="383" spans="1:114" x14ac:dyDescent="0.25">
      <c r="A383" s="34"/>
      <c r="B383" s="34"/>
      <c r="C383" s="34"/>
      <c r="D383" s="34"/>
      <c r="E383" s="34"/>
      <c r="F383" s="34"/>
      <c r="G383" s="34"/>
      <c r="H383" s="34"/>
      <c r="I383" s="34"/>
      <c r="J383" s="34"/>
      <c r="K383" s="34"/>
      <c r="L383" s="34"/>
      <c r="M383" s="34"/>
      <c r="N383" s="35"/>
      <c r="O383" s="35"/>
      <c r="P383" s="35"/>
      <c r="Q383" s="35"/>
      <c r="R383" s="35"/>
      <c r="S383" s="35"/>
      <c r="T383" s="35"/>
      <c r="U383" s="35"/>
      <c r="V383" s="35"/>
      <c r="W383" s="35"/>
      <c r="X383" s="35"/>
      <c r="Y383" s="35"/>
      <c r="Z383" s="35"/>
      <c r="AA383" s="35"/>
      <c r="AB383" s="35"/>
      <c r="AC383" s="35"/>
      <c r="AD383" s="35"/>
      <c r="AE383" s="35"/>
      <c r="AF383" s="35"/>
      <c r="AG383" s="35"/>
      <c r="AH383" s="35"/>
      <c r="AI383" s="35"/>
      <c r="AJ383" s="35"/>
      <c r="AK383" s="35"/>
      <c r="AL383" s="35"/>
      <c r="AM383" s="35"/>
      <c r="AN383" s="35"/>
      <c r="AO383" s="35"/>
      <c r="AP383" s="35"/>
      <c r="AQ383" s="35"/>
      <c r="AR383" s="35"/>
      <c r="AS383" s="35"/>
      <c r="AT383" s="35"/>
      <c r="AU383" s="35"/>
      <c r="AV383" s="35"/>
      <c r="AW383" s="35"/>
      <c r="AX383" s="35"/>
      <c r="AY383" s="35"/>
      <c r="AZ383" s="35"/>
      <c r="BA383" s="35"/>
      <c r="BB383" s="35"/>
      <c r="BC383" s="35"/>
      <c r="BD383" s="35"/>
      <c r="BE383" s="35"/>
      <c r="BF383" s="35"/>
      <c r="BG383" s="35"/>
      <c r="BH383" s="35"/>
      <c r="BI383" s="35"/>
      <c r="BJ383" s="35"/>
      <c r="BK383" s="35"/>
      <c r="BL383" s="35"/>
      <c r="BM383" s="35"/>
      <c r="BN383" s="35"/>
      <c r="BO383" s="35"/>
      <c r="BP383" s="35"/>
      <c r="BQ383" s="35"/>
      <c r="BR383" s="35"/>
      <c r="BS383" s="35"/>
      <c r="BT383" s="35"/>
      <c r="BU383" s="35"/>
      <c r="BV383" s="35"/>
      <c r="BW383" s="35"/>
      <c r="BX383" s="35"/>
      <c r="BY383" s="35"/>
      <c r="BZ383" s="35"/>
      <c r="CA383" s="35"/>
      <c r="CB383" s="35"/>
      <c r="CC383" s="35"/>
      <c r="CD383" s="35"/>
      <c r="CE383" s="35"/>
      <c r="CF383" s="35"/>
      <c r="CG383" s="35"/>
      <c r="CH383" s="35"/>
      <c r="CI383" s="35"/>
      <c r="CJ383" s="35"/>
      <c r="CK383" s="35"/>
      <c r="CL383" s="35"/>
      <c r="CM383" s="35"/>
      <c r="CN383" s="35"/>
      <c r="CO383" s="35"/>
      <c r="CP383" s="35"/>
      <c r="CQ383" s="35"/>
      <c r="CR383" s="35"/>
      <c r="CS383" s="35"/>
      <c r="CT383" s="35"/>
      <c r="CU383" s="35"/>
      <c r="CV383" s="35"/>
      <c r="CW383" s="35"/>
      <c r="CX383" s="35"/>
      <c r="CY383" s="35"/>
      <c r="CZ383" s="35"/>
      <c r="DA383" s="35"/>
      <c r="DB383" s="35"/>
      <c r="DC383" s="35"/>
      <c r="DD383" s="35"/>
      <c r="DE383" s="35"/>
      <c r="DF383" s="35"/>
      <c r="DG383" s="35"/>
      <c r="DH383" s="35"/>
      <c r="DI383" s="35"/>
      <c r="DJ383" s="35"/>
    </row>
    <row r="384" spans="1:114" x14ac:dyDescent="0.25">
      <c r="A384" s="34"/>
      <c r="B384" s="34"/>
      <c r="C384" s="34"/>
      <c r="D384" s="34"/>
      <c r="E384" s="34"/>
      <c r="F384" s="34"/>
      <c r="G384" s="34"/>
      <c r="H384" s="34"/>
      <c r="I384" s="34"/>
      <c r="J384" s="34"/>
      <c r="K384" s="34"/>
      <c r="L384" s="34"/>
      <c r="M384" s="34"/>
      <c r="N384" s="35"/>
      <c r="O384" s="35"/>
      <c r="P384" s="35"/>
      <c r="Q384" s="35"/>
      <c r="R384" s="35"/>
      <c r="S384" s="35"/>
      <c r="T384" s="35"/>
      <c r="U384" s="35"/>
      <c r="V384" s="35"/>
      <c r="W384" s="35"/>
      <c r="X384" s="35"/>
      <c r="Y384" s="35"/>
      <c r="Z384" s="35"/>
      <c r="AA384" s="35"/>
      <c r="AB384" s="35"/>
      <c r="AC384" s="35"/>
      <c r="AD384" s="35"/>
      <c r="AE384" s="35"/>
      <c r="AF384" s="35"/>
      <c r="AG384" s="35"/>
      <c r="AH384" s="35"/>
      <c r="AI384" s="35"/>
      <c r="AJ384" s="35"/>
      <c r="AK384" s="35"/>
      <c r="AL384" s="35"/>
      <c r="AM384" s="35"/>
      <c r="AN384" s="35"/>
      <c r="AO384" s="35"/>
      <c r="AP384" s="35"/>
      <c r="AQ384" s="35"/>
      <c r="AR384" s="35"/>
      <c r="AS384" s="35"/>
      <c r="AT384" s="35"/>
      <c r="AU384" s="35"/>
      <c r="AV384" s="35"/>
      <c r="AW384" s="35"/>
      <c r="AX384" s="35"/>
      <c r="AY384" s="35"/>
      <c r="AZ384" s="35"/>
      <c r="BA384" s="35"/>
      <c r="BB384" s="35"/>
      <c r="BC384" s="35"/>
      <c r="BD384" s="35"/>
      <c r="BE384" s="35"/>
      <c r="BF384" s="35"/>
      <c r="BG384" s="35"/>
      <c r="BH384" s="35"/>
      <c r="BI384" s="35"/>
      <c r="BJ384" s="35"/>
      <c r="BK384" s="35"/>
      <c r="BL384" s="35"/>
      <c r="BM384" s="35"/>
      <c r="BN384" s="35"/>
      <c r="BO384" s="35"/>
      <c r="BP384" s="35"/>
      <c r="BQ384" s="35"/>
      <c r="BR384" s="35"/>
      <c r="BS384" s="35"/>
      <c r="BT384" s="35"/>
      <c r="BU384" s="35"/>
      <c r="BV384" s="35"/>
      <c r="BW384" s="35"/>
      <c r="BX384" s="35"/>
      <c r="BY384" s="35"/>
      <c r="BZ384" s="35"/>
      <c r="CA384" s="35"/>
      <c r="CB384" s="35"/>
      <c r="CC384" s="35"/>
      <c r="CD384" s="35"/>
      <c r="CE384" s="35"/>
      <c r="CF384" s="35"/>
      <c r="CG384" s="35"/>
      <c r="CH384" s="35"/>
      <c r="CI384" s="35"/>
      <c r="CJ384" s="35"/>
      <c r="CK384" s="35"/>
      <c r="CL384" s="35"/>
      <c r="CM384" s="35"/>
      <c r="CN384" s="35"/>
      <c r="CO384" s="35"/>
      <c r="CP384" s="35"/>
      <c r="CQ384" s="35"/>
      <c r="CR384" s="35"/>
      <c r="CS384" s="35"/>
      <c r="CT384" s="35"/>
      <c r="CU384" s="35"/>
      <c r="CV384" s="35"/>
      <c r="CW384" s="35"/>
      <c r="CX384" s="35"/>
      <c r="CY384" s="35"/>
      <c r="CZ384" s="35"/>
      <c r="DA384" s="35"/>
      <c r="DB384" s="35"/>
      <c r="DC384" s="35"/>
      <c r="DD384" s="35"/>
      <c r="DE384" s="35"/>
      <c r="DF384" s="35"/>
      <c r="DG384" s="35"/>
      <c r="DH384" s="35"/>
      <c r="DI384" s="35"/>
      <c r="DJ384" s="35"/>
    </row>
    <row r="385" spans="1:114" x14ac:dyDescent="0.25">
      <c r="A385" s="34"/>
      <c r="B385" s="34"/>
      <c r="C385" s="34"/>
      <c r="D385" s="34"/>
      <c r="E385" s="34"/>
      <c r="F385" s="34"/>
      <c r="G385" s="34"/>
      <c r="H385" s="34"/>
      <c r="I385" s="34"/>
      <c r="J385" s="34"/>
      <c r="K385" s="34"/>
      <c r="L385" s="34"/>
      <c r="M385" s="34"/>
      <c r="N385" s="35"/>
      <c r="O385" s="35"/>
      <c r="P385" s="35"/>
      <c r="Q385" s="35"/>
      <c r="R385" s="35"/>
      <c r="S385" s="35"/>
      <c r="T385" s="35"/>
      <c r="U385" s="35"/>
      <c r="V385" s="35"/>
      <c r="W385" s="35"/>
      <c r="X385" s="35"/>
      <c r="Y385" s="35"/>
      <c r="Z385" s="35"/>
      <c r="AA385" s="35"/>
      <c r="AB385" s="35"/>
      <c r="AC385" s="35"/>
      <c r="AD385" s="35"/>
      <c r="AE385" s="35"/>
      <c r="AF385" s="35"/>
      <c r="AG385" s="35"/>
      <c r="AH385" s="35"/>
      <c r="AI385" s="35"/>
      <c r="AJ385" s="35"/>
      <c r="AK385" s="35"/>
      <c r="AL385" s="35"/>
      <c r="AM385" s="35"/>
      <c r="AN385" s="35"/>
      <c r="AO385" s="35"/>
      <c r="AP385" s="35"/>
      <c r="AQ385" s="35"/>
      <c r="AR385" s="35"/>
      <c r="AS385" s="35"/>
      <c r="AT385" s="35"/>
      <c r="AU385" s="35"/>
      <c r="AV385" s="35"/>
      <c r="AW385" s="35"/>
      <c r="AX385" s="35"/>
      <c r="AY385" s="35"/>
      <c r="AZ385" s="35"/>
      <c r="BA385" s="35"/>
      <c r="BB385" s="35"/>
      <c r="BC385" s="35"/>
      <c r="BD385" s="35"/>
      <c r="BE385" s="35"/>
      <c r="BF385" s="35"/>
      <c r="BG385" s="35"/>
      <c r="BH385" s="35"/>
      <c r="BI385" s="35"/>
      <c r="BJ385" s="35"/>
      <c r="BK385" s="35"/>
      <c r="BL385" s="35"/>
      <c r="BM385" s="35"/>
      <c r="BN385" s="35"/>
      <c r="BO385" s="35"/>
      <c r="BP385" s="35"/>
      <c r="BQ385" s="35"/>
      <c r="BR385" s="35"/>
      <c r="BS385" s="35"/>
      <c r="BT385" s="35"/>
      <c r="BU385" s="35"/>
      <c r="BV385" s="35"/>
      <c r="BW385" s="35"/>
      <c r="BX385" s="35"/>
      <c r="BY385" s="35"/>
      <c r="BZ385" s="35"/>
      <c r="CA385" s="35"/>
      <c r="CB385" s="35"/>
      <c r="CC385" s="35"/>
      <c r="CD385" s="35"/>
      <c r="CE385" s="35"/>
      <c r="CF385" s="35"/>
      <c r="CG385" s="35"/>
      <c r="CH385" s="35"/>
      <c r="CI385" s="35"/>
      <c r="CJ385" s="35"/>
      <c r="CK385" s="35"/>
      <c r="CL385" s="35"/>
      <c r="CM385" s="35"/>
      <c r="CN385" s="35"/>
      <c r="CO385" s="35"/>
      <c r="CP385" s="35"/>
      <c r="CQ385" s="35"/>
      <c r="CR385" s="35"/>
      <c r="CS385" s="35"/>
      <c r="CT385" s="35"/>
      <c r="CU385" s="35"/>
      <c r="CV385" s="35"/>
      <c r="CW385" s="35"/>
      <c r="CX385" s="35"/>
      <c r="CY385" s="35"/>
      <c r="CZ385" s="35"/>
      <c r="DA385" s="35"/>
      <c r="DB385" s="35"/>
      <c r="DC385" s="35"/>
      <c r="DD385" s="35"/>
      <c r="DE385" s="35"/>
      <c r="DF385" s="35"/>
      <c r="DG385" s="35"/>
      <c r="DH385" s="35"/>
      <c r="DI385" s="35"/>
      <c r="DJ385" s="35"/>
    </row>
    <row r="386" spans="1:114" x14ac:dyDescent="0.25">
      <c r="A386" s="34"/>
      <c r="B386" s="34"/>
      <c r="C386" s="34"/>
      <c r="D386" s="34"/>
      <c r="E386" s="34"/>
      <c r="F386" s="34"/>
      <c r="G386" s="34"/>
      <c r="H386" s="34"/>
      <c r="I386" s="34"/>
      <c r="J386" s="34"/>
      <c r="K386" s="34"/>
      <c r="L386" s="34"/>
      <c r="M386" s="34"/>
      <c r="N386" s="35"/>
      <c r="O386" s="35"/>
      <c r="P386" s="35"/>
      <c r="Q386" s="35"/>
      <c r="R386" s="35"/>
      <c r="S386" s="35"/>
      <c r="T386" s="35"/>
      <c r="U386" s="35"/>
      <c r="V386" s="35"/>
      <c r="W386" s="35"/>
      <c r="X386" s="35"/>
      <c r="Y386" s="35"/>
      <c r="Z386" s="35"/>
      <c r="AA386" s="35"/>
      <c r="AB386" s="35"/>
      <c r="AC386" s="35"/>
      <c r="AD386" s="35"/>
      <c r="AE386" s="35"/>
      <c r="AF386" s="35"/>
      <c r="AG386" s="35"/>
      <c r="AH386" s="35"/>
      <c r="AI386" s="35"/>
      <c r="AJ386" s="35"/>
      <c r="AK386" s="35"/>
      <c r="AL386" s="35"/>
      <c r="AM386" s="35"/>
      <c r="AN386" s="35"/>
      <c r="AO386" s="35"/>
      <c r="AP386" s="35"/>
      <c r="AQ386" s="35"/>
      <c r="AR386" s="35"/>
      <c r="AS386" s="35"/>
      <c r="AT386" s="35"/>
      <c r="AU386" s="35"/>
      <c r="AV386" s="35"/>
      <c r="AW386" s="35"/>
      <c r="AX386" s="35"/>
      <c r="AY386" s="35"/>
      <c r="AZ386" s="35"/>
      <c r="BA386" s="35"/>
      <c r="BB386" s="35"/>
      <c r="BC386" s="35"/>
      <c r="BD386" s="35"/>
      <c r="BE386" s="35"/>
      <c r="BF386" s="35"/>
      <c r="BG386" s="35"/>
      <c r="BH386" s="35"/>
      <c r="BI386" s="35"/>
      <c r="BJ386" s="35"/>
      <c r="BK386" s="35"/>
      <c r="BL386" s="35"/>
      <c r="BM386" s="35"/>
      <c r="BN386" s="35"/>
      <c r="BO386" s="35"/>
      <c r="BP386" s="35"/>
      <c r="BQ386" s="35"/>
      <c r="BR386" s="35"/>
      <c r="BS386" s="35"/>
      <c r="BT386" s="35"/>
      <c r="BU386" s="35"/>
      <c r="BV386" s="35"/>
      <c r="BW386" s="35"/>
      <c r="BX386" s="35"/>
      <c r="BY386" s="35"/>
      <c r="BZ386" s="35"/>
      <c r="CA386" s="35"/>
      <c r="CB386" s="35"/>
      <c r="CC386" s="35"/>
      <c r="CD386" s="35"/>
      <c r="CE386" s="35"/>
      <c r="CF386" s="35"/>
      <c r="CG386" s="35"/>
      <c r="CH386" s="35"/>
      <c r="CI386" s="35"/>
      <c r="CJ386" s="35"/>
      <c r="CK386" s="35"/>
      <c r="CL386" s="35"/>
      <c r="CM386" s="35"/>
      <c r="CN386" s="35"/>
      <c r="CO386" s="35"/>
      <c r="CP386" s="35"/>
      <c r="CQ386" s="35"/>
      <c r="CR386" s="35"/>
      <c r="CS386" s="35"/>
      <c r="CT386" s="35"/>
      <c r="CU386" s="35"/>
      <c r="CV386" s="35"/>
      <c r="CW386" s="35"/>
      <c r="CX386" s="35"/>
      <c r="CY386" s="35"/>
      <c r="CZ386" s="35"/>
      <c r="DA386" s="35"/>
      <c r="DB386" s="35"/>
      <c r="DC386" s="35"/>
      <c r="DD386" s="35"/>
      <c r="DE386" s="35"/>
      <c r="DF386" s="35"/>
      <c r="DG386" s="35"/>
      <c r="DH386" s="35"/>
      <c r="DI386" s="35"/>
      <c r="DJ386" s="35"/>
    </row>
    <row r="387" spans="1:114" x14ac:dyDescent="0.25">
      <c r="A387" s="34"/>
      <c r="B387" s="34"/>
      <c r="C387" s="34"/>
      <c r="D387" s="34"/>
      <c r="E387" s="34"/>
      <c r="F387" s="34"/>
      <c r="G387" s="34"/>
      <c r="H387" s="34"/>
      <c r="I387" s="34"/>
      <c r="J387" s="34"/>
      <c r="K387" s="34"/>
      <c r="L387" s="34"/>
      <c r="M387" s="34"/>
      <c r="N387" s="35"/>
      <c r="O387" s="35"/>
      <c r="P387" s="35"/>
      <c r="Q387" s="35"/>
      <c r="R387" s="35"/>
      <c r="S387" s="35"/>
      <c r="T387" s="35"/>
      <c r="U387" s="35"/>
      <c r="V387" s="35"/>
      <c r="W387" s="35"/>
      <c r="X387" s="35"/>
      <c r="Y387" s="35"/>
      <c r="Z387" s="35"/>
      <c r="AA387" s="35"/>
      <c r="AB387" s="35"/>
      <c r="AC387" s="35"/>
      <c r="AD387" s="35"/>
      <c r="AE387" s="35"/>
      <c r="AF387" s="35"/>
      <c r="AG387" s="35"/>
      <c r="AH387" s="35"/>
      <c r="AI387" s="35"/>
      <c r="AJ387" s="35"/>
      <c r="AK387" s="35"/>
      <c r="AL387" s="35"/>
      <c r="AM387" s="35"/>
      <c r="AN387" s="35"/>
      <c r="AO387" s="35"/>
      <c r="AP387" s="35"/>
      <c r="AQ387" s="35"/>
      <c r="AR387" s="35"/>
      <c r="AS387" s="35"/>
      <c r="AT387" s="35"/>
      <c r="AU387" s="35"/>
      <c r="AV387" s="35"/>
      <c r="AW387" s="35"/>
      <c r="AX387" s="35"/>
      <c r="AY387" s="35"/>
      <c r="AZ387" s="35"/>
      <c r="BA387" s="35"/>
      <c r="BB387" s="35"/>
      <c r="BC387" s="35"/>
      <c r="BD387" s="35"/>
      <c r="BE387" s="35"/>
      <c r="BF387" s="35"/>
      <c r="BG387" s="35"/>
      <c r="BH387" s="35"/>
      <c r="BI387" s="35"/>
      <c r="BJ387" s="35"/>
      <c r="BK387" s="35"/>
      <c r="BL387" s="35"/>
      <c r="BM387" s="35"/>
      <c r="BN387" s="35"/>
      <c r="BO387" s="35"/>
      <c r="BP387" s="35"/>
      <c r="BQ387" s="35"/>
      <c r="BR387" s="35"/>
      <c r="BS387" s="35"/>
      <c r="BT387" s="35"/>
      <c r="BU387" s="35"/>
      <c r="BV387" s="35"/>
      <c r="BW387" s="35"/>
      <c r="BX387" s="35"/>
      <c r="BY387" s="35"/>
      <c r="BZ387" s="35"/>
      <c r="CA387" s="35"/>
      <c r="CB387" s="35"/>
      <c r="CC387" s="35"/>
      <c r="CD387" s="35"/>
      <c r="CE387" s="35"/>
      <c r="CF387" s="35"/>
      <c r="CG387" s="35"/>
      <c r="CH387" s="35"/>
      <c r="CI387" s="35"/>
      <c r="CJ387" s="35"/>
      <c r="CK387" s="35"/>
      <c r="CL387" s="35"/>
      <c r="CM387" s="35"/>
      <c r="CN387" s="35"/>
      <c r="CO387" s="35"/>
      <c r="CP387" s="35"/>
      <c r="CQ387" s="35"/>
      <c r="CR387" s="35"/>
      <c r="CS387" s="35"/>
      <c r="CT387" s="35"/>
      <c r="CU387" s="35"/>
      <c r="CV387" s="35"/>
      <c r="CW387" s="35"/>
      <c r="CX387" s="35"/>
      <c r="CY387" s="35"/>
      <c r="CZ387" s="35"/>
      <c r="DA387" s="35"/>
      <c r="DB387" s="35"/>
      <c r="DC387" s="35"/>
      <c r="DD387" s="35"/>
      <c r="DE387" s="35"/>
      <c r="DF387" s="35"/>
      <c r="DG387" s="35"/>
      <c r="DH387" s="35"/>
      <c r="DI387" s="35"/>
      <c r="DJ387" s="35"/>
    </row>
    <row r="388" spans="1:114" x14ac:dyDescent="0.25">
      <c r="A388" s="34"/>
      <c r="B388" s="34"/>
      <c r="C388" s="34"/>
      <c r="D388" s="34"/>
      <c r="E388" s="34"/>
      <c r="F388" s="34"/>
      <c r="G388" s="34"/>
      <c r="H388" s="34"/>
      <c r="I388" s="34"/>
      <c r="J388" s="34"/>
      <c r="K388" s="34"/>
      <c r="L388" s="34"/>
      <c r="M388" s="34"/>
      <c r="N388" s="35"/>
      <c r="O388" s="35"/>
      <c r="P388" s="35"/>
      <c r="Q388" s="35"/>
      <c r="R388" s="35"/>
      <c r="S388" s="35"/>
      <c r="T388" s="35"/>
      <c r="U388" s="35"/>
      <c r="V388" s="35"/>
      <c r="W388" s="35"/>
      <c r="X388" s="35"/>
      <c r="Y388" s="35"/>
      <c r="Z388" s="35"/>
      <c r="AA388" s="35"/>
      <c r="AB388" s="35"/>
      <c r="AC388" s="35"/>
      <c r="AD388" s="35"/>
      <c r="AE388" s="35"/>
      <c r="AF388" s="35"/>
      <c r="AG388" s="35"/>
      <c r="AH388" s="35"/>
      <c r="AI388" s="35"/>
      <c r="AJ388" s="35"/>
      <c r="AK388" s="35"/>
      <c r="AL388" s="35"/>
      <c r="AM388" s="35"/>
      <c r="AN388" s="35"/>
      <c r="AO388" s="35"/>
      <c r="AP388" s="35"/>
      <c r="AQ388" s="35"/>
      <c r="AR388" s="35"/>
      <c r="AS388" s="35"/>
      <c r="AT388" s="35"/>
      <c r="AU388" s="35"/>
      <c r="AV388" s="35"/>
      <c r="AW388" s="35"/>
      <c r="AX388" s="35"/>
      <c r="AY388" s="35"/>
      <c r="AZ388" s="35"/>
      <c r="BA388" s="35"/>
      <c r="BB388" s="35"/>
      <c r="BC388" s="35"/>
      <c r="BD388" s="35"/>
      <c r="BE388" s="35"/>
      <c r="BF388" s="35"/>
      <c r="BG388" s="35"/>
      <c r="BH388" s="35"/>
      <c r="BI388" s="35"/>
      <c r="BJ388" s="35"/>
      <c r="BK388" s="35"/>
      <c r="BL388" s="35"/>
      <c r="BM388" s="35"/>
      <c r="BN388" s="35"/>
      <c r="BO388" s="35"/>
      <c r="BP388" s="35"/>
      <c r="BQ388" s="35"/>
      <c r="BR388" s="35"/>
      <c r="BS388" s="35"/>
      <c r="BT388" s="35"/>
      <c r="BU388" s="35"/>
      <c r="BV388" s="35"/>
      <c r="BW388" s="35"/>
      <c r="BX388" s="35"/>
      <c r="BY388" s="35"/>
      <c r="BZ388" s="35"/>
      <c r="CA388" s="35"/>
      <c r="CB388" s="35"/>
      <c r="CC388" s="35"/>
      <c r="CD388" s="35"/>
      <c r="CE388" s="35"/>
      <c r="CF388" s="35"/>
      <c r="CG388" s="35"/>
      <c r="CH388" s="35"/>
      <c r="CI388" s="35"/>
      <c r="CJ388" s="35"/>
      <c r="CK388" s="35"/>
      <c r="CL388" s="35"/>
      <c r="CM388" s="35"/>
      <c r="CN388" s="35"/>
      <c r="CO388" s="35"/>
      <c r="CP388" s="35"/>
      <c r="CQ388" s="35"/>
      <c r="CR388" s="35"/>
      <c r="CS388" s="35"/>
      <c r="CT388" s="35"/>
      <c r="CU388" s="35"/>
      <c r="CV388" s="35"/>
      <c r="CW388" s="35"/>
      <c r="CX388" s="35"/>
      <c r="CY388" s="35"/>
      <c r="CZ388" s="35"/>
      <c r="DA388" s="35"/>
      <c r="DB388" s="35"/>
      <c r="DC388" s="35"/>
      <c r="DD388" s="35"/>
      <c r="DE388" s="35"/>
      <c r="DF388" s="35"/>
      <c r="DG388" s="35"/>
      <c r="DH388" s="35"/>
      <c r="DI388" s="35"/>
      <c r="DJ388" s="35"/>
    </row>
    <row r="389" spans="1:114" x14ac:dyDescent="0.25">
      <c r="A389" s="34"/>
      <c r="B389" s="34"/>
      <c r="C389" s="34"/>
      <c r="D389" s="34"/>
      <c r="E389" s="34"/>
      <c r="F389" s="34"/>
      <c r="G389" s="34"/>
      <c r="H389" s="34"/>
      <c r="I389" s="34"/>
      <c r="J389" s="34"/>
      <c r="K389" s="34"/>
      <c r="L389" s="34"/>
      <c r="M389" s="34"/>
      <c r="N389" s="35"/>
      <c r="O389" s="35"/>
      <c r="P389" s="35"/>
      <c r="Q389" s="35"/>
      <c r="R389" s="35"/>
      <c r="S389" s="35"/>
      <c r="T389" s="35"/>
      <c r="U389" s="35"/>
      <c r="V389" s="35"/>
      <c r="W389" s="35"/>
      <c r="X389" s="35"/>
      <c r="Y389" s="35"/>
      <c r="Z389" s="35"/>
      <c r="AA389" s="35"/>
      <c r="AB389" s="35"/>
      <c r="AC389" s="35"/>
      <c r="AD389" s="35"/>
      <c r="AE389" s="35"/>
      <c r="AF389" s="35"/>
      <c r="AG389" s="35"/>
      <c r="AH389" s="35"/>
      <c r="AI389" s="35"/>
      <c r="AJ389" s="35"/>
      <c r="AK389" s="35"/>
      <c r="AL389" s="35"/>
      <c r="AM389" s="35"/>
      <c r="AN389" s="35"/>
      <c r="AO389" s="35"/>
      <c r="AP389" s="35"/>
      <c r="AQ389" s="35"/>
      <c r="AR389" s="35"/>
      <c r="AS389" s="35"/>
      <c r="AT389" s="35"/>
      <c r="AU389" s="35"/>
      <c r="AV389" s="35"/>
      <c r="AW389" s="35"/>
      <c r="AX389" s="35"/>
      <c r="AY389" s="35"/>
      <c r="AZ389" s="35"/>
      <c r="BA389" s="35"/>
      <c r="BB389" s="35"/>
      <c r="BC389" s="35"/>
      <c r="BD389" s="35"/>
      <c r="BE389" s="35"/>
      <c r="BF389" s="35"/>
      <c r="BG389" s="35"/>
      <c r="BH389" s="35"/>
      <c r="BI389" s="35"/>
      <c r="BJ389" s="35"/>
      <c r="BK389" s="35"/>
      <c r="BL389" s="35"/>
      <c r="BM389" s="35"/>
      <c r="BN389" s="35"/>
      <c r="BO389" s="35"/>
      <c r="BP389" s="35"/>
      <c r="BQ389" s="35"/>
      <c r="BR389" s="35"/>
      <c r="BS389" s="35"/>
      <c r="BT389" s="35"/>
      <c r="BU389" s="35"/>
      <c r="BV389" s="35"/>
      <c r="BW389" s="35"/>
      <c r="BX389" s="35"/>
      <c r="BY389" s="35"/>
      <c r="BZ389" s="35"/>
      <c r="CA389" s="35"/>
      <c r="CB389" s="35"/>
      <c r="CC389" s="35"/>
      <c r="CD389" s="35"/>
      <c r="CE389" s="35"/>
      <c r="CF389" s="35"/>
      <c r="CG389" s="35"/>
      <c r="CH389" s="35"/>
      <c r="CI389" s="35"/>
      <c r="CJ389" s="35"/>
      <c r="CK389" s="35"/>
      <c r="CL389" s="35"/>
      <c r="CM389" s="35"/>
      <c r="CN389" s="35"/>
      <c r="CO389" s="35"/>
      <c r="CP389" s="35"/>
      <c r="CQ389" s="35"/>
      <c r="CR389" s="35"/>
      <c r="CS389" s="35"/>
      <c r="CT389" s="35"/>
      <c r="CU389" s="35"/>
      <c r="CV389" s="35"/>
      <c r="CW389" s="35"/>
      <c r="CX389" s="35"/>
      <c r="CY389" s="35"/>
      <c r="CZ389" s="35"/>
      <c r="DA389" s="35"/>
      <c r="DB389" s="35"/>
      <c r="DC389" s="35"/>
      <c r="DD389" s="35"/>
      <c r="DE389" s="35"/>
      <c r="DF389" s="35"/>
      <c r="DG389" s="35"/>
      <c r="DH389" s="35"/>
      <c r="DI389" s="35"/>
      <c r="DJ389" s="35"/>
    </row>
    <row r="390" spans="1:114" x14ac:dyDescent="0.25">
      <c r="A390" s="34"/>
      <c r="B390" s="34"/>
      <c r="C390" s="34"/>
      <c r="D390" s="34"/>
      <c r="E390" s="34"/>
      <c r="F390" s="34"/>
      <c r="G390" s="34"/>
      <c r="H390" s="34"/>
      <c r="I390" s="34"/>
      <c r="J390" s="34"/>
      <c r="K390" s="34"/>
      <c r="L390" s="34"/>
      <c r="M390" s="34"/>
      <c r="N390" s="35"/>
      <c r="O390" s="35"/>
      <c r="P390" s="35"/>
      <c r="Q390" s="35"/>
      <c r="R390" s="35"/>
      <c r="S390" s="35"/>
      <c r="T390" s="35"/>
      <c r="U390" s="35"/>
      <c r="V390" s="35"/>
      <c r="W390" s="35"/>
      <c r="X390" s="35"/>
      <c r="Y390" s="35"/>
      <c r="Z390" s="35"/>
      <c r="AA390" s="35"/>
      <c r="AB390" s="35"/>
      <c r="AC390" s="35"/>
      <c r="AD390" s="35"/>
      <c r="AE390" s="35"/>
      <c r="AF390" s="35"/>
      <c r="AG390" s="35"/>
      <c r="AH390" s="35"/>
      <c r="AI390" s="35"/>
      <c r="AJ390" s="35"/>
      <c r="AK390" s="35"/>
      <c r="AL390" s="35"/>
      <c r="AM390" s="35"/>
      <c r="AN390" s="35"/>
      <c r="AO390" s="35"/>
      <c r="AP390" s="35"/>
      <c r="AQ390" s="35"/>
      <c r="AR390" s="35"/>
      <c r="AS390" s="35"/>
      <c r="AT390" s="35"/>
      <c r="AU390" s="35"/>
      <c r="AV390" s="35"/>
      <c r="AW390" s="35"/>
      <c r="AX390" s="35"/>
      <c r="AY390" s="35"/>
      <c r="AZ390" s="35"/>
      <c r="BA390" s="35"/>
      <c r="BB390" s="35"/>
      <c r="BC390" s="35"/>
      <c r="BD390" s="35"/>
      <c r="BE390" s="35"/>
      <c r="BF390" s="35"/>
      <c r="BG390" s="35"/>
      <c r="BH390" s="35"/>
      <c r="BI390" s="35"/>
      <c r="BJ390" s="35"/>
      <c r="BK390" s="35"/>
      <c r="BL390" s="35"/>
      <c r="BM390" s="35"/>
      <c r="BN390" s="35"/>
      <c r="BO390" s="35"/>
      <c r="BP390" s="35"/>
      <c r="BQ390" s="35"/>
      <c r="BR390" s="35"/>
      <c r="BS390" s="35"/>
      <c r="BT390" s="35"/>
      <c r="BU390" s="35"/>
      <c r="BV390" s="35"/>
      <c r="BW390" s="35"/>
      <c r="BX390" s="35"/>
      <c r="BY390" s="35"/>
      <c r="BZ390" s="35"/>
      <c r="CA390" s="35"/>
      <c r="CB390" s="35"/>
      <c r="CC390" s="35"/>
      <c r="CD390" s="35"/>
      <c r="CE390" s="35"/>
      <c r="CF390" s="35"/>
      <c r="CG390" s="35"/>
      <c r="CH390" s="35"/>
      <c r="CI390" s="35"/>
      <c r="CJ390" s="35"/>
      <c r="CK390" s="35"/>
      <c r="CL390" s="35"/>
      <c r="CM390" s="35"/>
      <c r="CN390" s="35"/>
      <c r="CO390" s="35"/>
      <c r="CP390" s="35"/>
      <c r="CQ390" s="35"/>
      <c r="CR390" s="35"/>
      <c r="CS390" s="35"/>
      <c r="CT390" s="35"/>
      <c r="CU390" s="35"/>
      <c r="CV390" s="35"/>
      <c r="CW390" s="35"/>
      <c r="CX390" s="35"/>
      <c r="CY390" s="35"/>
      <c r="CZ390" s="35"/>
      <c r="DA390" s="35"/>
      <c r="DB390" s="35"/>
      <c r="DC390" s="35"/>
      <c r="DD390" s="35"/>
      <c r="DE390" s="35"/>
      <c r="DF390" s="35"/>
      <c r="DG390" s="35"/>
      <c r="DH390" s="35"/>
      <c r="DI390" s="35"/>
      <c r="DJ390" s="35"/>
    </row>
    <row r="391" spans="1:114" x14ac:dyDescent="0.25">
      <c r="A391" s="34"/>
      <c r="B391" s="34"/>
      <c r="C391" s="34"/>
      <c r="D391" s="34"/>
      <c r="E391" s="34"/>
      <c r="F391" s="34"/>
      <c r="G391" s="34"/>
      <c r="H391" s="34"/>
      <c r="I391" s="34"/>
      <c r="J391" s="34"/>
      <c r="K391" s="34"/>
      <c r="L391" s="34"/>
      <c r="M391" s="34"/>
      <c r="N391" s="35"/>
      <c r="O391" s="35"/>
      <c r="P391" s="35"/>
      <c r="Q391" s="35"/>
      <c r="R391" s="35"/>
      <c r="S391" s="35"/>
      <c r="T391" s="35"/>
      <c r="U391" s="35"/>
      <c r="V391" s="35"/>
      <c r="W391" s="35"/>
      <c r="X391" s="35"/>
      <c r="Y391" s="35"/>
      <c r="Z391" s="35"/>
      <c r="AA391" s="35"/>
      <c r="AB391" s="35"/>
      <c r="AC391" s="35"/>
      <c r="AD391" s="35"/>
      <c r="AE391" s="35"/>
      <c r="AF391" s="35"/>
      <c r="AG391" s="35"/>
      <c r="AH391" s="35"/>
      <c r="AI391" s="35"/>
      <c r="AJ391" s="35"/>
      <c r="AK391" s="35"/>
      <c r="AL391" s="35"/>
      <c r="AM391" s="35"/>
      <c r="AN391" s="35"/>
      <c r="AO391" s="35"/>
      <c r="AP391" s="35"/>
      <c r="AQ391" s="35"/>
      <c r="AR391" s="35"/>
      <c r="AS391" s="35"/>
      <c r="AT391" s="35"/>
      <c r="AU391" s="35"/>
      <c r="AV391" s="35"/>
      <c r="AW391" s="35"/>
      <c r="AX391" s="35"/>
      <c r="AY391" s="35"/>
      <c r="AZ391" s="35"/>
      <c r="BA391" s="35"/>
      <c r="BB391" s="35"/>
      <c r="BC391" s="35"/>
      <c r="BD391" s="35"/>
      <c r="BE391" s="35"/>
      <c r="BF391" s="35"/>
      <c r="BG391" s="35"/>
      <c r="BH391" s="35"/>
      <c r="BI391" s="35"/>
      <c r="BJ391" s="35"/>
      <c r="BK391" s="35"/>
      <c r="BL391" s="35"/>
      <c r="BM391" s="35"/>
      <c r="BN391" s="35"/>
      <c r="BO391" s="35"/>
      <c r="BP391" s="35"/>
      <c r="BQ391" s="35"/>
      <c r="BR391" s="35"/>
      <c r="BS391" s="35"/>
      <c r="BT391" s="35"/>
      <c r="BU391" s="35"/>
      <c r="BV391" s="35"/>
      <c r="BW391" s="35"/>
      <c r="BX391" s="35"/>
      <c r="BY391" s="35"/>
      <c r="BZ391" s="35"/>
      <c r="CA391" s="35"/>
      <c r="CB391" s="35"/>
      <c r="CC391" s="35"/>
      <c r="CD391" s="35"/>
      <c r="CE391" s="35"/>
      <c r="CF391" s="35"/>
      <c r="CG391" s="35"/>
      <c r="CH391" s="35"/>
      <c r="CI391" s="35"/>
      <c r="CJ391" s="35"/>
      <c r="CK391" s="35"/>
      <c r="CL391" s="35"/>
      <c r="CM391" s="35"/>
      <c r="CN391" s="35"/>
      <c r="CO391" s="35"/>
      <c r="CP391" s="35"/>
      <c r="CQ391" s="35"/>
      <c r="CR391" s="35"/>
      <c r="CS391" s="35"/>
      <c r="CT391" s="35"/>
      <c r="CU391" s="35"/>
      <c r="CV391" s="35"/>
      <c r="CW391" s="35"/>
      <c r="CX391" s="35"/>
      <c r="CY391" s="35"/>
      <c r="CZ391" s="35"/>
      <c r="DA391" s="35"/>
      <c r="DB391" s="35"/>
      <c r="DC391" s="35"/>
      <c r="DD391" s="35"/>
      <c r="DE391" s="35"/>
      <c r="DF391" s="35"/>
      <c r="DG391" s="35"/>
      <c r="DH391" s="35"/>
      <c r="DI391" s="35"/>
      <c r="DJ391" s="35"/>
    </row>
    <row r="392" spans="1:114" x14ac:dyDescent="0.25">
      <c r="A392" s="34"/>
      <c r="B392" s="34"/>
      <c r="C392" s="34"/>
      <c r="D392" s="34"/>
      <c r="E392" s="34"/>
      <c r="F392" s="34"/>
      <c r="G392" s="34"/>
      <c r="H392" s="34"/>
      <c r="I392" s="34"/>
      <c r="J392" s="34"/>
      <c r="K392" s="34"/>
      <c r="L392" s="34"/>
      <c r="M392" s="34"/>
      <c r="N392" s="35"/>
      <c r="O392" s="35"/>
      <c r="P392" s="35"/>
      <c r="Q392" s="35"/>
      <c r="R392" s="35"/>
      <c r="S392" s="35"/>
      <c r="T392" s="35"/>
      <c r="U392" s="35"/>
      <c r="V392" s="35"/>
      <c r="W392" s="35"/>
      <c r="X392" s="35"/>
      <c r="Y392" s="35"/>
      <c r="Z392" s="35"/>
      <c r="AA392" s="35"/>
      <c r="AB392" s="35"/>
      <c r="AC392" s="35"/>
      <c r="AD392" s="35"/>
      <c r="AE392" s="35"/>
      <c r="AF392" s="35"/>
      <c r="AG392" s="35"/>
      <c r="AH392" s="35"/>
      <c r="AI392" s="35"/>
      <c r="AJ392" s="35"/>
      <c r="AK392" s="35"/>
      <c r="AL392" s="35"/>
      <c r="AM392" s="35"/>
      <c r="AN392" s="35"/>
      <c r="AO392" s="35"/>
      <c r="AP392" s="35"/>
      <c r="AQ392" s="35"/>
      <c r="AR392" s="35"/>
      <c r="AS392" s="35"/>
      <c r="AT392" s="35"/>
      <c r="AU392" s="35"/>
      <c r="AV392" s="35"/>
      <c r="AW392" s="35"/>
      <c r="AX392" s="35"/>
      <c r="AY392" s="35"/>
      <c r="AZ392" s="35"/>
      <c r="BA392" s="35"/>
      <c r="BB392" s="35"/>
      <c r="BC392" s="35"/>
      <c r="BD392" s="35"/>
      <c r="BE392" s="35"/>
      <c r="BF392" s="35"/>
      <c r="BG392" s="35"/>
      <c r="BH392" s="35"/>
      <c r="BI392" s="35"/>
      <c r="BJ392" s="35"/>
      <c r="BK392" s="35"/>
      <c r="BL392" s="35"/>
      <c r="BM392" s="35"/>
      <c r="BN392" s="35"/>
      <c r="BO392" s="35"/>
      <c r="BP392" s="35"/>
      <c r="BQ392" s="35"/>
      <c r="BR392" s="35"/>
      <c r="BS392" s="35"/>
      <c r="BT392" s="35"/>
      <c r="BU392" s="35"/>
      <c r="BV392" s="35"/>
      <c r="BW392" s="35"/>
      <c r="BX392" s="35"/>
      <c r="BY392" s="35"/>
      <c r="BZ392" s="35"/>
      <c r="CA392" s="35"/>
      <c r="CB392" s="35"/>
      <c r="CC392" s="35"/>
      <c r="CD392" s="35"/>
      <c r="CE392" s="35"/>
      <c r="CF392" s="35"/>
      <c r="CG392" s="35"/>
      <c r="CH392" s="35"/>
      <c r="CI392" s="35"/>
      <c r="CJ392" s="35"/>
      <c r="CK392" s="35"/>
      <c r="CL392" s="35"/>
      <c r="CM392" s="35"/>
      <c r="CN392" s="35"/>
      <c r="CO392" s="35"/>
      <c r="CP392" s="35"/>
      <c r="CQ392" s="35"/>
      <c r="CR392" s="35"/>
      <c r="CS392" s="35"/>
      <c r="CT392" s="35"/>
      <c r="CU392" s="35"/>
      <c r="CV392" s="35"/>
      <c r="CW392" s="35"/>
      <c r="CX392" s="35"/>
      <c r="CY392" s="35"/>
      <c r="CZ392" s="35"/>
      <c r="DA392" s="35"/>
      <c r="DB392" s="35"/>
      <c r="DC392" s="35"/>
      <c r="DD392" s="35"/>
      <c r="DE392" s="35"/>
      <c r="DF392" s="35"/>
      <c r="DG392" s="35"/>
      <c r="DH392" s="35"/>
      <c r="DI392" s="35"/>
      <c r="DJ392" s="35"/>
    </row>
    <row r="393" spans="1:114" x14ac:dyDescent="0.25">
      <c r="A393" s="34"/>
      <c r="B393" s="34"/>
      <c r="C393" s="34"/>
      <c r="D393" s="34"/>
      <c r="E393" s="34"/>
      <c r="F393" s="34"/>
      <c r="G393" s="34"/>
      <c r="H393" s="34"/>
      <c r="I393" s="34"/>
      <c r="J393" s="34"/>
      <c r="K393" s="34"/>
      <c r="L393" s="34"/>
      <c r="M393" s="34"/>
      <c r="N393" s="35"/>
      <c r="O393" s="35"/>
      <c r="P393" s="35"/>
      <c r="Q393" s="35"/>
      <c r="R393" s="35"/>
      <c r="S393" s="35"/>
      <c r="T393" s="35"/>
      <c r="U393" s="35"/>
      <c r="V393" s="35"/>
      <c r="W393" s="35"/>
      <c r="X393" s="35"/>
      <c r="Y393" s="35"/>
      <c r="Z393" s="35"/>
      <c r="AA393" s="35"/>
      <c r="AB393" s="35"/>
      <c r="AC393" s="35"/>
      <c r="AD393" s="35"/>
      <c r="AE393" s="35"/>
      <c r="AF393" s="35"/>
      <c r="AG393" s="35"/>
      <c r="AH393" s="35"/>
      <c r="AI393" s="35"/>
      <c r="AJ393" s="35"/>
      <c r="AK393" s="35"/>
      <c r="AL393" s="35"/>
      <c r="AM393" s="35"/>
      <c r="AN393" s="35"/>
      <c r="AO393" s="35"/>
      <c r="AP393" s="35"/>
      <c r="AQ393" s="35"/>
      <c r="AR393" s="35"/>
      <c r="AS393" s="35"/>
      <c r="AT393" s="35"/>
      <c r="AU393" s="35"/>
      <c r="AV393" s="35"/>
      <c r="AW393" s="35"/>
      <c r="AX393" s="35"/>
      <c r="AY393" s="35"/>
      <c r="AZ393" s="35"/>
      <c r="BA393" s="35"/>
      <c r="BB393" s="35"/>
      <c r="BC393" s="35"/>
      <c r="BD393" s="35"/>
      <c r="BE393" s="35"/>
      <c r="BF393" s="35"/>
      <c r="BG393" s="35"/>
      <c r="BH393" s="35"/>
      <c r="BI393" s="35"/>
      <c r="BJ393" s="35"/>
      <c r="BK393" s="35"/>
      <c r="BL393" s="35"/>
      <c r="BM393" s="35"/>
      <c r="BN393" s="35"/>
      <c r="BO393" s="35"/>
      <c r="BP393" s="35"/>
      <c r="BQ393" s="35"/>
      <c r="BR393" s="35"/>
      <c r="BS393" s="35"/>
      <c r="BT393" s="35"/>
      <c r="BU393" s="35"/>
      <c r="BV393" s="35"/>
      <c r="BW393" s="35"/>
      <c r="BX393" s="35"/>
      <c r="BY393" s="35"/>
      <c r="BZ393" s="35"/>
      <c r="CA393" s="35"/>
      <c r="CB393" s="35"/>
      <c r="CC393" s="35"/>
      <c r="CD393" s="35"/>
      <c r="CE393" s="35"/>
      <c r="CF393" s="35"/>
      <c r="CG393" s="35"/>
      <c r="CH393" s="35"/>
      <c r="CI393" s="35"/>
      <c r="CJ393" s="35"/>
      <c r="CK393" s="35"/>
      <c r="CL393" s="35"/>
      <c r="CM393" s="35"/>
      <c r="CN393" s="35"/>
      <c r="CO393" s="35"/>
      <c r="CP393" s="35"/>
      <c r="CQ393" s="35"/>
      <c r="CR393" s="35"/>
      <c r="CS393" s="35"/>
      <c r="CT393" s="35"/>
      <c r="CU393" s="35"/>
      <c r="CV393" s="35"/>
      <c r="CW393" s="35"/>
      <c r="CX393" s="35"/>
      <c r="CY393" s="35"/>
      <c r="CZ393" s="35"/>
      <c r="DA393" s="35"/>
      <c r="DB393" s="35"/>
      <c r="DC393" s="35"/>
      <c r="DD393" s="35"/>
      <c r="DE393" s="35"/>
      <c r="DF393" s="35"/>
      <c r="DG393" s="35"/>
      <c r="DH393" s="35"/>
      <c r="DI393" s="35"/>
      <c r="DJ393" s="35"/>
    </row>
    <row r="394" spans="1:114" x14ac:dyDescent="0.25">
      <c r="A394" s="34"/>
      <c r="B394" s="34"/>
      <c r="C394" s="34"/>
      <c r="D394" s="34"/>
      <c r="E394" s="34"/>
      <c r="F394" s="34"/>
      <c r="G394" s="34"/>
      <c r="H394" s="34"/>
      <c r="I394" s="34"/>
      <c r="J394" s="34"/>
      <c r="K394" s="34"/>
      <c r="L394" s="34"/>
      <c r="M394" s="34"/>
      <c r="N394" s="35"/>
      <c r="O394" s="35"/>
      <c r="P394" s="35"/>
      <c r="Q394" s="35"/>
      <c r="R394" s="35"/>
      <c r="S394" s="35"/>
      <c r="T394" s="35"/>
      <c r="U394" s="35"/>
      <c r="V394" s="35"/>
      <c r="W394" s="35"/>
      <c r="X394" s="35"/>
      <c r="Y394" s="35"/>
      <c r="Z394" s="35"/>
      <c r="AA394" s="35"/>
      <c r="AB394" s="35"/>
      <c r="AC394" s="35"/>
      <c r="AD394" s="35"/>
      <c r="AE394" s="35"/>
      <c r="AF394" s="35"/>
      <c r="AG394" s="35"/>
      <c r="AH394" s="35"/>
      <c r="AI394" s="35"/>
      <c r="AJ394" s="35"/>
      <c r="AK394" s="35"/>
      <c r="AL394" s="35"/>
      <c r="AM394" s="35"/>
      <c r="AN394" s="35"/>
      <c r="AO394" s="35"/>
      <c r="AP394" s="35"/>
      <c r="AQ394" s="35"/>
      <c r="AR394" s="35"/>
      <c r="AS394" s="35"/>
      <c r="AT394" s="35"/>
      <c r="AU394" s="35"/>
      <c r="AV394" s="35"/>
      <c r="AW394" s="35"/>
      <c r="AX394" s="35"/>
      <c r="AY394" s="35"/>
      <c r="AZ394" s="35"/>
      <c r="BA394" s="35"/>
      <c r="BB394" s="35"/>
      <c r="BC394" s="35"/>
      <c r="BD394" s="35"/>
      <c r="BE394" s="35"/>
      <c r="BF394" s="35"/>
      <c r="BG394" s="35"/>
      <c r="BH394" s="35"/>
      <c r="BI394" s="35"/>
      <c r="BJ394" s="35"/>
      <c r="BK394" s="35"/>
      <c r="BL394" s="35"/>
      <c r="BM394" s="35"/>
      <c r="BN394" s="35"/>
      <c r="BO394" s="35"/>
      <c r="BP394" s="35"/>
      <c r="BQ394" s="35"/>
      <c r="BR394" s="35"/>
      <c r="BS394" s="35"/>
      <c r="BT394" s="35"/>
      <c r="BU394" s="35"/>
      <c r="BV394" s="35"/>
      <c r="BW394" s="35"/>
      <c r="BX394" s="35"/>
      <c r="BY394" s="35"/>
      <c r="BZ394" s="35"/>
      <c r="CA394" s="35"/>
      <c r="CB394" s="35"/>
      <c r="CC394" s="35"/>
      <c r="CD394" s="35"/>
      <c r="CE394" s="35"/>
      <c r="CF394" s="35"/>
      <c r="CG394" s="35"/>
      <c r="CH394" s="35"/>
      <c r="CI394" s="35"/>
      <c r="CJ394" s="35"/>
      <c r="CK394" s="35"/>
      <c r="CL394" s="35"/>
      <c r="CM394" s="35"/>
      <c r="CN394" s="35"/>
      <c r="CO394" s="35"/>
      <c r="CP394" s="35"/>
      <c r="CQ394" s="35"/>
      <c r="CR394" s="35"/>
      <c r="CS394" s="35"/>
      <c r="CT394" s="35"/>
      <c r="CU394" s="35"/>
      <c r="CV394" s="35"/>
      <c r="CW394" s="35"/>
      <c r="CX394" s="35"/>
      <c r="CY394" s="35"/>
      <c r="CZ394" s="35"/>
      <c r="DA394" s="35"/>
      <c r="DB394" s="35"/>
      <c r="DC394" s="35"/>
      <c r="DD394" s="35"/>
      <c r="DE394" s="35"/>
      <c r="DF394" s="35"/>
      <c r="DG394" s="35"/>
      <c r="DH394" s="35"/>
      <c r="DI394" s="35"/>
      <c r="DJ394" s="35"/>
    </row>
    <row r="395" spans="1:114" x14ac:dyDescent="0.25">
      <c r="A395" s="34"/>
      <c r="B395" s="34"/>
      <c r="C395" s="34"/>
      <c r="D395" s="34"/>
      <c r="E395" s="34"/>
      <c r="F395" s="34"/>
      <c r="G395" s="34"/>
      <c r="H395" s="34"/>
      <c r="I395" s="34"/>
      <c r="J395" s="34"/>
      <c r="K395" s="34"/>
      <c r="L395" s="34"/>
      <c r="M395" s="34"/>
      <c r="N395" s="35"/>
      <c r="O395" s="35"/>
      <c r="P395" s="35"/>
      <c r="Q395" s="35"/>
      <c r="R395" s="35"/>
      <c r="S395" s="35"/>
      <c r="T395" s="35"/>
      <c r="U395" s="35"/>
      <c r="V395" s="35"/>
      <c r="W395" s="35"/>
      <c r="X395" s="35"/>
      <c r="Y395" s="35"/>
      <c r="Z395" s="35"/>
      <c r="AA395" s="35"/>
      <c r="AB395" s="35"/>
      <c r="AC395" s="35"/>
      <c r="AD395" s="35"/>
      <c r="AE395" s="35"/>
      <c r="AF395" s="35"/>
      <c r="AG395" s="35"/>
      <c r="AH395" s="35"/>
      <c r="AI395" s="35"/>
      <c r="AJ395" s="35"/>
      <c r="AK395" s="35"/>
      <c r="AL395" s="35"/>
      <c r="AM395" s="35"/>
      <c r="AN395" s="35"/>
      <c r="AO395" s="35"/>
      <c r="AP395" s="35"/>
      <c r="AQ395" s="35"/>
      <c r="AR395" s="35"/>
      <c r="AS395" s="35"/>
      <c r="AT395" s="35"/>
      <c r="AU395" s="35"/>
      <c r="AV395" s="35"/>
      <c r="AW395" s="35"/>
      <c r="AX395" s="35"/>
      <c r="AY395" s="35"/>
      <c r="AZ395" s="35"/>
      <c r="BA395" s="35"/>
      <c r="BB395" s="35"/>
      <c r="BC395" s="35"/>
      <c r="BD395" s="35"/>
      <c r="BE395" s="35"/>
      <c r="BF395" s="35"/>
      <c r="BG395" s="35"/>
      <c r="BH395" s="35"/>
      <c r="BI395" s="35"/>
      <c r="BJ395" s="35"/>
      <c r="BK395" s="35"/>
      <c r="BL395" s="35"/>
      <c r="BM395" s="35"/>
      <c r="BN395" s="35"/>
      <c r="BO395" s="35"/>
      <c r="BP395" s="35"/>
      <c r="BQ395" s="35"/>
      <c r="BR395" s="35"/>
      <c r="BS395" s="35"/>
      <c r="BT395" s="35"/>
      <c r="BU395" s="35"/>
      <c r="BV395" s="35"/>
      <c r="BW395" s="35"/>
      <c r="BX395" s="35"/>
      <c r="BY395" s="35"/>
      <c r="BZ395" s="35"/>
      <c r="CA395" s="35"/>
      <c r="CB395" s="35"/>
      <c r="CC395" s="35"/>
      <c r="CD395" s="35"/>
      <c r="CE395" s="35"/>
      <c r="CF395" s="35"/>
      <c r="CG395" s="35"/>
      <c r="CH395" s="35"/>
      <c r="CI395" s="35"/>
      <c r="CJ395" s="35"/>
      <c r="CK395" s="35"/>
      <c r="CL395" s="35"/>
      <c r="CM395" s="35"/>
      <c r="CN395" s="35"/>
      <c r="CO395" s="35"/>
      <c r="CP395" s="35"/>
      <c r="CQ395" s="35"/>
      <c r="CR395" s="35"/>
      <c r="CS395" s="35"/>
      <c r="CT395" s="35"/>
      <c r="CU395" s="35"/>
      <c r="CV395" s="35"/>
      <c r="CW395" s="35"/>
      <c r="CX395" s="35"/>
      <c r="CY395" s="35"/>
      <c r="CZ395" s="35"/>
      <c r="DA395" s="35"/>
      <c r="DB395" s="35"/>
      <c r="DC395" s="35"/>
      <c r="DD395" s="35"/>
      <c r="DE395" s="35"/>
      <c r="DF395" s="35"/>
      <c r="DG395" s="35"/>
      <c r="DH395" s="35"/>
      <c r="DI395" s="35"/>
      <c r="DJ395" s="35"/>
    </row>
    <row r="396" spans="1:114" x14ac:dyDescent="0.25">
      <c r="A396" s="34"/>
      <c r="B396" s="34"/>
      <c r="C396" s="34"/>
      <c r="D396" s="34"/>
      <c r="E396" s="34"/>
      <c r="F396" s="34"/>
      <c r="G396" s="34"/>
      <c r="H396" s="34"/>
      <c r="I396" s="34"/>
      <c r="J396" s="34"/>
      <c r="K396" s="34"/>
      <c r="L396" s="34"/>
      <c r="M396" s="34"/>
      <c r="N396" s="35"/>
      <c r="O396" s="35"/>
      <c r="P396" s="35"/>
      <c r="Q396" s="35"/>
      <c r="R396" s="35"/>
      <c r="S396" s="35"/>
      <c r="T396" s="35"/>
      <c r="U396" s="35"/>
      <c r="V396" s="35"/>
      <c r="W396" s="35"/>
      <c r="X396" s="35"/>
      <c r="Y396" s="35"/>
      <c r="Z396" s="35"/>
      <c r="AA396" s="35"/>
      <c r="AB396" s="35"/>
      <c r="AC396" s="35"/>
      <c r="AD396" s="35"/>
      <c r="AE396" s="35"/>
      <c r="AF396" s="35"/>
      <c r="AG396" s="35"/>
      <c r="AH396" s="35"/>
      <c r="AI396" s="35"/>
      <c r="AJ396" s="35"/>
      <c r="AK396" s="35"/>
      <c r="AL396" s="35"/>
      <c r="AM396" s="35"/>
      <c r="AN396" s="35"/>
      <c r="AO396" s="35"/>
      <c r="AP396" s="35"/>
      <c r="AQ396" s="35"/>
      <c r="AR396" s="35"/>
      <c r="AS396" s="35"/>
      <c r="AT396" s="35"/>
      <c r="AU396" s="35"/>
      <c r="AV396" s="35"/>
      <c r="AW396" s="35"/>
      <c r="AX396" s="35"/>
      <c r="AY396" s="35"/>
      <c r="AZ396" s="35"/>
      <c r="BA396" s="35"/>
      <c r="BB396" s="35"/>
      <c r="BC396" s="35"/>
      <c r="BD396" s="35"/>
      <c r="BE396" s="35"/>
      <c r="BF396" s="35"/>
      <c r="BG396" s="35"/>
      <c r="BH396" s="35"/>
      <c r="BI396" s="35"/>
      <c r="BJ396" s="35"/>
      <c r="BK396" s="35"/>
      <c r="BL396" s="35"/>
      <c r="BM396" s="35"/>
      <c r="BN396" s="35"/>
      <c r="BO396" s="35"/>
      <c r="BP396" s="35"/>
      <c r="BQ396" s="35"/>
      <c r="BR396" s="35"/>
      <c r="BS396" s="35"/>
      <c r="BT396" s="35"/>
      <c r="BU396" s="35"/>
      <c r="BV396" s="35"/>
      <c r="BW396" s="35"/>
      <c r="BX396" s="35"/>
      <c r="BY396" s="35"/>
      <c r="BZ396" s="35"/>
      <c r="CA396" s="35"/>
      <c r="CB396" s="35"/>
      <c r="CC396" s="35"/>
      <c r="CD396" s="35"/>
      <c r="CE396" s="35"/>
      <c r="CF396" s="35"/>
      <c r="CG396" s="35"/>
      <c r="CH396" s="35"/>
      <c r="CI396" s="35"/>
      <c r="CJ396" s="35"/>
      <c r="CK396" s="35"/>
      <c r="CL396" s="35"/>
      <c r="CM396" s="35"/>
      <c r="CN396" s="35"/>
      <c r="CO396" s="35"/>
      <c r="CP396" s="35"/>
      <c r="CQ396" s="35"/>
      <c r="CR396" s="35"/>
      <c r="CS396" s="35"/>
      <c r="CT396" s="35"/>
      <c r="CU396" s="35"/>
      <c r="CV396" s="35"/>
      <c r="CW396" s="35"/>
      <c r="CX396" s="35"/>
      <c r="CY396" s="35"/>
      <c r="CZ396" s="35"/>
      <c r="DA396" s="35"/>
      <c r="DB396" s="35"/>
      <c r="DC396" s="35"/>
      <c r="DD396" s="35"/>
      <c r="DE396" s="35"/>
      <c r="DF396" s="35"/>
      <c r="DG396" s="35"/>
      <c r="DH396" s="35"/>
      <c r="DI396" s="35"/>
      <c r="DJ396" s="35"/>
    </row>
    <row r="397" spans="1:114" x14ac:dyDescent="0.25">
      <c r="A397" s="34"/>
      <c r="B397" s="34"/>
      <c r="C397" s="34"/>
      <c r="D397" s="34"/>
      <c r="E397" s="34"/>
      <c r="F397" s="34"/>
      <c r="G397" s="34"/>
      <c r="H397" s="34"/>
      <c r="I397" s="34"/>
      <c r="J397" s="34"/>
      <c r="K397" s="34"/>
      <c r="L397" s="34"/>
      <c r="M397" s="34"/>
      <c r="N397" s="35"/>
      <c r="O397" s="35"/>
      <c r="P397" s="35"/>
      <c r="Q397" s="35"/>
      <c r="R397" s="35"/>
      <c r="S397" s="35"/>
      <c r="T397" s="35"/>
      <c r="U397" s="35"/>
      <c r="V397" s="35"/>
      <c r="W397" s="35"/>
      <c r="X397" s="35"/>
      <c r="Y397" s="35"/>
      <c r="Z397" s="35"/>
      <c r="AA397" s="35"/>
      <c r="AB397" s="35"/>
      <c r="AC397" s="35"/>
      <c r="AD397" s="35"/>
      <c r="AE397" s="35"/>
      <c r="AF397" s="35"/>
      <c r="AG397" s="35"/>
      <c r="AH397" s="35"/>
      <c r="AI397" s="35"/>
      <c r="AJ397" s="35"/>
      <c r="AK397" s="35"/>
      <c r="AL397" s="35"/>
      <c r="AM397" s="35"/>
      <c r="AN397" s="35"/>
      <c r="AO397" s="35"/>
      <c r="AP397" s="35"/>
      <c r="AQ397" s="35"/>
      <c r="AR397" s="35"/>
      <c r="AS397" s="35"/>
      <c r="AT397" s="35"/>
      <c r="AU397" s="35"/>
      <c r="AV397" s="35"/>
      <c r="AW397" s="35"/>
      <c r="AX397" s="35"/>
      <c r="AY397" s="35"/>
      <c r="AZ397" s="35"/>
      <c r="BA397" s="35"/>
      <c r="BB397" s="35"/>
      <c r="BC397" s="35"/>
      <c r="BD397" s="35"/>
      <c r="BE397" s="35"/>
      <c r="BF397" s="35"/>
      <c r="BG397" s="35"/>
      <c r="BH397" s="35"/>
      <c r="BI397" s="35"/>
      <c r="BJ397" s="35"/>
      <c r="BK397" s="35"/>
      <c r="BL397" s="35"/>
      <c r="BM397" s="35"/>
      <c r="BN397" s="35"/>
      <c r="BO397" s="35"/>
      <c r="BP397" s="35"/>
      <c r="BQ397" s="35"/>
      <c r="BR397" s="35"/>
      <c r="BS397" s="35"/>
      <c r="BT397" s="35"/>
      <c r="BU397" s="35"/>
      <c r="BV397" s="35"/>
      <c r="BW397" s="35"/>
      <c r="BX397" s="35"/>
      <c r="BY397" s="35"/>
      <c r="BZ397" s="35"/>
      <c r="CA397" s="35"/>
      <c r="CB397" s="35"/>
      <c r="CC397" s="35"/>
      <c r="CD397" s="35"/>
      <c r="CE397" s="35"/>
      <c r="CF397" s="35"/>
      <c r="CG397" s="35"/>
      <c r="CH397" s="35"/>
      <c r="CI397" s="35"/>
      <c r="CJ397" s="35"/>
      <c r="CK397" s="35"/>
      <c r="CL397" s="35"/>
      <c r="CM397" s="35"/>
      <c r="CN397" s="35"/>
      <c r="CO397" s="35"/>
      <c r="CP397" s="35"/>
      <c r="CQ397" s="35"/>
      <c r="CR397" s="35"/>
      <c r="CS397" s="35"/>
      <c r="CT397" s="35"/>
      <c r="CU397" s="35"/>
      <c r="CV397" s="35"/>
      <c r="CW397" s="35"/>
      <c r="CX397" s="35"/>
      <c r="CY397" s="35"/>
      <c r="CZ397" s="35"/>
      <c r="DA397" s="35"/>
      <c r="DB397" s="35"/>
      <c r="DC397" s="35"/>
      <c r="DD397" s="35"/>
      <c r="DE397" s="35"/>
      <c r="DF397" s="35"/>
      <c r="DG397" s="35"/>
      <c r="DH397" s="35"/>
      <c r="DI397" s="35"/>
      <c r="DJ397" s="35"/>
    </row>
    <row r="398" spans="1:114" x14ac:dyDescent="0.25">
      <c r="A398" s="34"/>
      <c r="B398" s="34"/>
      <c r="C398" s="34"/>
      <c r="D398" s="34"/>
      <c r="E398" s="34"/>
      <c r="F398" s="34"/>
      <c r="G398" s="34"/>
      <c r="H398" s="34"/>
      <c r="I398" s="34"/>
      <c r="J398" s="34"/>
      <c r="K398" s="34"/>
      <c r="L398" s="34"/>
      <c r="M398" s="34"/>
      <c r="N398" s="35"/>
      <c r="O398" s="35"/>
      <c r="P398" s="35"/>
      <c r="Q398" s="35"/>
      <c r="R398" s="35"/>
      <c r="S398" s="35"/>
      <c r="T398" s="35"/>
      <c r="U398" s="35"/>
      <c r="V398" s="35"/>
      <c r="W398" s="35"/>
      <c r="X398" s="35"/>
      <c r="Y398" s="35"/>
      <c r="Z398" s="35"/>
      <c r="AA398" s="35"/>
      <c r="AB398" s="35"/>
      <c r="AC398" s="35"/>
      <c r="AD398" s="35"/>
      <c r="AE398" s="35"/>
      <c r="AF398" s="35"/>
      <c r="AG398" s="35"/>
      <c r="AH398" s="35"/>
      <c r="AI398" s="35"/>
      <c r="AJ398" s="35"/>
      <c r="AK398" s="35"/>
      <c r="AL398" s="35"/>
      <c r="AM398" s="35"/>
      <c r="AN398" s="35"/>
      <c r="AO398" s="35"/>
      <c r="AP398" s="35"/>
      <c r="AQ398" s="35"/>
      <c r="AR398" s="35"/>
      <c r="AS398" s="35"/>
      <c r="AT398" s="35"/>
      <c r="AU398" s="35"/>
      <c r="AV398" s="35"/>
      <c r="AW398" s="35"/>
      <c r="AX398" s="35"/>
      <c r="AY398" s="35"/>
      <c r="AZ398" s="35"/>
      <c r="BA398" s="35"/>
      <c r="BB398" s="35"/>
      <c r="BC398" s="35"/>
      <c r="BD398" s="35"/>
      <c r="BE398" s="35"/>
      <c r="BF398" s="35"/>
      <c r="BG398" s="35"/>
      <c r="BH398" s="35"/>
      <c r="BI398" s="35"/>
      <c r="BJ398" s="35"/>
      <c r="BK398" s="35"/>
      <c r="BL398" s="35"/>
      <c r="BM398" s="35"/>
      <c r="BN398" s="35"/>
      <c r="BO398" s="35"/>
      <c r="BP398" s="35"/>
      <c r="BQ398" s="35"/>
      <c r="BR398" s="35"/>
      <c r="BS398" s="35"/>
      <c r="BT398" s="35"/>
      <c r="BU398" s="35"/>
      <c r="BV398" s="35"/>
      <c r="BW398" s="35"/>
      <c r="BX398" s="35"/>
      <c r="BY398" s="35"/>
      <c r="BZ398" s="35"/>
      <c r="CA398" s="35"/>
      <c r="CB398" s="35"/>
      <c r="CC398" s="35"/>
      <c r="CD398" s="35"/>
      <c r="CE398" s="35"/>
      <c r="CF398" s="35"/>
      <c r="CG398" s="35"/>
      <c r="CH398" s="35"/>
      <c r="CI398" s="35"/>
      <c r="CJ398" s="35"/>
      <c r="CK398" s="35"/>
      <c r="CL398" s="35"/>
      <c r="CM398" s="35"/>
      <c r="CN398" s="35"/>
      <c r="CO398" s="35"/>
      <c r="CP398" s="35"/>
      <c r="CQ398" s="35"/>
      <c r="CR398" s="35"/>
      <c r="CS398" s="35"/>
      <c r="CT398" s="35"/>
      <c r="CU398" s="35"/>
      <c r="CV398" s="35"/>
      <c r="CW398" s="35"/>
      <c r="CX398" s="35"/>
      <c r="CY398" s="35"/>
      <c r="CZ398" s="35"/>
      <c r="DA398" s="35"/>
      <c r="DB398" s="35"/>
      <c r="DC398" s="35"/>
      <c r="DD398" s="35"/>
      <c r="DE398" s="35"/>
      <c r="DF398" s="35"/>
      <c r="DG398" s="35"/>
      <c r="DH398" s="35"/>
      <c r="DI398" s="35"/>
      <c r="DJ398" s="35"/>
    </row>
    <row r="399" spans="1:114" x14ac:dyDescent="0.25">
      <c r="A399" s="34"/>
      <c r="B399" s="34"/>
      <c r="C399" s="34"/>
      <c r="D399" s="34"/>
      <c r="E399" s="34"/>
      <c r="F399" s="34"/>
      <c r="G399" s="34"/>
      <c r="H399" s="34"/>
      <c r="I399" s="34"/>
      <c r="J399" s="34"/>
      <c r="K399" s="34"/>
      <c r="L399" s="34"/>
      <c r="M399" s="34"/>
      <c r="N399" s="35"/>
      <c r="O399" s="35"/>
      <c r="P399" s="35"/>
      <c r="Q399" s="35"/>
      <c r="R399" s="35"/>
      <c r="S399" s="35"/>
      <c r="T399" s="35"/>
      <c r="U399" s="35"/>
      <c r="V399" s="35"/>
      <c r="W399" s="35"/>
      <c r="X399" s="35"/>
      <c r="Y399" s="35"/>
      <c r="Z399" s="35"/>
      <c r="AA399" s="35"/>
      <c r="AB399" s="35"/>
      <c r="AC399" s="35"/>
      <c r="AD399" s="35"/>
      <c r="AE399" s="35"/>
      <c r="AF399" s="35"/>
      <c r="AG399" s="35"/>
      <c r="AH399" s="35"/>
      <c r="AI399" s="35"/>
      <c r="AJ399" s="35"/>
      <c r="AK399" s="35"/>
      <c r="AL399" s="35"/>
      <c r="AM399" s="35"/>
      <c r="AN399" s="35"/>
      <c r="AO399" s="35"/>
      <c r="AP399" s="35"/>
      <c r="AQ399" s="35"/>
      <c r="AR399" s="35"/>
      <c r="AS399" s="35"/>
      <c r="AT399" s="35"/>
      <c r="AU399" s="35"/>
      <c r="AV399" s="35"/>
      <c r="AW399" s="35"/>
      <c r="AX399" s="35"/>
      <c r="AY399" s="35"/>
      <c r="AZ399" s="35"/>
      <c r="BA399" s="35"/>
      <c r="BB399" s="35"/>
      <c r="BC399" s="35"/>
      <c r="BD399" s="35"/>
      <c r="BE399" s="35"/>
      <c r="BF399" s="35"/>
      <c r="BG399" s="35"/>
      <c r="BH399" s="35"/>
      <c r="BI399" s="35"/>
      <c r="BJ399" s="35"/>
      <c r="BK399" s="35"/>
      <c r="BL399" s="35"/>
      <c r="BM399" s="35"/>
      <c r="BN399" s="35"/>
      <c r="BO399" s="35"/>
      <c r="BP399" s="35"/>
      <c r="BQ399" s="35"/>
      <c r="BR399" s="35"/>
      <c r="BS399" s="35"/>
      <c r="BT399" s="35"/>
      <c r="BU399" s="35"/>
      <c r="BV399" s="35"/>
      <c r="BW399" s="35"/>
      <c r="BX399" s="35"/>
      <c r="BY399" s="35"/>
      <c r="BZ399" s="35"/>
      <c r="CA399" s="35"/>
      <c r="CB399" s="35"/>
      <c r="CC399" s="35"/>
      <c r="CD399" s="35"/>
      <c r="CE399" s="35"/>
      <c r="CF399" s="35"/>
      <c r="CG399" s="35"/>
      <c r="CH399" s="35"/>
      <c r="CI399" s="35"/>
      <c r="CJ399" s="35"/>
      <c r="CK399" s="35"/>
      <c r="CL399" s="35"/>
      <c r="CM399" s="35"/>
      <c r="CN399" s="35"/>
      <c r="CO399" s="35"/>
      <c r="CP399" s="35"/>
      <c r="CQ399" s="35"/>
      <c r="CR399" s="35"/>
      <c r="CS399" s="35"/>
      <c r="CT399" s="35"/>
      <c r="CU399" s="35"/>
      <c r="CV399" s="35"/>
      <c r="CW399" s="35"/>
      <c r="CX399" s="35"/>
      <c r="CY399" s="35"/>
      <c r="CZ399" s="35"/>
      <c r="DA399" s="35"/>
      <c r="DB399" s="35"/>
      <c r="DC399" s="35"/>
      <c r="DD399" s="35"/>
      <c r="DE399" s="35"/>
      <c r="DF399" s="35"/>
      <c r="DG399" s="35"/>
      <c r="DH399" s="35"/>
      <c r="DI399" s="35"/>
      <c r="DJ399" s="35"/>
    </row>
    <row r="400" spans="1:114" x14ac:dyDescent="0.25">
      <c r="A400" s="34"/>
      <c r="B400" s="34"/>
      <c r="C400" s="34"/>
      <c r="D400" s="34"/>
      <c r="E400" s="34"/>
      <c r="F400" s="34"/>
      <c r="G400" s="34"/>
      <c r="H400" s="34"/>
      <c r="I400" s="34"/>
      <c r="J400" s="34"/>
      <c r="K400" s="34"/>
      <c r="L400" s="34"/>
      <c r="M400" s="34"/>
      <c r="N400" s="35"/>
      <c r="O400" s="35"/>
      <c r="P400" s="35"/>
      <c r="Q400" s="35"/>
      <c r="R400" s="35"/>
      <c r="S400" s="35"/>
      <c r="T400" s="35"/>
      <c r="U400" s="35"/>
      <c r="V400" s="35"/>
      <c r="W400" s="35"/>
      <c r="X400" s="35"/>
      <c r="Y400" s="35"/>
      <c r="Z400" s="35"/>
      <c r="AA400" s="35"/>
      <c r="AB400" s="35"/>
      <c r="AC400" s="35"/>
      <c r="AD400" s="35"/>
      <c r="AE400" s="35"/>
      <c r="AF400" s="35"/>
      <c r="AG400" s="35"/>
      <c r="AH400" s="35"/>
      <c r="AI400" s="35"/>
      <c r="AJ400" s="35"/>
      <c r="AK400" s="35"/>
      <c r="AL400" s="35"/>
      <c r="AM400" s="35"/>
      <c r="AN400" s="35"/>
      <c r="AO400" s="35"/>
      <c r="AP400" s="35"/>
      <c r="AQ400" s="35"/>
      <c r="AR400" s="35"/>
      <c r="AS400" s="35"/>
      <c r="AT400" s="35"/>
      <c r="AU400" s="35"/>
      <c r="AV400" s="35"/>
      <c r="AW400" s="35"/>
      <c r="AX400" s="35"/>
      <c r="AY400" s="35"/>
      <c r="AZ400" s="35"/>
      <c r="BA400" s="35"/>
      <c r="BB400" s="35"/>
      <c r="BC400" s="35"/>
      <c r="BD400" s="35"/>
      <c r="BE400" s="35"/>
      <c r="BF400" s="35"/>
      <c r="BG400" s="35"/>
      <c r="BH400" s="35"/>
      <c r="BI400" s="35"/>
      <c r="BJ400" s="35"/>
      <c r="BK400" s="35"/>
      <c r="BL400" s="35"/>
      <c r="BM400" s="35"/>
      <c r="BN400" s="35"/>
      <c r="BO400" s="35"/>
      <c r="BP400" s="35"/>
      <c r="BQ400" s="35"/>
      <c r="BR400" s="35"/>
      <c r="BS400" s="35"/>
      <c r="BT400" s="35"/>
      <c r="BU400" s="35"/>
      <c r="BV400" s="35"/>
      <c r="BW400" s="35"/>
      <c r="BX400" s="35"/>
      <c r="BY400" s="35"/>
      <c r="BZ400" s="35"/>
      <c r="CA400" s="35"/>
      <c r="CB400" s="35"/>
      <c r="CC400" s="35"/>
      <c r="CD400" s="35"/>
      <c r="CE400" s="35"/>
      <c r="CF400" s="35"/>
      <c r="CG400" s="35"/>
      <c r="CH400" s="35"/>
      <c r="CI400" s="35"/>
      <c r="CJ400" s="35"/>
      <c r="CK400" s="35"/>
      <c r="CL400" s="35"/>
      <c r="CM400" s="35"/>
      <c r="CN400" s="35"/>
      <c r="CO400" s="35"/>
      <c r="CP400" s="35"/>
      <c r="CQ400" s="35"/>
      <c r="CR400" s="35"/>
      <c r="CS400" s="35"/>
      <c r="CT400" s="35"/>
      <c r="CU400" s="35"/>
      <c r="CV400" s="35"/>
      <c r="CW400" s="35"/>
      <c r="CX400" s="35"/>
      <c r="CY400" s="35"/>
      <c r="CZ400" s="35"/>
      <c r="DA400" s="35"/>
      <c r="DB400" s="35"/>
      <c r="DC400" s="35"/>
      <c r="DD400" s="35"/>
      <c r="DE400" s="35"/>
      <c r="DF400" s="35"/>
      <c r="DG400" s="35"/>
      <c r="DH400" s="35"/>
      <c r="DI400" s="35"/>
      <c r="DJ400" s="35"/>
    </row>
    <row r="401" spans="1:114" x14ac:dyDescent="0.25">
      <c r="A401" s="34"/>
      <c r="B401" s="34"/>
      <c r="C401" s="34"/>
      <c r="D401" s="34"/>
      <c r="E401" s="34"/>
      <c r="F401" s="34"/>
      <c r="G401" s="34"/>
      <c r="H401" s="34"/>
      <c r="I401" s="34"/>
      <c r="J401" s="34"/>
      <c r="K401" s="34"/>
      <c r="L401" s="34"/>
      <c r="M401" s="34"/>
      <c r="N401" s="35"/>
      <c r="O401" s="35"/>
      <c r="P401" s="35"/>
      <c r="Q401" s="35"/>
      <c r="R401" s="35"/>
      <c r="S401" s="35"/>
      <c r="T401" s="35"/>
      <c r="U401" s="35"/>
      <c r="V401" s="35"/>
      <c r="W401" s="35"/>
      <c r="X401" s="35"/>
      <c r="Y401" s="35"/>
      <c r="Z401" s="35"/>
      <c r="AA401" s="35"/>
      <c r="AB401" s="35"/>
      <c r="AC401" s="35"/>
      <c r="AD401" s="35"/>
      <c r="AE401" s="35"/>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row>
  </sheetData>
  <sheetProtection algorithmName="SHA-512" hashValue="zOti28ydJYzB2oGX00wv+VUZJPlYA5ylJuhFj/T87hFanf+qdISc4iI3Ql9N26HW1xFc2bF7hHK+1tcJ1cZ8pQ==" saltValue="mNppud6eQS+3xFSmIiYqjA==" spinCount="100000" sheet="1" objects="1" scenarios="1" selectLockedCells="1"/>
  <mergeCells count="132">
    <mergeCell ref="M90:M91"/>
    <mergeCell ref="M92:M93"/>
    <mergeCell ref="M96:M97"/>
    <mergeCell ref="M102:M103"/>
    <mergeCell ref="C123:C124"/>
    <mergeCell ref="M138:M139"/>
    <mergeCell ref="C102:C103"/>
    <mergeCell ref="C105:C106"/>
    <mergeCell ref="M129:M130"/>
    <mergeCell ref="M123:M124"/>
    <mergeCell ref="M127:M128"/>
    <mergeCell ref="M119:M120"/>
    <mergeCell ref="M121:M122"/>
    <mergeCell ref="C98:C99"/>
    <mergeCell ref="C107:C108"/>
    <mergeCell ref="C109:C110"/>
    <mergeCell ref="M24:M25"/>
    <mergeCell ref="M33:M34"/>
    <mergeCell ref="L58:L59"/>
    <mergeCell ref="M58:M59"/>
    <mergeCell ref="L88:L89"/>
    <mergeCell ref="M31:M32"/>
    <mergeCell ref="M60:M61"/>
    <mergeCell ref="M66:M67"/>
    <mergeCell ref="M79:M80"/>
    <mergeCell ref="M72:M73"/>
    <mergeCell ref="M35:M36"/>
    <mergeCell ref="M28:M29"/>
    <mergeCell ref="M62:M63"/>
    <mergeCell ref="M75:M76"/>
    <mergeCell ref="M88:M89"/>
    <mergeCell ref="D58:F58"/>
    <mergeCell ref="G58:I58"/>
    <mergeCell ref="K58:K59"/>
    <mergeCell ref="A72:A73"/>
    <mergeCell ref="A75:A76"/>
    <mergeCell ref="K88:K89"/>
    <mergeCell ref="A88:A89"/>
    <mergeCell ref="M68:M69"/>
    <mergeCell ref="M77:M78"/>
    <mergeCell ref="C60:C61"/>
    <mergeCell ref="D88:F88"/>
    <mergeCell ref="G88:I88"/>
    <mergeCell ref="C62:C63"/>
    <mergeCell ref="A58:A59"/>
    <mergeCell ref="A66:A67"/>
    <mergeCell ref="A68:A69"/>
    <mergeCell ref="A77:A78"/>
    <mergeCell ref="B88:B89"/>
    <mergeCell ref="C88:C89"/>
    <mergeCell ref="A79:A80"/>
    <mergeCell ref="A4:B4"/>
    <mergeCell ref="A14:A15"/>
    <mergeCell ref="B14:B15"/>
    <mergeCell ref="C14:C15"/>
    <mergeCell ref="K14:K15"/>
    <mergeCell ref="J4:M4"/>
    <mergeCell ref="A16:A17"/>
    <mergeCell ref="A18:A19"/>
    <mergeCell ref="A22:A23"/>
    <mergeCell ref="M16:M17"/>
    <mergeCell ref="M18:M19"/>
    <mergeCell ref="M22:M23"/>
    <mergeCell ref="C16:C17"/>
    <mergeCell ref="C18:C19"/>
    <mergeCell ref="C22:C23"/>
    <mergeCell ref="L14:L15"/>
    <mergeCell ref="M14:M15"/>
    <mergeCell ref="D14:F14"/>
    <mergeCell ref="G14:I14"/>
    <mergeCell ref="A143:B144"/>
    <mergeCell ref="C143:M144"/>
    <mergeCell ref="A105:A106"/>
    <mergeCell ref="M105:M106"/>
    <mergeCell ref="A98:A99"/>
    <mergeCell ref="M98:M99"/>
    <mergeCell ref="A107:A108"/>
    <mergeCell ref="M107:M108"/>
    <mergeCell ref="A109:A110"/>
    <mergeCell ref="M109:M110"/>
    <mergeCell ref="M140:M141"/>
    <mergeCell ref="A136:A137"/>
    <mergeCell ref="M136:M137"/>
    <mergeCell ref="G119:I119"/>
    <mergeCell ref="K119:K120"/>
    <mergeCell ref="L119:L120"/>
    <mergeCell ref="M133:M134"/>
    <mergeCell ref="D119:F119"/>
    <mergeCell ref="A129:A130"/>
    <mergeCell ref="A102:A103"/>
    <mergeCell ref="B119:B120"/>
    <mergeCell ref="C119:C120"/>
    <mergeCell ref="C136:C137"/>
    <mergeCell ref="A123:A124"/>
    <mergeCell ref="C24:C25"/>
    <mergeCell ref="C33:C34"/>
    <mergeCell ref="C35:C36"/>
    <mergeCell ref="C28:C29"/>
    <mergeCell ref="C31:C32"/>
    <mergeCell ref="A31:A32"/>
    <mergeCell ref="A60:A61"/>
    <mergeCell ref="A62:A63"/>
    <mergeCell ref="B58:B59"/>
    <mergeCell ref="C58:C59"/>
    <mergeCell ref="A24:A25"/>
    <mergeCell ref="A33:A34"/>
    <mergeCell ref="A35:A36"/>
    <mergeCell ref="A28:A29"/>
    <mergeCell ref="A133:A134"/>
    <mergeCell ref="A119:A120"/>
    <mergeCell ref="A138:A139"/>
    <mergeCell ref="A140:A141"/>
    <mergeCell ref="C66:C67"/>
    <mergeCell ref="C68:C69"/>
    <mergeCell ref="C77:C78"/>
    <mergeCell ref="C79:C80"/>
    <mergeCell ref="C72:C73"/>
    <mergeCell ref="C75:C76"/>
    <mergeCell ref="C90:C91"/>
    <mergeCell ref="C127:C128"/>
    <mergeCell ref="C129:C130"/>
    <mergeCell ref="C138:C139"/>
    <mergeCell ref="C140:C141"/>
    <mergeCell ref="C133:C134"/>
    <mergeCell ref="A127:A128"/>
    <mergeCell ref="A90:A91"/>
    <mergeCell ref="A92:A93"/>
    <mergeCell ref="A96:A97"/>
    <mergeCell ref="A121:A122"/>
    <mergeCell ref="C121:C122"/>
    <mergeCell ref="C92:C93"/>
    <mergeCell ref="C96:C97"/>
  </mergeCells>
  <phoneticPr fontId="1" type="noConversion"/>
  <dataValidations disablePrompts="1" xWindow="308" yWindow="234" count="5">
    <dataValidation allowBlank="1" showInputMessage="1" showErrorMessage="1" promptTitle="中文案字數：" prompt="會影響某些中文案件的【慧盈服務費】" sqref="B5" xr:uid="{00000000-0002-0000-0000-000006000000}"/>
    <dataValidation allowBlank="1" showInputMessage="1" showErrorMessage="1" promptTitle="英文案字數：" prompt="會影響某些英文案件的【慧盈服務費】，以及某些案件的【外國代理人費用】" sqref="B6" xr:uid="{00000000-0002-0000-0000-000007000000}"/>
    <dataValidation allowBlank="1" showInputMessage="1" showErrorMessage="1" promptTitle="總請求項數：" prompt="會影響許多地區案件的【官方費用】，以及某些案件的【外國代理人費用】" sqref="B7" xr:uid="{00000000-0002-0000-0000-000008000000}"/>
    <dataValidation allowBlank="1" showInputMessage="1" showErrorMessage="1" promptTitle="獨立項數：" prompt="會影響許多地區案件的【官方費用】，以及某些案件的【外國代理人費用】" sqref="B8" xr:uid="{00000000-0002-0000-0000-000009000000}"/>
    <dataValidation allowBlank="1" showInputMessage="1" showErrorMessage="1" promptTitle="附圖張數：" prompt="會影響某些案件的【慧盈服務費】、【官方費用】、或【外國代理人費用】" sqref="B9" xr:uid="{00000000-0002-0000-0000-00000A000000}"/>
  </dataValidations>
  <printOptions horizontalCentered="1"/>
  <pageMargins left="0.70866141732283472" right="0.70866141732283472" top="0.74803149606299213" bottom="0.39370078740157483" header="0.31496062992125984" footer="0.31496062992125984"/>
  <pageSetup paperSize="9" scale="54" fitToHeight="0" orientation="portrait" r:id="rId1"/>
  <headerFooter>
    <oddHeader>&amp;C&amp;G&amp;RPatent Your Future!&amp;"微軟正黑體,標準"&amp;X®</oddHeader>
    <oddFooter>&amp;L&amp;"標楷體,標準"《IP Winner．慧幫你盈®》&amp;C&amp;"標楷體,標準"第 &amp;P 頁，共 &amp;N 頁&amp;R&amp;"標楷體,標準"V2026.01</oddFooter>
  </headerFooter>
  <rowBreaks count="2" manualBreakCount="2">
    <brk id="85" max="16" man="1"/>
    <brk id="171" max="1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ltText="官方費用">
                <anchor moveWithCells="1">
                  <from>
                    <xdr:col>5</xdr:col>
                    <xdr:colOff>9525</xdr:colOff>
                    <xdr:row>5</xdr:row>
                    <xdr:rowOff>47625</xdr:rowOff>
                  </from>
                  <to>
                    <xdr:col>5</xdr:col>
                    <xdr:colOff>781050</xdr:colOff>
                    <xdr:row>5</xdr:row>
                    <xdr:rowOff>190500</xdr:rowOff>
                  </to>
                </anchor>
              </controlPr>
            </control>
          </mc:Choice>
        </mc:AlternateContent>
        <mc:AlternateContent xmlns:mc="http://schemas.openxmlformats.org/markup-compatibility/2006">
          <mc:Choice Requires="x14">
            <control shapeId="1026" r:id="rId6" name="Check Box 2">
              <controlPr defaultSize="0" autoFill="0" autoLine="0" autoPict="0" altText="官方費用">
                <anchor moveWithCells="1">
                  <from>
                    <xdr:col>5</xdr:col>
                    <xdr:colOff>9525</xdr:colOff>
                    <xdr:row>6</xdr:row>
                    <xdr:rowOff>47625</xdr:rowOff>
                  </from>
                  <to>
                    <xdr:col>5</xdr:col>
                    <xdr:colOff>781050</xdr:colOff>
                    <xdr:row>6</xdr:row>
                    <xdr:rowOff>190500</xdr:rowOff>
                  </to>
                </anchor>
              </controlPr>
            </control>
          </mc:Choice>
        </mc:AlternateContent>
        <mc:AlternateContent xmlns:mc="http://schemas.openxmlformats.org/markup-compatibility/2006">
          <mc:Choice Requires="x14">
            <control shapeId="1027" r:id="rId7" name="Check Box 3">
              <controlPr defaultSize="0" autoFill="0" autoLine="0" autoPict="0" altText="官方費用">
                <anchor moveWithCells="1">
                  <from>
                    <xdr:col>5</xdr:col>
                    <xdr:colOff>9525</xdr:colOff>
                    <xdr:row>7</xdr:row>
                    <xdr:rowOff>47625</xdr:rowOff>
                  </from>
                  <to>
                    <xdr:col>5</xdr:col>
                    <xdr:colOff>781050</xdr:colOff>
                    <xdr:row>7</xdr:row>
                    <xdr:rowOff>190500</xdr:rowOff>
                  </to>
                </anchor>
              </controlPr>
            </control>
          </mc:Choice>
        </mc:AlternateContent>
        <mc:AlternateContent xmlns:mc="http://schemas.openxmlformats.org/markup-compatibility/2006">
          <mc:Choice Requires="x14">
            <control shapeId="1028" r:id="rId8" name="Check Box 4">
              <controlPr defaultSize="0" autoFill="0" autoLine="0" autoPict="0" altText="官方費用">
                <anchor moveWithCells="1">
                  <from>
                    <xdr:col>4</xdr:col>
                    <xdr:colOff>38100</xdr:colOff>
                    <xdr:row>5</xdr:row>
                    <xdr:rowOff>47625</xdr:rowOff>
                  </from>
                  <to>
                    <xdr:col>4</xdr:col>
                    <xdr:colOff>809625</xdr:colOff>
                    <xdr:row>5</xdr:row>
                    <xdr:rowOff>190500</xdr:rowOff>
                  </to>
                </anchor>
              </controlPr>
            </control>
          </mc:Choice>
        </mc:AlternateContent>
        <mc:AlternateContent xmlns:mc="http://schemas.openxmlformats.org/markup-compatibility/2006">
          <mc:Choice Requires="x14">
            <control shapeId="1029" r:id="rId9" name="Check Box 5">
              <controlPr defaultSize="0" autoFill="0" autoLine="0" autoPict="0" altText="官方費用">
                <anchor moveWithCells="1">
                  <from>
                    <xdr:col>4</xdr:col>
                    <xdr:colOff>38100</xdr:colOff>
                    <xdr:row>6</xdr:row>
                    <xdr:rowOff>47625</xdr:rowOff>
                  </from>
                  <to>
                    <xdr:col>4</xdr:col>
                    <xdr:colOff>809625</xdr:colOff>
                    <xdr:row>6</xdr:row>
                    <xdr:rowOff>190500</xdr:rowOff>
                  </to>
                </anchor>
              </controlPr>
            </control>
          </mc:Choice>
        </mc:AlternateContent>
        <mc:AlternateContent xmlns:mc="http://schemas.openxmlformats.org/markup-compatibility/2006">
          <mc:Choice Requires="x14">
            <control shapeId="1030" r:id="rId10" name="Check Box 6">
              <controlPr defaultSize="0" autoFill="0" autoLine="0" autoPict="0" altText="官方費用">
                <anchor moveWithCells="1">
                  <from>
                    <xdr:col>4</xdr:col>
                    <xdr:colOff>38100</xdr:colOff>
                    <xdr:row>7</xdr:row>
                    <xdr:rowOff>47625</xdr:rowOff>
                  </from>
                  <to>
                    <xdr:col>4</xdr:col>
                    <xdr:colOff>809625</xdr:colOff>
                    <xdr:row>7</xdr:row>
                    <xdr:rowOff>190500</xdr:rowOff>
                  </to>
                </anchor>
              </controlPr>
            </control>
          </mc:Choice>
        </mc:AlternateContent>
        <mc:AlternateContent xmlns:mc="http://schemas.openxmlformats.org/markup-compatibility/2006">
          <mc:Choice Requires="x14">
            <control shapeId="1031" r:id="rId11" name="Check Box 7">
              <controlPr defaultSize="0" autoFill="0" autoLine="0" autoPict="0" altText="官方費用">
                <anchor moveWithCells="1">
                  <from>
                    <xdr:col>4</xdr:col>
                    <xdr:colOff>38100</xdr:colOff>
                    <xdr:row>8</xdr:row>
                    <xdr:rowOff>47625</xdr:rowOff>
                  </from>
                  <to>
                    <xdr:col>4</xdr:col>
                    <xdr:colOff>809625</xdr:colOff>
                    <xdr:row>8</xdr:row>
                    <xdr:rowOff>190500</xdr:rowOff>
                  </to>
                </anchor>
              </controlPr>
            </control>
          </mc:Choice>
        </mc:AlternateContent>
        <mc:AlternateContent xmlns:mc="http://schemas.openxmlformats.org/markup-compatibility/2006">
          <mc:Choice Requires="x14">
            <control shapeId="1059" r:id="rId12" name="Option Button 35">
              <controlPr defaultSize="0" autoFill="0" autoLine="0" autoPict="0">
                <anchor moveWithCells="1">
                  <from>
                    <xdr:col>3</xdr:col>
                    <xdr:colOff>85725</xdr:colOff>
                    <xdr:row>142</xdr:row>
                    <xdr:rowOff>0</xdr:rowOff>
                  </from>
                  <to>
                    <xdr:col>4</xdr:col>
                    <xdr:colOff>133350</xdr:colOff>
                    <xdr:row>142</xdr:row>
                    <xdr:rowOff>238125</xdr:rowOff>
                  </to>
                </anchor>
              </controlPr>
            </control>
          </mc:Choice>
        </mc:AlternateContent>
        <mc:AlternateContent xmlns:mc="http://schemas.openxmlformats.org/markup-compatibility/2006">
          <mc:Choice Requires="x14">
            <control shapeId="1060" r:id="rId13" name="Option Button 36">
              <controlPr defaultSize="0" autoFill="0" autoLine="0" autoPict="0">
                <anchor moveWithCells="1">
                  <from>
                    <xdr:col>4</xdr:col>
                    <xdr:colOff>247650</xdr:colOff>
                    <xdr:row>142</xdr:row>
                    <xdr:rowOff>0</xdr:rowOff>
                  </from>
                  <to>
                    <xdr:col>4</xdr:col>
                    <xdr:colOff>752475</xdr:colOff>
                    <xdr:row>142</xdr:row>
                    <xdr:rowOff>238125</xdr:rowOff>
                  </to>
                </anchor>
              </controlPr>
            </control>
          </mc:Choice>
        </mc:AlternateContent>
        <mc:AlternateContent xmlns:mc="http://schemas.openxmlformats.org/markup-compatibility/2006">
          <mc:Choice Requires="x14">
            <control shapeId="1061" r:id="rId14" name="Option Button 37">
              <controlPr defaultSize="0" autoFill="0" autoLine="0" autoPict="0">
                <anchor moveWithCells="1">
                  <from>
                    <xdr:col>4</xdr:col>
                    <xdr:colOff>866775</xdr:colOff>
                    <xdr:row>142</xdr:row>
                    <xdr:rowOff>0</xdr:rowOff>
                  </from>
                  <to>
                    <xdr:col>5</xdr:col>
                    <xdr:colOff>314325</xdr:colOff>
                    <xdr:row>142</xdr:row>
                    <xdr:rowOff>238125</xdr:rowOff>
                  </to>
                </anchor>
              </controlPr>
            </control>
          </mc:Choice>
        </mc:AlternateContent>
        <mc:AlternateContent xmlns:mc="http://schemas.openxmlformats.org/markup-compatibility/2006">
          <mc:Choice Requires="x14">
            <control shapeId="1062" r:id="rId15" name="Option Button 38">
              <controlPr defaultSize="0" autoFill="0" autoLine="0" autoPict="0">
                <anchor moveWithCells="1">
                  <from>
                    <xdr:col>5</xdr:col>
                    <xdr:colOff>409575</xdr:colOff>
                    <xdr:row>142</xdr:row>
                    <xdr:rowOff>0</xdr:rowOff>
                  </from>
                  <to>
                    <xdr:col>5</xdr:col>
                    <xdr:colOff>914400</xdr:colOff>
                    <xdr:row>142</xdr:row>
                    <xdr:rowOff>238125</xdr:rowOff>
                  </to>
                </anchor>
              </controlPr>
            </control>
          </mc:Choice>
        </mc:AlternateContent>
        <mc:AlternateContent xmlns:mc="http://schemas.openxmlformats.org/markup-compatibility/2006">
          <mc:Choice Requires="x14">
            <control shapeId="1063" r:id="rId16" name="Option Button 39">
              <controlPr defaultSize="0" autoFill="0" autoLine="0" autoPict="0">
                <anchor moveWithCells="1">
                  <from>
                    <xdr:col>5</xdr:col>
                    <xdr:colOff>1028700</xdr:colOff>
                    <xdr:row>142</xdr:row>
                    <xdr:rowOff>0</xdr:rowOff>
                  </from>
                  <to>
                    <xdr:col>7</xdr:col>
                    <xdr:colOff>28575</xdr:colOff>
                    <xdr:row>142</xdr:row>
                    <xdr:rowOff>238125</xdr:rowOff>
                  </to>
                </anchor>
              </controlPr>
            </control>
          </mc:Choice>
        </mc:AlternateContent>
        <mc:AlternateContent xmlns:mc="http://schemas.openxmlformats.org/markup-compatibility/2006">
          <mc:Choice Requires="x14">
            <control shapeId="1064" r:id="rId17" name="Option Button 40">
              <controlPr defaultSize="0" autoFill="0" autoLine="0" autoPict="0">
                <anchor moveWithCells="1">
                  <from>
                    <xdr:col>7</xdr:col>
                    <xdr:colOff>161925</xdr:colOff>
                    <xdr:row>142</xdr:row>
                    <xdr:rowOff>0</xdr:rowOff>
                  </from>
                  <to>
                    <xdr:col>7</xdr:col>
                    <xdr:colOff>657225</xdr:colOff>
                    <xdr:row>142</xdr:row>
                    <xdr:rowOff>238125</xdr:rowOff>
                  </to>
                </anchor>
              </controlPr>
            </control>
          </mc:Choice>
        </mc:AlternateContent>
        <mc:AlternateContent xmlns:mc="http://schemas.openxmlformats.org/markup-compatibility/2006">
          <mc:Choice Requires="x14">
            <control shapeId="1065" r:id="rId18" name="Option Button 41">
              <controlPr defaultSize="0" autoFill="0" autoLine="0" autoPict="0">
                <anchor moveWithCells="1">
                  <from>
                    <xdr:col>7</xdr:col>
                    <xdr:colOff>762000</xdr:colOff>
                    <xdr:row>142</xdr:row>
                    <xdr:rowOff>0</xdr:rowOff>
                  </from>
                  <to>
                    <xdr:col>8</xdr:col>
                    <xdr:colOff>209550</xdr:colOff>
                    <xdr:row>142</xdr:row>
                    <xdr:rowOff>238125</xdr:rowOff>
                  </to>
                </anchor>
              </controlPr>
            </control>
          </mc:Choice>
        </mc:AlternateContent>
        <mc:AlternateContent xmlns:mc="http://schemas.openxmlformats.org/markup-compatibility/2006">
          <mc:Choice Requires="x14">
            <control shapeId="1066" r:id="rId19" name="Option Button 42">
              <controlPr defaultSize="0" autoFill="0" autoLine="0" autoPict="0">
                <anchor moveWithCells="1">
                  <from>
                    <xdr:col>8</xdr:col>
                    <xdr:colOff>333375</xdr:colOff>
                    <xdr:row>142</xdr:row>
                    <xdr:rowOff>0</xdr:rowOff>
                  </from>
                  <to>
                    <xdr:col>8</xdr:col>
                    <xdr:colOff>828675</xdr:colOff>
                    <xdr:row>142</xdr:row>
                    <xdr:rowOff>238125</xdr:rowOff>
                  </to>
                </anchor>
              </controlPr>
            </control>
          </mc:Choice>
        </mc:AlternateContent>
        <mc:AlternateContent xmlns:mc="http://schemas.openxmlformats.org/markup-compatibility/2006">
          <mc:Choice Requires="x14">
            <control shapeId="1067" r:id="rId20" name="Option Button 43">
              <controlPr defaultSize="0" autoFill="0" autoLine="0" autoPict="0">
                <anchor moveWithCells="1">
                  <from>
                    <xdr:col>8</xdr:col>
                    <xdr:colOff>933450</xdr:colOff>
                    <xdr:row>142</xdr:row>
                    <xdr:rowOff>0</xdr:rowOff>
                  </from>
                  <to>
                    <xdr:col>9</xdr:col>
                    <xdr:colOff>390525</xdr:colOff>
                    <xdr:row>142</xdr:row>
                    <xdr:rowOff>238125</xdr:rowOff>
                  </to>
                </anchor>
              </controlPr>
            </control>
          </mc:Choice>
        </mc:AlternateContent>
        <mc:AlternateContent xmlns:mc="http://schemas.openxmlformats.org/markup-compatibility/2006">
          <mc:Choice Requires="x14">
            <control shapeId="1068" r:id="rId21" name="Option Button 44">
              <controlPr defaultSize="0" autoFill="0" autoLine="0" autoPict="0">
                <anchor moveWithCells="1">
                  <from>
                    <xdr:col>9</xdr:col>
                    <xdr:colOff>504825</xdr:colOff>
                    <xdr:row>142</xdr:row>
                    <xdr:rowOff>0</xdr:rowOff>
                  </from>
                  <to>
                    <xdr:col>9</xdr:col>
                    <xdr:colOff>1000125</xdr:colOff>
                    <xdr:row>142</xdr:row>
                    <xdr:rowOff>238125</xdr:rowOff>
                  </to>
                </anchor>
              </controlPr>
            </control>
          </mc:Choice>
        </mc:AlternateContent>
        <mc:AlternateContent xmlns:mc="http://schemas.openxmlformats.org/markup-compatibility/2006">
          <mc:Choice Requires="x14">
            <control shapeId="1069" r:id="rId22" name="Option Button 45">
              <controlPr defaultSize="0" autoFill="0" autoLine="0" autoPict="0">
                <anchor moveWithCells="1">
                  <from>
                    <xdr:col>10</xdr:col>
                    <xdr:colOff>85725</xdr:colOff>
                    <xdr:row>142</xdr:row>
                    <xdr:rowOff>0</xdr:rowOff>
                  </from>
                  <to>
                    <xdr:col>10</xdr:col>
                    <xdr:colOff>581025</xdr:colOff>
                    <xdr:row>142</xdr:row>
                    <xdr:rowOff>238125</xdr:rowOff>
                  </to>
                </anchor>
              </controlPr>
            </control>
          </mc:Choice>
        </mc:AlternateContent>
        <mc:AlternateContent xmlns:mc="http://schemas.openxmlformats.org/markup-compatibility/2006">
          <mc:Choice Requires="x14">
            <control shapeId="1070" r:id="rId23" name="Option Button 46">
              <controlPr defaultSize="0" autoFill="0" autoLine="0" autoPict="0">
                <anchor moveWithCells="1">
                  <from>
                    <xdr:col>10</xdr:col>
                    <xdr:colOff>685800</xdr:colOff>
                    <xdr:row>142</xdr:row>
                    <xdr:rowOff>0</xdr:rowOff>
                  </from>
                  <to>
                    <xdr:col>11</xdr:col>
                    <xdr:colOff>142875</xdr:colOff>
                    <xdr:row>142</xdr:row>
                    <xdr:rowOff>238125</xdr:rowOff>
                  </to>
                </anchor>
              </controlPr>
            </control>
          </mc:Choice>
        </mc:AlternateContent>
        <mc:AlternateContent xmlns:mc="http://schemas.openxmlformats.org/markup-compatibility/2006">
          <mc:Choice Requires="x14">
            <control shapeId="1071" r:id="rId24" name="Option Button 47">
              <controlPr defaultSize="0" autoFill="0" autoLine="0" autoPict="0">
                <anchor moveWithCells="1">
                  <from>
                    <xdr:col>11</xdr:col>
                    <xdr:colOff>247650</xdr:colOff>
                    <xdr:row>142</xdr:row>
                    <xdr:rowOff>0</xdr:rowOff>
                  </from>
                  <to>
                    <xdr:col>11</xdr:col>
                    <xdr:colOff>742950</xdr:colOff>
                    <xdr:row>142</xdr:row>
                    <xdr:rowOff>238125</xdr:rowOff>
                  </to>
                </anchor>
              </controlPr>
            </control>
          </mc:Choice>
        </mc:AlternateContent>
        <mc:AlternateContent xmlns:mc="http://schemas.openxmlformats.org/markup-compatibility/2006">
          <mc:Choice Requires="x14">
            <control shapeId="1072" r:id="rId25" name="Option Button 48">
              <controlPr defaultSize="0" autoFill="0" autoLine="0" autoPict="0">
                <anchor moveWithCells="1">
                  <from>
                    <xdr:col>11</xdr:col>
                    <xdr:colOff>847725</xdr:colOff>
                    <xdr:row>142</xdr:row>
                    <xdr:rowOff>0</xdr:rowOff>
                  </from>
                  <to>
                    <xdr:col>12</xdr:col>
                    <xdr:colOff>47625</xdr:colOff>
                    <xdr:row>142</xdr:row>
                    <xdr:rowOff>238125</xdr:rowOff>
                  </to>
                </anchor>
              </controlPr>
            </control>
          </mc:Choice>
        </mc:AlternateContent>
        <mc:AlternateContent xmlns:mc="http://schemas.openxmlformats.org/markup-compatibility/2006">
          <mc:Choice Requires="x14">
            <control shapeId="1073" r:id="rId26" name="Option Button 49">
              <controlPr defaultSize="0" autoFill="0" autoLine="0" autoPict="0">
                <anchor moveWithCells="1">
                  <from>
                    <xdr:col>12</xdr:col>
                    <xdr:colOff>152400</xdr:colOff>
                    <xdr:row>142</xdr:row>
                    <xdr:rowOff>0</xdr:rowOff>
                  </from>
                  <to>
                    <xdr:col>12</xdr:col>
                    <xdr:colOff>762000</xdr:colOff>
                    <xdr:row>142</xdr:row>
                    <xdr:rowOff>238125</xdr:rowOff>
                  </to>
                </anchor>
              </controlPr>
            </control>
          </mc:Choice>
        </mc:AlternateContent>
        <mc:AlternateContent xmlns:mc="http://schemas.openxmlformats.org/markup-compatibility/2006">
          <mc:Choice Requires="x14">
            <control shapeId="1074" r:id="rId27" name="Option Button 50">
              <controlPr defaultSize="0" autoFill="0" autoLine="0" autoPict="0">
                <anchor moveWithCells="1">
                  <from>
                    <xdr:col>3</xdr:col>
                    <xdr:colOff>85725</xdr:colOff>
                    <xdr:row>143</xdr:row>
                    <xdr:rowOff>9525</xdr:rowOff>
                  </from>
                  <to>
                    <xdr:col>4</xdr:col>
                    <xdr:colOff>133350</xdr:colOff>
                    <xdr:row>144</xdr:row>
                    <xdr:rowOff>0</xdr:rowOff>
                  </to>
                </anchor>
              </controlPr>
            </control>
          </mc:Choice>
        </mc:AlternateContent>
        <mc:AlternateContent xmlns:mc="http://schemas.openxmlformats.org/markup-compatibility/2006">
          <mc:Choice Requires="x14">
            <control shapeId="1075" r:id="rId28" name="Option Button 51">
              <controlPr defaultSize="0" autoFill="0" autoLine="0" autoPict="0">
                <anchor moveWithCells="1">
                  <from>
                    <xdr:col>4</xdr:col>
                    <xdr:colOff>247650</xdr:colOff>
                    <xdr:row>143</xdr:row>
                    <xdr:rowOff>9525</xdr:rowOff>
                  </from>
                  <to>
                    <xdr:col>4</xdr:col>
                    <xdr:colOff>752475</xdr:colOff>
                    <xdr:row>144</xdr:row>
                    <xdr:rowOff>0</xdr:rowOff>
                  </to>
                </anchor>
              </controlPr>
            </control>
          </mc:Choice>
        </mc:AlternateContent>
        <mc:AlternateContent xmlns:mc="http://schemas.openxmlformats.org/markup-compatibility/2006">
          <mc:Choice Requires="x14">
            <control shapeId="1076" r:id="rId29" name="Option Button 52">
              <controlPr defaultSize="0" autoFill="0" autoLine="0" autoPict="0">
                <anchor moveWithCells="1">
                  <from>
                    <xdr:col>4</xdr:col>
                    <xdr:colOff>857250</xdr:colOff>
                    <xdr:row>143</xdr:row>
                    <xdr:rowOff>9525</xdr:rowOff>
                  </from>
                  <to>
                    <xdr:col>5</xdr:col>
                    <xdr:colOff>304800</xdr:colOff>
                    <xdr:row>144</xdr:row>
                    <xdr:rowOff>0</xdr:rowOff>
                  </to>
                </anchor>
              </controlPr>
            </control>
          </mc:Choice>
        </mc:AlternateContent>
        <mc:AlternateContent xmlns:mc="http://schemas.openxmlformats.org/markup-compatibility/2006">
          <mc:Choice Requires="x14">
            <control shapeId="1077" r:id="rId30" name="Option Button 53">
              <controlPr defaultSize="0" autoFill="0" autoLine="0" autoPict="0">
                <anchor moveWithCells="1">
                  <from>
                    <xdr:col>5</xdr:col>
                    <xdr:colOff>409575</xdr:colOff>
                    <xdr:row>143</xdr:row>
                    <xdr:rowOff>9525</xdr:rowOff>
                  </from>
                  <to>
                    <xdr:col>5</xdr:col>
                    <xdr:colOff>914400</xdr:colOff>
                    <xdr:row>144</xdr:row>
                    <xdr:rowOff>0</xdr:rowOff>
                  </to>
                </anchor>
              </controlPr>
            </control>
          </mc:Choice>
        </mc:AlternateContent>
        <mc:AlternateContent xmlns:mc="http://schemas.openxmlformats.org/markup-compatibility/2006">
          <mc:Choice Requires="x14">
            <control shapeId="1078" r:id="rId31" name="Option Button 54">
              <controlPr defaultSize="0" autoFill="0" autoLine="0" autoPict="0">
                <anchor moveWithCells="1">
                  <from>
                    <xdr:col>5</xdr:col>
                    <xdr:colOff>1028700</xdr:colOff>
                    <xdr:row>143</xdr:row>
                    <xdr:rowOff>9525</xdr:rowOff>
                  </from>
                  <to>
                    <xdr:col>7</xdr:col>
                    <xdr:colOff>28575</xdr:colOff>
                    <xdr:row>144</xdr:row>
                    <xdr:rowOff>0</xdr:rowOff>
                  </to>
                </anchor>
              </controlPr>
            </control>
          </mc:Choice>
        </mc:AlternateContent>
        <mc:AlternateContent xmlns:mc="http://schemas.openxmlformats.org/markup-compatibility/2006">
          <mc:Choice Requires="x14">
            <control shapeId="1079" r:id="rId32" name="Option Button 55">
              <controlPr defaultSize="0" autoFill="0" autoLine="0" autoPict="0">
                <anchor moveWithCells="1">
                  <from>
                    <xdr:col>7</xdr:col>
                    <xdr:colOff>161925</xdr:colOff>
                    <xdr:row>143</xdr:row>
                    <xdr:rowOff>9525</xdr:rowOff>
                  </from>
                  <to>
                    <xdr:col>7</xdr:col>
                    <xdr:colOff>657225</xdr:colOff>
                    <xdr:row>144</xdr:row>
                    <xdr:rowOff>0</xdr:rowOff>
                  </to>
                </anchor>
              </controlPr>
            </control>
          </mc:Choice>
        </mc:AlternateContent>
        <mc:AlternateContent xmlns:mc="http://schemas.openxmlformats.org/markup-compatibility/2006">
          <mc:Choice Requires="x14">
            <control shapeId="1080" r:id="rId33" name="Option Button 56">
              <controlPr defaultSize="0" autoFill="0" autoLine="0" autoPict="0">
                <anchor moveWithCells="1">
                  <from>
                    <xdr:col>7</xdr:col>
                    <xdr:colOff>762000</xdr:colOff>
                    <xdr:row>143</xdr:row>
                    <xdr:rowOff>9525</xdr:rowOff>
                  </from>
                  <to>
                    <xdr:col>8</xdr:col>
                    <xdr:colOff>209550</xdr:colOff>
                    <xdr:row>144</xdr:row>
                    <xdr:rowOff>0</xdr:rowOff>
                  </to>
                </anchor>
              </controlPr>
            </control>
          </mc:Choice>
        </mc:AlternateContent>
        <mc:AlternateContent xmlns:mc="http://schemas.openxmlformats.org/markup-compatibility/2006">
          <mc:Choice Requires="x14">
            <control shapeId="1081" r:id="rId34" name="Option Button 57">
              <controlPr defaultSize="0" autoFill="0" autoLine="0" autoPict="0">
                <anchor moveWithCells="1">
                  <from>
                    <xdr:col>8</xdr:col>
                    <xdr:colOff>333375</xdr:colOff>
                    <xdr:row>143</xdr:row>
                    <xdr:rowOff>9525</xdr:rowOff>
                  </from>
                  <to>
                    <xdr:col>8</xdr:col>
                    <xdr:colOff>828675</xdr:colOff>
                    <xdr:row>144</xdr:row>
                    <xdr:rowOff>0</xdr:rowOff>
                  </to>
                </anchor>
              </controlPr>
            </control>
          </mc:Choice>
        </mc:AlternateContent>
        <mc:AlternateContent xmlns:mc="http://schemas.openxmlformats.org/markup-compatibility/2006">
          <mc:Choice Requires="x14">
            <control shapeId="1082" r:id="rId35" name="Option Button 58">
              <controlPr defaultSize="0" autoFill="0" autoLine="0" autoPict="0">
                <anchor moveWithCells="1">
                  <from>
                    <xdr:col>8</xdr:col>
                    <xdr:colOff>933450</xdr:colOff>
                    <xdr:row>143</xdr:row>
                    <xdr:rowOff>9525</xdr:rowOff>
                  </from>
                  <to>
                    <xdr:col>9</xdr:col>
                    <xdr:colOff>390525</xdr:colOff>
                    <xdr:row>144</xdr:row>
                    <xdr:rowOff>0</xdr:rowOff>
                  </to>
                </anchor>
              </controlPr>
            </control>
          </mc:Choice>
        </mc:AlternateContent>
        <mc:AlternateContent xmlns:mc="http://schemas.openxmlformats.org/markup-compatibility/2006">
          <mc:Choice Requires="x14">
            <control shapeId="1083" r:id="rId36" name="Option Button 59">
              <controlPr defaultSize="0" autoFill="0" autoLine="0" autoPict="0">
                <anchor moveWithCells="1">
                  <from>
                    <xdr:col>9</xdr:col>
                    <xdr:colOff>504825</xdr:colOff>
                    <xdr:row>143</xdr:row>
                    <xdr:rowOff>9525</xdr:rowOff>
                  </from>
                  <to>
                    <xdr:col>9</xdr:col>
                    <xdr:colOff>1000125</xdr:colOff>
                    <xdr:row>144</xdr:row>
                    <xdr:rowOff>0</xdr:rowOff>
                  </to>
                </anchor>
              </controlPr>
            </control>
          </mc:Choice>
        </mc:AlternateContent>
        <mc:AlternateContent xmlns:mc="http://schemas.openxmlformats.org/markup-compatibility/2006">
          <mc:Choice Requires="x14">
            <control shapeId="1084" r:id="rId37" name="Option Button 60">
              <controlPr defaultSize="0" autoFill="0" autoLine="0" autoPict="0">
                <anchor moveWithCells="1">
                  <from>
                    <xdr:col>2</xdr:col>
                    <xdr:colOff>76200</xdr:colOff>
                    <xdr:row>142</xdr:row>
                    <xdr:rowOff>0</xdr:rowOff>
                  </from>
                  <to>
                    <xdr:col>3</xdr:col>
                    <xdr:colOff>47625</xdr:colOff>
                    <xdr:row>142</xdr:row>
                    <xdr:rowOff>238125</xdr:rowOff>
                  </to>
                </anchor>
              </controlPr>
            </control>
          </mc:Choice>
        </mc:AlternateContent>
        <mc:AlternateContent xmlns:mc="http://schemas.openxmlformats.org/markup-compatibility/2006">
          <mc:Choice Requires="x14">
            <control shapeId="1154" r:id="rId38" name="Check Box 130">
              <controlPr defaultSize="0" autoFill="0" autoLine="0" autoPict="0">
                <anchor moveWithCells="1">
                  <from>
                    <xdr:col>1</xdr:col>
                    <xdr:colOff>171450</xdr:colOff>
                    <xdr:row>15</xdr:row>
                    <xdr:rowOff>38100</xdr:rowOff>
                  </from>
                  <to>
                    <xdr:col>1</xdr:col>
                    <xdr:colOff>695325</xdr:colOff>
                    <xdr:row>15</xdr:row>
                    <xdr:rowOff>180975</xdr:rowOff>
                  </to>
                </anchor>
              </controlPr>
            </control>
          </mc:Choice>
        </mc:AlternateContent>
        <mc:AlternateContent xmlns:mc="http://schemas.openxmlformats.org/markup-compatibility/2006">
          <mc:Choice Requires="x14">
            <control shapeId="1155" r:id="rId39" name="Check Box 131">
              <controlPr defaultSize="0" autoFill="0" autoLine="0" autoPict="0">
                <anchor moveWithCells="1">
                  <from>
                    <xdr:col>1</xdr:col>
                    <xdr:colOff>171450</xdr:colOff>
                    <xdr:row>16</xdr:row>
                    <xdr:rowOff>38100</xdr:rowOff>
                  </from>
                  <to>
                    <xdr:col>1</xdr:col>
                    <xdr:colOff>695325</xdr:colOff>
                    <xdr:row>16</xdr:row>
                    <xdr:rowOff>180975</xdr:rowOff>
                  </to>
                </anchor>
              </controlPr>
            </control>
          </mc:Choice>
        </mc:AlternateContent>
        <mc:AlternateContent xmlns:mc="http://schemas.openxmlformats.org/markup-compatibility/2006">
          <mc:Choice Requires="x14">
            <control shapeId="1156" r:id="rId40" name="Check Box 132">
              <controlPr defaultSize="0" autoFill="0" autoLine="0" autoPict="0">
                <anchor moveWithCells="1">
                  <from>
                    <xdr:col>1</xdr:col>
                    <xdr:colOff>171450</xdr:colOff>
                    <xdr:row>17</xdr:row>
                    <xdr:rowOff>38100</xdr:rowOff>
                  </from>
                  <to>
                    <xdr:col>1</xdr:col>
                    <xdr:colOff>695325</xdr:colOff>
                    <xdr:row>17</xdr:row>
                    <xdr:rowOff>180975</xdr:rowOff>
                  </to>
                </anchor>
              </controlPr>
            </control>
          </mc:Choice>
        </mc:AlternateContent>
        <mc:AlternateContent xmlns:mc="http://schemas.openxmlformats.org/markup-compatibility/2006">
          <mc:Choice Requires="x14">
            <control shapeId="1157" r:id="rId41" name="Check Box 133">
              <controlPr defaultSize="0" autoFill="0" autoLine="0" autoPict="0">
                <anchor moveWithCells="1">
                  <from>
                    <xdr:col>1</xdr:col>
                    <xdr:colOff>171450</xdr:colOff>
                    <xdr:row>18</xdr:row>
                    <xdr:rowOff>38100</xdr:rowOff>
                  </from>
                  <to>
                    <xdr:col>1</xdr:col>
                    <xdr:colOff>695325</xdr:colOff>
                    <xdr:row>18</xdr:row>
                    <xdr:rowOff>180975</xdr:rowOff>
                  </to>
                </anchor>
              </controlPr>
            </control>
          </mc:Choice>
        </mc:AlternateContent>
        <mc:AlternateContent xmlns:mc="http://schemas.openxmlformats.org/markup-compatibility/2006">
          <mc:Choice Requires="x14">
            <control shapeId="1158" r:id="rId42" name="Check Box 134">
              <controlPr defaultSize="0" autoFill="0" autoLine="0" autoPict="0">
                <anchor moveWithCells="1">
                  <from>
                    <xdr:col>1</xdr:col>
                    <xdr:colOff>171450</xdr:colOff>
                    <xdr:row>19</xdr:row>
                    <xdr:rowOff>38100</xdr:rowOff>
                  </from>
                  <to>
                    <xdr:col>1</xdr:col>
                    <xdr:colOff>695325</xdr:colOff>
                    <xdr:row>19</xdr:row>
                    <xdr:rowOff>180975</xdr:rowOff>
                  </to>
                </anchor>
              </controlPr>
            </control>
          </mc:Choice>
        </mc:AlternateContent>
        <mc:AlternateContent xmlns:mc="http://schemas.openxmlformats.org/markup-compatibility/2006">
          <mc:Choice Requires="x14">
            <control shapeId="1159" r:id="rId43" name="Check Box 135">
              <controlPr defaultSize="0" autoFill="0" autoLine="0" autoPict="0">
                <anchor moveWithCells="1">
                  <from>
                    <xdr:col>1</xdr:col>
                    <xdr:colOff>171450</xdr:colOff>
                    <xdr:row>20</xdr:row>
                    <xdr:rowOff>38100</xdr:rowOff>
                  </from>
                  <to>
                    <xdr:col>1</xdr:col>
                    <xdr:colOff>695325</xdr:colOff>
                    <xdr:row>20</xdr:row>
                    <xdr:rowOff>180975</xdr:rowOff>
                  </to>
                </anchor>
              </controlPr>
            </control>
          </mc:Choice>
        </mc:AlternateContent>
        <mc:AlternateContent xmlns:mc="http://schemas.openxmlformats.org/markup-compatibility/2006">
          <mc:Choice Requires="x14">
            <control shapeId="1160" r:id="rId44" name="Check Box 136">
              <controlPr defaultSize="0" autoFill="0" autoLine="0" autoPict="0">
                <anchor moveWithCells="1">
                  <from>
                    <xdr:col>1</xdr:col>
                    <xdr:colOff>171450</xdr:colOff>
                    <xdr:row>21</xdr:row>
                    <xdr:rowOff>38100</xdr:rowOff>
                  </from>
                  <to>
                    <xdr:col>1</xdr:col>
                    <xdr:colOff>695325</xdr:colOff>
                    <xdr:row>21</xdr:row>
                    <xdr:rowOff>180975</xdr:rowOff>
                  </to>
                </anchor>
              </controlPr>
            </control>
          </mc:Choice>
        </mc:AlternateContent>
        <mc:AlternateContent xmlns:mc="http://schemas.openxmlformats.org/markup-compatibility/2006">
          <mc:Choice Requires="x14">
            <control shapeId="1161" r:id="rId45" name="Check Box 137">
              <controlPr defaultSize="0" autoFill="0" autoLine="0" autoPict="0">
                <anchor moveWithCells="1">
                  <from>
                    <xdr:col>1</xdr:col>
                    <xdr:colOff>171450</xdr:colOff>
                    <xdr:row>22</xdr:row>
                    <xdr:rowOff>38100</xdr:rowOff>
                  </from>
                  <to>
                    <xdr:col>1</xdr:col>
                    <xdr:colOff>695325</xdr:colOff>
                    <xdr:row>22</xdr:row>
                    <xdr:rowOff>190500</xdr:rowOff>
                  </to>
                </anchor>
              </controlPr>
            </control>
          </mc:Choice>
        </mc:AlternateContent>
        <mc:AlternateContent xmlns:mc="http://schemas.openxmlformats.org/markup-compatibility/2006">
          <mc:Choice Requires="x14">
            <control shapeId="1162" r:id="rId46" name="Check Box 138">
              <controlPr defaultSize="0" autoFill="0" autoLine="0" autoPict="0">
                <anchor moveWithCells="1">
                  <from>
                    <xdr:col>1</xdr:col>
                    <xdr:colOff>171450</xdr:colOff>
                    <xdr:row>23</xdr:row>
                    <xdr:rowOff>38100</xdr:rowOff>
                  </from>
                  <to>
                    <xdr:col>1</xdr:col>
                    <xdr:colOff>695325</xdr:colOff>
                    <xdr:row>23</xdr:row>
                    <xdr:rowOff>190500</xdr:rowOff>
                  </to>
                </anchor>
              </controlPr>
            </control>
          </mc:Choice>
        </mc:AlternateContent>
        <mc:AlternateContent xmlns:mc="http://schemas.openxmlformats.org/markup-compatibility/2006">
          <mc:Choice Requires="x14">
            <control shapeId="1163" r:id="rId47" name="Check Box 139">
              <controlPr defaultSize="0" autoFill="0" autoLine="0" autoPict="0">
                <anchor moveWithCells="1">
                  <from>
                    <xdr:col>1</xdr:col>
                    <xdr:colOff>171450</xdr:colOff>
                    <xdr:row>24</xdr:row>
                    <xdr:rowOff>38100</xdr:rowOff>
                  </from>
                  <to>
                    <xdr:col>1</xdr:col>
                    <xdr:colOff>695325</xdr:colOff>
                    <xdr:row>24</xdr:row>
                    <xdr:rowOff>190500</xdr:rowOff>
                  </to>
                </anchor>
              </controlPr>
            </control>
          </mc:Choice>
        </mc:AlternateContent>
        <mc:AlternateContent xmlns:mc="http://schemas.openxmlformats.org/markup-compatibility/2006">
          <mc:Choice Requires="x14">
            <control shapeId="1164" r:id="rId48" name="Check Box 140">
              <controlPr defaultSize="0" autoFill="0" autoLine="0" autoPict="0">
                <anchor moveWithCells="1">
                  <from>
                    <xdr:col>1</xdr:col>
                    <xdr:colOff>171450</xdr:colOff>
                    <xdr:row>32</xdr:row>
                    <xdr:rowOff>38100</xdr:rowOff>
                  </from>
                  <to>
                    <xdr:col>1</xdr:col>
                    <xdr:colOff>695325</xdr:colOff>
                    <xdr:row>32</xdr:row>
                    <xdr:rowOff>190500</xdr:rowOff>
                  </to>
                </anchor>
              </controlPr>
            </control>
          </mc:Choice>
        </mc:AlternateContent>
        <mc:AlternateContent xmlns:mc="http://schemas.openxmlformats.org/markup-compatibility/2006">
          <mc:Choice Requires="x14">
            <control shapeId="1165" r:id="rId49" name="Check Box 141">
              <controlPr defaultSize="0" autoFill="0" autoLine="0" autoPict="0">
                <anchor moveWithCells="1">
                  <from>
                    <xdr:col>1</xdr:col>
                    <xdr:colOff>171450</xdr:colOff>
                    <xdr:row>33</xdr:row>
                    <xdr:rowOff>38100</xdr:rowOff>
                  </from>
                  <to>
                    <xdr:col>1</xdr:col>
                    <xdr:colOff>695325</xdr:colOff>
                    <xdr:row>33</xdr:row>
                    <xdr:rowOff>190500</xdr:rowOff>
                  </to>
                </anchor>
              </controlPr>
            </control>
          </mc:Choice>
        </mc:AlternateContent>
        <mc:AlternateContent xmlns:mc="http://schemas.openxmlformats.org/markup-compatibility/2006">
          <mc:Choice Requires="x14">
            <control shapeId="1166" r:id="rId50" name="Check Box 142">
              <controlPr defaultSize="0" autoFill="0" autoLine="0" autoPict="0">
                <anchor moveWithCells="1">
                  <from>
                    <xdr:col>1</xdr:col>
                    <xdr:colOff>171450</xdr:colOff>
                    <xdr:row>34</xdr:row>
                    <xdr:rowOff>38100</xdr:rowOff>
                  </from>
                  <to>
                    <xdr:col>1</xdr:col>
                    <xdr:colOff>695325</xdr:colOff>
                    <xdr:row>34</xdr:row>
                    <xdr:rowOff>190500</xdr:rowOff>
                  </to>
                </anchor>
              </controlPr>
            </control>
          </mc:Choice>
        </mc:AlternateContent>
        <mc:AlternateContent xmlns:mc="http://schemas.openxmlformats.org/markup-compatibility/2006">
          <mc:Choice Requires="x14">
            <control shapeId="1167" r:id="rId51" name="Check Box 143">
              <controlPr defaultSize="0" autoFill="0" autoLine="0" autoPict="0">
                <anchor moveWithCells="1">
                  <from>
                    <xdr:col>1</xdr:col>
                    <xdr:colOff>171450</xdr:colOff>
                    <xdr:row>35</xdr:row>
                    <xdr:rowOff>38100</xdr:rowOff>
                  </from>
                  <to>
                    <xdr:col>1</xdr:col>
                    <xdr:colOff>695325</xdr:colOff>
                    <xdr:row>35</xdr:row>
                    <xdr:rowOff>190500</xdr:rowOff>
                  </to>
                </anchor>
              </controlPr>
            </control>
          </mc:Choice>
        </mc:AlternateContent>
        <mc:AlternateContent xmlns:mc="http://schemas.openxmlformats.org/markup-compatibility/2006">
          <mc:Choice Requires="x14">
            <control shapeId="1168" r:id="rId52" name="Check Box 144">
              <controlPr defaultSize="0" autoFill="0" autoLine="0" autoPict="0">
                <anchor moveWithCells="1">
                  <from>
                    <xdr:col>1</xdr:col>
                    <xdr:colOff>171450</xdr:colOff>
                    <xdr:row>27</xdr:row>
                    <xdr:rowOff>38100</xdr:rowOff>
                  </from>
                  <to>
                    <xdr:col>1</xdr:col>
                    <xdr:colOff>695325</xdr:colOff>
                    <xdr:row>27</xdr:row>
                    <xdr:rowOff>190500</xdr:rowOff>
                  </to>
                </anchor>
              </controlPr>
            </control>
          </mc:Choice>
        </mc:AlternateContent>
        <mc:AlternateContent xmlns:mc="http://schemas.openxmlformats.org/markup-compatibility/2006">
          <mc:Choice Requires="x14">
            <control shapeId="1169" r:id="rId53" name="Check Box 145">
              <controlPr defaultSize="0" autoFill="0" autoLine="0" autoPict="0">
                <anchor moveWithCells="1">
                  <from>
                    <xdr:col>1</xdr:col>
                    <xdr:colOff>171450</xdr:colOff>
                    <xdr:row>28</xdr:row>
                    <xdr:rowOff>38100</xdr:rowOff>
                  </from>
                  <to>
                    <xdr:col>1</xdr:col>
                    <xdr:colOff>695325</xdr:colOff>
                    <xdr:row>28</xdr:row>
                    <xdr:rowOff>190500</xdr:rowOff>
                  </to>
                </anchor>
              </controlPr>
            </control>
          </mc:Choice>
        </mc:AlternateContent>
        <mc:AlternateContent xmlns:mc="http://schemas.openxmlformats.org/markup-compatibility/2006">
          <mc:Choice Requires="x14">
            <control shapeId="1170" r:id="rId54" name="Check Box 146">
              <controlPr defaultSize="0" autoFill="0" autoLine="0" autoPict="0">
                <anchor moveWithCells="1">
                  <from>
                    <xdr:col>1</xdr:col>
                    <xdr:colOff>171450</xdr:colOff>
                    <xdr:row>30</xdr:row>
                    <xdr:rowOff>38100</xdr:rowOff>
                  </from>
                  <to>
                    <xdr:col>1</xdr:col>
                    <xdr:colOff>695325</xdr:colOff>
                    <xdr:row>30</xdr:row>
                    <xdr:rowOff>190500</xdr:rowOff>
                  </to>
                </anchor>
              </controlPr>
            </control>
          </mc:Choice>
        </mc:AlternateContent>
        <mc:AlternateContent xmlns:mc="http://schemas.openxmlformats.org/markup-compatibility/2006">
          <mc:Choice Requires="x14">
            <control shapeId="1171" r:id="rId55" name="Check Box 147">
              <controlPr defaultSize="0" autoFill="0" autoLine="0" autoPict="0">
                <anchor moveWithCells="1">
                  <from>
                    <xdr:col>1</xdr:col>
                    <xdr:colOff>171450</xdr:colOff>
                    <xdr:row>31</xdr:row>
                    <xdr:rowOff>38100</xdr:rowOff>
                  </from>
                  <to>
                    <xdr:col>1</xdr:col>
                    <xdr:colOff>695325</xdr:colOff>
                    <xdr:row>31</xdr:row>
                    <xdr:rowOff>190500</xdr:rowOff>
                  </to>
                </anchor>
              </controlPr>
            </control>
          </mc:Choice>
        </mc:AlternateContent>
        <mc:AlternateContent xmlns:mc="http://schemas.openxmlformats.org/markup-compatibility/2006">
          <mc:Choice Requires="x14">
            <control shapeId="1172" r:id="rId56" name="Check Box 148">
              <controlPr defaultSize="0" autoFill="0" autoLine="0" autoPict="0">
                <anchor moveWithCells="1">
                  <from>
                    <xdr:col>1</xdr:col>
                    <xdr:colOff>171450</xdr:colOff>
                    <xdr:row>26</xdr:row>
                    <xdr:rowOff>38100</xdr:rowOff>
                  </from>
                  <to>
                    <xdr:col>1</xdr:col>
                    <xdr:colOff>695325</xdr:colOff>
                    <xdr:row>26</xdr:row>
                    <xdr:rowOff>190500</xdr:rowOff>
                  </to>
                </anchor>
              </controlPr>
            </control>
          </mc:Choice>
        </mc:AlternateContent>
        <mc:AlternateContent xmlns:mc="http://schemas.openxmlformats.org/markup-compatibility/2006">
          <mc:Choice Requires="x14">
            <control shapeId="1173" r:id="rId57" name="Check Box 149">
              <controlPr defaultSize="0" autoFill="0" autoLine="0" autoPict="0">
                <anchor moveWithCells="1">
                  <from>
                    <xdr:col>1</xdr:col>
                    <xdr:colOff>171450</xdr:colOff>
                    <xdr:row>29</xdr:row>
                    <xdr:rowOff>38100</xdr:rowOff>
                  </from>
                  <to>
                    <xdr:col>1</xdr:col>
                    <xdr:colOff>695325</xdr:colOff>
                    <xdr:row>29</xdr:row>
                    <xdr:rowOff>190500</xdr:rowOff>
                  </to>
                </anchor>
              </controlPr>
            </control>
          </mc:Choice>
        </mc:AlternateContent>
        <mc:AlternateContent xmlns:mc="http://schemas.openxmlformats.org/markup-compatibility/2006">
          <mc:Choice Requires="x14">
            <control shapeId="1174" r:id="rId58" name="Check Box 150">
              <controlPr defaultSize="0" autoFill="0" autoLine="0" autoPict="0">
                <anchor moveWithCells="1">
                  <from>
                    <xdr:col>1</xdr:col>
                    <xdr:colOff>171450</xdr:colOff>
                    <xdr:row>25</xdr:row>
                    <xdr:rowOff>38100</xdr:rowOff>
                  </from>
                  <to>
                    <xdr:col>1</xdr:col>
                    <xdr:colOff>695325</xdr:colOff>
                    <xdr:row>25</xdr:row>
                    <xdr:rowOff>190500</xdr:rowOff>
                  </to>
                </anchor>
              </controlPr>
            </control>
          </mc:Choice>
        </mc:AlternateContent>
        <mc:AlternateContent xmlns:mc="http://schemas.openxmlformats.org/markup-compatibility/2006">
          <mc:Choice Requires="x14">
            <control shapeId="1281" r:id="rId59" name="Option Button 257">
              <controlPr defaultSize="0" autoFill="0" autoLine="0" autoPict="0">
                <anchor moveWithCells="1">
                  <from>
                    <xdr:col>2</xdr:col>
                    <xdr:colOff>57150</xdr:colOff>
                    <xdr:row>15</xdr:row>
                    <xdr:rowOff>123825</xdr:rowOff>
                  </from>
                  <to>
                    <xdr:col>2</xdr:col>
                    <xdr:colOff>695325</xdr:colOff>
                    <xdr:row>16</xdr:row>
                    <xdr:rowOff>95250</xdr:rowOff>
                  </to>
                </anchor>
              </controlPr>
            </control>
          </mc:Choice>
        </mc:AlternateContent>
        <mc:AlternateContent xmlns:mc="http://schemas.openxmlformats.org/markup-compatibility/2006">
          <mc:Choice Requires="x14">
            <control shapeId="1287" r:id="rId60" name="Option Button 263">
              <controlPr defaultSize="0" autoFill="0" autoLine="0" autoPict="0">
                <anchor moveWithCells="1">
                  <from>
                    <xdr:col>2</xdr:col>
                    <xdr:colOff>57150</xdr:colOff>
                    <xdr:row>17</xdr:row>
                    <xdr:rowOff>123825</xdr:rowOff>
                  </from>
                  <to>
                    <xdr:col>2</xdr:col>
                    <xdr:colOff>695325</xdr:colOff>
                    <xdr:row>18</xdr:row>
                    <xdr:rowOff>85725</xdr:rowOff>
                  </to>
                </anchor>
              </controlPr>
            </control>
          </mc:Choice>
        </mc:AlternateContent>
        <mc:AlternateContent xmlns:mc="http://schemas.openxmlformats.org/markup-compatibility/2006">
          <mc:Choice Requires="x14">
            <control shapeId="1288" r:id="rId61" name="Option Button 264">
              <controlPr defaultSize="0" autoFill="0" autoLine="0" autoPict="0">
                <anchor moveWithCells="1">
                  <from>
                    <xdr:col>2</xdr:col>
                    <xdr:colOff>57150</xdr:colOff>
                    <xdr:row>19</xdr:row>
                    <xdr:rowOff>19050</xdr:rowOff>
                  </from>
                  <to>
                    <xdr:col>2</xdr:col>
                    <xdr:colOff>695325</xdr:colOff>
                    <xdr:row>19</xdr:row>
                    <xdr:rowOff>190500</xdr:rowOff>
                  </to>
                </anchor>
              </controlPr>
            </control>
          </mc:Choice>
        </mc:AlternateContent>
        <mc:AlternateContent xmlns:mc="http://schemas.openxmlformats.org/markup-compatibility/2006">
          <mc:Choice Requires="x14">
            <control shapeId="1289" r:id="rId62" name="Option Button 265">
              <controlPr defaultSize="0" autoFill="0" autoLine="0" autoPict="0">
                <anchor moveWithCells="1">
                  <from>
                    <xdr:col>2</xdr:col>
                    <xdr:colOff>57150</xdr:colOff>
                    <xdr:row>25</xdr:row>
                    <xdr:rowOff>19050</xdr:rowOff>
                  </from>
                  <to>
                    <xdr:col>2</xdr:col>
                    <xdr:colOff>695325</xdr:colOff>
                    <xdr:row>25</xdr:row>
                    <xdr:rowOff>190500</xdr:rowOff>
                  </to>
                </anchor>
              </controlPr>
            </control>
          </mc:Choice>
        </mc:AlternateContent>
        <mc:AlternateContent xmlns:mc="http://schemas.openxmlformats.org/markup-compatibility/2006">
          <mc:Choice Requires="x14">
            <control shapeId="1291" r:id="rId63" name="Option Button 267">
              <controlPr defaultSize="0" autoFill="0" autoLine="0" autoPict="0">
                <anchor moveWithCells="1">
                  <from>
                    <xdr:col>2</xdr:col>
                    <xdr:colOff>57150</xdr:colOff>
                    <xdr:row>26</xdr:row>
                    <xdr:rowOff>9525</xdr:rowOff>
                  </from>
                  <to>
                    <xdr:col>2</xdr:col>
                    <xdr:colOff>695325</xdr:colOff>
                    <xdr:row>26</xdr:row>
                    <xdr:rowOff>190500</xdr:rowOff>
                  </to>
                </anchor>
              </controlPr>
            </control>
          </mc:Choice>
        </mc:AlternateContent>
        <mc:AlternateContent xmlns:mc="http://schemas.openxmlformats.org/markup-compatibility/2006">
          <mc:Choice Requires="x14">
            <control shapeId="1293" r:id="rId64" name="Option Button 269">
              <controlPr defaultSize="0" autoFill="0" autoLine="0" autoPict="0">
                <anchor moveWithCells="1">
                  <from>
                    <xdr:col>2</xdr:col>
                    <xdr:colOff>57150</xdr:colOff>
                    <xdr:row>27</xdr:row>
                    <xdr:rowOff>123825</xdr:rowOff>
                  </from>
                  <to>
                    <xdr:col>2</xdr:col>
                    <xdr:colOff>695325</xdr:colOff>
                    <xdr:row>28</xdr:row>
                    <xdr:rowOff>76200</xdr:rowOff>
                  </to>
                </anchor>
              </controlPr>
            </control>
          </mc:Choice>
        </mc:AlternateContent>
        <mc:AlternateContent xmlns:mc="http://schemas.openxmlformats.org/markup-compatibility/2006">
          <mc:Choice Requires="x14">
            <control shapeId="1670" r:id="rId65" name="Group Box 646">
              <controlPr defaultSize="0" print="0" autoFill="0" autoPict="0">
                <anchor moveWithCells="1">
                  <from>
                    <xdr:col>0</xdr:col>
                    <xdr:colOff>0</xdr:colOff>
                    <xdr:row>13</xdr:row>
                    <xdr:rowOff>0</xdr:rowOff>
                  </from>
                  <to>
                    <xdr:col>12</xdr:col>
                    <xdr:colOff>923925</xdr:colOff>
                    <xdr:row>36</xdr:row>
                    <xdr:rowOff>238125</xdr:rowOff>
                  </to>
                </anchor>
              </controlPr>
            </control>
          </mc:Choice>
        </mc:AlternateContent>
        <mc:AlternateContent xmlns:mc="http://schemas.openxmlformats.org/markup-compatibility/2006">
          <mc:Choice Requires="x14">
            <control shapeId="1671" r:id="rId66" name="Option Button 647">
              <controlPr defaultSize="0" autoFill="0" autoLine="0" autoPict="0">
                <anchor moveWithCells="1">
                  <from>
                    <xdr:col>2</xdr:col>
                    <xdr:colOff>57150</xdr:colOff>
                    <xdr:row>29</xdr:row>
                    <xdr:rowOff>9525</xdr:rowOff>
                  </from>
                  <to>
                    <xdr:col>2</xdr:col>
                    <xdr:colOff>695325</xdr:colOff>
                    <xdr:row>29</xdr:row>
                    <xdr:rowOff>190500</xdr:rowOff>
                  </to>
                </anchor>
              </controlPr>
            </control>
          </mc:Choice>
        </mc:AlternateContent>
        <mc:AlternateContent xmlns:mc="http://schemas.openxmlformats.org/markup-compatibility/2006">
          <mc:Choice Requires="x14">
            <control shapeId="1672" r:id="rId67" name="Check Box 648">
              <controlPr defaultSize="0" autoFill="0" autoLine="0" autoPict="0">
                <anchor moveWithCells="1">
                  <from>
                    <xdr:col>1</xdr:col>
                    <xdr:colOff>171450</xdr:colOff>
                    <xdr:row>59</xdr:row>
                    <xdr:rowOff>38100</xdr:rowOff>
                  </from>
                  <to>
                    <xdr:col>1</xdr:col>
                    <xdr:colOff>695325</xdr:colOff>
                    <xdr:row>59</xdr:row>
                    <xdr:rowOff>180975</xdr:rowOff>
                  </to>
                </anchor>
              </controlPr>
            </control>
          </mc:Choice>
        </mc:AlternateContent>
        <mc:AlternateContent xmlns:mc="http://schemas.openxmlformats.org/markup-compatibility/2006">
          <mc:Choice Requires="x14">
            <control shapeId="1673" r:id="rId68" name="Check Box 649">
              <controlPr defaultSize="0" autoFill="0" autoLine="0" autoPict="0">
                <anchor moveWithCells="1">
                  <from>
                    <xdr:col>1</xdr:col>
                    <xdr:colOff>171450</xdr:colOff>
                    <xdr:row>60</xdr:row>
                    <xdr:rowOff>38100</xdr:rowOff>
                  </from>
                  <to>
                    <xdr:col>1</xdr:col>
                    <xdr:colOff>695325</xdr:colOff>
                    <xdr:row>60</xdr:row>
                    <xdr:rowOff>180975</xdr:rowOff>
                  </to>
                </anchor>
              </controlPr>
            </control>
          </mc:Choice>
        </mc:AlternateContent>
        <mc:AlternateContent xmlns:mc="http://schemas.openxmlformats.org/markup-compatibility/2006">
          <mc:Choice Requires="x14">
            <control shapeId="1674" r:id="rId69" name="Check Box 650">
              <controlPr defaultSize="0" autoFill="0" autoLine="0" autoPict="0">
                <anchor moveWithCells="1">
                  <from>
                    <xdr:col>1</xdr:col>
                    <xdr:colOff>171450</xdr:colOff>
                    <xdr:row>61</xdr:row>
                    <xdr:rowOff>38100</xdr:rowOff>
                  </from>
                  <to>
                    <xdr:col>1</xdr:col>
                    <xdr:colOff>695325</xdr:colOff>
                    <xdr:row>61</xdr:row>
                    <xdr:rowOff>180975</xdr:rowOff>
                  </to>
                </anchor>
              </controlPr>
            </control>
          </mc:Choice>
        </mc:AlternateContent>
        <mc:AlternateContent xmlns:mc="http://schemas.openxmlformats.org/markup-compatibility/2006">
          <mc:Choice Requires="x14">
            <control shapeId="1675" r:id="rId70" name="Check Box 651">
              <controlPr defaultSize="0" autoFill="0" autoLine="0" autoPict="0">
                <anchor moveWithCells="1">
                  <from>
                    <xdr:col>1</xdr:col>
                    <xdr:colOff>171450</xdr:colOff>
                    <xdr:row>62</xdr:row>
                    <xdr:rowOff>38100</xdr:rowOff>
                  </from>
                  <to>
                    <xdr:col>1</xdr:col>
                    <xdr:colOff>695325</xdr:colOff>
                    <xdr:row>62</xdr:row>
                    <xdr:rowOff>180975</xdr:rowOff>
                  </to>
                </anchor>
              </controlPr>
            </control>
          </mc:Choice>
        </mc:AlternateContent>
        <mc:AlternateContent xmlns:mc="http://schemas.openxmlformats.org/markup-compatibility/2006">
          <mc:Choice Requires="x14">
            <control shapeId="1676" r:id="rId71" name="Check Box 652">
              <controlPr defaultSize="0" autoFill="0" autoLine="0" autoPict="0">
                <anchor moveWithCells="1">
                  <from>
                    <xdr:col>1</xdr:col>
                    <xdr:colOff>171450</xdr:colOff>
                    <xdr:row>63</xdr:row>
                    <xdr:rowOff>38100</xdr:rowOff>
                  </from>
                  <to>
                    <xdr:col>1</xdr:col>
                    <xdr:colOff>695325</xdr:colOff>
                    <xdr:row>63</xdr:row>
                    <xdr:rowOff>180975</xdr:rowOff>
                  </to>
                </anchor>
              </controlPr>
            </control>
          </mc:Choice>
        </mc:AlternateContent>
        <mc:AlternateContent xmlns:mc="http://schemas.openxmlformats.org/markup-compatibility/2006">
          <mc:Choice Requires="x14">
            <control shapeId="1677" r:id="rId72" name="Check Box 653">
              <controlPr defaultSize="0" autoFill="0" autoLine="0" autoPict="0">
                <anchor moveWithCells="1">
                  <from>
                    <xdr:col>1</xdr:col>
                    <xdr:colOff>171450</xdr:colOff>
                    <xdr:row>64</xdr:row>
                    <xdr:rowOff>38100</xdr:rowOff>
                  </from>
                  <to>
                    <xdr:col>1</xdr:col>
                    <xdr:colOff>695325</xdr:colOff>
                    <xdr:row>64</xdr:row>
                    <xdr:rowOff>180975</xdr:rowOff>
                  </to>
                </anchor>
              </controlPr>
            </control>
          </mc:Choice>
        </mc:AlternateContent>
        <mc:AlternateContent xmlns:mc="http://schemas.openxmlformats.org/markup-compatibility/2006">
          <mc:Choice Requires="x14">
            <control shapeId="1678" r:id="rId73" name="Check Box 654">
              <controlPr defaultSize="0" autoFill="0" autoLine="0" autoPict="0">
                <anchor moveWithCells="1">
                  <from>
                    <xdr:col>1</xdr:col>
                    <xdr:colOff>171450</xdr:colOff>
                    <xdr:row>65</xdr:row>
                    <xdr:rowOff>38100</xdr:rowOff>
                  </from>
                  <to>
                    <xdr:col>1</xdr:col>
                    <xdr:colOff>695325</xdr:colOff>
                    <xdr:row>65</xdr:row>
                    <xdr:rowOff>180975</xdr:rowOff>
                  </to>
                </anchor>
              </controlPr>
            </control>
          </mc:Choice>
        </mc:AlternateContent>
        <mc:AlternateContent xmlns:mc="http://schemas.openxmlformats.org/markup-compatibility/2006">
          <mc:Choice Requires="x14">
            <control shapeId="1679" r:id="rId74" name="Check Box 655">
              <controlPr defaultSize="0" autoFill="0" autoLine="0" autoPict="0">
                <anchor moveWithCells="1">
                  <from>
                    <xdr:col>1</xdr:col>
                    <xdr:colOff>171450</xdr:colOff>
                    <xdr:row>66</xdr:row>
                    <xdr:rowOff>38100</xdr:rowOff>
                  </from>
                  <to>
                    <xdr:col>1</xdr:col>
                    <xdr:colOff>695325</xdr:colOff>
                    <xdr:row>66</xdr:row>
                    <xdr:rowOff>190500</xdr:rowOff>
                  </to>
                </anchor>
              </controlPr>
            </control>
          </mc:Choice>
        </mc:AlternateContent>
        <mc:AlternateContent xmlns:mc="http://schemas.openxmlformats.org/markup-compatibility/2006">
          <mc:Choice Requires="x14">
            <control shapeId="1680" r:id="rId75" name="Check Box 656">
              <controlPr defaultSize="0" autoFill="0" autoLine="0" autoPict="0">
                <anchor moveWithCells="1">
                  <from>
                    <xdr:col>1</xdr:col>
                    <xdr:colOff>171450</xdr:colOff>
                    <xdr:row>67</xdr:row>
                    <xdr:rowOff>38100</xdr:rowOff>
                  </from>
                  <to>
                    <xdr:col>1</xdr:col>
                    <xdr:colOff>695325</xdr:colOff>
                    <xdr:row>67</xdr:row>
                    <xdr:rowOff>190500</xdr:rowOff>
                  </to>
                </anchor>
              </controlPr>
            </control>
          </mc:Choice>
        </mc:AlternateContent>
        <mc:AlternateContent xmlns:mc="http://schemas.openxmlformats.org/markup-compatibility/2006">
          <mc:Choice Requires="x14">
            <control shapeId="1681" r:id="rId76" name="Check Box 657">
              <controlPr defaultSize="0" autoFill="0" autoLine="0" autoPict="0">
                <anchor moveWithCells="1">
                  <from>
                    <xdr:col>1</xdr:col>
                    <xdr:colOff>171450</xdr:colOff>
                    <xdr:row>68</xdr:row>
                    <xdr:rowOff>38100</xdr:rowOff>
                  </from>
                  <to>
                    <xdr:col>1</xdr:col>
                    <xdr:colOff>695325</xdr:colOff>
                    <xdr:row>68</xdr:row>
                    <xdr:rowOff>190500</xdr:rowOff>
                  </to>
                </anchor>
              </controlPr>
            </control>
          </mc:Choice>
        </mc:AlternateContent>
        <mc:AlternateContent xmlns:mc="http://schemas.openxmlformats.org/markup-compatibility/2006">
          <mc:Choice Requires="x14">
            <control shapeId="1682" r:id="rId77" name="Check Box 658">
              <controlPr defaultSize="0" autoFill="0" autoLine="0" autoPict="0">
                <anchor moveWithCells="1">
                  <from>
                    <xdr:col>1</xdr:col>
                    <xdr:colOff>171450</xdr:colOff>
                    <xdr:row>76</xdr:row>
                    <xdr:rowOff>38100</xdr:rowOff>
                  </from>
                  <to>
                    <xdr:col>1</xdr:col>
                    <xdr:colOff>695325</xdr:colOff>
                    <xdr:row>76</xdr:row>
                    <xdr:rowOff>190500</xdr:rowOff>
                  </to>
                </anchor>
              </controlPr>
            </control>
          </mc:Choice>
        </mc:AlternateContent>
        <mc:AlternateContent xmlns:mc="http://schemas.openxmlformats.org/markup-compatibility/2006">
          <mc:Choice Requires="x14">
            <control shapeId="1683" r:id="rId78" name="Check Box 659">
              <controlPr defaultSize="0" autoFill="0" autoLine="0" autoPict="0">
                <anchor moveWithCells="1">
                  <from>
                    <xdr:col>1</xdr:col>
                    <xdr:colOff>171450</xdr:colOff>
                    <xdr:row>77</xdr:row>
                    <xdr:rowOff>38100</xdr:rowOff>
                  </from>
                  <to>
                    <xdr:col>1</xdr:col>
                    <xdr:colOff>695325</xdr:colOff>
                    <xdr:row>77</xdr:row>
                    <xdr:rowOff>190500</xdr:rowOff>
                  </to>
                </anchor>
              </controlPr>
            </control>
          </mc:Choice>
        </mc:AlternateContent>
        <mc:AlternateContent xmlns:mc="http://schemas.openxmlformats.org/markup-compatibility/2006">
          <mc:Choice Requires="x14">
            <control shapeId="1684" r:id="rId79" name="Check Box 660">
              <controlPr defaultSize="0" autoFill="0" autoLine="0" autoPict="0">
                <anchor moveWithCells="1">
                  <from>
                    <xdr:col>1</xdr:col>
                    <xdr:colOff>171450</xdr:colOff>
                    <xdr:row>78</xdr:row>
                    <xdr:rowOff>38100</xdr:rowOff>
                  </from>
                  <to>
                    <xdr:col>1</xdr:col>
                    <xdr:colOff>695325</xdr:colOff>
                    <xdr:row>78</xdr:row>
                    <xdr:rowOff>190500</xdr:rowOff>
                  </to>
                </anchor>
              </controlPr>
            </control>
          </mc:Choice>
        </mc:AlternateContent>
        <mc:AlternateContent xmlns:mc="http://schemas.openxmlformats.org/markup-compatibility/2006">
          <mc:Choice Requires="x14">
            <control shapeId="1685" r:id="rId80" name="Check Box 661">
              <controlPr defaultSize="0" autoFill="0" autoLine="0" autoPict="0">
                <anchor moveWithCells="1">
                  <from>
                    <xdr:col>1</xdr:col>
                    <xdr:colOff>171450</xdr:colOff>
                    <xdr:row>79</xdr:row>
                    <xdr:rowOff>38100</xdr:rowOff>
                  </from>
                  <to>
                    <xdr:col>1</xdr:col>
                    <xdr:colOff>695325</xdr:colOff>
                    <xdr:row>79</xdr:row>
                    <xdr:rowOff>190500</xdr:rowOff>
                  </to>
                </anchor>
              </controlPr>
            </control>
          </mc:Choice>
        </mc:AlternateContent>
        <mc:AlternateContent xmlns:mc="http://schemas.openxmlformats.org/markup-compatibility/2006">
          <mc:Choice Requires="x14">
            <control shapeId="1686" r:id="rId81" name="Check Box 662">
              <controlPr defaultSize="0" autoFill="0" autoLine="0" autoPict="0">
                <anchor moveWithCells="1">
                  <from>
                    <xdr:col>1</xdr:col>
                    <xdr:colOff>171450</xdr:colOff>
                    <xdr:row>71</xdr:row>
                    <xdr:rowOff>38100</xdr:rowOff>
                  </from>
                  <to>
                    <xdr:col>1</xdr:col>
                    <xdr:colOff>695325</xdr:colOff>
                    <xdr:row>71</xdr:row>
                    <xdr:rowOff>190500</xdr:rowOff>
                  </to>
                </anchor>
              </controlPr>
            </control>
          </mc:Choice>
        </mc:AlternateContent>
        <mc:AlternateContent xmlns:mc="http://schemas.openxmlformats.org/markup-compatibility/2006">
          <mc:Choice Requires="x14">
            <control shapeId="1687" r:id="rId82" name="Check Box 663">
              <controlPr defaultSize="0" autoFill="0" autoLine="0" autoPict="0">
                <anchor moveWithCells="1">
                  <from>
                    <xdr:col>1</xdr:col>
                    <xdr:colOff>171450</xdr:colOff>
                    <xdr:row>72</xdr:row>
                    <xdr:rowOff>38100</xdr:rowOff>
                  </from>
                  <to>
                    <xdr:col>1</xdr:col>
                    <xdr:colOff>695325</xdr:colOff>
                    <xdr:row>72</xdr:row>
                    <xdr:rowOff>190500</xdr:rowOff>
                  </to>
                </anchor>
              </controlPr>
            </control>
          </mc:Choice>
        </mc:AlternateContent>
        <mc:AlternateContent xmlns:mc="http://schemas.openxmlformats.org/markup-compatibility/2006">
          <mc:Choice Requires="x14">
            <control shapeId="1688" r:id="rId83" name="Check Box 664">
              <controlPr defaultSize="0" autoFill="0" autoLine="0" autoPict="0">
                <anchor moveWithCells="1">
                  <from>
                    <xdr:col>1</xdr:col>
                    <xdr:colOff>171450</xdr:colOff>
                    <xdr:row>74</xdr:row>
                    <xdr:rowOff>38100</xdr:rowOff>
                  </from>
                  <to>
                    <xdr:col>1</xdr:col>
                    <xdr:colOff>695325</xdr:colOff>
                    <xdr:row>74</xdr:row>
                    <xdr:rowOff>190500</xdr:rowOff>
                  </to>
                </anchor>
              </controlPr>
            </control>
          </mc:Choice>
        </mc:AlternateContent>
        <mc:AlternateContent xmlns:mc="http://schemas.openxmlformats.org/markup-compatibility/2006">
          <mc:Choice Requires="x14">
            <control shapeId="1689" r:id="rId84" name="Check Box 665">
              <controlPr defaultSize="0" autoFill="0" autoLine="0" autoPict="0">
                <anchor moveWithCells="1">
                  <from>
                    <xdr:col>1</xdr:col>
                    <xdr:colOff>171450</xdr:colOff>
                    <xdr:row>75</xdr:row>
                    <xdr:rowOff>38100</xdr:rowOff>
                  </from>
                  <to>
                    <xdr:col>1</xdr:col>
                    <xdr:colOff>695325</xdr:colOff>
                    <xdr:row>75</xdr:row>
                    <xdr:rowOff>190500</xdr:rowOff>
                  </to>
                </anchor>
              </controlPr>
            </control>
          </mc:Choice>
        </mc:AlternateContent>
        <mc:AlternateContent xmlns:mc="http://schemas.openxmlformats.org/markup-compatibility/2006">
          <mc:Choice Requires="x14">
            <control shapeId="1690" r:id="rId85" name="Check Box 666">
              <controlPr defaultSize="0" autoFill="0" autoLine="0" autoPict="0">
                <anchor moveWithCells="1">
                  <from>
                    <xdr:col>1</xdr:col>
                    <xdr:colOff>171450</xdr:colOff>
                    <xdr:row>70</xdr:row>
                    <xdr:rowOff>38100</xdr:rowOff>
                  </from>
                  <to>
                    <xdr:col>1</xdr:col>
                    <xdr:colOff>695325</xdr:colOff>
                    <xdr:row>70</xdr:row>
                    <xdr:rowOff>190500</xdr:rowOff>
                  </to>
                </anchor>
              </controlPr>
            </control>
          </mc:Choice>
        </mc:AlternateContent>
        <mc:AlternateContent xmlns:mc="http://schemas.openxmlformats.org/markup-compatibility/2006">
          <mc:Choice Requires="x14">
            <control shapeId="1691" r:id="rId86" name="Check Box 667">
              <controlPr defaultSize="0" autoFill="0" autoLine="0" autoPict="0">
                <anchor moveWithCells="1">
                  <from>
                    <xdr:col>1</xdr:col>
                    <xdr:colOff>171450</xdr:colOff>
                    <xdr:row>73</xdr:row>
                    <xdr:rowOff>38100</xdr:rowOff>
                  </from>
                  <to>
                    <xdr:col>1</xdr:col>
                    <xdr:colOff>695325</xdr:colOff>
                    <xdr:row>73</xdr:row>
                    <xdr:rowOff>190500</xdr:rowOff>
                  </to>
                </anchor>
              </controlPr>
            </control>
          </mc:Choice>
        </mc:AlternateContent>
        <mc:AlternateContent xmlns:mc="http://schemas.openxmlformats.org/markup-compatibility/2006">
          <mc:Choice Requires="x14">
            <control shapeId="1692" r:id="rId87" name="Check Box 668">
              <controlPr defaultSize="0" autoFill="0" autoLine="0" autoPict="0">
                <anchor moveWithCells="1">
                  <from>
                    <xdr:col>1</xdr:col>
                    <xdr:colOff>171450</xdr:colOff>
                    <xdr:row>69</xdr:row>
                    <xdr:rowOff>38100</xdr:rowOff>
                  </from>
                  <to>
                    <xdr:col>1</xdr:col>
                    <xdr:colOff>695325</xdr:colOff>
                    <xdr:row>69</xdr:row>
                    <xdr:rowOff>190500</xdr:rowOff>
                  </to>
                </anchor>
              </controlPr>
            </control>
          </mc:Choice>
        </mc:AlternateContent>
        <mc:AlternateContent xmlns:mc="http://schemas.openxmlformats.org/markup-compatibility/2006">
          <mc:Choice Requires="x14">
            <control shapeId="1693" r:id="rId88" name="Check Box 669">
              <controlPr defaultSize="0" autoFill="0" autoLine="0" autoPict="0">
                <anchor moveWithCells="1">
                  <from>
                    <xdr:col>1</xdr:col>
                    <xdr:colOff>171450</xdr:colOff>
                    <xdr:row>89</xdr:row>
                    <xdr:rowOff>38100</xdr:rowOff>
                  </from>
                  <to>
                    <xdr:col>1</xdr:col>
                    <xdr:colOff>695325</xdr:colOff>
                    <xdr:row>89</xdr:row>
                    <xdr:rowOff>180975</xdr:rowOff>
                  </to>
                </anchor>
              </controlPr>
            </control>
          </mc:Choice>
        </mc:AlternateContent>
        <mc:AlternateContent xmlns:mc="http://schemas.openxmlformats.org/markup-compatibility/2006">
          <mc:Choice Requires="x14">
            <control shapeId="1694" r:id="rId89" name="Check Box 670">
              <controlPr defaultSize="0" autoFill="0" autoLine="0" autoPict="0">
                <anchor moveWithCells="1">
                  <from>
                    <xdr:col>1</xdr:col>
                    <xdr:colOff>171450</xdr:colOff>
                    <xdr:row>90</xdr:row>
                    <xdr:rowOff>38100</xdr:rowOff>
                  </from>
                  <to>
                    <xdr:col>1</xdr:col>
                    <xdr:colOff>695325</xdr:colOff>
                    <xdr:row>90</xdr:row>
                    <xdr:rowOff>180975</xdr:rowOff>
                  </to>
                </anchor>
              </controlPr>
            </control>
          </mc:Choice>
        </mc:AlternateContent>
        <mc:AlternateContent xmlns:mc="http://schemas.openxmlformats.org/markup-compatibility/2006">
          <mc:Choice Requires="x14">
            <control shapeId="1695" r:id="rId90" name="Check Box 671">
              <controlPr defaultSize="0" autoFill="0" autoLine="0" autoPict="0">
                <anchor moveWithCells="1">
                  <from>
                    <xdr:col>1</xdr:col>
                    <xdr:colOff>171450</xdr:colOff>
                    <xdr:row>91</xdr:row>
                    <xdr:rowOff>38100</xdr:rowOff>
                  </from>
                  <to>
                    <xdr:col>1</xdr:col>
                    <xdr:colOff>695325</xdr:colOff>
                    <xdr:row>91</xdr:row>
                    <xdr:rowOff>180975</xdr:rowOff>
                  </to>
                </anchor>
              </controlPr>
            </control>
          </mc:Choice>
        </mc:AlternateContent>
        <mc:AlternateContent xmlns:mc="http://schemas.openxmlformats.org/markup-compatibility/2006">
          <mc:Choice Requires="x14">
            <control shapeId="1696" r:id="rId91" name="Check Box 672">
              <controlPr defaultSize="0" autoFill="0" autoLine="0" autoPict="0">
                <anchor moveWithCells="1">
                  <from>
                    <xdr:col>1</xdr:col>
                    <xdr:colOff>171450</xdr:colOff>
                    <xdr:row>92</xdr:row>
                    <xdr:rowOff>38100</xdr:rowOff>
                  </from>
                  <to>
                    <xdr:col>1</xdr:col>
                    <xdr:colOff>695325</xdr:colOff>
                    <xdr:row>92</xdr:row>
                    <xdr:rowOff>180975</xdr:rowOff>
                  </to>
                </anchor>
              </controlPr>
            </control>
          </mc:Choice>
        </mc:AlternateContent>
        <mc:AlternateContent xmlns:mc="http://schemas.openxmlformats.org/markup-compatibility/2006">
          <mc:Choice Requires="x14">
            <control shapeId="1697" r:id="rId92" name="Check Box 673">
              <controlPr defaultSize="0" autoFill="0" autoLine="0" autoPict="0">
                <anchor moveWithCells="1">
                  <from>
                    <xdr:col>1</xdr:col>
                    <xdr:colOff>171450</xdr:colOff>
                    <xdr:row>93</xdr:row>
                    <xdr:rowOff>38100</xdr:rowOff>
                  </from>
                  <to>
                    <xdr:col>1</xdr:col>
                    <xdr:colOff>695325</xdr:colOff>
                    <xdr:row>93</xdr:row>
                    <xdr:rowOff>180975</xdr:rowOff>
                  </to>
                </anchor>
              </controlPr>
            </control>
          </mc:Choice>
        </mc:AlternateContent>
        <mc:AlternateContent xmlns:mc="http://schemas.openxmlformats.org/markup-compatibility/2006">
          <mc:Choice Requires="x14">
            <control shapeId="1698" r:id="rId93" name="Check Box 674">
              <controlPr defaultSize="0" autoFill="0" autoLine="0" autoPict="0">
                <anchor moveWithCells="1">
                  <from>
                    <xdr:col>1</xdr:col>
                    <xdr:colOff>171450</xdr:colOff>
                    <xdr:row>94</xdr:row>
                    <xdr:rowOff>38100</xdr:rowOff>
                  </from>
                  <to>
                    <xdr:col>1</xdr:col>
                    <xdr:colOff>695325</xdr:colOff>
                    <xdr:row>94</xdr:row>
                    <xdr:rowOff>180975</xdr:rowOff>
                  </to>
                </anchor>
              </controlPr>
            </control>
          </mc:Choice>
        </mc:AlternateContent>
        <mc:AlternateContent xmlns:mc="http://schemas.openxmlformats.org/markup-compatibility/2006">
          <mc:Choice Requires="x14">
            <control shapeId="1699" r:id="rId94" name="Check Box 675">
              <controlPr defaultSize="0" autoFill="0" autoLine="0" autoPict="0">
                <anchor moveWithCells="1">
                  <from>
                    <xdr:col>1</xdr:col>
                    <xdr:colOff>171450</xdr:colOff>
                    <xdr:row>95</xdr:row>
                    <xdr:rowOff>38100</xdr:rowOff>
                  </from>
                  <to>
                    <xdr:col>1</xdr:col>
                    <xdr:colOff>695325</xdr:colOff>
                    <xdr:row>95</xdr:row>
                    <xdr:rowOff>180975</xdr:rowOff>
                  </to>
                </anchor>
              </controlPr>
            </control>
          </mc:Choice>
        </mc:AlternateContent>
        <mc:AlternateContent xmlns:mc="http://schemas.openxmlformats.org/markup-compatibility/2006">
          <mc:Choice Requires="x14">
            <control shapeId="1700" r:id="rId95" name="Check Box 676">
              <controlPr defaultSize="0" autoFill="0" autoLine="0" autoPict="0">
                <anchor moveWithCells="1">
                  <from>
                    <xdr:col>1</xdr:col>
                    <xdr:colOff>171450</xdr:colOff>
                    <xdr:row>96</xdr:row>
                    <xdr:rowOff>38100</xdr:rowOff>
                  </from>
                  <to>
                    <xdr:col>1</xdr:col>
                    <xdr:colOff>695325</xdr:colOff>
                    <xdr:row>96</xdr:row>
                    <xdr:rowOff>190500</xdr:rowOff>
                  </to>
                </anchor>
              </controlPr>
            </control>
          </mc:Choice>
        </mc:AlternateContent>
        <mc:AlternateContent xmlns:mc="http://schemas.openxmlformats.org/markup-compatibility/2006">
          <mc:Choice Requires="x14">
            <control shapeId="1701" r:id="rId96" name="Check Box 677">
              <controlPr defaultSize="0" autoFill="0" autoLine="0" autoPict="0">
                <anchor moveWithCells="1">
                  <from>
                    <xdr:col>1</xdr:col>
                    <xdr:colOff>171450</xdr:colOff>
                    <xdr:row>97</xdr:row>
                    <xdr:rowOff>38100</xdr:rowOff>
                  </from>
                  <to>
                    <xdr:col>1</xdr:col>
                    <xdr:colOff>695325</xdr:colOff>
                    <xdr:row>97</xdr:row>
                    <xdr:rowOff>190500</xdr:rowOff>
                  </to>
                </anchor>
              </controlPr>
            </control>
          </mc:Choice>
        </mc:AlternateContent>
        <mc:AlternateContent xmlns:mc="http://schemas.openxmlformats.org/markup-compatibility/2006">
          <mc:Choice Requires="x14">
            <control shapeId="1702" r:id="rId97" name="Check Box 678">
              <controlPr defaultSize="0" autoFill="0" autoLine="0" autoPict="0">
                <anchor moveWithCells="1">
                  <from>
                    <xdr:col>1</xdr:col>
                    <xdr:colOff>171450</xdr:colOff>
                    <xdr:row>98</xdr:row>
                    <xdr:rowOff>38100</xdr:rowOff>
                  </from>
                  <to>
                    <xdr:col>1</xdr:col>
                    <xdr:colOff>695325</xdr:colOff>
                    <xdr:row>98</xdr:row>
                    <xdr:rowOff>190500</xdr:rowOff>
                  </to>
                </anchor>
              </controlPr>
            </control>
          </mc:Choice>
        </mc:AlternateContent>
        <mc:AlternateContent xmlns:mc="http://schemas.openxmlformats.org/markup-compatibility/2006">
          <mc:Choice Requires="x14">
            <control shapeId="1703" r:id="rId98" name="Check Box 679">
              <controlPr defaultSize="0" autoFill="0" autoLine="0" autoPict="0">
                <anchor moveWithCells="1">
                  <from>
                    <xdr:col>1</xdr:col>
                    <xdr:colOff>171450</xdr:colOff>
                    <xdr:row>106</xdr:row>
                    <xdr:rowOff>38100</xdr:rowOff>
                  </from>
                  <to>
                    <xdr:col>1</xdr:col>
                    <xdr:colOff>695325</xdr:colOff>
                    <xdr:row>106</xdr:row>
                    <xdr:rowOff>190500</xdr:rowOff>
                  </to>
                </anchor>
              </controlPr>
            </control>
          </mc:Choice>
        </mc:AlternateContent>
        <mc:AlternateContent xmlns:mc="http://schemas.openxmlformats.org/markup-compatibility/2006">
          <mc:Choice Requires="x14">
            <control shapeId="1704" r:id="rId99" name="Check Box 680">
              <controlPr defaultSize="0" autoFill="0" autoLine="0" autoPict="0">
                <anchor moveWithCells="1">
                  <from>
                    <xdr:col>1</xdr:col>
                    <xdr:colOff>171450</xdr:colOff>
                    <xdr:row>107</xdr:row>
                    <xdr:rowOff>38100</xdr:rowOff>
                  </from>
                  <to>
                    <xdr:col>1</xdr:col>
                    <xdr:colOff>695325</xdr:colOff>
                    <xdr:row>107</xdr:row>
                    <xdr:rowOff>190500</xdr:rowOff>
                  </to>
                </anchor>
              </controlPr>
            </control>
          </mc:Choice>
        </mc:AlternateContent>
        <mc:AlternateContent xmlns:mc="http://schemas.openxmlformats.org/markup-compatibility/2006">
          <mc:Choice Requires="x14">
            <control shapeId="1705" r:id="rId100" name="Check Box 681">
              <controlPr defaultSize="0" autoFill="0" autoLine="0" autoPict="0">
                <anchor moveWithCells="1">
                  <from>
                    <xdr:col>1</xdr:col>
                    <xdr:colOff>171450</xdr:colOff>
                    <xdr:row>108</xdr:row>
                    <xdr:rowOff>38100</xdr:rowOff>
                  </from>
                  <to>
                    <xdr:col>1</xdr:col>
                    <xdr:colOff>695325</xdr:colOff>
                    <xdr:row>108</xdr:row>
                    <xdr:rowOff>190500</xdr:rowOff>
                  </to>
                </anchor>
              </controlPr>
            </control>
          </mc:Choice>
        </mc:AlternateContent>
        <mc:AlternateContent xmlns:mc="http://schemas.openxmlformats.org/markup-compatibility/2006">
          <mc:Choice Requires="x14">
            <control shapeId="1706" r:id="rId101" name="Check Box 682">
              <controlPr defaultSize="0" autoFill="0" autoLine="0" autoPict="0">
                <anchor moveWithCells="1">
                  <from>
                    <xdr:col>1</xdr:col>
                    <xdr:colOff>171450</xdr:colOff>
                    <xdr:row>109</xdr:row>
                    <xdr:rowOff>38100</xdr:rowOff>
                  </from>
                  <to>
                    <xdr:col>1</xdr:col>
                    <xdr:colOff>695325</xdr:colOff>
                    <xdr:row>109</xdr:row>
                    <xdr:rowOff>190500</xdr:rowOff>
                  </to>
                </anchor>
              </controlPr>
            </control>
          </mc:Choice>
        </mc:AlternateContent>
        <mc:AlternateContent xmlns:mc="http://schemas.openxmlformats.org/markup-compatibility/2006">
          <mc:Choice Requires="x14">
            <control shapeId="1707" r:id="rId102" name="Check Box 683">
              <controlPr defaultSize="0" autoFill="0" autoLine="0" autoPict="0">
                <anchor moveWithCells="1">
                  <from>
                    <xdr:col>1</xdr:col>
                    <xdr:colOff>171450</xdr:colOff>
                    <xdr:row>101</xdr:row>
                    <xdr:rowOff>38100</xdr:rowOff>
                  </from>
                  <to>
                    <xdr:col>1</xdr:col>
                    <xdr:colOff>695325</xdr:colOff>
                    <xdr:row>101</xdr:row>
                    <xdr:rowOff>190500</xdr:rowOff>
                  </to>
                </anchor>
              </controlPr>
            </control>
          </mc:Choice>
        </mc:AlternateContent>
        <mc:AlternateContent xmlns:mc="http://schemas.openxmlformats.org/markup-compatibility/2006">
          <mc:Choice Requires="x14">
            <control shapeId="1708" r:id="rId103" name="Check Box 684">
              <controlPr defaultSize="0" autoFill="0" autoLine="0" autoPict="0">
                <anchor moveWithCells="1">
                  <from>
                    <xdr:col>1</xdr:col>
                    <xdr:colOff>171450</xdr:colOff>
                    <xdr:row>102</xdr:row>
                    <xdr:rowOff>38100</xdr:rowOff>
                  </from>
                  <to>
                    <xdr:col>1</xdr:col>
                    <xdr:colOff>695325</xdr:colOff>
                    <xdr:row>102</xdr:row>
                    <xdr:rowOff>190500</xdr:rowOff>
                  </to>
                </anchor>
              </controlPr>
            </control>
          </mc:Choice>
        </mc:AlternateContent>
        <mc:AlternateContent xmlns:mc="http://schemas.openxmlformats.org/markup-compatibility/2006">
          <mc:Choice Requires="x14">
            <control shapeId="1709" r:id="rId104" name="Check Box 685">
              <controlPr defaultSize="0" autoFill="0" autoLine="0" autoPict="0">
                <anchor moveWithCells="1">
                  <from>
                    <xdr:col>1</xdr:col>
                    <xdr:colOff>171450</xdr:colOff>
                    <xdr:row>104</xdr:row>
                    <xdr:rowOff>38100</xdr:rowOff>
                  </from>
                  <to>
                    <xdr:col>1</xdr:col>
                    <xdr:colOff>695325</xdr:colOff>
                    <xdr:row>104</xdr:row>
                    <xdr:rowOff>190500</xdr:rowOff>
                  </to>
                </anchor>
              </controlPr>
            </control>
          </mc:Choice>
        </mc:AlternateContent>
        <mc:AlternateContent xmlns:mc="http://schemas.openxmlformats.org/markup-compatibility/2006">
          <mc:Choice Requires="x14">
            <control shapeId="1710" r:id="rId105" name="Check Box 686">
              <controlPr defaultSize="0" autoFill="0" autoLine="0" autoPict="0">
                <anchor moveWithCells="1">
                  <from>
                    <xdr:col>1</xdr:col>
                    <xdr:colOff>171450</xdr:colOff>
                    <xdr:row>105</xdr:row>
                    <xdr:rowOff>38100</xdr:rowOff>
                  </from>
                  <to>
                    <xdr:col>1</xdr:col>
                    <xdr:colOff>695325</xdr:colOff>
                    <xdr:row>105</xdr:row>
                    <xdr:rowOff>190500</xdr:rowOff>
                  </to>
                </anchor>
              </controlPr>
            </control>
          </mc:Choice>
        </mc:AlternateContent>
        <mc:AlternateContent xmlns:mc="http://schemas.openxmlformats.org/markup-compatibility/2006">
          <mc:Choice Requires="x14">
            <control shapeId="1711" r:id="rId106" name="Check Box 687">
              <controlPr defaultSize="0" autoFill="0" autoLine="0" autoPict="0">
                <anchor moveWithCells="1">
                  <from>
                    <xdr:col>1</xdr:col>
                    <xdr:colOff>171450</xdr:colOff>
                    <xdr:row>100</xdr:row>
                    <xdr:rowOff>38100</xdr:rowOff>
                  </from>
                  <to>
                    <xdr:col>1</xdr:col>
                    <xdr:colOff>695325</xdr:colOff>
                    <xdr:row>100</xdr:row>
                    <xdr:rowOff>190500</xdr:rowOff>
                  </to>
                </anchor>
              </controlPr>
            </control>
          </mc:Choice>
        </mc:AlternateContent>
        <mc:AlternateContent xmlns:mc="http://schemas.openxmlformats.org/markup-compatibility/2006">
          <mc:Choice Requires="x14">
            <control shapeId="1712" r:id="rId107" name="Check Box 688">
              <controlPr defaultSize="0" autoFill="0" autoLine="0" autoPict="0">
                <anchor moveWithCells="1">
                  <from>
                    <xdr:col>1</xdr:col>
                    <xdr:colOff>171450</xdr:colOff>
                    <xdr:row>103</xdr:row>
                    <xdr:rowOff>38100</xdr:rowOff>
                  </from>
                  <to>
                    <xdr:col>1</xdr:col>
                    <xdr:colOff>695325</xdr:colOff>
                    <xdr:row>103</xdr:row>
                    <xdr:rowOff>190500</xdr:rowOff>
                  </to>
                </anchor>
              </controlPr>
            </control>
          </mc:Choice>
        </mc:AlternateContent>
        <mc:AlternateContent xmlns:mc="http://schemas.openxmlformats.org/markup-compatibility/2006">
          <mc:Choice Requires="x14">
            <control shapeId="1713" r:id="rId108" name="Check Box 689">
              <controlPr defaultSize="0" autoFill="0" autoLine="0" autoPict="0">
                <anchor moveWithCells="1">
                  <from>
                    <xdr:col>1</xdr:col>
                    <xdr:colOff>171450</xdr:colOff>
                    <xdr:row>99</xdr:row>
                    <xdr:rowOff>38100</xdr:rowOff>
                  </from>
                  <to>
                    <xdr:col>1</xdr:col>
                    <xdr:colOff>695325</xdr:colOff>
                    <xdr:row>99</xdr:row>
                    <xdr:rowOff>190500</xdr:rowOff>
                  </to>
                </anchor>
              </controlPr>
            </control>
          </mc:Choice>
        </mc:AlternateContent>
        <mc:AlternateContent xmlns:mc="http://schemas.openxmlformats.org/markup-compatibility/2006">
          <mc:Choice Requires="x14">
            <control shapeId="1714" r:id="rId109" name="Check Box 690">
              <controlPr defaultSize="0" autoFill="0" autoLine="0" autoPict="0">
                <anchor moveWithCells="1">
                  <from>
                    <xdr:col>1</xdr:col>
                    <xdr:colOff>171450</xdr:colOff>
                    <xdr:row>120</xdr:row>
                    <xdr:rowOff>38100</xdr:rowOff>
                  </from>
                  <to>
                    <xdr:col>1</xdr:col>
                    <xdr:colOff>695325</xdr:colOff>
                    <xdr:row>120</xdr:row>
                    <xdr:rowOff>180975</xdr:rowOff>
                  </to>
                </anchor>
              </controlPr>
            </control>
          </mc:Choice>
        </mc:AlternateContent>
        <mc:AlternateContent xmlns:mc="http://schemas.openxmlformats.org/markup-compatibility/2006">
          <mc:Choice Requires="x14">
            <control shapeId="1715" r:id="rId110" name="Check Box 691">
              <controlPr defaultSize="0" autoFill="0" autoLine="0" autoPict="0">
                <anchor moveWithCells="1">
                  <from>
                    <xdr:col>1</xdr:col>
                    <xdr:colOff>171450</xdr:colOff>
                    <xdr:row>121</xdr:row>
                    <xdr:rowOff>38100</xdr:rowOff>
                  </from>
                  <to>
                    <xdr:col>1</xdr:col>
                    <xdr:colOff>695325</xdr:colOff>
                    <xdr:row>121</xdr:row>
                    <xdr:rowOff>180975</xdr:rowOff>
                  </to>
                </anchor>
              </controlPr>
            </control>
          </mc:Choice>
        </mc:AlternateContent>
        <mc:AlternateContent xmlns:mc="http://schemas.openxmlformats.org/markup-compatibility/2006">
          <mc:Choice Requires="x14">
            <control shapeId="1716" r:id="rId111" name="Check Box 692">
              <controlPr defaultSize="0" autoFill="0" autoLine="0" autoPict="0">
                <anchor moveWithCells="1">
                  <from>
                    <xdr:col>1</xdr:col>
                    <xdr:colOff>171450</xdr:colOff>
                    <xdr:row>122</xdr:row>
                    <xdr:rowOff>38100</xdr:rowOff>
                  </from>
                  <to>
                    <xdr:col>1</xdr:col>
                    <xdr:colOff>695325</xdr:colOff>
                    <xdr:row>122</xdr:row>
                    <xdr:rowOff>180975</xdr:rowOff>
                  </to>
                </anchor>
              </controlPr>
            </control>
          </mc:Choice>
        </mc:AlternateContent>
        <mc:AlternateContent xmlns:mc="http://schemas.openxmlformats.org/markup-compatibility/2006">
          <mc:Choice Requires="x14">
            <control shapeId="1717" r:id="rId112" name="Check Box 693">
              <controlPr defaultSize="0" autoFill="0" autoLine="0" autoPict="0">
                <anchor moveWithCells="1">
                  <from>
                    <xdr:col>1</xdr:col>
                    <xdr:colOff>171450</xdr:colOff>
                    <xdr:row>123</xdr:row>
                    <xdr:rowOff>38100</xdr:rowOff>
                  </from>
                  <to>
                    <xdr:col>1</xdr:col>
                    <xdr:colOff>695325</xdr:colOff>
                    <xdr:row>123</xdr:row>
                    <xdr:rowOff>180975</xdr:rowOff>
                  </to>
                </anchor>
              </controlPr>
            </control>
          </mc:Choice>
        </mc:AlternateContent>
        <mc:AlternateContent xmlns:mc="http://schemas.openxmlformats.org/markup-compatibility/2006">
          <mc:Choice Requires="x14">
            <control shapeId="1718" r:id="rId113" name="Check Box 694">
              <controlPr defaultSize="0" autoFill="0" autoLine="0" autoPict="0">
                <anchor moveWithCells="1">
                  <from>
                    <xdr:col>1</xdr:col>
                    <xdr:colOff>171450</xdr:colOff>
                    <xdr:row>124</xdr:row>
                    <xdr:rowOff>38100</xdr:rowOff>
                  </from>
                  <to>
                    <xdr:col>1</xdr:col>
                    <xdr:colOff>695325</xdr:colOff>
                    <xdr:row>124</xdr:row>
                    <xdr:rowOff>180975</xdr:rowOff>
                  </to>
                </anchor>
              </controlPr>
            </control>
          </mc:Choice>
        </mc:AlternateContent>
        <mc:AlternateContent xmlns:mc="http://schemas.openxmlformats.org/markup-compatibility/2006">
          <mc:Choice Requires="x14">
            <control shapeId="1719" r:id="rId114" name="Check Box 695">
              <controlPr defaultSize="0" autoFill="0" autoLine="0" autoPict="0">
                <anchor moveWithCells="1">
                  <from>
                    <xdr:col>1</xdr:col>
                    <xdr:colOff>171450</xdr:colOff>
                    <xdr:row>125</xdr:row>
                    <xdr:rowOff>38100</xdr:rowOff>
                  </from>
                  <to>
                    <xdr:col>1</xdr:col>
                    <xdr:colOff>695325</xdr:colOff>
                    <xdr:row>125</xdr:row>
                    <xdr:rowOff>180975</xdr:rowOff>
                  </to>
                </anchor>
              </controlPr>
            </control>
          </mc:Choice>
        </mc:AlternateContent>
        <mc:AlternateContent xmlns:mc="http://schemas.openxmlformats.org/markup-compatibility/2006">
          <mc:Choice Requires="x14">
            <control shapeId="1720" r:id="rId115" name="Check Box 696">
              <controlPr defaultSize="0" autoFill="0" autoLine="0" autoPict="0">
                <anchor moveWithCells="1">
                  <from>
                    <xdr:col>1</xdr:col>
                    <xdr:colOff>171450</xdr:colOff>
                    <xdr:row>126</xdr:row>
                    <xdr:rowOff>38100</xdr:rowOff>
                  </from>
                  <to>
                    <xdr:col>1</xdr:col>
                    <xdr:colOff>695325</xdr:colOff>
                    <xdr:row>126</xdr:row>
                    <xdr:rowOff>180975</xdr:rowOff>
                  </to>
                </anchor>
              </controlPr>
            </control>
          </mc:Choice>
        </mc:AlternateContent>
        <mc:AlternateContent xmlns:mc="http://schemas.openxmlformats.org/markup-compatibility/2006">
          <mc:Choice Requires="x14">
            <control shapeId="1721" r:id="rId116" name="Check Box 697">
              <controlPr defaultSize="0" autoFill="0" autoLine="0" autoPict="0">
                <anchor moveWithCells="1">
                  <from>
                    <xdr:col>1</xdr:col>
                    <xdr:colOff>171450</xdr:colOff>
                    <xdr:row>127</xdr:row>
                    <xdr:rowOff>38100</xdr:rowOff>
                  </from>
                  <to>
                    <xdr:col>1</xdr:col>
                    <xdr:colOff>695325</xdr:colOff>
                    <xdr:row>127</xdr:row>
                    <xdr:rowOff>190500</xdr:rowOff>
                  </to>
                </anchor>
              </controlPr>
            </control>
          </mc:Choice>
        </mc:AlternateContent>
        <mc:AlternateContent xmlns:mc="http://schemas.openxmlformats.org/markup-compatibility/2006">
          <mc:Choice Requires="x14">
            <control shapeId="1722" r:id="rId117" name="Check Box 698">
              <controlPr defaultSize="0" autoFill="0" autoLine="0" autoPict="0">
                <anchor moveWithCells="1">
                  <from>
                    <xdr:col>1</xdr:col>
                    <xdr:colOff>171450</xdr:colOff>
                    <xdr:row>128</xdr:row>
                    <xdr:rowOff>38100</xdr:rowOff>
                  </from>
                  <to>
                    <xdr:col>1</xdr:col>
                    <xdr:colOff>695325</xdr:colOff>
                    <xdr:row>128</xdr:row>
                    <xdr:rowOff>190500</xdr:rowOff>
                  </to>
                </anchor>
              </controlPr>
            </control>
          </mc:Choice>
        </mc:AlternateContent>
        <mc:AlternateContent xmlns:mc="http://schemas.openxmlformats.org/markup-compatibility/2006">
          <mc:Choice Requires="x14">
            <control shapeId="1723" r:id="rId118" name="Check Box 699">
              <controlPr defaultSize="0" autoFill="0" autoLine="0" autoPict="0">
                <anchor moveWithCells="1">
                  <from>
                    <xdr:col>1</xdr:col>
                    <xdr:colOff>171450</xdr:colOff>
                    <xdr:row>129</xdr:row>
                    <xdr:rowOff>38100</xdr:rowOff>
                  </from>
                  <to>
                    <xdr:col>1</xdr:col>
                    <xdr:colOff>695325</xdr:colOff>
                    <xdr:row>129</xdr:row>
                    <xdr:rowOff>190500</xdr:rowOff>
                  </to>
                </anchor>
              </controlPr>
            </control>
          </mc:Choice>
        </mc:AlternateContent>
        <mc:AlternateContent xmlns:mc="http://schemas.openxmlformats.org/markup-compatibility/2006">
          <mc:Choice Requires="x14">
            <control shapeId="1724" r:id="rId119" name="Check Box 700">
              <controlPr defaultSize="0" autoFill="0" autoLine="0" autoPict="0">
                <anchor moveWithCells="1">
                  <from>
                    <xdr:col>1</xdr:col>
                    <xdr:colOff>171450</xdr:colOff>
                    <xdr:row>137</xdr:row>
                    <xdr:rowOff>38100</xdr:rowOff>
                  </from>
                  <to>
                    <xdr:col>1</xdr:col>
                    <xdr:colOff>695325</xdr:colOff>
                    <xdr:row>137</xdr:row>
                    <xdr:rowOff>190500</xdr:rowOff>
                  </to>
                </anchor>
              </controlPr>
            </control>
          </mc:Choice>
        </mc:AlternateContent>
        <mc:AlternateContent xmlns:mc="http://schemas.openxmlformats.org/markup-compatibility/2006">
          <mc:Choice Requires="x14">
            <control shapeId="1725" r:id="rId120" name="Check Box 701">
              <controlPr defaultSize="0" autoFill="0" autoLine="0" autoPict="0">
                <anchor moveWithCells="1">
                  <from>
                    <xdr:col>1</xdr:col>
                    <xdr:colOff>171450</xdr:colOff>
                    <xdr:row>138</xdr:row>
                    <xdr:rowOff>38100</xdr:rowOff>
                  </from>
                  <to>
                    <xdr:col>1</xdr:col>
                    <xdr:colOff>695325</xdr:colOff>
                    <xdr:row>138</xdr:row>
                    <xdr:rowOff>190500</xdr:rowOff>
                  </to>
                </anchor>
              </controlPr>
            </control>
          </mc:Choice>
        </mc:AlternateContent>
        <mc:AlternateContent xmlns:mc="http://schemas.openxmlformats.org/markup-compatibility/2006">
          <mc:Choice Requires="x14">
            <control shapeId="1726" r:id="rId121" name="Check Box 702">
              <controlPr defaultSize="0" autoFill="0" autoLine="0" autoPict="0">
                <anchor moveWithCells="1">
                  <from>
                    <xdr:col>1</xdr:col>
                    <xdr:colOff>171450</xdr:colOff>
                    <xdr:row>139</xdr:row>
                    <xdr:rowOff>38100</xdr:rowOff>
                  </from>
                  <to>
                    <xdr:col>1</xdr:col>
                    <xdr:colOff>695325</xdr:colOff>
                    <xdr:row>139</xdr:row>
                    <xdr:rowOff>190500</xdr:rowOff>
                  </to>
                </anchor>
              </controlPr>
            </control>
          </mc:Choice>
        </mc:AlternateContent>
        <mc:AlternateContent xmlns:mc="http://schemas.openxmlformats.org/markup-compatibility/2006">
          <mc:Choice Requires="x14">
            <control shapeId="1727" r:id="rId122" name="Check Box 703">
              <controlPr defaultSize="0" autoFill="0" autoLine="0" autoPict="0">
                <anchor moveWithCells="1">
                  <from>
                    <xdr:col>1</xdr:col>
                    <xdr:colOff>171450</xdr:colOff>
                    <xdr:row>140</xdr:row>
                    <xdr:rowOff>38100</xdr:rowOff>
                  </from>
                  <to>
                    <xdr:col>1</xdr:col>
                    <xdr:colOff>695325</xdr:colOff>
                    <xdr:row>140</xdr:row>
                    <xdr:rowOff>190500</xdr:rowOff>
                  </to>
                </anchor>
              </controlPr>
            </control>
          </mc:Choice>
        </mc:AlternateContent>
        <mc:AlternateContent xmlns:mc="http://schemas.openxmlformats.org/markup-compatibility/2006">
          <mc:Choice Requires="x14">
            <control shapeId="1728" r:id="rId123" name="Check Box 704">
              <controlPr defaultSize="0" autoFill="0" autoLine="0" autoPict="0">
                <anchor moveWithCells="1">
                  <from>
                    <xdr:col>1</xdr:col>
                    <xdr:colOff>171450</xdr:colOff>
                    <xdr:row>132</xdr:row>
                    <xdr:rowOff>38100</xdr:rowOff>
                  </from>
                  <to>
                    <xdr:col>1</xdr:col>
                    <xdr:colOff>695325</xdr:colOff>
                    <xdr:row>132</xdr:row>
                    <xdr:rowOff>190500</xdr:rowOff>
                  </to>
                </anchor>
              </controlPr>
            </control>
          </mc:Choice>
        </mc:AlternateContent>
        <mc:AlternateContent xmlns:mc="http://schemas.openxmlformats.org/markup-compatibility/2006">
          <mc:Choice Requires="x14">
            <control shapeId="1729" r:id="rId124" name="Check Box 705">
              <controlPr defaultSize="0" autoFill="0" autoLine="0" autoPict="0">
                <anchor moveWithCells="1">
                  <from>
                    <xdr:col>1</xdr:col>
                    <xdr:colOff>171450</xdr:colOff>
                    <xdr:row>133</xdr:row>
                    <xdr:rowOff>38100</xdr:rowOff>
                  </from>
                  <to>
                    <xdr:col>1</xdr:col>
                    <xdr:colOff>695325</xdr:colOff>
                    <xdr:row>133</xdr:row>
                    <xdr:rowOff>190500</xdr:rowOff>
                  </to>
                </anchor>
              </controlPr>
            </control>
          </mc:Choice>
        </mc:AlternateContent>
        <mc:AlternateContent xmlns:mc="http://schemas.openxmlformats.org/markup-compatibility/2006">
          <mc:Choice Requires="x14">
            <control shapeId="1730" r:id="rId125" name="Check Box 706">
              <controlPr defaultSize="0" autoFill="0" autoLine="0" autoPict="0">
                <anchor moveWithCells="1">
                  <from>
                    <xdr:col>1</xdr:col>
                    <xdr:colOff>171450</xdr:colOff>
                    <xdr:row>135</xdr:row>
                    <xdr:rowOff>38100</xdr:rowOff>
                  </from>
                  <to>
                    <xdr:col>1</xdr:col>
                    <xdr:colOff>695325</xdr:colOff>
                    <xdr:row>135</xdr:row>
                    <xdr:rowOff>190500</xdr:rowOff>
                  </to>
                </anchor>
              </controlPr>
            </control>
          </mc:Choice>
        </mc:AlternateContent>
        <mc:AlternateContent xmlns:mc="http://schemas.openxmlformats.org/markup-compatibility/2006">
          <mc:Choice Requires="x14">
            <control shapeId="1731" r:id="rId126" name="Check Box 707">
              <controlPr defaultSize="0" autoFill="0" autoLine="0" autoPict="0">
                <anchor moveWithCells="1">
                  <from>
                    <xdr:col>1</xdr:col>
                    <xdr:colOff>171450</xdr:colOff>
                    <xdr:row>136</xdr:row>
                    <xdr:rowOff>38100</xdr:rowOff>
                  </from>
                  <to>
                    <xdr:col>1</xdr:col>
                    <xdr:colOff>695325</xdr:colOff>
                    <xdr:row>136</xdr:row>
                    <xdr:rowOff>190500</xdr:rowOff>
                  </to>
                </anchor>
              </controlPr>
            </control>
          </mc:Choice>
        </mc:AlternateContent>
        <mc:AlternateContent xmlns:mc="http://schemas.openxmlformats.org/markup-compatibility/2006">
          <mc:Choice Requires="x14">
            <control shapeId="1732" r:id="rId127" name="Check Box 708">
              <controlPr defaultSize="0" autoFill="0" autoLine="0" autoPict="0">
                <anchor moveWithCells="1">
                  <from>
                    <xdr:col>1</xdr:col>
                    <xdr:colOff>171450</xdr:colOff>
                    <xdr:row>131</xdr:row>
                    <xdr:rowOff>38100</xdr:rowOff>
                  </from>
                  <to>
                    <xdr:col>1</xdr:col>
                    <xdr:colOff>695325</xdr:colOff>
                    <xdr:row>131</xdr:row>
                    <xdr:rowOff>190500</xdr:rowOff>
                  </to>
                </anchor>
              </controlPr>
            </control>
          </mc:Choice>
        </mc:AlternateContent>
        <mc:AlternateContent xmlns:mc="http://schemas.openxmlformats.org/markup-compatibility/2006">
          <mc:Choice Requires="x14">
            <control shapeId="1733" r:id="rId128" name="Check Box 709">
              <controlPr defaultSize="0" autoFill="0" autoLine="0" autoPict="0">
                <anchor moveWithCells="1">
                  <from>
                    <xdr:col>1</xdr:col>
                    <xdr:colOff>171450</xdr:colOff>
                    <xdr:row>134</xdr:row>
                    <xdr:rowOff>38100</xdr:rowOff>
                  </from>
                  <to>
                    <xdr:col>1</xdr:col>
                    <xdr:colOff>695325</xdr:colOff>
                    <xdr:row>134</xdr:row>
                    <xdr:rowOff>190500</xdr:rowOff>
                  </to>
                </anchor>
              </controlPr>
            </control>
          </mc:Choice>
        </mc:AlternateContent>
        <mc:AlternateContent xmlns:mc="http://schemas.openxmlformats.org/markup-compatibility/2006">
          <mc:Choice Requires="x14">
            <control shapeId="1734" r:id="rId129" name="Check Box 710">
              <controlPr defaultSize="0" autoFill="0" autoLine="0" autoPict="0">
                <anchor moveWithCells="1">
                  <from>
                    <xdr:col>1</xdr:col>
                    <xdr:colOff>171450</xdr:colOff>
                    <xdr:row>130</xdr:row>
                    <xdr:rowOff>38100</xdr:rowOff>
                  </from>
                  <to>
                    <xdr:col>1</xdr:col>
                    <xdr:colOff>695325</xdr:colOff>
                    <xdr:row>130</xdr:row>
                    <xdr:rowOff>190500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xWindow="308" yWindow="234" count="2">
        <x14:dataValidation type="list" allowBlank="1" showInputMessage="1" showErrorMessage="1" promptTitle="申請人規模：" prompt="會影響美國案、加拿大案的【官方費用】" xr:uid="{00000000-0002-0000-0000-000017000000}">
          <x14:formula1>
            <xm:f>選項!$G$2:$G$4</xm:f>
          </x14:formula1>
          <xm:sqref>B10</xm:sqref>
        </x14:dataValidation>
        <x14:dataValidation type="list" allowBlank="1" showInputMessage="1" showErrorMessage="1" promptTitle="申請人屬性：" prompt="會影響台灣案在年費階段的【官方費用】，請注意，企業需符合經濟部的中小企業認定標準才能算【中小企業】" xr:uid="{00000000-0002-0000-0000-000018000000}">
          <x14:formula1>
            <xm:f>選項!$H$2:$H$5</xm:f>
          </x14:formula1>
          <xm:sqref>B11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2"/>
  <dimension ref="A1:DR93"/>
  <sheetViews>
    <sheetView topLeftCell="AG31" zoomScale="85" zoomScaleNormal="85" workbookViewId="0">
      <selection activeCell="K2" sqref="K2"/>
    </sheetView>
  </sheetViews>
  <sheetFormatPr defaultRowHeight="16.5" x14ac:dyDescent="0.25"/>
  <cols>
    <col min="1" max="1" width="11.75" customWidth="1"/>
    <col min="2" max="2" width="11.625" bestFit="1" customWidth="1"/>
    <col min="3" max="3" width="11.625" customWidth="1"/>
    <col min="4" max="4" width="13.375" customWidth="1"/>
    <col min="5" max="5" width="13.875" style="133" customWidth="1"/>
    <col min="6" max="6" width="5.75" customWidth="1"/>
    <col min="7" max="7" width="9.75" customWidth="1"/>
    <col min="8" max="8" width="11.625" customWidth="1"/>
    <col min="9" max="9" width="9.75" customWidth="1"/>
    <col min="10" max="10" width="24" customWidth="1"/>
    <col min="11" max="12" width="11.625" customWidth="1"/>
    <col min="13" max="13" width="15.25" bestFit="1" customWidth="1"/>
    <col min="14" max="15" width="9.75" customWidth="1"/>
    <col min="16" max="16" width="8.625" customWidth="1"/>
    <col min="17" max="17" width="9.5" customWidth="1"/>
    <col min="18" max="18" width="14.375" customWidth="1"/>
    <col min="19" max="19" width="9" customWidth="1"/>
    <col min="20" max="20" width="11.625" customWidth="1"/>
    <col min="21" max="21" width="10.625" customWidth="1"/>
    <col min="22" max="22" width="14.125" customWidth="1"/>
    <col min="23" max="23" width="11.125" customWidth="1"/>
    <col min="24" max="24" width="10" bestFit="1" customWidth="1"/>
    <col min="25" max="25" width="7.5" customWidth="1"/>
    <col min="26" max="26" width="11.625" customWidth="1"/>
    <col min="27" max="27" width="12.5" customWidth="1"/>
    <col min="28" max="28" width="16.75" customWidth="1"/>
    <col min="29" max="29" width="9.5" customWidth="1"/>
    <col min="30" max="30" width="9.75" bestFit="1" customWidth="1"/>
    <col min="31" max="31" width="11.25" bestFit="1" customWidth="1"/>
    <col min="32" max="32" width="9.75" bestFit="1" customWidth="1"/>
    <col min="33" max="34" width="9.875" customWidth="1"/>
    <col min="35" max="36" width="9" customWidth="1"/>
    <col min="37" max="37" width="5.75" customWidth="1"/>
    <col min="38" max="39" width="14.125" bestFit="1" customWidth="1"/>
    <col min="40" max="40" width="12.875" customWidth="1"/>
    <col min="41" max="41" width="12.875" bestFit="1" customWidth="1"/>
    <col min="42" max="42" width="12.75" bestFit="1" customWidth="1"/>
    <col min="43" max="43" width="5.75" customWidth="1"/>
    <col min="44" max="44" width="11.625" bestFit="1" customWidth="1"/>
    <col min="45" max="46" width="9.5" customWidth="1"/>
    <col min="47" max="47" width="11.625" bestFit="1" customWidth="1"/>
    <col min="48" max="48" width="12.75" bestFit="1" customWidth="1"/>
    <col min="49" max="49" width="14.125" bestFit="1" customWidth="1"/>
    <col min="50" max="50" width="16.125" bestFit="1" customWidth="1"/>
    <col min="51" max="51" width="11.625" bestFit="1" customWidth="1"/>
    <col min="52" max="52" width="17.875" customWidth="1"/>
    <col min="53" max="53" width="9.5" customWidth="1"/>
    <col min="54" max="54" width="12.75" bestFit="1" customWidth="1"/>
    <col min="55" max="56" width="11.625" bestFit="1" customWidth="1"/>
    <col min="58" max="58" width="13.875" bestFit="1" customWidth="1"/>
    <col min="59" max="59" width="11.625" bestFit="1" customWidth="1"/>
    <col min="60" max="60" width="11.625" customWidth="1"/>
    <col min="61" max="61" width="12.75" bestFit="1" customWidth="1"/>
    <col min="62" max="66" width="12.75" customWidth="1"/>
    <col min="67" max="67" width="15.75" customWidth="1"/>
    <col min="69" max="69" width="15.625" customWidth="1"/>
    <col min="70" max="70" width="16.375" bestFit="1" customWidth="1"/>
    <col min="72" max="72" width="13.875" bestFit="1" customWidth="1"/>
    <col min="73" max="74" width="13.875" customWidth="1"/>
    <col min="75" max="75" width="16.375" bestFit="1" customWidth="1"/>
    <col min="77" max="77" width="17.125" customWidth="1"/>
    <col min="78" max="78" width="16" bestFit="1" customWidth="1"/>
    <col min="80" max="80" width="15.5" customWidth="1"/>
    <col min="81" max="81" width="20.25" customWidth="1"/>
  </cols>
  <sheetData>
    <row r="1" spans="1:81" x14ac:dyDescent="0.25">
      <c r="A1" s="9" t="s">
        <v>68</v>
      </c>
    </row>
    <row r="2" spans="1:81" ht="16.5" customHeight="1" x14ac:dyDescent="0.25">
      <c r="A2" s="9" t="s">
        <v>59</v>
      </c>
    </row>
    <row r="3" spans="1:81" ht="16.5" customHeight="1" x14ac:dyDescent="0.25">
      <c r="A3" s="9"/>
    </row>
    <row r="4" spans="1:81" ht="16.5" customHeight="1" x14ac:dyDescent="0.25">
      <c r="A4" s="226" t="s">
        <v>27</v>
      </c>
      <c r="B4" s="227"/>
      <c r="C4" s="1"/>
      <c r="D4" s="1"/>
      <c r="K4" s="226" t="s">
        <v>145</v>
      </c>
      <c r="L4" s="228"/>
      <c r="M4" s="228"/>
      <c r="N4" s="227"/>
      <c r="T4" s="229" t="s">
        <v>221</v>
      </c>
      <c r="U4" s="230"/>
      <c r="V4" s="229" t="s">
        <v>141</v>
      </c>
      <c r="W4" s="230"/>
    </row>
    <row r="5" spans="1:81" ht="16.5" customHeight="1" x14ac:dyDescent="0.25">
      <c r="A5" s="6" t="s">
        <v>34</v>
      </c>
      <c r="B5" s="12">
        <f>'發明(新型)案成本估算'!B5</f>
        <v>7500</v>
      </c>
      <c r="C5" t="s">
        <v>91</v>
      </c>
      <c r="D5" s="130"/>
      <c r="K5" s="6" t="s">
        <v>81</v>
      </c>
      <c r="L5" s="13">
        <f>'發明(新型)案成本估算'!K5</f>
        <v>32</v>
      </c>
      <c r="M5" s="6" t="s">
        <v>80</v>
      </c>
      <c r="N5" s="13">
        <f>'發明(新型)案成本估算'!M5</f>
        <v>4.5999999999999996</v>
      </c>
      <c r="T5" s="5" t="s">
        <v>1</v>
      </c>
      <c r="U5" s="5" t="b">
        <v>1</v>
      </c>
      <c r="V5" s="5" t="s">
        <v>142</v>
      </c>
      <c r="W5" s="5" t="b">
        <v>1</v>
      </c>
    </row>
    <row r="6" spans="1:81" ht="16.5" customHeight="1" x14ac:dyDescent="0.25">
      <c r="A6" s="6" t="s">
        <v>35</v>
      </c>
      <c r="B6" s="12">
        <f>'發明(新型)案成本估算'!B6</f>
        <v>5000</v>
      </c>
      <c r="C6" t="s">
        <v>92</v>
      </c>
      <c r="D6" s="130"/>
      <c r="K6" s="3" t="s">
        <v>82</v>
      </c>
      <c r="L6" s="13">
        <f>'發明(新型)案成本估算'!K6</f>
        <v>37.5</v>
      </c>
      <c r="M6" s="3" t="s">
        <v>85</v>
      </c>
      <c r="N6" s="13">
        <f>'發明(新型)案成本估算'!M6</f>
        <v>25</v>
      </c>
      <c r="T6" s="5" t="s">
        <v>220</v>
      </c>
      <c r="U6" s="5" t="b">
        <v>1</v>
      </c>
      <c r="V6" s="5" t="s">
        <v>143</v>
      </c>
      <c r="W6" s="5" t="b">
        <v>1</v>
      </c>
    </row>
    <row r="7" spans="1:81" ht="16.5" customHeight="1" x14ac:dyDescent="0.25">
      <c r="A7" s="6" t="s">
        <v>25</v>
      </c>
      <c r="B7" s="12">
        <f>'發明(新型)案成本估算'!B7</f>
        <v>10</v>
      </c>
      <c r="C7" t="s">
        <v>94</v>
      </c>
      <c r="D7" s="130"/>
      <c r="K7" s="3" t="s">
        <v>83</v>
      </c>
      <c r="L7" s="13">
        <f>'發明(新型)案成本估算'!K7</f>
        <v>0.21</v>
      </c>
      <c r="M7" s="3" t="s">
        <v>86</v>
      </c>
      <c r="N7" s="13">
        <f>'發明(新型)案成本估算'!M7</f>
        <v>1.4E-3</v>
      </c>
      <c r="T7" s="5" t="s">
        <v>219</v>
      </c>
      <c r="U7" s="5" t="b">
        <v>1</v>
      </c>
      <c r="V7" s="5" t="s">
        <v>144</v>
      </c>
      <c r="W7" s="5" t="b">
        <v>1</v>
      </c>
    </row>
    <row r="8" spans="1:81" ht="16.5" customHeight="1" x14ac:dyDescent="0.25">
      <c r="A8" s="6" t="s">
        <v>26</v>
      </c>
      <c r="B8" s="12">
        <f>'發明(新型)案成本估算'!B8</f>
        <v>3</v>
      </c>
      <c r="C8" t="s">
        <v>93</v>
      </c>
      <c r="D8" s="130"/>
      <c r="K8" s="3" t="s">
        <v>84</v>
      </c>
      <c r="L8" s="13">
        <f>'發明(新型)案成本估算'!K8</f>
        <v>2.5000000000000001E-2</v>
      </c>
      <c r="M8" s="3" t="s">
        <v>88</v>
      </c>
      <c r="N8" s="13">
        <f>'發明(新型)案成本估算'!M8</f>
        <v>8.3000000000000007</v>
      </c>
      <c r="T8" s="5" t="s">
        <v>212</v>
      </c>
      <c r="U8" s="5" t="b">
        <v>1</v>
      </c>
    </row>
    <row r="9" spans="1:81" ht="16.5" customHeight="1" x14ac:dyDescent="0.25">
      <c r="A9" s="6" t="s">
        <v>58</v>
      </c>
      <c r="B9" s="12">
        <f>'發明(新型)案成本估算'!B9</f>
        <v>10</v>
      </c>
      <c r="C9" t="s">
        <v>97</v>
      </c>
      <c r="D9" s="130"/>
      <c r="K9" s="3" t="s">
        <v>87</v>
      </c>
      <c r="L9" s="13">
        <f>'發明(新型)案成本估算'!K9</f>
        <v>1.1000000000000001</v>
      </c>
      <c r="M9" s="3" t="s">
        <v>89</v>
      </c>
      <c r="N9" s="13">
        <f>'發明(新型)案成本估算'!M9</f>
        <v>23.5</v>
      </c>
    </row>
    <row r="10" spans="1:81" ht="16.5" customHeight="1" x14ac:dyDescent="0.25">
      <c r="A10" s="6" t="s">
        <v>37</v>
      </c>
      <c r="B10" s="21" t="str">
        <f>'發明(新型)案成本估算'!B10</f>
        <v>少於100人</v>
      </c>
      <c r="C10" t="s">
        <v>90</v>
      </c>
      <c r="D10" s="131"/>
    </row>
    <row r="11" spans="1:81" ht="16.5" customHeight="1" x14ac:dyDescent="0.25">
      <c r="A11" s="6" t="s">
        <v>67</v>
      </c>
      <c r="B11" s="21" t="str">
        <f>'發明(新型)案成本估算'!B11</f>
        <v>中小企業</v>
      </c>
      <c r="C11" t="s">
        <v>98</v>
      </c>
      <c r="D11" s="131"/>
    </row>
    <row r="12" spans="1:81" ht="16.5" customHeight="1" x14ac:dyDescent="0.25">
      <c r="A12" s="9"/>
      <c r="BF12" t="s">
        <v>258</v>
      </c>
    </row>
    <row r="13" spans="1:81" ht="16.5" customHeight="1" x14ac:dyDescent="0.25">
      <c r="A13" s="30" t="s">
        <v>203</v>
      </c>
      <c r="AI13" s="30" t="s">
        <v>217</v>
      </c>
      <c r="AJ13" s="31"/>
      <c r="AK13" s="31"/>
      <c r="AL13" s="31"/>
      <c r="AM13" s="31"/>
      <c r="AN13" s="31"/>
      <c r="AO13" s="31"/>
      <c r="AP13" s="31"/>
      <c r="AQ13" s="31"/>
      <c r="AR13" s="31"/>
      <c r="AS13" s="31"/>
      <c r="AT13" s="31"/>
      <c r="AU13" s="31"/>
      <c r="AV13" s="31"/>
    </row>
    <row r="14" spans="1:81" ht="16.5" customHeight="1" thickBot="1" x14ac:dyDescent="0.3">
      <c r="A14" s="231" t="s">
        <v>204</v>
      </c>
      <c r="B14" s="232"/>
      <c r="C14" s="232"/>
      <c r="D14" s="232"/>
      <c r="E14" s="232"/>
      <c r="F14" s="232"/>
      <c r="G14" s="232"/>
      <c r="H14" s="232"/>
      <c r="I14" s="232"/>
      <c r="J14" s="232"/>
      <c r="K14" s="232"/>
      <c r="L14" s="232"/>
      <c r="M14" s="232"/>
      <c r="N14" s="232"/>
      <c r="O14" s="232"/>
      <c r="P14" s="232"/>
      <c r="Q14" s="232"/>
      <c r="R14" s="232"/>
      <c r="S14" s="232"/>
      <c r="T14" s="232"/>
      <c r="U14" s="232"/>
      <c r="V14" s="233"/>
      <c r="W14" s="233"/>
      <c r="X14" s="233"/>
      <c r="Y14" s="233"/>
      <c r="Z14" s="233"/>
      <c r="AA14" s="233"/>
      <c r="AB14" s="234"/>
      <c r="AD14" s="201" t="s">
        <v>62</v>
      </c>
      <c r="AE14" s="202"/>
      <c r="AF14" s="202"/>
      <c r="AI14" s="236" t="s">
        <v>205</v>
      </c>
      <c r="AJ14" s="237"/>
      <c r="AK14" s="237"/>
      <c r="AL14" s="237"/>
      <c r="AM14" s="237"/>
      <c r="AN14" s="237"/>
      <c r="AO14" s="237"/>
      <c r="AP14" s="237"/>
      <c r="AQ14" s="237"/>
      <c r="AR14" s="237"/>
      <c r="AS14" s="237"/>
      <c r="AT14" s="237"/>
      <c r="AU14" s="237"/>
      <c r="AV14" s="237"/>
      <c r="AW14" s="237"/>
      <c r="AX14" s="237"/>
      <c r="AY14" s="237"/>
      <c r="AZ14" s="237"/>
      <c r="BA14" s="237"/>
      <c r="BB14" s="201" t="s">
        <v>210</v>
      </c>
      <c r="BC14" s="202"/>
      <c r="BD14" s="202"/>
      <c r="BF14" s="201" t="s">
        <v>263</v>
      </c>
      <c r="BG14" s="202"/>
      <c r="BH14" s="202"/>
      <c r="BI14" s="202"/>
      <c r="BJ14" s="202"/>
      <c r="BK14" s="247"/>
      <c r="BL14" s="247"/>
      <c r="BM14" s="247"/>
      <c r="BN14" s="247"/>
      <c r="BO14" s="248"/>
      <c r="BQ14" s="201" t="s">
        <v>96</v>
      </c>
      <c r="BR14" s="202"/>
      <c r="BT14" s="201" t="s">
        <v>266</v>
      </c>
      <c r="BU14" s="249"/>
      <c r="BV14" s="249"/>
      <c r="BW14" s="249"/>
      <c r="BY14" s="243" t="s">
        <v>265</v>
      </c>
      <c r="BZ14" s="244"/>
      <c r="CB14" s="243" t="s">
        <v>267</v>
      </c>
      <c r="CC14" s="244"/>
    </row>
    <row r="15" spans="1:81" ht="33" customHeight="1" thickTop="1" x14ac:dyDescent="0.25">
      <c r="A15" s="203" t="s">
        <v>114</v>
      </c>
      <c r="B15" s="203" t="s">
        <v>0</v>
      </c>
      <c r="C15" s="235" t="s">
        <v>301</v>
      </c>
      <c r="D15" s="235" t="s">
        <v>305</v>
      </c>
      <c r="E15" s="204" t="s">
        <v>306</v>
      </c>
      <c r="F15" s="206" t="s">
        <v>60</v>
      </c>
      <c r="G15" s="207"/>
      <c r="H15" s="207"/>
      <c r="I15" s="207"/>
      <c r="J15" s="207"/>
      <c r="K15" s="208"/>
      <c r="L15" s="209"/>
      <c r="M15" s="206" t="s">
        <v>36</v>
      </c>
      <c r="N15" s="207"/>
      <c r="O15" s="207"/>
      <c r="P15" s="207"/>
      <c r="Q15" s="207"/>
      <c r="R15" s="207"/>
      <c r="S15" s="207"/>
      <c r="T15" s="208"/>
      <c r="U15" s="209"/>
      <c r="V15" s="15" t="s">
        <v>237</v>
      </c>
      <c r="W15" s="210" t="s">
        <v>32</v>
      </c>
      <c r="X15" s="211"/>
      <c r="Y15" s="211"/>
      <c r="Z15" s="209"/>
      <c r="AA15" s="212" t="s">
        <v>238</v>
      </c>
      <c r="AB15" s="212" t="s">
        <v>239</v>
      </c>
      <c r="AC15" s="213" t="s">
        <v>115</v>
      </c>
      <c r="AD15" s="218" t="s">
        <v>77</v>
      </c>
      <c r="AE15" s="218" t="s">
        <v>76</v>
      </c>
      <c r="AF15" s="214" t="s">
        <v>240</v>
      </c>
      <c r="AG15" s="235" t="s">
        <v>305</v>
      </c>
      <c r="AH15" s="220" t="s">
        <v>95</v>
      </c>
      <c r="AI15" s="213" t="s">
        <v>114</v>
      </c>
      <c r="AJ15" s="217" t="s">
        <v>0</v>
      </c>
      <c r="AK15" s="222" t="s">
        <v>276</v>
      </c>
      <c r="AL15" s="223"/>
      <c r="AM15" s="223"/>
      <c r="AN15" s="223"/>
      <c r="AO15" s="224"/>
      <c r="AP15" s="225"/>
      <c r="AQ15" s="222" t="s">
        <v>277</v>
      </c>
      <c r="AR15" s="223"/>
      <c r="AS15" s="223"/>
      <c r="AT15" s="223"/>
      <c r="AU15" s="224"/>
      <c r="AV15" s="225"/>
      <c r="AW15" s="25" t="s">
        <v>278</v>
      </c>
      <c r="AX15" s="18" t="s">
        <v>32</v>
      </c>
      <c r="AY15" s="216" t="s">
        <v>279</v>
      </c>
      <c r="AZ15" s="216" t="s">
        <v>280</v>
      </c>
      <c r="BA15" s="213" t="s">
        <v>115</v>
      </c>
      <c r="BB15" s="218" t="s">
        <v>281</v>
      </c>
      <c r="BC15" s="218" t="s">
        <v>282</v>
      </c>
      <c r="BD15" s="214" t="s">
        <v>283</v>
      </c>
      <c r="BF15" s="195" t="s">
        <v>116</v>
      </c>
      <c r="BG15" s="250" t="s">
        <v>259</v>
      </c>
      <c r="BH15" s="214" t="s">
        <v>260</v>
      </c>
      <c r="BI15" s="214" t="s">
        <v>284</v>
      </c>
      <c r="BJ15" s="251" t="s">
        <v>261</v>
      </c>
      <c r="BK15" s="245" t="s">
        <v>262</v>
      </c>
      <c r="BL15" s="252" t="s">
        <v>285</v>
      </c>
      <c r="BM15" s="252" t="s">
        <v>286</v>
      </c>
      <c r="BN15" s="245" t="s">
        <v>290</v>
      </c>
      <c r="BO15" s="245" t="s">
        <v>287</v>
      </c>
      <c r="BQ15" s="218" t="s">
        <v>241</v>
      </c>
      <c r="BR15" s="218" t="s">
        <v>288</v>
      </c>
      <c r="BT15" s="218" t="s">
        <v>77</v>
      </c>
      <c r="BU15" s="218" t="s">
        <v>76</v>
      </c>
      <c r="BV15" s="214" t="s">
        <v>240</v>
      </c>
      <c r="BW15" s="218" t="s">
        <v>289</v>
      </c>
      <c r="BY15" s="218" t="s">
        <v>293</v>
      </c>
      <c r="BZ15" s="245" t="s">
        <v>287</v>
      </c>
      <c r="CB15" s="218" t="s">
        <v>264</v>
      </c>
      <c r="CC15" s="245" t="s">
        <v>287</v>
      </c>
    </row>
    <row r="16" spans="1:81" x14ac:dyDescent="0.25">
      <c r="A16" s="203"/>
      <c r="B16" s="203"/>
      <c r="C16" s="213"/>
      <c r="D16" s="213"/>
      <c r="E16" s="205"/>
      <c r="F16" s="4" t="s">
        <v>13</v>
      </c>
      <c r="G16" s="3" t="s">
        <v>1</v>
      </c>
      <c r="H16" s="3" t="s">
        <v>44</v>
      </c>
      <c r="I16" s="3" t="s">
        <v>28</v>
      </c>
      <c r="J16" s="3" t="s">
        <v>332</v>
      </c>
      <c r="K16" s="4" t="s">
        <v>56</v>
      </c>
      <c r="L16" s="4" t="s">
        <v>47</v>
      </c>
      <c r="M16" s="4" t="s">
        <v>13</v>
      </c>
      <c r="N16" s="3" t="s">
        <v>1</v>
      </c>
      <c r="O16" s="3" t="s">
        <v>33</v>
      </c>
      <c r="P16" s="3" t="s">
        <v>44</v>
      </c>
      <c r="Q16" s="3" t="s">
        <v>28</v>
      </c>
      <c r="R16" s="3" t="s">
        <v>343</v>
      </c>
      <c r="S16" s="3" t="s">
        <v>45</v>
      </c>
      <c r="T16" s="4" t="s">
        <v>56</v>
      </c>
      <c r="U16" s="4" t="s">
        <v>47</v>
      </c>
      <c r="V16" s="4" t="s">
        <v>47</v>
      </c>
      <c r="W16" s="3" t="s">
        <v>24</v>
      </c>
      <c r="X16" s="3" t="s">
        <v>30</v>
      </c>
      <c r="Y16" s="3" t="s">
        <v>31</v>
      </c>
      <c r="Z16" s="3" t="s">
        <v>46</v>
      </c>
      <c r="AA16" s="203"/>
      <c r="AB16" s="203"/>
      <c r="AC16" s="213"/>
      <c r="AD16" s="219"/>
      <c r="AE16" s="219"/>
      <c r="AF16" s="215"/>
      <c r="AG16" s="213"/>
      <c r="AH16" s="221"/>
      <c r="AI16" s="213"/>
      <c r="AJ16" s="217"/>
      <c r="AK16" s="26" t="s">
        <v>13</v>
      </c>
      <c r="AL16" s="3" t="s">
        <v>66</v>
      </c>
      <c r="AM16" s="3" t="s">
        <v>28</v>
      </c>
      <c r="AN16" s="3" t="s">
        <v>29</v>
      </c>
      <c r="AO16" s="26" t="s">
        <v>56</v>
      </c>
      <c r="AP16" s="26" t="s">
        <v>47</v>
      </c>
      <c r="AQ16" s="26" t="s">
        <v>13</v>
      </c>
      <c r="AR16" s="3" t="s">
        <v>66</v>
      </c>
      <c r="AS16" s="3" t="s">
        <v>28</v>
      </c>
      <c r="AT16" s="3" t="s">
        <v>29</v>
      </c>
      <c r="AU16" s="26" t="s">
        <v>56</v>
      </c>
      <c r="AV16" s="26" t="s">
        <v>47</v>
      </c>
      <c r="AW16" s="26" t="s">
        <v>47</v>
      </c>
      <c r="AX16" s="3" t="s">
        <v>66</v>
      </c>
      <c r="AY16" s="217"/>
      <c r="AZ16" s="217"/>
      <c r="BA16" s="213"/>
      <c r="BB16" s="219"/>
      <c r="BC16" s="219"/>
      <c r="BD16" s="215"/>
      <c r="BF16" s="213"/>
      <c r="BG16" s="219"/>
      <c r="BH16" s="214"/>
      <c r="BI16" s="214"/>
      <c r="BJ16" s="251"/>
      <c r="BK16" s="246"/>
      <c r="BL16" s="253"/>
      <c r="BM16" s="253"/>
      <c r="BN16" s="246"/>
      <c r="BO16" s="246"/>
      <c r="BQ16" s="219"/>
      <c r="BR16" s="219"/>
      <c r="BT16" s="219"/>
      <c r="BU16" s="219"/>
      <c r="BV16" s="215"/>
      <c r="BW16" s="219"/>
      <c r="BY16" s="219"/>
      <c r="BZ16" s="246"/>
      <c r="CB16" s="219"/>
      <c r="CC16" s="246"/>
    </row>
    <row r="17" spans="1:75" x14ac:dyDescent="0.25">
      <c r="A17" s="194" t="s">
        <v>2</v>
      </c>
      <c r="B17" s="96" t="s">
        <v>302</v>
      </c>
      <c r="C17" s="11" t="b">
        <v>1</v>
      </c>
      <c r="D17" s="200">
        <v>1</v>
      </c>
      <c r="E17" s="139" t="str">
        <f>IF(C17=FALSE,"不申請",IF($D$17=1,"初稿案",IF(AND($D$17=2,OR(C19=TRUE,C20=TRUE)),"同語言轉換案",IF(OR(D17=3,D17=4,D17=5,D17=6,D17=7),"翻譯案","異常"))))</f>
        <v>初稿案</v>
      </c>
      <c r="F17" s="3" t="s">
        <v>14</v>
      </c>
      <c r="G17" s="7">
        <f>IF($W$5=FALSE,0,IF(C17=FALSE,0,2100))</f>
        <v>2100</v>
      </c>
      <c r="H17" s="7">
        <f>IF($W$5=FALSE,0,IF(C17=FALSE,0,IF($B$7&lt;11,7000,7000+800*($B$7-10))))</f>
        <v>7000</v>
      </c>
      <c r="I17" s="86"/>
      <c r="J17" s="86"/>
      <c r="K17" s="7">
        <f t="shared" ref="K17:K37" si="0">IF($U$5=FALSE,0,SUM(G17:J17))</f>
        <v>9100</v>
      </c>
      <c r="L17" s="23">
        <f>K17*1</f>
        <v>9100</v>
      </c>
      <c r="M17" s="3" t="s">
        <v>14</v>
      </c>
      <c r="N17" s="7"/>
      <c r="O17" s="7"/>
      <c r="P17" s="7"/>
      <c r="Q17" s="7"/>
      <c r="R17" s="7"/>
      <c r="S17" s="7"/>
      <c r="T17" s="7">
        <f t="shared" ref="T17:T37" si="1">IF($U$5=FALSE,0,SUM(N17:S17))</f>
        <v>0</v>
      </c>
      <c r="U17" s="23">
        <f>T17*1</f>
        <v>0</v>
      </c>
      <c r="V17" s="23">
        <f>L17+U17</f>
        <v>9100</v>
      </c>
      <c r="W17" s="7">
        <f>IF($W$7=FALSE,0,IF(C17=FALSE,0,IF(E17="初稿案",85000,IF(E17="翻譯案",50000,IF(E17="同語言轉換案",15000,999999)))))</f>
        <v>85000</v>
      </c>
      <c r="X17" s="7">
        <f>IF($W$7=FALSE,0,IF(C17=FALSE,0,IF(E17="初稿案",IF($B$5&lt;7500,0,700*(ROUNDDOWN($B$5/100,0)-75)),IF(E17="翻譯案",IF($B$5&lt;7500,0,700*(ROUNDDOWN($B$5/100,0)-75)),IF(E17="同語言轉換案",0,0)))))</f>
        <v>0</v>
      </c>
      <c r="Y17" s="7">
        <f>IF($W$7=FALSE,0,IF(C17=FALSE,0,IF(E17="初稿案",IF($B$9&lt;11,0,1000*($B$9-10)),IF(E17="翻譯案",IF($B$9&lt;11,0,1000*($B$9-10)),IF(E17="同語言轉換案",0,0)))))</f>
        <v>0</v>
      </c>
      <c r="Z17" s="7"/>
      <c r="AA17" s="23">
        <f t="shared" ref="AA17:AA37" si="2">IF($U$5=FALSE,0,SUM(W17:Z17))</f>
        <v>85000</v>
      </c>
      <c r="AB17" s="23">
        <f t="shared" ref="AB17:AB37" si="3">V17+AA17</f>
        <v>94100</v>
      </c>
      <c r="AC17" s="200" t="str">
        <f>$A$17</f>
        <v>台灣</v>
      </c>
      <c r="AD17" s="27">
        <f t="shared" ref="AD17:AD38" si="4">L17</f>
        <v>9100</v>
      </c>
      <c r="AE17" s="27">
        <f t="shared" ref="AE17:AE38" si="5">U17</f>
        <v>0</v>
      </c>
      <c r="AF17" s="27">
        <f t="shared" ref="AF17:AF38" si="6">AA17</f>
        <v>85000</v>
      </c>
      <c r="AG17" s="200">
        <v>1</v>
      </c>
      <c r="AH17" s="238">
        <f>IF($D$17=AG17,MAX(AA17,AA18),0)</f>
        <v>85000</v>
      </c>
      <c r="AI17" s="200" t="str">
        <f>$A$17</f>
        <v>台灣</v>
      </c>
      <c r="AJ17" s="11" t="str">
        <f t="shared" ref="AJ17:AJ37" si="7">B17</f>
        <v>發明</v>
      </c>
      <c r="AK17" s="3" t="str">
        <f>F17</f>
        <v>NTD</v>
      </c>
      <c r="AL17" s="7">
        <f>IF($W$5=FALSE,0,IF(C17=FALSE,0,IF($B$11="大企業",1000+2500,1000+1700)))</f>
        <v>2700</v>
      </c>
      <c r="AM17" s="7"/>
      <c r="AN17" s="7"/>
      <c r="AO17" s="7">
        <f t="shared" ref="AO17:AO37" si="8">IF($U$6=FALSE,0,SUM(AL17:AN17))</f>
        <v>2700</v>
      </c>
      <c r="AP17" s="22">
        <f>AO17*1</f>
        <v>2700</v>
      </c>
      <c r="AQ17" s="3" t="str">
        <f>M17</f>
        <v>NTD</v>
      </c>
      <c r="AR17" s="7"/>
      <c r="AS17" s="7"/>
      <c r="AT17" s="7"/>
      <c r="AU17" s="7">
        <f t="shared" ref="AU17:AU37" si="9">IF($U$6=FALSE,0,SUM(AR17:AT17))</f>
        <v>0</v>
      </c>
      <c r="AV17" s="22">
        <f>AU17*1</f>
        <v>0</v>
      </c>
      <c r="AW17" s="22">
        <f t="shared" ref="AW17:AW37" si="10">AP17+AV17</f>
        <v>2700</v>
      </c>
      <c r="AX17" s="7">
        <f t="shared" ref="AX17:AX37" si="11">IF($W$7=FALSE,0,IF(C17=FALSE,0,0))</f>
        <v>0</v>
      </c>
      <c r="AY17" s="22">
        <f>IF($U$6=FALSE,0,SUM(AX17:AX17))</f>
        <v>0</v>
      </c>
      <c r="AZ17" s="22">
        <f t="shared" ref="AZ17:AZ37" si="12">AW17+AY17</f>
        <v>2700</v>
      </c>
      <c r="BA17" s="200" t="str">
        <f>$A$17</f>
        <v>台灣</v>
      </c>
      <c r="BB17" s="27">
        <f>AP17</f>
        <v>2700</v>
      </c>
      <c r="BC17" s="27">
        <f>AV17</f>
        <v>0</v>
      </c>
      <c r="BD17" s="27">
        <f>AY17</f>
        <v>0</v>
      </c>
      <c r="BF17" s="3" t="s">
        <v>99</v>
      </c>
      <c r="BG17" s="27">
        <f>AB17</f>
        <v>94100</v>
      </c>
      <c r="BH17" s="27">
        <f t="shared" ref="BH17:BH37" si="13">AB46</f>
        <v>25000</v>
      </c>
      <c r="BI17" s="27">
        <f t="shared" ref="BI17:BI37" si="14">AZ17</f>
        <v>2700</v>
      </c>
      <c r="BJ17" s="90">
        <f t="shared" ref="BJ17:BJ37" si="15">AZ46</f>
        <v>271800</v>
      </c>
      <c r="BK17" s="91">
        <f t="shared" ref="BK17:BK38" si="16">BG17+BH17</f>
        <v>119100</v>
      </c>
      <c r="BL17" s="94">
        <f>BG17+BI17</f>
        <v>96800</v>
      </c>
      <c r="BM17" s="94">
        <f>BG17+BH17+BI17</f>
        <v>121800</v>
      </c>
      <c r="BN17" s="91">
        <f>BI17+BJ17</f>
        <v>274500</v>
      </c>
      <c r="BO17" s="91">
        <f t="shared" ref="BO17:BO37" si="17">BK17+BN17</f>
        <v>393600</v>
      </c>
      <c r="BQ17" s="27">
        <f t="shared" ref="BQ17:BQ37" si="18">AB17</f>
        <v>94100</v>
      </c>
      <c r="BR17" s="27">
        <f t="shared" ref="BR17:BR37" si="19">AZ17</f>
        <v>2700</v>
      </c>
      <c r="BT17" s="27">
        <f t="shared" ref="BT17:BT37" si="20">AD17</f>
        <v>9100</v>
      </c>
      <c r="BU17" s="27">
        <f t="shared" ref="BU17:BU37" si="21">AE17</f>
        <v>0</v>
      </c>
      <c r="BV17" s="27">
        <f t="shared" ref="BV17:BV37" si="22">AF17</f>
        <v>85000</v>
      </c>
      <c r="BW17" s="27">
        <f t="shared" ref="BW17:BW37" si="23">BH17+BI17+BJ17</f>
        <v>299500</v>
      </c>
    </row>
    <row r="18" spans="1:75" x14ac:dyDescent="0.25">
      <c r="A18" s="195"/>
      <c r="B18" s="96" t="s">
        <v>303</v>
      </c>
      <c r="C18" s="11" t="b">
        <v>0</v>
      </c>
      <c r="D18" s="195"/>
      <c r="E18" s="139" t="str">
        <f>IF(C18=FALSE,"不申請",IF(C17=TRUE,"同語言轉換案",IF($D$17=1,"初稿案",IF(AND($D$17=2,OR(C19=TRUE,C20=TRUE)),"同語言轉換案",IF(OR(D17=3,D17=4,D17=5,D17=6,D17=7),"翻譯案","異常")))))</f>
        <v>不申請</v>
      </c>
      <c r="F18" s="3" t="s">
        <v>14</v>
      </c>
      <c r="G18" s="7">
        <f>IF($W$5=FALSE,0,IF(C18=FALSE,0,2400))</f>
        <v>0</v>
      </c>
      <c r="H18" s="7">
        <f>IF($W$5=FALSE,0,IF(C18=FALSE,0,0))</f>
        <v>0</v>
      </c>
      <c r="I18" s="86"/>
      <c r="J18" s="86"/>
      <c r="K18" s="7">
        <f t="shared" si="0"/>
        <v>0</v>
      </c>
      <c r="L18" s="23">
        <f>K18*1</f>
        <v>0</v>
      </c>
      <c r="M18" s="3" t="s">
        <v>14</v>
      </c>
      <c r="N18" s="7"/>
      <c r="O18" s="7"/>
      <c r="P18" s="7"/>
      <c r="Q18" s="7"/>
      <c r="R18" s="7"/>
      <c r="S18" s="7"/>
      <c r="T18" s="7">
        <f t="shared" si="1"/>
        <v>0</v>
      </c>
      <c r="U18" s="23">
        <f>T18*1</f>
        <v>0</v>
      </c>
      <c r="V18" s="23">
        <f t="shared" ref="V18:V37" si="24">L18+U18</f>
        <v>0</v>
      </c>
      <c r="W18" s="7">
        <f>IF($W$7=FALSE,0,IF(C18=FALSE,0,IF(E18="初稿案",85000,IF(E18="翻譯案",50000,IF(E18="同語言轉換案",15000,999999)))))</f>
        <v>0</v>
      </c>
      <c r="X18" s="7">
        <f>IF($W$7=FALSE,0,IF(C18=FALSE,0,IF(E18="初稿案",IF($B$5&lt;7500,0,700*(ROUNDDOWN($B$5/100,0)-75)),IF(E18="翻譯案",IF($B$5&lt;7500,0,700*(ROUNDDOWN($B$5/100,0)-75)),IF(E18="同語言轉換案",0,0)))))</f>
        <v>0</v>
      </c>
      <c r="Y18" s="7">
        <f>IF($W$7=FALSE,0,IF(C18=FALSE,0,IF(E18="初稿案",IF($B$9&lt;11,0,1000*($B$9-10)),IF(E18="翻譯案",IF($B$9&lt;11,0,1000*($B$9-10)),IF(E18="同語言轉換案",0,0)))))</f>
        <v>0</v>
      </c>
      <c r="Z18" s="7"/>
      <c r="AA18" s="23">
        <f t="shared" si="2"/>
        <v>0</v>
      </c>
      <c r="AB18" s="23">
        <f t="shared" si="3"/>
        <v>0</v>
      </c>
      <c r="AC18" s="195"/>
      <c r="AD18" s="27">
        <f t="shared" si="4"/>
        <v>0</v>
      </c>
      <c r="AE18" s="27">
        <f t="shared" si="5"/>
        <v>0</v>
      </c>
      <c r="AF18" s="27">
        <f t="shared" si="6"/>
        <v>0</v>
      </c>
      <c r="AG18" s="195"/>
      <c r="AH18" s="239"/>
      <c r="AI18" s="195"/>
      <c r="AJ18" s="11" t="str">
        <f t="shared" si="7"/>
        <v>新型</v>
      </c>
      <c r="AK18" s="3" t="str">
        <f t="shared" ref="AK18:AK37" si="25">F18</f>
        <v>NTD</v>
      </c>
      <c r="AL18" s="7">
        <f>IF($W$5=FALSE,0,IF(C18=FALSE,0,IF($B$11="大企業",1000+2500,1000+1700)))</f>
        <v>0</v>
      </c>
      <c r="AM18" s="7"/>
      <c r="AN18" s="7"/>
      <c r="AO18" s="7">
        <f t="shared" si="8"/>
        <v>0</v>
      </c>
      <c r="AP18" s="22">
        <f>AO18*1</f>
        <v>0</v>
      </c>
      <c r="AQ18" s="3" t="str">
        <f t="shared" ref="AQ18:AQ37" si="26">M18</f>
        <v>NTD</v>
      </c>
      <c r="AR18" s="7"/>
      <c r="AS18" s="7"/>
      <c r="AT18" s="7"/>
      <c r="AU18" s="7">
        <f t="shared" si="9"/>
        <v>0</v>
      </c>
      <c r="AV18" s="22">
        <f>AU18*1</f>
        <v>0</v>
      </c>
      <c r="AW18" s="22">
        <f t="shared" si="10"/>
        <v>0</v>
      </c>
      <c r="AX18" s="7">
        <f t="shared" si="11"/>
        <v>0</v>
      </c>
      <c r="AY18" s="22">
        <f t="shared" ref="AY18:AY37" si="27">IF($U$6=FALSE,0,SUM(AX18:AX18))</f>
        <v>0</v>
      </c>
      <c r="AZ18" s="22">
        <f t="shared" si="12"/>
        <v>0</v>
      </c>
      <c r="BA18" s="195"/>
      <c r="BB18" s="27">
        <f t="shared" ref="BB18:BB37" si="28">AP18</f>
        <v>0</v>
      </c>
      <c r="BC18" s="27">
        <f t="shared" ref="BC18:BC37" si="29">AV18</f>
        <v>0</v>
      </c>
      <c r="BD18" s="27">
        <f t="shared" ref="BD18:BD37" si="30">AY18</f>
        <v>0</v>
      </c>
      <c r="BF18" s="3" t="s">
        <v>100</v>
      </c>
      <c r="BG18" s="27">
        <f t="shared" ref="BG18:BG37" si="31">AB18</f>
        <v>0</v>
      </c>
      <c r="BH18" s="27">
        <f t="shared" si="13"/>
        <v>0</v>
      </c>
      <c r="BI18" s="27">
        <f t="shared" si="14"/>
        <v>0</v>
      </c>
      <c r="BJ18" s="90">
        <f t="shared" si="15"/>
        <v>0</v>
      </c>
      <c r="BK18" s="91">
        <f t="shared" si="16"/>
        <v>0</v>
      </c>
      <c r="BL18" s="94">
        <f t="shared" ref="BL18:BM38" si="32">BG18+BI18</f>
        <v>0</v>
      </c>
      <c r="BM18" s="94">
        <f t="shared" ref="BM18:BM37" si="33">BG18+BH18+BI18</f>
        <v>0</v>
      </c>
      <c r="BN18" s="91">
        <f t="shared" ref="BN18:BN38" si="34">BI18+BJ18</f>
        <v>0</v>
      </c>
      <c r="BO18" s="91">
        <f t="shared" si="17"/>
        <v>0</v>
      </c>
      <c r="BQ18" s="27">
        <f t="shared" si="18"/>
        <v>0</v>
      </c>
      <c r="BR18" s="27">
        <f t="shared" si="19"/>
        <v>0</v>
      </c>
      <c r="BT18" s="27">
        <f t="shared" si="20"/>
        <v>0</v>
      </c>
      <c r="BU18" s="27">
        <f t="shared" si="21"/>
        <v>0</v>
      </c>
      <c r="BV18" s="27">
        <f t="shared" si="22"/>
        <v>0</v>
      </c>
      <c r="BW18" s="27">
        <f t="shared" si="23"/>
        <v>0</v>
      </c>
    </row>
    <row r="19" spans="1:75" x14ac:dyDescent="0.25">
      <c r="A19" s="194" t="s">
        <v>3</v>
      </c>
      <c r="B19" s="96" t="s">
        <v>302</v>
      </c>
      <c r="C19" s="11" t="b">
        <v>1</v>
      </c>
      <c r="D19" s="240" t="s">
        <v>310</v>
      </c>
      <c r="E19" s="139" t="str">
        <f>IF(C19=FALSE,"不申請",IF($D$17=2,"初稿案",IF(AND($D$17=1,OR(C17=TRUE,C18=TRUE)),"同語言轉換案",IF(OR(C17=TRUE,C18=TRUE),"同語言轉換案",IF(OR(D17=3,D17=4,D17=5,D17=6,D17=7),"翻譯案","異常")))))</f>
        <v>同語言轉換案</v>
      </c>
      <c r="F19" s="3" t="s">
        <v>15</v>
      </c>
      <c r="G19" s="7">
        <f>IF($W$5=FALSE,0,IF(C19=FALSE,0,950))</f>
        <v>950</v>
      </c>
      <c r="H19" s="7">
        <f>IF($W$5=FALSE,0,IF(C19=FALSE,0,2500))</f>
        <v>2500</v>
      </c>
      <c r="I19" s="7">
        <f>IF($W$5=FALSE,0,IF(C19=FALSE,0,IF($B$7&lt;11,0,150*($B$7-10))))</f>
        <v>0</v>
      </c>
      <c r="J19" s="7"/>
      <c r="K19" s="7">
        <f t="shared" si="0"/>
        <v>3450</v>
      </c>
      <c r="L19" s="23">
        <f>K19*$N$5</f>
        <v>15869.999999999998</v>
      </c>
      <c r="M19" s="3" t="s">
        <v>15</v>
      </c>
      <c r="N19" s="7">
        <f>IF($W$6=FALSE,0,IF(C19=FALSE,0,1500))</f>
        <v>1500</v>
      </c>
      <c r="O19" s="7"/>
      <c r="P19" s="7">
        <f>IF($W$6=FALSE,0,IF(C19=FALSE,0,200))</f>
        <v>200</v>
      </c>
      <c r="Q19" s="7"/>
      <c r="R19" s="7"/>
      <c r="S19" s="7"/>
      <c r="T19" s="7">
        <f t="shared" si="1"/>
        <v>1700</v>
      </c>
      <c r="U19" s="23">
        <f>T19*$N$5</f>
        <v>7819.9999999999991</v>
      </c>
      <c r="V19" s="23">
        <f t="shared" si="24"/>
        <v>23689.999999999996</v>
      </c>
      <c r="W19" s="7">
        <f>IF($W$7=FALSE,0,IF(E19="不申請",0,IF(E19="初稿案",90000,IF(E19="翻譯案",55000,IF(E19="同語言轉換案",20000,999999)))))</f>
        <v>20000</v>
      </c>
      <c r="X19" s="7">
        <f>IF($W$7=FALSE,0,IF(C19=FALSE,0,IF(E19="初稿案",IF($B$5&lt;7500,0,700*(ROUNDDOWN($B$5/100,0)-75)),IF(E19="翻譯案",IF($B$5&lt;7500,0,700*(ROUNDDOWN($B$5/100,0)-75)),IF(E19="同語言轉換案",0,0)))))</f>
        <v>0</v>
      </c>
      <c r="Y19" s="7">
        <f>IF($W$7=FALSE,0,IF(C19=FALSE,0,IF(E19="初稿案",IF($B$9&lt;11,0,1000*($B$9-10)),IF(E19="翻譯案",IF($B$9&lt;11,0,1000*($B$9-10)),IF(E19="同語言轉換案",0,0)))))</f>
        <v>0</v>
      </c>
      <c r="Z19" s="7"/>
      <c r="AA19" s="23">
        <f t="shared" si="2"/>
        <v>20000</v>
      </c>
      <c r="AB19" s="23">
        <f t="shared" si="3"/>
        <v>43690</v>
      </c>
      <c r="AC19" s="200" t="str">
        <f>$A$19</f>
        <v>大陸</v>
      </c>
      <c r="AD19" s="27">
        <f t="shared" si="4"/>
        <v>15869.999999999998</v>
      </c>
      <c r="AE19" s="27">
        <f t="shared" si="5"/>
        <v>7819.9999999999991</v>
      </c>
      <c r="AF19" s="27">
        <f t="shared" si="6"/>
        <v>20000</v>
      </c>
      <c r="AG19" s="200">
        <v>2</v>
      </c>
      <c r="AH19" s="238">
        <f>IF($D$17=AG19,MAX(AA19,AA20),0)</f>
        <v>0</v>
      </c>
      <c r="AI19" s="200" t="str">
        <f>$A$19</f>
        <v>大陸</v>
      </c>
      <c r="AJ19" s="11" t="str">
        <f t="shared" si="7"/>
        <v>發明</v>
      </c>
      <c r="AK19" s="3" t="str">
        <f t="shared" si="25"/>
        <v>CNY</v>
      </c>
      <c r="AL19" s="7">
        <f>IF($W$5=FALSE,0,IF(C19=FALSE,0,5+900))</f>
        <v>905</v>
      </c>
      <c r="AM19" s="7"/>
      <c r="AN19" s="7"/>
      <c r="AO19" s="7">
        <f t="shared" si="8"/>
        <v>905</v>
      </c>
      <c r="AP19" s="22">
        <f>AO19*$N$5</f>
        <v>4163</v>
      </c>
      <c r="AQ19" s="3" t="str">
        <f t="shared" si="26"/>
        <v>CNY</v>
      </c>
      <c r="AR19" s="7">
        <f>IF($W$6=FALSE,0,IF(C19=FALSE,0,200))</f>
        <v>200</v>
      </c>
      <c r="AS19" s="7"/>
      <c r="AT19" s="7"/>
      <c r="AU19" s="7">
        <f t="shared" si="9"/>
        <v>200</v>
      </c>
      <c r="AV19" s="22">
        <f>AU19*$N$5</f>
        <v>919.99999999999989</v>
      </c>
      <c r="AW19" s="22">
        <f t="shared" si="10"/>
        <v>5083</v>
      </c>
      <c r="AX19" s="7">
        <f t="shared" si="11"/>
        <v>0</v>
      </c>
      <c r="AY19" s="22">
        <f t="shared" si="27"/>
        <v>0</v>
      </c>
      <c r="AZ19" s="22">
        <f t="shared" si="12"/>
        <v>5083</v>
      </c>
      <c r="BA19" s="200" t="str">
        <f>$A$19</f>
        <v>大陸</v>
      </c>
      <c r="BB19" s="27">
        <f t="shared" si="28"/>
        <v>4163</v>
      </c>
      <c r="BC19" s="27">
        <f t="shared" si="29"/>
        <v>919.99999999999989</v>
      </c>
      <c r="BD19" s="27">
        <f t="shared" si="30"/>
        <v>0</v>
      </c>
      <c r="BF19" s="3" t="s">
        <v>101</v>
      </c>
      <c r="BG19" s="27">
        <f t="shared" si="31"/>
        <v>43690</v>
      </c>
      <c r="BH19" s="27">
        <f t="shared" si="13"/>
        <v>30520</v>
      </c>
      <c r="BI19" s="27">
        <f t="shared" si="14"/>
        <v>5083</v>
      </c>
      <c r="BJ19" s="90">
        <f t="shared" si="15"/>
        <v>448920</v>
      </c>
      <c r="BK19" s="91">
        <f t="shared" si="16"/>
        <v>74210</v>
      </c>
      <c r="BL19" s="94">
        <f t="shared" si="32"/>
        <v>48773</v>
      </c>
      <c r="BM19" s="94">
        <f t="shared" si="33"/>
        <v>79293</v>
      </c>
      <c r="BN19" s="91">
        <f t="shared" si="34"/>
        <v>454003</v>
      </c>
      <c r="BO19" s="91">
        <f t="shared" si="17"/>
        <v>528213</v>
      </c>
      <c r="BQ19" s="27">
        <f t="shared" si="18"/>
        <v>43690</v>
      </c>
      <c r="BR19" s="27">
        <f t="shared" si="19"/>
        <v>5083</v>
      </c>
      <c r="BT19" s="27">
        <f t="shared" si="20"/>
        <v>15869.999999999998</v>
      </c>
      <c r="BU19" s="27">
        <f t="shared" si="21"/>
        <v>7819.9999999999991</v>
      </c>
      <c r="BV19" s="27">
        <f t="shared" si="22"/>
        <v>20000</v>
      </c>
      <c r="BW19" s="27">
        <f t="shared" si="23"/>
        <v>484523</v>
      </c>
    </row>
    <row r="20" spans="1:75" x14ac:dyDescent="0.25">
      <c r="A20" s="195"/>
      <c r="B20" s="96" t="s">
        <v>303</v>
      </c>
      <c r="C20" s="11" t="b">
        <v>0</v>
      </c>
      <c r="D20" s="241"/>
      <c r="E20" s="139" t="str">
        <f>IF(C20=FALSE,"不申請",IF(C19=TRUE,"同語言轉換案",IF($D$17=2,"初稿案",IF(AND($D$17=1,OR(C17=TRUE,C18=TRUE)),"同語言轉換案",IF(OR(D17=3,D17=4,D17=5,D17=6,D17=7),"翻譯案","異常")))))</f>
        <v>不申請</v>
      </c>
      <c r="F20" s="3" t="s">
        <v>15</v>
      </c>
      <c r="G20" s="7">
        <f>IF($W$5=FALSE,0,IF(C20=FALSE,0,500))</f>
        <v>0</v>
      </c>
      <c r="H20" s="7">
        <f>IF($W$5=FALSE,0,IF(C20=FALSE,0,0))</f>
        <v>0</v>
      </c>
      <c r="I20" s="7">
        <f>IF($W$5=FALSE,0,IF(C20=FALSE,0,IF($B$7&lt;11,0,150*($B$7-10))))</f>
        <v>0</v>
      </c>
      <c r="J20" s="7"/>
      <c r="K20" s="7">
        <f t="shared" si="0"/>
        <v>0</v>
      </c>
      <c r="L20" s="23">
        <f>K20*$N$5</f>
        <v>0</v>
      </c>
      <c r="M20" s="3" t="s">
        <v>15</v>
      </c>
      <c r="N20" s="7">
        <f>IF($W$6=FALSE,0,IF(C20=FALSE,0,1200))</f>
        <v>0</v>
      </c>
      <c r="O20" s="7"/>
      <c r="P20" s="7">
        <f>IF($W$6=FALSE,0,IF(C20=FALSE,0,0))</f>
        <v>0</v>
      </c>
      <c r="Q20" s="7"/>
      <c r="R20" s="7"/>
      <c r="S20" s="7"/>
      <c r="T20" s="7">
        <f t="shared" si="1"/>
        <v>0</v>
      </c>
      <c r="U20" s="23">
        <f>T20*$N$5</f>
        <v>0</v>
      </c>
      <c r="V20" s="23">
        <f t="shared" si="24"/>
        <v>0</v>
      </c>
      <c r="W20" s="7">
        <f>IF($W$7=FALSE,0,IF(E20="不申請",0,IF(E20="初稿案",90000,IF(E20="翻譯案",5500,IF(E20="同語言轉換案",20000,999999)))))</f>
        <v>0</v>
      </c>
      <c r="X20" s="7">
        <f>IF($W$7=FALSE,0,IF(C20=FALSE,0,IF(E20="初稿案",IF($B$5&lt;7500,0,700*(ROUNDDOWN($B$5/100,0)-75)),IF(E20="翻譯案",IF($B$5&lt;7500,0,700*(ROUNDDOWN($B$5/100,0)-75)),IF(E20="同語言轉換案",0,0)))))</f>
        <v>0</v>
      </c>
      <c r="Y20" s="7">
        <f>IF($W$7=FALSE,0,IF(C20=FALSE,0,IF(E20="初稿案",IF($B$9&lt;11,0,1000*($B$9-10)),IF(E20="翻譯案",IF($B$9&lt;11,0,1000*($B$9-10)),IF(E20="同語言轉換案",0,0)))))</f>
        <v>0</v>
      </c>
      <c r="Z20" s="7"/>
      <c r="AA20" s="23">
        <f t="shared" si="2"/>
        <v>0</v>
      </c>
      <c r="AB20" s="23">
        <f t="shared" si="3"/>
        <v>0</v>
      </c>
      <c r="AC20" s="195"/>
      <c r="AD20" s="27">
        <f t="shared" si="4"/>
        <v>0</v>
      </c>
      <c r="AE20" s="27">
        <f t="shared" si="5"/>
        <v>0</v>
      </c>
      <c r="AF20" s="27">
        <f t="shared" si="6"/>
        <v>0</v>
      </c>
      <c r="AG20" s="195"/>
      <c r="AH20" s="239"/>
      <c r="AI20" s="195"/>
      <c r="AJ20" s="11" t="str">
        <f t="shared" si="7"/>
        <v>新型</v>
      </c>
      <c r="AK20" s="3" t="str">
        <f t="shared" si="25"/>
        <v>CNY</v>
      </c>
      <c r="AL20" s="7">
        <f>IF($W$5=FALSE,0,IF(C20=FALSE,0,5+600))</f>
        <v>0</v>
      </c>
      <c r="AM20" s="7"/>
      <c r="AN20" s="7"/>
      <c r="AO20" s="7">
        <f t="shared" si="8"/>
        <v>0</v>
      </c>
      <c r="AP20" s="22">
        <f>AO20*$N$5</f>
        <v>0</v>
      </c>
      <c r="AQ20" s="3" t="str">
        <f t="shared" si="26"/>
        <v>CNY</v>
      </c>
      <c r="AR20" s="7">
        <f>IF($W$6=FALSE,0,IF(C20=FALSE,0,200))</f>
        <v>0</v>
      </c>
      <c r="AS20" s="7"/>
      <c r="AT20" s="7"/>
      <c r="AU20" s="7">
        <f t="shared" si="9"/>
        <v>0</v>
      </c>
      <c r="AV20" s="22">
        <f>AU20*$N$5</f>
        <v>0</v>
      </c>
      <c r="AW20" s="22">
        <f t="shared" si="10"/>
        <v>0</v>
      </c>
      <c r="AX20" s="7">
        <f t="shared" si="11"/>
        <v>0</v>
      </c>
      <c r="AY20" s="22">
        <f t="shared" si="27"/>
        <v>0</v>
      </c>
      <c r="AZ20" s="22">
        <f t="shared" si="12"/>
        <v>0</v>
      </c>
      <c r="BA20" s="195"/>
      <c r="BB20" s="27">
        <f t="shared" si="28"/>
        <v>0</v>
      </c>
      <c r="BC20" s="27">
        <f t="shared" si="29"/>
        <v>0</v>
      </c>
      <c r="BD20" s="27">
        <f t="shared" si="30"/>
        <v>0</v>
      </c>
      <c r="BF20" s="3" t="s">
        <v>102</v>
      </c>
      <c r="BG20" s="27">
        <f t="shared" si="31"/>
        <v>0</v>
      </c>
      <c r="BH20" s="27">
        <f t="shared" si="13"/>
        <v>0</v>
      </c>
      <c r="BI20" s="27">
        <f t="shared" si="14"/>
        <v>0</v>
      </c>
      <c r="BJ20" s="90">
        <f t="shared" si="15"/>
        <v>0</v>
      </c>
      <c r="BK20" s="91">
        <f t="shared" si="16"/>
        <v>0</v>
      </c>
      <c r="BL20" s="94">
        <f t="shared" si="32"/>
        <v>0</v>
      </c>
      <c r="BM20" s="94">
        <f t="shared" si="33"/>
        <v>0</v>
      </c>
      <c r="BN20" s="91">
        <f t="shared" si="34"/>
        <v>0</v>
      </c>
      <c r="BO20" s="91">
        <f t="shared" si="17"/>
        <v>0</v>
      </c>
      <c r="BQ20" s="27">
        <f t="shared" si="18"/>
        <v>0</v>
      </c>
      <c r="BR20" s="27">
        <f t="shared" si="19"/>
        <v>0</v>
      </c>
      <c r="BT20" s="27">
        <f t="shared" si="20"/>
        <v>0</v>
      </c>
      <c r="BU20" s="27">
        <f t="shared" si="21"/>
        <v>0</v>
      </c>
      <c r="BV20" s="27">
        <f t="shared" si="22"/>
        <v>0</v>
      </c>
      <c r="BW20" s="27">
        <f t="shared" si="23"/>
        <v>0</v>
      </c>
    </row>
    <row r="21" spans="1:75" x14ac:dyDescent="0.25">
      <c r="A21" s="3" t="s">
        <v>4</v>
      </c>
      <c r="B21" s="96" t="s">
        <v>302</v>
      </c>
      <c r="C21" s="11" t="b">
        <v>1</v>
      </c>
      <c r="D21" s="241"/>
      <c r="E21" s="139" t="str">
        <f>IF(C21=FALSE,"不申請",IF($D$17=3,"初稿案",IF(OR(AND(D17=4,C28=TRUE),AND(D17=5,C31=TRUE),AND(D17=6,OR(C29=TRUE,C30=TRUE)),AND(D17=7,C27=TRUE)),"同語言轉換案",IF(OR(AND(D17=1,OR(C17=TRUE,C18=TRUE)),AND(D17=2,OR(C19=TRUE,C20=TRUE))),"翻譯案","異常"))))</f>
        <v>翻譯案</v>
      </c>
      <c r="F21" s="3" t="s">
        <v>16</v>
      </c>
      <c r="G21" s="7">
        <f>IF($W$5=FALSE,0,IF(C21=FALSE,0,IF($B$10="500人以上",2000,730)))</f>
        <v>730</v>
      </c>
      <c r="H21" s="7"/>
      <c r="I21" s="7">
        <f>IF($W$5=FALSE,0,IF(C21=FALSE,0,IF($B$7&lt;21,0,IF($B$10="500人以上",200*($B$7-20),80*($B$7-20)))))</f>
        <v>0</v>
      </c>
      <c r="J21" s="7">
        <f>IF($W$5=FALSE,0,IF(C21=FALSE,0,IF($B$8&lt;4,0,IF($B$10="500人以上",600*($B$8-3),240*($B$8-3)))))</f>
        <v>0</v>
      </c>
      <c r="K21" s="7">
        <f t="shared" si="0"/>
        <v>730</v>
      </c>
      <c r="L21" s="23">
        <f>K21*$L$5</f>
        <v>23360</v>
      </c>
      <c r="M21" s="3" t="s">
        <v>16</v>
      </c>
      <c r="N21" s="7">
        <f>IF($W$6=FALSE,0,IF(C21=FALSE,0,550+100))</f>
        <v>650</v>
      </c>
      <c r="O21" s="7"/>
      <c r="P21" s="7"/>
      <c r="Q21" s="7"/>
      <c r="R21" s="7"/>
      <c r="S21" s="7"/>
      <c r="T21" s="7">
        <f t="shared" si="1"/>
        <v>650</v>
      </c>
      <c r="U21" s="23">
        <f>T21*$L$5</f>
        <v>20800</v>
      </c>
      <c r="V21" s="23">
        <f t="shared" si="24"/>
        <v>44160</v>
      </c>
      <c r="W21" s="7">
        <f>IF($W$7=FALSE,0,IF(E21="不申請",0,IF(E21="初稿案",95000,IF(E21="翻譯案",60000,IF(E21="同語言轉換案",30000,999999)))))</f>
        <v>60000</v>
      </c>
      <c r="X21" s="7">
        <f>IF($W$7=FALSE,0,IF(E21="不申請",0,IF(E21="初稿案",IF($B$6&lt;5000,0,1000*(ROUNDDOWN($B$6/100,0)-50)),IF(E21="翻譯案",IF($B$6&lt;5000,0,1000*(ROUNDDOWN($B$6/100,0)-50)),IF(E21="同語言轉換案",0,0)))))</f>
        <v>0</v>
      </c>
      <c r="Y21" s="7">
        <f>IF($W$7=FALSE,0,IF(E21="不申請",0,IF(E21="初稿案",IF($B$9&lt;11,0,1000*($B$9-10)),IF(E21="翻譯案",IF($B$9&lt;11,0,1000*($B$9-10)),IF(E21="同語言轉換案",0,0)))))</f>
        <v>0</v>
      </c>
      <c r="Z21" s="7"/>
      <c r="AA21" s="23">
        <f t="shared" si="2"/>
        <v>60000</v>
      </c>
      <c r="AB21" s="23">
        <f t="shared" si="3"/>
        <v>104160</v>
      </c>
      <c r="AC21" s="14" t="str">
        <f>$A$21</f>
        <v>美國</v>
      </c>
      <c r="AD21" s="27">
        <f t="shared" si="4"/>
        <v>23360</v>
      </c>
      <c r="AE21" s="27">
        <f t="shared" si="5"/>
        <v>20800</v>
      </c>
      <c r="AF21" s="27">
        <f t="shared" si="6"/>
        <v>60000</v>
      </c>
      <c r="AG21" s="14">
        <v>3</v>
      </c>
      <c r="AH21" s="138">
        <f>IF($D$17=AG21,AA21,0)</f>
        <v>0</v>
      </c>
      <c r="AI21" s="14" t="str">
        <f>$A$21</f>
        <v>美國</v>
      </c>
      <c r="AJ21" s="11" t="str">
        <f t="shared" si="7"/>
        <v>發明</v>
      </c>
      <c r="AK21" s="3" t="str">
        <f t="shared" si="25"/>
        <v>USD</v>
      </c>
      <c r="AL21" s="7">
        <f>IF($W$5=FALSE,0,IF(C21=FALSE,0,IF($B$10="500人以上",1290,516)))</f>
        <v>516</v>
      </c>
      <c r="AM21" s="7"/>
      <c r="AN21" s="7"/>
      <c r="AO21" s="7">
        <f t="shared" si="8"/>
        <v>516</v>
      </c>
      <c r="AP21" s="22">
        <f>AO21*$L$5</f>
        <v>16512</v>
      </c>
      <c r="AQ21" s="3" t="str">
        <f t="shared" si="26"/>
        <v>USD</v>
      </c>
      <c r="AR21" s="7">
        <f>IF($W$6=FALSE,0,IF(C21=FALSE,0,350))</f>
        <v>350</v>
      </c>
      <c r="AS21" s="7"/>
      <c r="AT21" s="7"/>
      <c r="AU21" s="7">
        <f t="shared" si="9"/>
        <v>350</v>
      </c>
      <c r="AV21" s="22">
        <f>AU21*$L$5</f>
        <v>11200</v>
      </c>
      <c r="AW21" s="22">
        <f t="shared" si="10"/>
        <v>27712</v>
      </c>
      <c r="AX21" s="7">
        <f t="shared" si="11"/>
        <v>0</v>
      </c>
      <c r="AY21" s="22">
        <f t="shared" si="27"/>
        <v>0</v>
      </c>
      <c r="AZ21" s="22">
        <f t="shared" si="12"/>
        <v>27712</v>
      </c>
      <c r="BA21" s="14" t="str">
        <f>$A$21</f>
        <v>美國</v>
      </c>
      <c r="BB21" s="27">
        <f t="shared" si="28"/>
        <v>16512</v>
      </c>
      <c r="BC21" s="27">
        <f t="shared" si="29"/>
        <v>11200</v>
      </c>
      <c r="BD21" s="27">
        <f t="shared" si="30"/>
        <v>0</v>
      </c>
      <c r="BF21" s="3" t="str">
        <f>A21</f>
        <v>美國</v>
      </c>
      <c r="BG21" s="27">
        <f t="shared" si="31"/>
        <v>104160</v>
      </c>
      <c r="BH21" s="27">
        <f t="shared" si="13"/>
        <v>82240</v>
      </c>
      <c r="BI21" s="27">
        <f t="shared" si="14"/>
        <v>27712</v>
      </c>
      <c r="BJ21" s="90">
        <f t="shared" si="15"/>
        <v>212312</v>
      </c>
      <c r="BK21" s="91">
        <f t="shared" si="16"/>
        <v>186400</v>
      </c>
      <c r="BL21" s="94">
        <f t="shared" si="32"/>
        <v>131872</v>
      </c>
      <c r="BM21" s="94">
        <f t="shared" si="33"/>
        <v>214112</v>
      </c>
      <c r="BN21" s="91">
        <f t="shared" si="34"/>
        <v>240024</v>
      </c>
      <c r="BO21" s="91">
        <f t="shared" si="17"/>
        <v>426424</v>
      </c>
      <c r="BQ21" s="27">
        <f t="shared" si="18"/>
        <v>104160</v>
      </c>
      <c r="BR21" s="27">
        <f t="shared" si="19"/>
        <v>27712</v>
      </c>
      <c r="BT21" s="27">
        <f t="shared" si="20"/>
        <v>23360</v>
      </c>
      <c r="BU21" s="27">
        <f t="shared" si="21"/>
        <v>20800</v>
      </c>
      <c r="BV21" s="27">
        <f t="shared" si="22"/>
        <v>60000</v>
      </c>
      <c r="BW21" s="27">
        <f t="shared" si="23"/>
        <v>322264</v>
      </c>
    </row>
    <row r="22" spans="1:75" x14ac:dyDescent="0.25">
      <c r="A22" s="3" t="s">
        <v>5</v>
      </c>
      <c r="B22" s="96" t="s">
        <v>302</v>
      </c>
      <c r="C22" s="11" t="b">
        <v>1</v>
      </c>
      <c r="D22" s="241"/>
      <c r="E22" s="139" t="str">
        <f>IF(C22=FALSE,"不申請",IF(OR(AND(D17=3,C21=TRUE),AND(D17=4,C27=TRUE),AND(D17=5,C28=TRUE),AND(D17=6,OR(C29=TRUE,C30=TRUE)),AND(D17=7,C31=TRUE)),"同語言轉換案",IF(OR(C21=TRUE,C27=TRUE,C28=TRUE,C29=TRUE,C30=TRUE,C31=TRUE),"同語言轉換案",IF(OR(AND(D17=1,OR(C17=TRUE,C18=TRUE)),AND(D17=2,OR(C19=TRUE,C20=TRUE))),"翻譯案","異常"))))</f>
        <v>同語言轉換案</v>
      </c>
      <c r="F22" s="3" t="s">
        <v>17</v>
      </c>
      <c r="G22" s="7">
        <f>IF($W$5=FALSE,0,IF(C22=FALSE,0,1655))</f>
        <v>1655</v>
      </c>
      <c r="H22" s="27">
        <f>IF($W$5=FALSE,0,IF(C22=FALSE,0,0))</f>
        <v>0</v>
      </c>
      <c r="I22" s="7">
        <f>IF($W$5=FALSE,0,IF(C22=FALSE,0,IF($B$7&lt;15,0,IF($B$7&lt;51,275*($B$7-15),275*35+660*($B$7-50)))))</f>
        <v>0</v>
      </c>
      <c r="J22" s="7"/>
      <c r="K22" s="7">
        <f t="shared" si="0"/>
        <v>1655</v>
      </c>
      <c r="L22" s="23">
        <f>K22*$L$6</f>
        <v>62062.5</v>
      </c>
      <c r="M22" s="3" t="s">
        <v>17</v>
      </c>
      <c r="N22" s="7">
        <f>IF($W$6=FALSE,0,IF(C22=FALSE,0,460))</f>
        <v>460</v>
      </c>
      <c r="O22" s="7"/>
      <c r="P22" s="27">
        <f>IF($W$6=FALSE,0,IF(C22=FALSE,0,0))</f>
        <v>0</v>
      </c>
      <c r="Q22" s="7"/>
      <c r="R22" s="7"/>
      <c r="S22" s="7"/>
      <c r="T22" s="7">
        <f t="shared" si="1"/>
        <v>460</v>
      </c>
      <c r="U22" s="23">
        <f>T22*$L$6</f>
        <v>17250</v>
      </c>
      <c r="V22" s="23">
        <f t="shared" si="24"/>
        <v>79312.5</v>
      </c>
      <c r="W22" s="7">
        <f>IF($W$7=FALSE,0,IF(E22="不申請",0,IF(E22="初稿案",95000,IF(E22="翻譯案",75000,IF(E22="同語言轉換案",40000,999999)))))</f>
        <v>40000</v>
      </c>
      <c r="X22" s="7">
        <f>IF($W$7=FALSE,0,IF(E22="不申請",0,IF(E22="初稿案",IF($B$6&lt;5000,0,1000*(ROUNDDOWN($B$6/100,0)-50)),IF(E22="翻譯案",IF($B$6&lt;5000,0,1000*(ROUNDDOWN($B$6/100,0)-50)),IF(E22="同語言轉換案",0,0)))))</f>
        <v>0</v>
      </c>
      <c r="Y22" s="7">
        <f>IF($W$7=FALSE,0,IF(E22="不申請",0,IF(E22="初稿案",IF($B$9&lt;11,0,1000*($B$9-10)),IF(E22="翻譯案",IF($B$9&lt;11,0,1000*($B$9-10)),IF(E22="同語言轉換案",0,0)))))</f>
        <v>0</v>
      </c>
      <c r="Z22" s="7"/>
      <c r="AA22" s="23">
        <f t="shared" si="2"/>
        <v>40000</v>
      </c>
      <c r="AB22" s="23">
        <f t="shared" si="3"/>
        <v>119312.5</v>
      </c>
      <c r="AC22" s="14" t="str">
        <f>$A$22</f>
        <v>歐洲</v>
      </c>
      <c r="AD22" s="27">
        <f t="shared" si="4"/>
        <v>62062.5</v>
      </c>
      <c r="AE22" s="27">
        <f t="shared" si="5"/>
        <v>17250</v>
      </c>
      <c r="AF22" s="27">
        <f t="shared" si="6"/>
        <v>40000</v>
      </c>
      <c r="AG22" s="14"/>
      <c r="AH22" s="138"/>
      <c r="AI22" s="14" t="str">
        <f>$A$22</f>
        <v>歐洲</v>
      </c>
      <c r="AJ22" s="11" t="str">
        <f t="shared" si="7"/>
        <v>發明</v>
      </c>
      <c r="AK22" s="3" t="str">
        <f t="shared" si="25"/>
        <v>EUR</v>
      </c>
      <c r="AL22" s="10">
        <f>IF($W$5=FALSE,0,IF(C22=FALSE,0,1080))</f>
        <v>1080</v>
      </c>
      <c r="AM22" s="7"/>
      <c r="AN22" s="7"/>
      <c r="AO22" s="7">
        <f t="shared" si="8"/>
        <v>1080</v>
      </c>
      <c r="AP22" s="22">
        <f>AO22*$L$6</f>
        <v>40500</v>
      </c>
      <c r="AQ22" s="3" t="str">
        <f t="shared" si="26"/>
        <v>EUR</v>
      </c>
      <c r="AR22" s="10">
        <f>IF($W$6=FALSE,0,IF(C22=FALSE,0,530+100+100+100+1000))</f>
        <v>1830</v>
      </c>
      <c r="AS22" s="7"/>
      <c r="AT22" s="7"/>
      <c r="AU22" s="7">
        <f t="shared" si="9"/>
        <v>1830</v>
      </c>
      <c r="AV22" s="22">
        <f>AU22*$L$6</f>
        <v>68625</v>
      </c>
      <c r="AW22" s="22">
        <f t="shared" si="10"/>
        <v>109125</v>
      </c>
      <c r="AX22" s="10">
        <f>IF($W$7=FALSE,0,IF(C22=FALSE,0,10000+3*5000))</f>
        <v>25000</v>
      </c>
      <c r="AY22" s="22">
        <f t="shared" si="27"/>
        <v>25000</v>
      </c>
      <c r="AZ22" s="22">
        <f t="shared" si="12"/>
        <v>134125</v>
      </c>
      <c r="BA22" s="14" t="str">
        <f>$A$22</f>
        <v>歐洲</v>
      </c>
      <c r="BB22" s="27">
        <f t="shared" si="28"/>
        <v>40500</v>
      </c>
      <c r="BC22" s="27">
        <f t="shared" si="29"/>
        <v>68625</v>
      </c>
      <c r="BD22" s="27">
        <f t="shared" si="30"/>
        <v>25000</v>
      </c>
      <c r="BF22" s="3" t="str">
        <f>A22</f>
        <v>歐洲</v>
      </c>
      <c r="BG22" s="27">
        <f t="shared" si="31"/>
        <v>119312.5</v>
      </c>
      <c r="BH22" s="27">
        <f t="shared" si="13"/>
        <v>208000</v>
      </c>
      <c r="BI22" s="27">
        <f t="shared" si="14"/>
        <v>134125</v>
      </c>
      <c r="BJ22" s="90">
        <f t="shared" si="15"/>
        <v>1518651.2000000002</v>
      </c>
      <c r="BK22" s="91">
        <f t="shared" si="16"/>
        <v>327312.5</v>
      </c>
      <c r="BL22" s="94">
        <f t="shared" si="32"/>
        <v>253437.5</v>
      </c>
      <c r="BM22" s="94">
        <f t="shared" si="33"/>
        <v>461437.5</v>
      </c>
      <c r="BN22" s="91">
        <f t="shared" si="34"/>
        <v>1652776.2000000002</v>
      </c>
      <c r="BO22" s="91">
        <f t="shared" si="17"/>
        <v>1980088.7000000002</v>
      </c>
      <c r="BQ22" s="27">
        <f t="shared" si="18"/>
        <v>119312.5</v>
      </c>
      <c r="BR22" s="27">
        <f t="shared" si="19"/>
        <v>134125</v>
      </c>
      <c r="BT22" s="27">
        <f t="shared" si="20"/>
        <v>62062.5</v>
      </c>
      <c r="BU22" s="27">
        <f t="shared" si="21"/>
        <v>17250</v>
      </c>
      <c r="BV22" s="27">
        <f t="shared" si="22"/>
        <v>40000</v>
      </c>
      <c r="BW22" s="27">
        <f t="shared" si="23"/>
        <v>1860776.2000000002</v>
      </c>
    </row>
    <row r="23" spans="1:75" x14ac:dyDescent="0.25">
      <c r="A23" s="194" t="s">
        <v>6</v>
      </c>
      <c r="B23" s="96" t="s">
        <v>302</v>
      </c>
      <c r="C23" s="11" t="b">
        <v>1</v>
      </c>
      <c r="D23" s="241"/>
      <c r="E23" s="139" t="str">
        <f>IF(C23=FALSE,"不申請",IF(OR(C17=TRUE,C18=TRUE,C19=TRUE,C20=TRUE,C21=TRUE,C22=TRUE,C28=TRUE,C31=TRUE,C29=TRUE,C30=TRUE,C27=TRUE),"翻譯案","異常"))</f>
        <v>翻譯案</v>
      </c>
      <c r="F23" s="3" t="s">
        <v>18</v>
      </c>
      <c r="G23" s="7">
        <f>IF($W$5=FALSE,0,IF(C23=FALSE,0,14000))</f>
        <v>14000</v>
      </c>
      <c r="H23" s="7">
        <f>IF($W$5=FALSE,0,IF(C23=FALSE,0,138000))</f>
        <v>138000</v>
      </c>
      <c r="I23" s="7">
        <f>IF($W$5=FALSE,0,IF(C23=FALSE,0,4000*$B$7))</f>
        <v>40000</v>
      </c>
      <c r="J23" s="7"/>
      <c r="K23" s="7">
        <f t="shared" si="0"/>
        <v>192000</v>
      </c>
      <c r="L23" s="23">
        <f>K23*$L$7</f>
        <v>40320</v>
      </c>
      <c r="M23" s="3" t="s">
        <v>18</v>
      </c>
      <c r="N23" s="7">
        <f>IF($W$6=FALSE,0,IF(C23=FALSE,0,120000+8500))</f>
        <v>128500</v>
      </c>
      <c r="O23" s="10">
        <f>IF($W$6=FALSE,0,IF(C23=FALSE,0,IF(OR(C21=TRUE,C22=TRUE,C28=TRUE,C31=TRUE,C29=TRUE,C30=TRUE,C27=TRUE),$B$6*32,IF(OR(C17=TRUE,C18=TRUE,C19=TRUE,C20=TRUE),$B$5*14,"欠缺英文案及中文案"))))</f>
        <v>160000</v>
      </c>
      <c r="P23" s="7">
        <f>IF($W$6=FALSE,0,IF(C23=FALSE,0,14000))</f>
        <v>14000</v>
      </c>
      <c r="Q23" s="7"/>
      <c r="R23" s="7"/>
      <c r="S23" s="7">
        <f>IF($W$6=FALSE,0,IF(C23=FALSE,0,200*$B$9))</f>
        <v>2000</v>
      </c>
      <c r="T23" s="7">
        <f t="shared" si="1"/>
        <v>304500</v>
      </c>
      <c r="U23" s="23">
        <f>T23*$L$7</f>
        <v>63945</v>
      </c>
      <c r="V23" s="23">
        <f t="shared" si="24"/>
        <v>104265</v>
      </c>
      <c r="W23" s="10">
        <f>IF($W$7=FALSE,0,IF(E23="不申請",0,IF(E23="初稿案",30000,IF(E23="翻譯案",30000,IF(E23="同語言轉換案",30000,999999)))))</f>
        <v>30000</v>
      </c>
      <c r="X23" s="10"/>
      <c r="Y23" s="10"/>
      <c r="Z23" s="7"/>
      <c r="AA23" s="23">
        <f t="shared" si="2"/>
        <v>30000</v>
      </c>
      <c r="AB23" s="23">
        <f t="shared" si="3"/>
        <v>134265</v>
      </c>
      <c r="AC23" s="200" t="str">
        <f>$A$23</f>
        <v>日本</v>
      </c>
      <c r="AD23" s="27">
        <f t="shared" si="4"/>
        <v>40320</v>
      </c>
      <c r="AE23" s="27">
        <f t="shared" si="5"/>
        <v>63945</v>
      </c>
      <c r="AF23" s="27">
        <f t="shared" si="6"/>
        <v>30000</v>
      </c>
      <c r="AG23" s="200"/>
      <c r="AH23" s="238"/>
      <c r="AI23" s="200" t="str">
        <f>$A$23</f>
        <v>日本</v>
      </c>
      <c r="AJ23" s="11" t="str">
        <f t="shared" si="7"/>
        <v>發明</v>
      </c>
      <c r="AK23" s="3" t="str">
        <f t="shared" si="25"/>
        <v>JPY</v>
      </c>
      <c r="AL23" s="7">
        <f>IF($W$5=FALSE,0,IF(C23=FALSE,0,4300*3))</f>
        <v>12900</v>
      </c>
      <c r="AM23" s="7">
        <f>IF($W$5=FALSE,0,IF(C23=FALSE,0,300*$B$7*3))</f>
        <v>9000</v>
      </c>
      <c r="AN23" s="7"/>
      <c r="AO23" s="7">
        <f t="shared" si="8"/>
        <v>21900</v>
      </c>
      <c r="AP23" s="22">
        <f>AO23*$L$7</f>
        <v>4599</v>
      </c>
      <c r="AQ23" s="3" t="str">
        <f t="shared" si="26"/>
        <v>JPY</v>
      </c>
      <c r="AR23" s="7">
        <f>IF($W$6=FALSE,0,IF(C23=FALSE,0,25000))</f>
        <v>25000</v>
      </c>
      <c r="AS23" s="7"/>
      <c r="AT23" s="7"/>
      <c r="AU23" s="7">
        <f t="shared" si="9"/>
        <v>25000</v>
      </c>
      <c r="AV23" s="22">
        <f>AU23*$L$7</f>
        <v>5250</v>
      </c>
      <c r="AW23" s="22">
        <f t="shared" si="10"/>
        <v>9849</v>
      </c>
      <c r="AX23" s="7">
        <f t="shared" si="11"/>
        <v>0</v>
      </c>
      <c r="AY23" s="22">
        <f t="shared" si="27"/>
        <v>0</v>
      </c>
      <c r="AZ23" s="22">
        <f t="shared" si="12"/>
        <v>9849</v>
      </c>
      <c r="BA23" s="200" t="str">
        <f>$A$23</f>
        <v>日本</v>
      </c>
      <c r="BB23" s="27">
        <f t="shared" si="28"/>
        <v>4599</v>
      </c>
      <c r="BC23" s="27">
        <f t="shared" si="29"/>
        <v>5250</v>
      </c>
      <c r="BD23" s="27">
        <f t="shared" si="30"/>
        <v>0</v>
      </c>
      <c r="BF23" s="3" t="s">
        <v>103</v>
      </c>
      <c r="BG23" s="27">
        <f t="shared" si="31"/>
        <v>134265</v>
      </c>
      <c r="BH23" s="27">
        <f t="shared" si="13"/>
        <v>85150</v>
      </c>
      <c r="BI23" s="27">
        <f t="shared" si="14"/>
        <v>9849</v>
      </c>
      <c r="BJ23" s="90">
        <f t="shared" si="15"/>
        <v>408547</v>
      </c>
      <c r="BK23" s="91">
        <f t="shared" si="16"/>
        <v>219415</v>
      </c>
      <c r="BL23" s="94">
        <f t="shared" si="32"/>
        <v>144114</v>
      </c>
      <c r="BM23" s="94">
        <f t="shared" si="33"/>
        <v>229264</v>
      </c>
      <c r="BN23" s="91">
        <f t="shared" si="34"/>
        <v>418396</v>
      </c>
      <c r="BO23" s="91">
        <f t="shared" si="17"/>
        <v>637811</v>
      </c>
      <c r="BQ23" s="27">
        <f t="shared" si="18"/>
        <v>134265</v>
      </c>
      <c r="BR23" s="27">
        <f t="shared" si="19"/>
        <v>9849</v>
      </c>
      <c r="BT23" s="27">
        <f t="shared" si="20"/>
        <v>40320</v>
      </c>
      <c r="BU23" s="27">
        <f t="shared" si="21"/>
        <v>63945</v>
      </c>
      <c r="BV23" s="27">
        <f t="shared" si="22"/>
        <v>30000</v>
      </c>
      <c r="BW23" s="27">
        <f t="shared" si="23"/>
        <v>503546</v>
      </c>
    </row>
    <row r="24" spans="1:75" x14ac:dyDescent="0.25">
      <c r="A24" s="195"/>
      <c r="B24" s="96" t="s">
        <v>303</v>
      </c>
      <c r="C24" s="11" t="b">
        <v>0</v>
      </c>
      <c r="D24" s="241"/>
      <c r="E24" s="139" t="str">
        <f>IF(C24=FALSE,"不申請",IF(OR(C17=TRUE,C18=TRUE,C19=TRUE,C20=TRUE,C21=TRUE,C22=TRUE,C28=TRUE,C31=TRUE,C29=TRUE,C30=TRUE,C27=TRUE),"翻譯案","異常"))</f>
        <v>不申請</v>
      </c>
      <c r="F24" s="3" t="s">
        <v>18</v>
      </c>
      <c r="G24" s="7">
        <f>IF($W$5=FALSE,0,IF(C24=FALSE,0,14000))</f>
        <v>0</v>
      </c>
      <c r="H24" s="7">
        <f>IF($W$5=FALSE,0,IF(C24=FALSE,0,0))</f>
        <v>0</v>
      </c>
      <c r="I24" s="7">
        <f>IF($W$5=FALSE,0,IF(C24=FALSE,0,0))</f>
        <v>0</v>
      </c>
      <c r="J24" s="7"/>
      <c r="K24" s="7">
        <f t="shared" si="0"/>
        <v>0</v>
      </c>
      <c r="L24" s="23">
        <f>K24*$L$7</f>
        <v>0</v>
      </c>
      <c r="M24" s="3" t="s">
        <v>18</v>
      </c>
      <c r="N24" s="7">
        <f>IF($W$6=FALSE,0,IF(C24=FALSE,0,130000+8500))</f>
        <v>0</v>
      </c>
      <c r="O24" s="10">
        <f>IF($W$6=FALSE,0,IF(C24=FALSE,0,IF(OR(C21=TRUE,C22=TRUE,C28=TRUE,C31=TRUE,C29=TRUE,C30=TRUE,C27=TRUE),$B$6*36,IF(OR(C17=TRUE,C18=TRUE,C19=TRUE,C20=TRUE),$B$5*26,"欠缺英文案及中文案"))))</f>
        <v>0</v>
      </c>
      <c r="P24" s="7">
        <f>IF($W$6=FALSE,0,IF(C24=FALSE,0,0))</f>
        <v>0</v>
      </c>
      <c r="Q24" s="7"/>
      <c r="R24" s="7"/>
      <c r="S24" s="7">
        <f>IF($W$6=FALSE,0,IF(C24=FALSE,0,200*$B$9))</f>
        <v>0</v>
      </c>
      <c r="T24" s="7">
        <f t="shared" si="1"/>
        <v>0</v>
      </c>
      <c r="U24" s="23">
        <f>T24*$L$7</f>
        <v>0</v>
      </c>
      <c r="V24" s="23">
        <f t="shared" si="24"/>
        <v>0</v>
      </c>
      <c r="W24" s="10">
        <f>IF($W$7=FALSE,0,IF(E24="不申請",0,IF(E24="初稿案",30000,IF(E24="翻譯案",30000,IF(E24="同語言轉換案",30000,999999)))))</f>
        <v>0</v>
      </c>
      <c r="X24" s="10"/>
      <c r="Y24" s="10"/>
      <c r="Z24" s="7"/>
      <c r="AA24" s="23">
        <f t="shared" si="2"/>
        <v>0</v>
      </c>
      <c r="AB24" s="23">
        <f t="shared" si="3"/>
        <v>0</v>
      </c>
      <c r="AC24" s="195"/>
      <c r="AD24" s="27">
        <f t="shared" si="4"/>
        <v>0</v>
      </c>
      <c r="AE24" s="27">
        <f t="shared" si="5"/>
        <v>0</v>
      </c>
      <c r="AF24" s="27">
        <f t="shared" si="6"/>
        <v>0</v>
      </c>
      <c r="AG24" s="195"/>
      <c r="AH24" s="239"/>
      <c r="AI24" s="195"/>
      <c r="AJ24" s="11" t="str">
        <f t="shared" si="7"/>
        <v>新型</v>
      </c>
      <c r="AK24" s="3" t="str">
        <f t="shared" si="25"/>
        <v>JPY</v>
      </c>
      <c r="AL24" s="7">
        <f>IF($W$5=FALSE,0,IF(C24=FALSE,0,6300*3))</f>
        <v>0</v>
      </c>
      <c r="AM24" s="7">
        <f>IF($W$5=FALSE,0,IF(C24=FALSE,0,300*$B$7*3))</f>
        <v>0</v>
      </c>
      <c r="AN24" s="7"/>
      <c r="AO24" s="7">
        <f t="shared" si="8"/>
        <v>0</v>
      </c>
      <c r="AP24" s="22">
        <f>AO24*$L$7</f>
        <v>0</v>
      </c>
      <c r="AQ24" s="3" t="str">
        <f t="shared" si="26"/>
        <v>JPY</v>
      </c>
      <c r="AR24" s="7">
        <f>IF($W$6=FALSE,0,IF(C24=FALSE,0,10000))</f>
        <v>0</v>
      </c>
      <c r="AS24" s="7"/>
      <c r="AT24" s="7"/>
      <c r="AU24" s="7">
        <f t="shared" si="9"/>
        <v>0</v>
      </c>
      <c r="AV24" s="22">
        <f>AU24*$L$7</f>
        <v>0</v>
      </c>
      <c r="AW24" s="22">
        <f t="shared" si="10"/>
        <v>0</v>
      </c>
      <c r="AX24" s="7">
        <f t="shared" si="11"/>
        <v>0</v>
      </c>
      <c r="AY24" s="22">
        <f t="shared" si="27"/>
        <v>0</v>
      </c>
      <c r="AZ24" s="22">
        <f t="shared" si="12"/>
        <v>0</v>
      </c>
      <c r="BA24" s="195"/>
      <c r="BB24" s="27">
        <f t="shared" si="28"/>
        <v>0</v>
      </c>
      <c r="BC24" s="27">
        <f t="shared" si="29"/>
        <v>0</v>
      </c>
      <c r="BD24" s="27">
        <f t="shared" si="30"/>
        <v>0</v>
      </c>
      <c r="BF24" s="3" t="s">
        <v>104</v>
      </c>
      <c r="BG24" s="27">
        <f t="shared" si="31"/>
        <v>0</v>
      </c>
      <c r="BH24" s="27">
        <f t="shared" si="13"/>
        <v>0</v>
      </c>
      <c r="BI24" s="27">
        <f t="shared" si="14"/>
        <v>0</v>
      </c>
      <c r="BJ24" s="90">
        <f t="shared" si="15"/>
        <v>0</v>
      </c>
      <c r="BK24" s="91">
        <f t="shared" si="16"/>
        <v>0</v>
      </c>
      <c r="BL24" s="94">
        <f t="shared" si="32"/>
        <v>0</v>
      </c>
      <c r="BM24" s="94">
        <f t="shared" si="33"/>
        <v>0</v>
      </c>
      <c r="BN24" s="91">
        <f t="shared" si="34"/>
        <v>0</v>
      </c>
      <c r="BO24" s="91">
        <f t="shared" si="17"/>
        <v>0</v>
      </c>
      <c r="BQ24" s="27">
        <f t="shared" si="18"/>
        <v>0</v>
      </c>
      <c r="BR24" s="27">
        <f t="shared" si="19"/>
        <v>0</v>
      </c>
      <c r="BT24" s="27">
        <f t="shared" si="20"/>
        <v>0</v>
      </c>
      <c r="BU24" s="27">
        <f t="shared" si="21"/>
        <v>0</v>
      </c>
      <c r="BV24" s="27">
        <f t="shared" si="22"/>
        <v>0</v>
      </c>
      <c r="BW24" s="27">
        <f t="shared" si="23"/>
        <v>0</v>
      </c>
    </row>
    <row r="25" spans="1:75" x14ac:dyDescent="0.25">
      <c r="A25" s="194" t="s">
        <v>7</v>
      </c>
      <c r="B25" s="96" t="s">
        <v>302</v>
      </c>
      <c r="C25" s="11" t="b">
        <v>1</v>
      </c>
      <c r="D25" s="241"/>
      <c r="E25" s="139" t="str">
        <f>IF(C25=FALSE,"不申請",IF(OR(C17=TRUE,C18=TRUE,C19=TRUE,C20=TRUE,C21=TRUE,C22=TRUE,C28=TRUE,C31=TRUE,C29=TRUE,C30=TRUE,C27=TRUE),"翻譯案","異常"))</f>
        <v>翻譯案</v>
      </c>
      <c r="F25" s="3" t="s">
        <v>19</v>
      </c>
      <c r="G25" s="7">
        <f>IF($W$5=FALSE,0,IF(C25=FALSE,0,46000))</f>
        <v>46000</v>
      </c>
      <c r="H25" s="7">
        <f>IF($W$5=FALSE,0,IF(C25=FALSE,0,166000))</f>
        <v>166000</v>
      </c>
      <c r="I25" s="7">
        <f>IF($W$5=FALSE,0,IF(C25=FALSE,0,51000*$B$7))</f>
        <v>510000</v>
      </c>
      <c r="J25" s="7"/>
      <c r="K25" s="7">
        <f t="shared" si="0"/>
        <v>722000</v>
      </c>
      <c r="L25" s="23">
        <f>K25*$L$8</f>
        <v>18050</v>
      </c>
      <c r="M25" s="3" t="s">
        <v>16</v>
      </c>
      <c r="N25" s="7">
        <f>IF($W$6=FALSE,0,IF(C25=FALSE,0,850))</f>
        <v>850</v>
      </c>
      <c r="O25" s="10">
        <f>IF($W$6=FALSE,0,IF(C25=FALSE,0,IF(OR(C21=TRUE,C22=TRUE,C28=TRUE,C31=TRUE,C29=TRUE,C30=TRUE,C27=TRUE),$B$6/100*26,IF(OR(C17=TRUE,C18=TRUE,C19=TRUE,C20=TRUE),$B$5/100*24,"欠缺英文案及中文案"))))</f>
        <v>1300</v>
      </c>
      <c r="P25" s="7">
        <f>IF($W$6=FALSE,0,IF(C25=FALSE,0,130))</f>
        <v>130</v>
      </c>
      <c r="Q25" s="7">
        <f>IF($W$6=FALSE,0,IF(C25=FALSE,0,26*$B$7))</f>
        <v>260</v>
      </c>
      <c r="R25" s="7"/>
      <c r="S25" s="7">
        <f>IF($W$6=FALSE,0,IF(C25=FALSE,0,25*$B$9))</f>
        <v>250</v>
      </c>
      <c r="T25" s="7">
        <f t="shared" si="1"/>
        <v>2790</v>
      </c>
      <c r="U25" s="23">
        <f>T25*$L$5</f>
        <v>89280</v>
      </c>
      <c r="V25" s="23">
        <f t="shared" si="24"/>
        <v>107330</v>
      </c>
      <c r="W25" s="10">
        <f>IF($W$7=FALSE,0,IF(E25="不申請",0,IF(E25="初稿案",30000,IF(E25="翻譯案",30000,IF(E25="同語言轉換案",30000,999999)))))</f>
        <v>30000</v>
      </c>
      <c r="X25" s="10"/>
      <c r="Y25" s="10"/>
      <c r="Z25" s="7"/>
      <c r="AA25" s="23">
        <f t="shared" si="2"/>
        <v>30000</v>
      </c>
      <c r="AB25" s="23">
        <f t="shared" si="3"/>
        <v>137330</v>
      </c>
      <c r="AC25" s="200" t="str">
        <f>$A$25</f>
        <v>韓國</v>
      </c>
      <c r="AD25" s="27">
        <f t="shared" si="4"/>
        <v>18050</v>
      </c>
      <c r="AE25" s="27">
        <f t="shared" si="5"/>
        <v>89280</v>
      </c>
      <c r="AF25" s="27">
        <f t="shared" si="6"/>
        <v>30000</v>
      </c>
      <c r="AG25" s="200"/>
      <c r="AH25" s="238"/>
      <c r="AI25" s="200" t="str">
        <f>$A$25</f>
        <v>韓國</v>
      </c>
      <c r="AJ25" s="11" t="str">
        <f t="shared" si="7"/>
        <v>發明</v>
      </c>
      <c r="AK25" s="3" t="str">
        <f t="shared" si="25"/>
        <v>KRW</v>
      </c>
      <c r="AL25" s="7">
        <f>IF($W$5=FALSE,0,IF(C25=FALSE,0,39000))</f>
        <v>39000</v>
      </c>
      <c r="AM25" s="7">
        <f>IF($W$5=FALSE,0,IF(C25=FALSE,0,36000*$B$7))</f>
        <v>360000</v>
      </c>
      <c r="AN25" s="7"/>
      <c r="AO25" s="7">
        <f t="shared" si="8"/>
        <v>399000</v>
      </c>
      <c r="AP25" s="22">
        <f>AO25*$L$8</f>
        <v>9975</v>
      </c>
      <c r="AQ25" s="3" t="str">
        <f t="shared" si="26"/>
        <v>USD</v>
      </c>
      <c r="AR25" s="7">
        <f>IF($W$6=FALSE,0,IF(C25=FALSE,0,130+130))</f>
        <v>260</v>
      </c>
      <c r="AS25" s="7"/>
      <c r="AT25" s="7"/>
      <c r="AU25" s="7">
        <f t="shared" si="9"/>
        <v>260</v>
      </c>
      <c r="AV25" s="22">
        <f>AU25*$L$5</f>
        <v>8320</v>
      </c>
      <c r="AW25" s="22">
        <f t="shared" si="10"/>
        <v>18295</v>
      </c>
      <c r="AX25" s="7">
        <f t="shared" si="11"/>
        <v>0</v>
      </c>
      <c r="AY25" s="22">
        <f t="shared" si="27"/>
        <v>0</v>
      </c>
      <c r="AZ25" s="22">
        <f t="shared" si="12"/>
        <v>18295</v>
      </c>
      <c r="BA25" s="200" t="str">
        <f>$A$25</f>
        <v>韓國</v>
      </c>
      <c r="BB25" s="27">
        <f t="shared" si="28"/>
        <v>9975</v>
      </c>
      <c r="BC25" s="27">
        <f t="shared" si="29"/>
        <v>8320</v>
      </c>
      <c r="BD25" s="27">
        <f t="shared" si="30"/>
        <v>0</v>
      </c>
      <c r="BF25" s="3" t="s">
        <v>105</v>
      </c>
      <c r="BG25" s="27">
        <f t="shared" si="31"/>
        <v>137330</v>
      </c>
      <c r="BH25" s="27">
        <f t="shared" si="13"/>
        <v>104100</v>
      </c>
      <c r="BI25" s="27">
        <f t="shared" si="14"/>
        <v>18295</v>
      </c>
      <c r="BJ25" s="90">
        <f t="shared" si="15"/>
        <v>453420</v>
      </c>
      <c r="BK25" s="91">
        <f t="shared" si="16"/>
        <v>241430</v>
      </c>
      <c r="BL25" s="94">
        <f t="shared" si="32"/>
        <v>155625</v>
      </c>
      <c r="BM25" s="94">
        <f t="shared" si="33"/>
        <v>259725</v>
      </c>
      <c r="BN25" s="91">
        <f t="shared" si="34"/>
        <v>471715</v>
      </c>
      <c r="BO25" s="91">
        <f t="shared" si="17"/>
        <v>713145</v>
      </c>
      <c r="BQ25" s="27">
        <f t="shared" si="18"/>
        <v>137330</v>
      </c>
      <c r="BR25" s="27">
        <f t="shared" si="19"/>
        <v>18295</v>
      </c>
      <c r="BT25" s="27">
        <f t="shared" si="20"/>
        <v>18050</v>
      </c>
      <c r="BU25" s="27">
        <f t="shared" si="21"/>
        <v>89280</v>
      </c>
      <c r="BV25" s="27">
        <f t="shared" si="22"/>
        <v>30000</v>
      </c>
      <c r="BW25" s="27">
        <f t="shared" si="23"/>
        <v>575815</v>
      </c>
    </row>
    <row r="26" spans="1:75" x14ac:dyDescent="0.25">
      <c r="A26" s="195"/>
      <c r="B26" s="96" t="s">
        <v>303</v>
      </c>
      <c r="C26" s="11" t="b">
        <v>0</v>
      </c>
      <c r="D26" s="241"/>
      <c r="E26" s="139" t="str">
        <f>IF(C26=FALSE,"不申請",IF(OR(C17=TRUE,C18=TRUE,C19=TRUE,C20=TRUE,C21=TRUE,C22=TRUE,C28=TRUE,C31=TRUE,C29=TRUE,C30=TRUE,C27=TRUE),"翻譯案","異常"))</f>
        <v>不申請</v>
      </c>
      <c r="F26" s="3" t="s">
        <v>19</v>
      </c>
      <c r="G26" s="7">
        <f>IF($W$5=FALSE,0,IF(C26=FALSE,0,20000))</f>
        <v>0</v>
      </c>
      <c r="H26" s="7">
        <f>IF($W$5=FALSE,0,IF(C26=FALSE,0,71000))</f>
        <v>0</v>
      </c>
      <c r="I26" s="7">
        <f>IF($W$5=FALSE,0,IF(C26=FALSE,0,19000*$B$7))</f>
        <v>0</v>
      </c>
      <c r="J26" s="7"/>
      <c r="K26" s="7">
        <f t="shared" si="0"/>
        <v>0</v>
      </c>
      <c r="L26" s="23">
        <f>K26*$L$8</f>
        <v>0</v>
      </c>
      <c r="M26" s="3" t="s">
        <v>16</v>
      </c>
      <c r="N26" s="7">
        <f>IF($W$6=FALSE,0,IF(C26=FALSE,0,820))</f>
        <v>0</v>
      </c>
      <c r="O26" s="10">
        <f>IF($W$6=FALSE,0,IF(C26=FALSE,0,IF(OR(C21=TRUE,C22=TRUE,C28=TRUE,C31=TRUE,C29=TRUE,C30=TRUE,C27=TRUE),$B$6/100*26,IF(OR(C17=TRUE,C18=TRUE,C19=TRUE,C20=TRUE),$B$5/100*24,"欠缺英文案及中文案"))))</f>
        <v>0</v>
      </c>
      <c r="P26" s="7">
        <f>IF($W$6=FALSE,0,IF(C26=FALSE,0,130))</f>
        <v>0</v>
      </c>
      <c r="Q26" s="7">
        <f>IF($W$6=FALSE,0,IF(C26=FALSE,0,26*$B$7))</f>
        <v>0</v>
      </c>
      <c r="R26" s="7"/>
      <c r="S26" s="7">
        <f>IF($W$6=FALSE,0,IF(C26=FALSE,0,25*$B$9))</f>
        <v>0</v>
      </c>
      <c r="T26" s="7">
        <f t="shared" si="1"/>
        <v>0</v>
      </c>
      <c r="U26" s="23">
        <f>T26*$L$5</f>
        <v>0</v>
      </c>
      <c r="V26" s="23">
        <f t="shared" si="24"/>
        <v>0</v>
      </c>
      <c r="W26" s="10">
        <f>IF($W$7=FALSE,0,IF(E26="不申請",0,IF(E26="初稿案",30000,IF(E26="翻譯案",30000,IF(E26="同語言轉換案",30000,999999)))))</f>
        <v>0</v>
      </c>
      <c r="X26" s="10"/>
      <c r="Y26" s="10"/>
      <c r="Z26" s="7"/>
      <c r="AA26" s="23">
        <f t="shared" si="2"/>
        <v>0</v>
      </c>
      <c r="AB26" s="23">
        <f t="shared" si="3"/>
        <v>0</v>
      </c>
      <c r="AC26" s="195"/>
      <c r="AD26" s="27">
        <f t="shared" si="4"/>
        <v>0</v>
      </c>
      <c r="AE26" s="27">
        <f t="shared" si="5"/>
        <v>0</v>
      </c>
      <c r="AF26" s="27">
        <f t="shared" si="6"/>
        <v>0</v>
      </c>
      <c r="AG26" s="195"/>
      <c r="AH26" s="239"/>
      <c r="AI26" s="195"/>
      <c r="AJ26" s="11" t="str">
        <f t="shared" si="7"/>
        <v>新型</v>
      </c>
      <c r="AK26" s="3" t="str">
        <f t="shared" si="25"/>
        <v>KRW</v>
      </c>
      <c r="AL26" s="7">
        <f>IF($W$5=FALSE,0,IF(C26=FALSE,0,36000))</f>
        <v>0</v>
      </c>
      <c r="AM26" s="7">
        <f>IF($W$5=FALSE,0,IF(C26=FALSE,0,12000*$B$7))</f>
        <v>0</v>
      </c>
      <c r="AN26" s="7"/>
      <c r="AO26" s="7">
        <f t="shared" si="8"/>
        <v>0</v>
      </c>
      <c r="AP26" s="22">
        <f>AO26*$L$8</f>
        <v>0</v>
      </c>
      <c r="AQ26" s="3" t="str">
        <f t="shared" si="26"/>
        <v>USD</v>
      </c>
      <c r="AR26" s="7">
        <f>IF($W$6=FALSE,0,IF(C26=FALSE,0,130+130))</f>
        <v>0</v>
      </c>
      <c r="AS26" s="7"/>
      <c r="AT26" s="7"/>
      <c r="AU26" s="7">
        <f t="shared" si="9"/>
        <v>0</v>
      </c>
      <c r="AV26" s="22">
        <f>AU26*$L$5</f>
        <v>0</v>
      </c>
      <c r="AW26" s="22">
        <f t="shared" si="10"/>
        <v>0</v>
      </c>
      <c r="AX26" s="7">
        <f t="shared" si="11"/>
        <v>0</v>
      </c>
      <c r="AY26" s="22">
        <f t="shared" si="27"/>
        <v>0</v>
      </c>
      <c r="AZ26" s="22">
        <f t="shared" si="12"/>
        <v>0</v>
      </c>
      <c r="BA26" s="195"/>
      <c r="BB26" s="27">
        <f t="shared" si="28"/>
        <v>0</v>
      </c>
      <c r="BC26" s="27">
        <f t="shared" si="29"/>
        <v>0</v>
      </c>
      <c r="BD26" s="27">
        <f t="shared" si="30"/>
        <v>0</v>
      </c>
      <c r="BF26" s="3" t="s">
        <v>106</v>
      </c>
      <c r="BG26" s="27">
        <f t="shared" si="31"/>
        <v>0</v>
      </c>
      <c r="BH26" s="27">
        <f t="shared" si="13"/>
        <v>0</v>
      </c>
      <c r="BI26" s="27">
        <f t="shared" si="14"/>
        <v>0</v>
      </c>
      <c r="BJ26" s="90">
        <f t="shared" si="15"/>
        <v>0</v>
      </c>
      <c r="BK26" s="91">
        <f t="shared" si="16"/>
        <v>0</v>
      </c>
      <c r="BL26" s="94">
        <f t="shared" si="32"/>
        <v>0</v>
      </c>
      <c r="BM26" s="94">
        <f t="shared" si="33"/>
        <v>0</v>
      </c>
      <c r="BN26" s="91">
        <f t="shared" si="34"/>
        <v>0</v>
      </c>
      <c r="BO26" s="91">
        <f t="shared" si="17"/>
        <v>0</v>
      </c>
      <c r="BQ26" s="27">
        <f t="shared" si="18"/>
        <v>0</v>
      </c>
      <c r="BR26" s="27">
        <f t="shared" si="19"/>
        <v>0</v>
      </c>
      <c r="BT26" s="27">
        <f t="shared" si="20"/>
        <v>0</v>
      </c>
      <c r="BU26" s="27">
        <f t="shared" si="21"/>
        <v>0</v>
      </c>
      <c r="BV26" s="27">
        <f t="shared" si="22"/>
        <v>0</v>
      </c>
      <c r="BW26" s="27">
        <f t="shared" si="23"/>
        <v>0</v>
      </c>
    </row>
    <row r="27" spans="1:75" x14ac:dyDescent="0.25">
      <c r="A27" s="3" t="s">
        <v>42</v>
      </c>
      <c r="B27" s="96" t="s">
        <v>302</v>
      </c>
      <c r="C27" s="11" t="b">
        <v>1</v>
      </c>
      <c r="D27" s="241"/>
      <c r="E27" s="139" t="str">
        <f>IF(C27=FALSE,"不申請",IF($D$17=4,"初稿案",IF(OR(AND(D17=3,C21=TRUE),AND(D17=5,C28=TRUE),AND(D17=6,OR(C29=TRUE,C30=TRUE)),AND(D17=7,C31=TRUE)),"同語言轉換案",IF(C21=TRUE,"同語言轉換案",IF(OR(AND(D17=1,OR(C17=TRUE,C18=TRUE)),AND(D17=2,OR(C19=TRUE,C20=TRUE))),"翻譯案","異常")))))</f>
        <v>同語言轉換案</v>
      </c>
      <c r="F27" s="3" t="s">
        <v>43</v>
      </c>
      <c r="G27" s="7">
        <f>IF($W$5=FALSE,0,IF(C27=FALSE,0,IF($B$10="少於100人",234.9,579.42)))</f>
        <v>234.9</v>
      </c>
      <c r="H27" s="7">
        <f>IF($W$5=FALSE,0,IF(C27=FALSE,0,IF($B$10="少於100人",469.8,1158.84)))</f>
        <v>469.8</v>
      </c>
      <c r="I27" s="7">
        <f>IF($W$5=FALSE,0,IF(C27=FALSE,0,IF($B$7&lt;21,0,IF($B$10="少於100人",57.42*($B$7-20),114.84*($B$7-20)))))</f>
        <v>0</v>
      </c>
      <c r="J27" s="7">
        <f>IF($W$5=FALSE,0,IF(C27=FALSE,0,125))</f>
        <v>125</v>
      </c>
      <c r="K27" s="7">
        <f>IF($U$5=FALSE,0,SUM(G27:J27))</f>
        <v>829.7</v>
      </c>
      <c r="L27" s="23">
        <f>K27*$N$9</f>
        <v>19497.95</v>
      </c>
      <c r="M27" s="3" t="s">
        <v>43</v>
      </c>
      <c r="N27" s="7">
        <f>IF($W$6=FALSE,0,IF(C27=FALSE,0,1100))</f>
        <v>1100</v>
      </c>
      <c r="O27" s="7"/>
      <c r="P27" s="7">
        <v>0</v>
      </c>
      <c r="Q27" s="7"/>
      <c r="R27" s="7">
        <f>IF($W$6=FALSE,0,IF(C27=FALSE,0,340))</f>
        <v>340</v>
      </c>
      <c r="S27" s="7"/>
      <c r="T27" s="7">
        <f>IF($U$5=FALSE,0,SUM(N27:S27))</f>
        <v>1440</v>
      </c>
      <c r="U27" s="23">
        <f>T27*$N$9</f>
        <v>33840</v>
      </c>
      <c r="V27" s="23">
        <f>L27+U27</f>
        <v>53337.95</v>
      </c>
      <c r="W27" s="7">
        <f>IF($W$7=FALSE,0,IF(E27="不申請",0,IF(E27="初稿案",95000,IF(E27="翻譯案",60000,IF(E27="同語言轉換案",30000,999999)))))</f>
        <v>30000</v>
      </c>
      <c r="X27" s="7">
        <f>IF($W$7=FALSE,0,IF(E27="不申請",0,IF(E27="初稿案",IF($B$6&lt;5000,0,1000*(ROUNDDOWN($B$6/100,0)-50)),IF(E27="翻譯案",IF($B$6&lt;5000,0,1000*(ROUNDDOWN($B$6/100,0)-50)),IF(E27="同語言轉換案",0,0)))))</f>
        <v>0</v>
      </c>
      <c r="Y27" s="7">
        <f>IF($W$7=FALSE,0,IF(E27="不申請",0,IF(E27="初稿案",IF($B$9&lt;11,0,1000*($B$9-10)),IF(E27="翻譯案",IF($B$9&lt;11,0,1000*($B$9-10)),IF(E27="同語言轉換案",0,0)))))</f>
        <v>0</v>
      </c>
      <c r="Z27" s="7"/>
      <c r="AA27" s="23">
        <f>IF($U$5=FALSE,0,SUM(W27:Z27))</f>
        <v>30000</v>
      </c>
      <c r="AB27" s="23">
        <f>V27+AA27</f>
        <v>83337.95</v>
      </c>
      <c r="AC27" s="14" t="str">
        <f>$A$27</f>
        <v>加拿大</v>
      </c>
      <c r="AD27" s="27">
        <f>L27</f>
        <v>19497.95</v>
      </c>
      <c r="AE27" s="27">
        <f>U27</f>
        <v>33840</v>
      </c>
      <c r="AF27" s="27">
        <f>AA27</f>
        <v>30000</v>
      </c>
      <c r="AG27" s="14">
        <v>7</v>
      </c>
      <c r="AH27" s="138">
        <f>IF($D$17=AG27,AA27,0)</f>
        <v>0</v>
      </c>
      <c r="AI27" s="14" t="str">
        <f>$A$27</f>
        <v>加拿大</v>
      </c>
      <c r="AJ27" s="11" t="str">
        <f>B27</f>
        <v>發明</v>
      </c>
      <c r="AK27" s="3" t="str">
        <f>F27</f>
        <v>CAD</v>
      </c>
      <c r="AL27" s="7">
        <f>IF($W$5=FALSE,0,IF(C27=FALSE,0,IF($B$10="少於100人",176.44,434.3)))</f>
        <v>176.44</v>
      </c>
      <c r="AM27" s="7"/>
      <c r="AN27" s="7"/>
      <c r="AO27" s="7">
        <f>IF($U$6=FALSE,0,SUM(AL27:AN27))</f>
        <v>176.44</v>
      </c>
      <c r="AP27" s="22">
        <f>AO27*$N$9</f>
        <v>4146.34</v>
      </c>
      <c r="AQ27" s="3" t="str">
        <f>M27</f>
        <v>CAD</v>
      </c>
      <c r="AR27" s="7">
        <f>IF($W$6=FALSE,0,IF(C27=FALSE,0,895))</f>
        <v>895</v>
      </c>
      <c r="AS27" s="7"/>
      <c r="AT27" s="7"/>
      <c r="AU27" s="7">
        <f>IF($U$6=FALSE,0,SUM(AR27:AT27))</f>
        <v>895</v>
      </c>
      <c r="AV27" s="22">
        <f>AU27*$N$9</f>
        <v>21032.5</v>
      </c>
      <c r="AW27" s="22">
        <f>AP27+AV27</f>
        <v>25178.84</v>
      </c>
      <c r="AX27" s="7">
        <f>IF($W$7=FALSE,0,IF(C27=FALSE,0,0))</f>
        <v>0</v>
      </c>
      <c r="AY27" s="22">
        <f>IF($U$6=FALSE,0,SUM(AX27:AX27))</f>
        <v>0</v>
      </c>
      <c r="AZ27" s="22">
        <f>AW27+AY27</f>
        <v>25178.84</v>
      </c>
      <c r="BA27" s="14" t="str">
        <f>$A$27</f>
        <v>加拿大</v>
      </c>
      <c r="BB27" s="27">
        <f>AP27</f>
        <v>4146.34</v>
      </c>
      <c r="BC27" s="27">
        <f>AV27</f>
        <v>21032.5</v>
      </c>
      <c r="BD27" s="27">
        <f>AY27</f>
        <v>0</v>
      </c>
      <c r="BF27" s="3" t="str">
        <f>A27</f>
        <v>加拿大</v>
      </c>
      <c r="BG27" s="27">
        <f>AB27</f>
        <v>83337.95</v>
      </c>
      <c r="BH27" s="27">
        <f t="shared" si="13"/>
        <v>87000</v>
      </c>
      <c r="BI27" s="27">
        <f>AZ27</f>
        <v>25178.84</v>
      </c>
      <c r="BJ27" s="90">
        <f t="shared" si="15"/>
        <v>247947.96500000003</v>
      </c>
      <c r="BK27" s="91">
        <f>BG27+BH27</f>
        <v>170337.95</v>
      </c>
      <c r="BL27" s="94">
        <f>BG27+BI27</f>
        <v>108516.79</v>
      </c>
      <c r="BM27" s="94">
        <f>BG27+BH27+BI27</f>
        <v>195516.79</v>
      </c>
      <c r="BN27" s="91">
        <f>BI27+BJ27</f>
        <v>273126.80500000005</v>
      </c>
      <c r="BO27" s="91">
        <f>BK27+BN27</f>
        <v>443464.75500000006</v>
      </c>
      <c r="BQ27" s="27">
        <f>AB27</f>
        <v>83337.95</v>
      </c>
      <c r="BR27" s="27">
        <f>AZ27</f>
        <v>25178.84</v>
      </c>
      <c r="BT27" s="27">
        <f>AD27</f>
        <v>19497.95</v>
      </c>
      <c r="BU27" s="27">
        <f>AE27</f>
        <v>33840</v>
      </c>
      <c r="BV27" s="27">
        <f>AF27</f>
        <v>30000</v>
      </c>
      <c r="BW27" s="27">
        <f>BH27+BI27+BJ27</f>
        <v>360126.80500000005</v>
      </c>
    </row>
    <row r="28" spans="1:75" x14ac:dyDescent="0.25">
      <c r="A28" s="3" t="s">
        <v>8</v>
      </c>
      <c r="B28" s="96" t="s">
        <v>302</v>
      </c>
      <c r="C28" s="11" t="b">
        <v>1</v>
      </c>
      <c r="D28" s="241"/>
      <c r="E28" s="139" t="str">
        <f>IF(C28=FALSE,"不申請",IF($D$17=5,"初稿案",IF(OR(AND(D17=3,C21=TRUE),AND(D17=4,C28=TRUE),AND(D17=6,OR(C29=TRUE,C30=TRUE)),AND(D17=7,C31=TRUE)),"同語言轉換案",IF(OR(C21=TRUE,C27=TRUE),"同語言轉換案",IF(OR(AND(D17=1,OR(C17=TRUE,C18=TRUE)),AND(D17=2,OR(C19=TRUE,C20=TRUE))),"翻譯案","異常")))))</f>
        <v>同語言轉換案</v>
      </c>
      <c r="F28" s="3" t="s">
        <v>20</v>
      </c>
      <c r="G28" s="7">
        <f>IF($W$5=FALSE,0,IF(C28=FALSE,0,170))</f>
        <v>170</v>
      </c>
      <c r="H28" s="7">
        <f>IF($W$5=FALSE,0,IF(C28=FALSE,0,2050))</f>
        <v>2050</v>
      </c>
      <c r="I28" s="7">
        <f>IF($W$5=FALSE,0,IF(C28=FALSE,0,IF($B$7&lt;21,0,40*($B$7-20))))</f>
        <v>0</v>
      </c>
      <c r="J28" s="7"/>
      <c r="K28" s="7">
        <f t="shared" si="0"/>
        <v>2220</v>
      </c>
      <c r="L28" s="23">
        <f>K28*$N$6</f>
        <v>55500</v>
      </c>
      <c r="M28" s="3" t="s">
        <v>20</v>
      </c>
      <c r="N28" s="7">
        <f>IF($W$6=FALSE,0,IF(C28=FALSE,0,950))</f>
        <v>950</v>
      </c>
      <c r="O28" s="7"/>
      <c r="P28" s="7">
        <f>IF($W$6=FALSE,0,IF(C28=FALSE,0,650))</f>
        <v>650</v>
      </c>
      <c r="Q28" s="7"/>
      <c r="R28" s="7"/>
      <c r="S28" s="7"/>
      <c r="T28" s="7">
        <f t="shared" si="1"/>
        <v>1600</v>
      </c>
      <c r="U28" s="23">
        <f>T28*$N$6</f>
        <v>40000</v>
      </c>
      <c r="V28" s="23">
        <f t="shared" si="24"/>
        <v>95500</v>
      </c>
      <c r="W28" s="7">
        <f>IF($W$7=FALSE,0,IF(E28="不申請",0,IF(E28="初稿案",95000,IF(E28="翻譯案",60000,IF(E28="同語言轉換案",30000,999999)))))</f>
        <v>30000</v>
      </c>
      <c r="X28" s="7">
        <f>IF($W$7=FALSE,0,IF(E28="不申請",0,IF(E28="初稿案",IF($B$6&lt;5000,0,1000*(ROUNDDOWN($B$6/100,0)-50)),IF(E28="翻譯案",IF($B$6&lt;5000,0,1000*(ROUNDDOWN($B$6/100,0)-50)),IF(E28="同語言轉換案",0,0)))))</f>
        <v>0</v>
      </c>
      <c r="Y28" s="7">
        <f t="shared" ref="Y28:Y31" si="35">IF($W$7=FALSE,0,IF(E28="不申請",0,IF(E28="初稿案",IF($B$9&lt;11,0,1000*($B$9-10)),IF(E28="翻譯案",IF($B$9&lt;11,0,1000*($B$9-10)),IF(E28="同語言轉換案",0,0)))))</f>
        <v>0</v>
      </c>
      <c r="Z28" s="7"/>
      <c r="AA28" s="23">
        <f t="shared" si="2"/>
        <v>30000</v>
      </c>
      <c r="AB28" s="23">
        <f t="shared" si="3"/>
        <v>125500</v>
      </c>
      <c r="AC28" s="14" t="str">
        <f>$A$28</f>
        <v>新加坡</v>
      </c>
      <c r="AD28" s="27">
        <f t="shared" si="4"/>
        <v>55500</v>
      </c>
      <c r="AE28" s="27">
        <f t="shared" si="5"/>
        <v>40000</v>
      </c>
      <c r="AF28" s="27">
        <f t="shared" si="6"/>
        <v>30000</v>
      </c>
      <c r="AG28" s="14">
        <v>4</v>
      </c>
      <c r="AH28" s="138">
        <f>IF($D$17=AG28,AA28,0)</f>
        <v>0</v>
      </c>
      <c r="AI28" s="14" t="str">
        <f>$A$28</f>
        <v>新加坡</v>
      </c>
      <c r="AJ28" s="11" t="str">
        <f t="shared" si="7"/>
        <v>發明</v>
      </c>
      <c r="AK28" s="3" t="str">
        <f t="shared" si="25"/>
        <v>SGD</v>
      </c>
      <c r="AL28" s="7">
        <f>IF($W$5=FALSE,0,IF(C28=FALSE,0,210))</f>
        <v>210</v>
      </c>
      <c r="AM28" s="7">
        <f>IF($W$5=FALSE,0,IF(C28=FALSE,0,IF($B$7&gt;20,40*($B$7-20),0)))</f>
        <v>0</v>
      </c>
      <c r="AN28" s="7"/>
      <c r="AO28" s="7">
        <f t="shared" si="8"/>
        <v>210</v>
      </c>
      <c r="AP28" s="22">
        <f>AO28*$N$6</f>
        <v>5250</v>
      </c>
      <c r="AQ28" s="3" t="str">
        <f t="shared" si="26"/>
        <v>SGD</v>
      </c>
      <c r="AR28" s="7">
        <f>IF($W$6=FALSE,0,IF(C28=FALSE,0,400+250+600+300))</f>
        <v>1550</v>
      </c>
      <c r="AS28" s="7"/>
      <c r="AT28" s="7"/>
      <c r="AU28" s="7">
        <f t="shared" si="9"/>
        <v>1550</v>
      </c>
      <c r="AV28" s="22">
        <f>AU28*$N$6</f>
        <v>38750</v>
      </c>
      <c r="AW28" s="22">
        <f t="shared" si="10"/>
        <v>44000</v>
      </c>
      <c r="AX28" s="7">
        <f t="shared" si="11"/>
        <v>0</v>
      </c>
      <c r="AY28" s="22">
        <f t="shared" si="27"/>
        <v>0</v>
      </c>
      <c r="AZ28" s="22">
        <f t="shared" si="12"/>
        <v>44000</v>
      </c>
      <c r="BA28" s="14" t="str">
        <f>$A$28</f>
        <v>新加坡</v>
      </c>
      <c r="BB28" s="27">
        <f t="shared" si="28"/>
        <v>5250</v>
      </c>
      <c r="BC28" s="27">
        <f t="shared" si="29"/>
        <v>38750</v>
      </c>
      <c r="BD28" s="27">
        <f t="shared" si="30"/>
        <v>0</v>
      </c>
      <c r="BF28" s="3" t="str">
        <f>A28</f>
        <v>新加坡</v>
      </c>
      <c r="BG28" s="27">
        <f t="shared" si="31"/>
        <v>125500</v>
      </c>
      <c r="BH28" s="27">
        <f t="shared" si="13"/>
        <v>87500</v>
      </c>
      <c r="BI28" s="27">
        <f t="shared" si="14"/>
        <v>44000</v>
      </c>
      <c r="BJ28" s="90">
        <f t="shared" si="15"/>
        <v>478700</v>
      </c>
      <c r="BK28" s="91">
        <f t="shared" si="16"/>
        <v>213000</v>
      </c>
      <c r="BL28" s="94">
        <f t="shared" si="32"/>
        <v>169500</v>
      </c>
      <c r="BM28" s="94">
        <f t="shared" si="33"/>
        <v>257000</v>
      </c>
      <c r="BN28" s="91">
        <f t="shared" si="34"/>
        <v>522700</v>
      </c>
      <c r="BO28" s="91">
        <f t="shared" si="17"/>
        <v>735700</v>
      </c>
      <c r="BQ28" s="27">
        <f t="shared" si="18"/>
        <v>125500</v>
      </c>
      <c r="BR28" s="27">
        <f t="shared" si="19"/>
        <v>44000</v>
      </c>
      <c r="BT28" s="27">
        <f t="shared" si="20"/>
        <v>55500</v>
      </c>
      <c r="BU28" s="27">
        <f t="shared" si="21"/>
        <v>40000</v>
      </c>
      <c r="BV28" s="27">
        <f t="shared" si="22"/>
        <v>30000</v>
      </c>
      <c r="BW28" s="27">
        <f t="shared" si="23"/>
        <v>610200</v>
      </c>
    </row>
    <row r="29" spans="1:75" x14ac:dyDescent="0.25">
      <c r="A29" s="194" t="s">
        <v>11</v>
      </c>
      <c r="B29" s="96" t="s">
        <v>302</v>
      </c>
      <c r="C29" s="11" t="b">
        <v>1</v>
      </c>
      <c r="D29" s="241"/>
      <c r="E29" s="139" t="str">
        <f>IF(C29=FALSE,"不申請",IF($D$17=6,"初稿案",IF(OR(AND(D17=3,C21=TRUE),AND(D17=4,C27=TRUE),AND(D17=5,C28=TRUE),AND(D17=7,C31=TRUE)),"同語言轉換案",IF(OR(C21=TRUE,C27=TRUE,C28=TRUE),"同語言轉換案",IF(OR(AND(D17=1,OR(C17=TRUE,C18=TRUE)),AND(D17=2,OR(C19=TRUE,C20=TRUE))),"翻譯案","異常")))))</f>
        <v>同語言轉換案</v>
      </c>
      <c r="F29" s="3" t="s">
        <v>23</v>
      </c>
      <c r="G29" s="7">
        <f>IF($W$5=FALSE,0,IF(C29=FALSE,0,290+100))</f>
        <v>390</v>
      </c>
      <c r="H29" s="7">
        <f>IF($W$5=FALSE,0,IF(C29=FALSE,0,1100))</f>
        <v>1100</v>
      </c>
      <c r="I29" s="10">
        <f>IF($W$5=FALSE,0,IF(C29=FALSE,0,IF(B29="發明",IF($B$7&gt;40,50*($B$7-40)+40*10+30*10+20*10,IF($B$7&gt;30,40*($B$7-30)+30*10+20*10,IF($B$7&gt;20,30*($B$7-20)+20*10,IF($B$7&gt;10,20*($B$7-10),0)))))))</f>
        <v>0</v>
      </c>
      <c r="J29" s="7">
        <f>IF($W$5=FALSE,0,IF(C29=FALSE,0,100))</f>
        <v>100</v>
      </c>
      <c r="K29" s="7">
        <f>IF($U$5=FALSE,0,SUM(G29:J29))</f>
        <v>1590</v>
      </c>
      <c r="L29" s="23">
        <f>K29*$N$8</f>
        <v>13197.000000000002</v>
      </c>
      <c r="M29" s="3" t="s">
        <v>23</v>
      </c>
      <c r="N29" s="7">
        <f>IF($W$6=FALSE,0,IF(C29=FALSE,0,700+100))</f>
        <v>800</v>
      </c>
      <c r="O29" s="7"/>
      <c r="P29" s="7">
        <f>IF($W$6=FALSE,0,IF(C29=FALSE,0,1000))</f>
        <v>1000</v>
      </c>
      <c r="Q29" s="7">
        <f>IF($W$5=FALSE,0,IF(C29=FALSE,0,IF($B$7&lt;11,0,25*($B$7-10))))</f>
        <v>0</v>
      </c>
      <c r="R29" s="7"/>
      <c r="S29" s="7"/>
      <c r="T29" s="7">
        <f>IF($U$5=FALSE,0,SUM(N29:S29))</f>
        <v>1800</v>
      </c>
      <c r="U29" s="23">
        <f>T29*$N$8</f>
        <v>14940.000000000002</v>
      </c>
      <c r="V29" s="23">
        <f>L29+U29</f>
        <v>28137.000000000004</v>
      </c>
      <c r="W29" s="7">
        <f>IF($W$7=FALSE,0,IF(E29="不申請",0,IF(E29="初稿案",95000,IF(E29="翻譯案",60000,IF(E29="同語言轉換案",30000,999999)))))</f>
        <v>30000</v>
      </c>
      <c r="X29" s="7">
        <f>IF($W$7=FALSE,0,IF(E29="不申請",0,IF(E29="初稿案",IF($B$6&lt;5000,0,1000*(ROUNDDOWN($B$6/100,0)-50)),IF(E29="翻譯案",IF($B$6&lt;5000,0,1000*(ROUNDDOWN($B$6/100,0)-50)),IF(E29="同語言轉換案",0,0)))))</f>
        <v>0</v>
      </c>
      <c r="Y29" s="7">
        <f t="shared" ref="Y29:Y30" si="36">IF($W$7=FALSE,0,IF(E29="不申請",0,IF(E29="初稿案",IF($B$9&lt;11,0,1000*($B$9-10)),IF(E29="翻譯案",IF($B$9&lt;11,0,1000*($B$9-10)),IF(E29="同語言轉換案",0,0)))))</f>
        <v>0</v>
      </c>
      <c r="Z29" s="7"/>
      <c r="AA29" s="23">
        <f>IF($U$5=FALSE,0,SUM(W29:Z29))</f>
        <v>30000</v>
      </c>
      <c r="AB29" s="23">
        <f>V29+AA29</f>
        <v>58137</v>
      </c>
      <c r="AC29" s="200" t="str">
        <f>$A$29</f>
        <v>馬來西亞</v>
      </c>
      <c r="AD29" s="27">
        <f>L29</f>
        <v>13197.000000000002</v>
      </c>
      <c r="AE29" s="27">
        <f>U29</f>
        <v>14940.000000000002</v>
      </c>
      <c r="AF29" s="27">
        <f>AA29</f>
        <v>30000</v>
      </c>
      <c r="AG29" s="200">
        <v>6</v>
      </c>
      <c r="AH29" s="238">
        <f>IF($D$17=AG29,MAX(AA29,AA30),0)</f>
        <v>0</v>
      </c>
      <c r="AI29" s="200" t="str">
        <f>$A$29</f>
        <v>馬來西亞</v>
      </c>
      <c r="AJ29" s="11" t="str">
        <f>B29</f>
        <v>發明</v>
      </c>
      <c r="AK29" s="3" t="str">
        <f>F29</f>
        <v>MYR</v>
      </c>
      <c r="AL29" s="7">
        <f>IF($W$5=FALSE,0,IF(C29=FALSE,0,0))</f>
        <v>0</v>
      </c>
      <c r="AM29" s="7"/>
      <c r="AN29" s="7"/>
      <c r="AO29" s="7">
        <f>IF($U$6=FALSE,0,SUM(AL29:AN29))</f>
        <v>0</v>
      </c>
      <c r="AP29" s="22">
        <f>AO29*$N$8</f>
        <v>0</v>
      </c>
      <c r="AQ29" s="3" t="str">
        <f>M29</f>
        <v>MYR</v>
      </c>
      <c r="AR29" s="7">
        <f>IF($W$6=FALSE,0,IF(C29=FALSE,0,530))</f>
        <v>530</v>
      </c>
      <c r="AS29" s="7"/>
      <c r="AT29" s="7"/>
      <c r="AU29" s="7">
        <f>IF($U$6=FALSE,0,SUM(AR29:AT29))</f>
        <v>530</v>
      </c>
      <c r="AV29" s="22">
        <f>AU29*$N$8</f>
        <v>4399</v>
      </c>
      <c r="AW29" s="22">
        <f>AP29+AV29</f>
        <v>4399</v>
      </c>
      <c r="AX29" s="7">
        <f>IF($W$7=FALSE,0,IF(C29=FALSE,0,0))</f>
        <v>0</v>
      </c>
      <c r="AY29" s="22">
        <f>IF($U$6=FALSE,0,SUM(AX29:AX29))</f>
        <v>0</v>
      </c>
      <c r="AZ29" s="22">
        <f>AW29+AY29</f>
        <v>4399</v>
      </c>
      <c r="BA29" s="200" t="str">
        <f>$A$29</f>
        <v>馬來西亞</v>
      </c>
      <c r="BB29" s="27">
        <f>AP29</f>
        <v>0</v>
      </c>
      <c r="BC29" s="27">
        <f>AV29</f>
        <v>4399</v>
      </c>
      <c r="BD29" s="27">
        <f>AY29</f>
        <v>0</v>
      </c>
      <c r="BF29" s="3" t="s">
        <v>111</v>
      </c>
      <c r="BG29" s="27">
        <f>AB29</f>
        <v>58137</v>
      </c>
      <c r="BH29" s="27">
        <f t="shared" si="13"/>
        <v>66560</v>
      </c>
      <c r="BI29" s="27">
        <f>AZ29</f>
        <v>4399</v>
      </c>
      <c r="BJ29" s="90">
        <f t="shared" si="15"/>
        <v>337982.5</v>
      </c>
      <c r="BK29" s="91">
        <f>BG29+BH29</f>
        <v>124697</v>
      </c>
      <c r="BL29" s="94">
        <f>BG29+BI29</f>
        <v>62536</v>
      </c>
      <c r="BM29" s="94">
        <f>BG29+BH29+BI29</f>
        <v>129096</v>
      </c>
      <c r="BN29" s="91">
        <f>BI29+BJ29</f>
        <v>342381.5</v>
      </c>
      <c r="BO29" s="91">
        <f>BK29+BN29</f>
        <v>467078.5</v>
      </c>
      <c r="BQ29" s="27">
        <f>AB29</f>
        <v>58137</v>
      </c>
      <c r="BR29" s="27">
        <f>AZ29</f>
        <v>4399</v>
      </c>
      <c r="BT29" s="27">
        <f t="shared" ref="BT29:BV30" si="37">AD29</f>
        <v>13197.000000000002</v>
      </c>
      <c r="BU29" s="27">
        <f t="shared" si="37"/>
        <v>14940.000000000002</v>
      </c>
      <c r="BV29" s="27">
        <f t="shared" si="37"/>
        <v>30000</v>
      </c>
      <c r="BW29" s="27">
        <f>BH29+BI29+BJ29</f>
        <v>408941.5</v>
      </c>
    </row>
    <row r="30" spans="1:75" x14ac:dyDescent="0.25">
      <c r="A30" s="195"/>
      <c r="B30" s="96" t="s">
        <v>303</v>
      </c>
      <c r="C30" s="11" t="b">
        <v>0</v>
      </c>
      <c r="D30" s="241"/>
      <c r="E30" s="139" t="str">
        <f>IF(C30=FALSE,"不申請",IF(C29=TRUE,"同語言轉換案",IF($D$17=6,"初稿案",IF(OR(AND(D17=3,C21=TRUE),AND(D17=4,C27=TRUE),AND(D17=5,C28=TRUE),AND(D17=7,C31=TRUE)),"同語言轉換案",IF(OR(C21=TRUE,C27=TRUE,C28=TRUE),"同語言轉換案",IF(OR(AND(D17=1,OR(C17=TRUE,C18=TRUE)),AND(D17=2,OR(C19=TRUE,C20=TRUE))),"翻譯案","異常"))))))</f>
        <v>不申請</v>
      </c>
      <c r="F30" s="3" t="s">
        <v>23</v>
      </c>
      <c r="G30" s="7">
        <f>IF($W$5=FALSE,0,IF(C30=FALSE,0,140+100))</f>
        <v>0</v>
      </c>
      <c r="H30" s="7">
        <f>IF($W$5=FALSE,0,IF(C30=FALSE,0,1100))</f>
        <v>0</v>
      </c>
      <c r="I30" s="7">
        <f>IF($W$5=FALSE,0,IF(C30=FALSE,0,0))</f>
        <v>0</v>
      </c>
      <c r="J30" s="7">
        <f>IF($W$5=FALSE,0,IF(C30=FALSE,0,100))</f>
        <v>0</v>
      </c>
      <c r="K30" s="7">
        <f>IF($U$5=FALSE,0,SUM(G30:J30))</f>
        <v>0</v>
      </c>
      <c r="L30" s="23">
        <f>K30*$N$8</f>
        <v>0</v>
      </c>
      <c r="M30" s="3" t="s">
        <v>23</v>
      </c>
      <c r="N30" s="7">
        <f>IF($W$6=FALSE,0,IF(C30=FALSE,0,700+100))</f>
        <v>0</v>
      </c>
      <c r="O30" s="7"/>
      <c r="P30" s="7">
        <f>IF($W$6=FALSE,0,IF(C30=FALSE,0,1000))</f>
        <v>0</v>
      </c>
      <c r="Q30" s="7"/>
      <c r="R30" s="7"/>
      <c r="S30" s="7"/>
      <c r="T30" s="7">
        <f>IF($U$5=FALSE,0,SUM(N30:S30))</f>
        <v>0</v>
      </c>
      <c r="U30" s="23">
        <f>T30*$N$8</f>
        <v>0</v>
      </c>
      <c r="V30" s="23">
        <f>L30+U30</f>
        <v>0</v>
      </c>
      <c r="W30" s="7">
        <f>IF($W$7=FALSE,0,IF(E30="不申請",0,IF(E30="初稿案",95000,IF(E30="翻譯案",60000,IF(E30="同語言轉換案",30000,999999)))))</f>
        <v>0</v>
      </c>
      <c r="X30" s="7">
        <f>IF($W$7=FALSE,0,IF(E30="不申請",0,IF(E30="初稿案",IF($B$6&lt;5000,0,1000*(ROUNDDOWN($B$6/100,0)-50)),IF(E30="翻譯案",IF($B$6&lt;5000,0,1000*(ROUNDDOWN($B$6/100,0)-50)),IF(E30="同語言轉換案",0,0)))))</f>
        <v>0</v>
      </c>
      <c r="Y30" s="7">
        <f t="shared" si="36"/>
        <v>0</v>
      </c>
      <c r="Z30" s="7"/>
      <c r="AA30" s="23">
        <f>IF($U$5=FALSE,0,SUM(W30:Z30))</f>
        <v>0</v>
      </c>
      <c r="AB30" s="23">
        <f>V30+AA30</f>
        <v>0</v>
      </c>
      <c r="AC30" s="195"/>
      <c r="AD30" s="27">
        <f>L30</f>
        <v>0</v>
      </c>
      <c r="AE30" s="27">
        <f>U30</f>
        <v>0</v>
      </c>
      <c r="AF30" s="27">
        <f>AA30</f>
        <v>0</v>
      </c>
      <c r="AG30" s="195"/>
      <c r="AH30" s="239"/>
      <c r="AI30" s="195"/>
      <c r="AJ30" s="11" t="str">
        <f>B30</f>
        <v>新型</v>
      </c>
      <c r="AK30" s="3" t="str">
        <f>F30</f>
        <v>MYR</v>
      </c>
      <c r="AL30" s="7">
        <f>IF($W$5=FALSE,0,IF(C30=FALSE,0,0))</f>
        <v>0</v>
      </c>
      <c r="AM30" s="7"/>
      <c r="AN30" s="7"/>
      <c r="AO30" s="7">
        <f>IF($U$6=FALSE,0,SUM(AL30:AN30))</f>
        <v>0</v>
      </c>
      <c r="AP30" s="22">
        <f>AO30*$N$8</f>
        <v>0</v>
      </c>
      <c r="AQ30" s="3" t="str">
        <f>M30</f>
        <v>MYR</v>
      </c>
      <c r="AR30" s="7">
        <f>IF($W$6=FALSE,0,IF(C30=FALSE,0,530))</f>
        <v>0</v>
      </c>
      <c r="AS30" s="7"/>
      <c r="AT30" s="7"/>
      <c r="AU30" s="7">
        <f>IF($U$6=FALSE,0,SUM(AR30:AT30))</f>
        <v>0</v>
      </c>
      <c r="AV30" s="22">
        <f>AU30*$N$8</f>
        <v>0</v>
      </c>
      <c r="AW30" s="22">
        <f>AP30+AV30</f>
        <v>0</v>
      </c>
      <c r="AX30" s="7">
        <f>IF($W$7=FALSE,0,IF(C30=FALSE,0,0))</f>
        <v>0</v>
      </c>
      <c r="AY30" s="22">
        <f>IF($U$6=FALSE,0,SUM(AX30:AX30))</f>
        <v>0</v>
      </c>
      <c r="AZ30" s="22">
        <f>AW30+AY30</f>
        <v>0</v>
      </c>
      <c r="BA30" s="195"/>
      <c r="BB30" s="27">
        <f>AP30</f>
        <v>0</v>
      </c>
      <c r="BC30" s="27">
        <f>AV30</f>
        <v>0</v>
      </c>
      <c r="BD30" s="27">
        <f>AY30</f>
        <v>0</v>
      </c>
      <c r="BF30" s="3" t="s">
        <v>112</v>
      </c>
      <c r="BG30" s="27">
        <f>AB30</f>
        <v>0</v>
      </c>
      <c r="BH30" s="27">
        <f t="shared" si="13"/>
        <v>0</v>
      </c>
      <c r="BI30" s="27">
        <f>AZ30</f>
        <v>0</v>
      </c>
      <c r="BJ30" s="90">
        <f t="shared" si="15"/>
        <v>0</v>
      </c>
      <c r="BK30" s="91">
        <f>BG30+BH30</f>
        <v>0</v>
      </c>
      <c r="BL30" s="94">
        <f>BG30+BI30</f>
        <v>0</v>
      </c>
      <c r="BM30" s="94">
        <f>BG30+BH30+BI30</f>
        <v>0</v>
      </c>
      <c r="BN30" s="91">
        <f>BI30+BJ30</f>
        <v>0</v>
      </c>
      <c r="BO30" s="91">
        <f>BK30+BN30</f>
        <v>0</v>
      </c>
      <c r="BQ30" s="27">
        <f>AB30</f>
        <v>0</v>
      </c>
      <c r="BR30" s="27">
        <f>AZ30</f>
        <v>0</v>
      </c>
      <c r="BT30" s="27">
        <f t="shared" si="37"/>
        <v>0</v>
      </c>
      <c r="BU30" s="27">
        <f t="shared" si="37"/>
        <v>0</v>
      </c>
      <c r="BV30" s="27">
        <f t="shared" si="37"/>
        <v>0</v>
      </c>
      <c r="BW30" s="27">
        <f>BH30+BI30+BJ30</f>
        <v>0</v>
      </c>
    </row>
    <row r="31" spans="1:75" x14ac:dyDescent="0.25">
      <c r="A31" s="53" t="s">
        <v>146</v>
      </c>
      <c r="B31" s="96" t="s">
        <v>302</v>
      </c>
      <c r="C31" s="11" t="b">
        <v>0</v>
      </c>
      <c r="D31" s="241"/>
      <c r="E31" s="139" t="str">
        <f>IF(C31=FALSE,"不申請",IF($D$17=7,"初稿案",IF(OR(AND(D17=3,C21=TRUE),AND(D17=4,C27=TRUE),AND(D17=5,C28=TRUE),AND(D17=6,OR(C29=TRUE,C30=TRUE))),"同語言轉換案",IF(OR(C21=TRUE,C27=TRUE,C28=TRUE,C29=TRUE,C30=TRUE),"同語言轉換案",IF(OR(AND(D17=1,OR(C17=TRUE,C18=TRUE)),AND(D17=2,OR(C19=TRUE,C20=TRUE))),"翻譯案","異常")))))</f>
        <v>不申請</v>
      </c>
      <c r="F31" s="3" t="s">
        <v>16</v>
      </c>
      <c r="G31" s="7">
        <f>IF($W$5=FALSE,0,IF(C31=FALSE,0,97+22))</f>
        <v>0</v>
      </c>
      <c r="H31" s="7">
        <f>IF($W$5=FALSE,0,IF(C31=FALSE,0,95))</f>
        <v>0</v>
      </c>
      <c r="I31" s="7">
        <f>IF($W$5=FALSE,0,IF(C31=FALSE,0,IF($B$7&lt;6,0,9*($B$7-5))))</f>
        <v>0</v>
      </c>
      <c r="J31" s="7"/>
      <c r="K31" s="7">
        <f t="shared" si="0"/>
        <v>0</v>
      </c>
      <c r="L31" s="23">
        <f>K31*$L$5</f>
        <v>0</v>
      </c>
      <c r="M31" s="3" t="s">
        <v>16</v>
      </c>
      <c r="N31" s="7">
        <f>IF($W$6=FALSE,0,IF(C31=FALSE,0,300+100))</f>
        <v>0</v>
      </c>
      <c r="O31" s="7"/>
      <c r="P31" s="7">
        <f>IF($W$6=FALSE,0,IF(C31=FALSE,0,100))</f>
        <v>0</v>
      </c>
      <c r="Q31" s="7">
        <f>IF($W$6=FALSE,0,IF(C31=FALSE,0,IF($B$7&lt;6,0,10*($B$7-5))))</f>
        <v>0</v>
      </c>
      <c r="R31" s="7"/>
      <c r="S31" s="7">
        <f>IF($W$6=FALSE,0,IF(C31=FALSE,0,10*$B$9))</f>
        <v>0</v>
      </c>
      <c r="T31" s="7">
        <f t="shared" si="1"/>
        <v>0</v>
      </c>
      <c r="U31" s="23">
        <f>T31*$L$5</f>
        <v>0</v>
      </c>
      <c r="V31" s="23">
        <f>L31+U31</f>
        <v>0</v>
      </c>
      <c r="W31" s="7">
        <f>IF($W$7=FALSE,0,IF(E31="不申請",0,IF(E31="初稿案",95000,IF(E31="翻譯案",60000,IF(E31="同語言轉換案",30000,999999)))))</f>
        <v>0</v>
      </c>
      <c r="X31" s="7">
        <f>IF($W$7=FALSE,0,IF(E31="不申請",0,IF(E31="初稿案",IF($B$6&lt;5000,0,1000*(ROUNDDOWN($B$6/100,0)-50)),IF(E31="翻譯案",IF($B$6&lt;5000,0,1000*(ROUNDDOWN($B$6/100,0)-50)),IF(E31="同語言轉換案",0,0)))))</f>
        <v>0</v>
      </c>
      <c r="Y31" s="7">
        <f t="shared" si="35"/>
        <v>0</v>
      </c>
      <c r="Z31" s="7"/>
      <c r="AA31" s="23">
        <f t="shared" si="2"/>
        <v>0</v>
      </c>
      <c r="AB31" s="23">
        <f>V31+AA31</f>
        <v>0</v>
      </c>
      <c r="AC31" s="14" t="str">
        <f>$A$31</f>
        <v>菲律賓</v>
      </c>
      <c r="AD31" s="27">
        <f>L31</f>
        <v>0</v>
      </c>
      <c r="AE31" s="27">
        <f>U31</f>
        <v>0</v>
      </c>
      <c r="AF31" s="27">
        <f>AA31</f>
        <v>0</v>
      </c>
      <c r="AG31" s="14">
        <v>5</v>
      </c>
      <c r="AH31" s="138">
        <f>IF($D$17=AG31,AA31,0)</f>
        <v>0</v>
      </c>
      <c r="AI31" s="14" t="str">
        <f>$A$31</f>
        <v>菲律賓</v>
      </c>
      <c r="AJ31" s="11" t="str">
        <f t="shared" si="7"/>
        <v>發明</v>
      </c>
      <c r="AK31" s="3" t="str">
        <f>F31</f>
        <v>USD</v>
      </c>
      <c r="AL31" s="7">
        <f>IF($W$5=FALSE,0,IF(C31=FALSE,0,22+27))</f>
        <v>0</v>
      </c>
      <c r="AM31" s="7"/>
      <c r="AN31" s="7"/>
      <c r="AO31" s="7">
        <f t="shared" si="8"/>
        <v>0</v>
      </c>
      <c r="AP31" s="22">
        <f>AO31*$L$5</f>
        <v>0</v>
      </c>
      <c r="AQ31" s="3" t="str">
        <f>M31</f>
        <v>USD</v>
      </c>
      <c r="AR31" s="7">
        <f>IF($W$6=FALSE,0,IF(C31=FALSE,0,100+150))</f>
        <v>0</v>
      </c>
      <c r="AS31" s="7"/>
      <c r="AT31" s="7"/>
      <c r="AU31" s="7">
        <f t="shared" si="9"/>
        <v>0</v>
      </c>
      <c r="AV31" s="22">
        <f>AU31*$L$5</f>
        <v>0</v>
      </c>
      <c r="AW31" s="22">
        <f>AP31+AV31</f>
        <v>0</v>
      </c>
      <c r="AX31" s="7">
        <f t="shared" si="11"/>
        <v>0</v>
      </c>
      <c r="AY31" s="22">
        <f t="shared" si="27"/>
        <v>0</v>
      </c>
      <c r="AZ31" s="22">
        <f>AW31+AY31</f>
        <v>0</v>
      </c>
      <c r="BA31" s="14" t="str">
        <f>$A$31</f>
        <v>菲律賓</v>
      </c>
      <c r="BB31" s="27">
        <f>AP31</f>
        <v>0</v>
      </c>
      <c r="BC31" s="27">
        <f>AV31</f>
        <v>0</v>
      </c>
      <c r="BD31" s="27">
        <f>AY31</f>
        <v>0</v>
      </c>
      <c r="BF31" s="3" t="str">
        <f>A31</f>
        <v>菲律賓</v>
      </c>
      <c r="BG31" s="27">
        <f>AB31</f>
        <v>0</v>
      </c>
      <c r="BH31" s="27">
        <f t="shared" si="13"/>
        <v>0</v>
      </c>
      <c r="BI31" s="27">
        <f t="shared" si="14"/>
        <v>0</v>
      </c>
      <c r="BJ31" s="90">
        <f t="shared" si="15"/>
        <v>0</v>
      </c>
      <c r="BK31" s="91">
        <f t="shared" si="16"/>
        <v>0</v>
      </c>
      <c r="BL31" s="94">
        <f t="shared" si="32"/>
        <v>0</v>
      </c>
      <c r="BM31" s="94">
        <f t="shared" si="33"/>
        <v>0</v>
      </c>
      <c r="BN31" s="91">
        <f t="shared" si="34"/>
        <v>0</v>
      </c>
      <c r="BO31" s="91">
        <f t="shared" si="17"/>
        <v>0</v>
      </c>
      <c r="BQ31" s="27">
        <f t="shared" si="18"/>
        <v>0</v>
      </c>
      <c r="BR31" s="27">
        <f t="shared" si="19"/>
        <v>0</v>
      </c>
      <c r="BT31" s="27">
        <f t="shared" si="20"/>
        <v>0</v>
      </c>
      <c r="BU31" s="27">
        <f t="shared" si="21"/>
        <v>0</v>
      </c>
      <c r="BV31" s="27">
        <f t="shared" si="22"/>
        <v>0</v>
      </c>
      <c r="BW31" s="27">
        <f t="shared" si="23"/>
        <v>0</v>
      </c>
    </row>
    <row r="32" spans="1:75" x14ac:dyDescent="0.25">
      <c r="A32" s="194" t="s">
        <v>131</v>
      </c>
      <c r="B32" s="96" t="s">
        <v>302</v>
      </c>
      <c r="C32" s="11" t="b">
        <v>0</v>
      </c>
      <c r="D32" s="241"/>
      <c r="E32" s="139" t="str">
        <f>IF(C32=FALSE,"不申請",IF(OR(C21=TRUE,C22=TRUE,C28=TRUE,C31=TRUE,C29=TRUE,C30=TRUE,C27=TRUE),"翻譯案","異常"))</f>
        <v>不申請</v>
      </c>
      <c r="F32" s="3" t="s">
        <v>16</v>
      </c>
      <c r="G32" s="7">
        <f>IF($W$5=FALSE,0,IF(C32=FALSE,0,125))</f>
        <v>0</v>
      </c>
      <c r="H32" s="7">
        <f>IF($W$5=FALSE,0,IF(C32=FALSE,0,300))</f>
        <v>0</v>
      </c>
      <c r="I32" s="7">
        <f>IF($W$5=FALSE,0,IF(C32=FALSE,0,IF($B$7&lt;11,0,7.5*($B$7-10))))</f>
        <v>0</v>
      </c>
      <c r="J32" s="7"/>
      <c r="K32" s="7">
        <f>IF($U$5=FALSE,0,SUM(G32:J32))</f>
        <v>0</v>
      </c>
      <c r="L32" s="23">
        <f>K32*$L$5</f>
        <v>0</v>
      </c>
      <c r="M32" s="3" t="s">
        <v>16</v>
      </c>
      <c r="N32" s="7">
        <f>IF($W$6=FALSE,0,IF(C32=FALSE,0,800))</f>
        <v>0</v>
      </c>
      <c r="O32" s="10">
        <f>IF($W$6=FALSE,0,IF(C32=FALSE,0,IF(OR(C21=TRUE,C22=TRUE,C28=TRUE,C31=TRUE,C29=TRUE,C30=TRUE,C27=TRUE),$B$6/100*30,"欠缺英文案")))</f>
        <v>0</v>
      </c>
      <c r="P32" s="7">
        <f>IF($W$6=FALSE,0,IF(C32=FALSE,0,500))</f>
        <v>0</v>
      </c>
      <c r="Q32" s="7"/>
      <c r="R32" s="7"/>
      <c r="S32" s="7">
        <f>IF($W$6=FALSE,0,IF(C32=FALSE,0,30*$B$9))</f>
        <v>0</v>
      </c>
      <c r="T32" s="7">
        <f>IF($U$5=FALSE,0,SUM(N32:S32))</f>
        <v>0</v>
      </c>
      <c r="U32" s="23">
        <f>T32*$L$5</f>
        <v>0</v>
      </c>
      <c r="V32" s="23">
        <f>L32+U32</f>
        <v>0</v>
      </c>
      <c r="W32" s="10">
        <f t="shared" ref="W32:W33" si="38">IF($W$7=FALSE,0,IF(E32="不申請",0,IF(E32="初稿案",30000,IF(E32="翻譯案",30000,IF(E32="同語言轉換案",30000,999999)))))</f>
        <v>0</v>
      </c>
      <c r="X32" s="10"/>
      <c r="Y32" s="10"/>
      <c r="Z32" s="7"/>
      <c r="AA32" s="23">
        <f>IF($U$5=FALSE,0,SUM(W32:Z32))</f>
        <v>0</v>
      </c>
      <c r="AB32" s="23">
        <f>V32+AA32</f>
        <v>0</v>
      </c>
      <c r="AC32" s="200" t="str">
        <f>$A$32</f>
        <v>印尼</v>
      </c>
      <c r="AD32" s="27">
        <f>L32</f>
        <v>0</v>
      </c>
      <c r="AE32" s="27">
        <f>U32</f>
        <v>0</v>
      </c>
      <c r="AF32" s="27">
        <f>AA32</f>
        <v>0</v>
      </c>
      <c r="AG32" s="200"/>
      <c r="AH32" s="238"/>
      <c r="AI32" s="200" t="str">
        <f>$A$32</f>
        <v>印尼</v>
      </c>
      <c r="AJ32" s="11" t="str">
        <f>B32</f>
        <v>發明</v>
      </c>
      <c r="AK32" s="3" t="s">
        <v>16</v>
      </c>
      <c r="AL32" s="7">
        <f>IF($W$5=FALSE,0,IF(C32=FALSE,0,100))</f>
        <v>0</v>
      </c>
      <c r="AM32" s="7">
        <f>IF($W$5=FALSE,0,IF(C32=FALSE,0,7.5*$B$7))</f>
        <v>0</v>
      </c>
      <c r="AN32" s="7"/>
      <c r="AO32" s="7">
        <f>IF($U$6=FALSE,0,SUM(AL32:AN32))</f>
        <v>0</v>
      </c>
      <c r="AP32" s="22">
        <f>AO32*$L$5</f>
        <v>0</v>
      </c>
      <c r="AQ32" s="3" t="s">
        <v>16</v>
      </c>
      <c r="AR32" s="7">
        <f>IF($W$6=FALSE,0,IF(C32=FALSE,0,300+170))</f>
        <v>0</v>
      </c>
      <c r="AS32" s="7"/>
      <c r="AT32" s="7"/>
      <c r="AU32" s="7">
        <f>IF($U$6=FALSE,0,SUM(AR32:AT32))</f>
        <v>0</v>
      </c>
      <c r="AV32" s="22">
        <f>AU32*$L$5</f>
        <v>0</v>
      </c>
      <c r="AW32" s="22">
        <f>AP32+AV32</f>
        <v>0</v>
      </c>
      <c r="AX32" s="7">
        <f>IF($W$7=FALSE,0,IF(C32=FALSE,0,0))</f>
        <v>0</v>
      </c>
      <c r="AY32" s="22">
        <f>IF($U$6=FALSE,0,SUM(AX32:AX32))</f>
        <v>0</v>
      </c>
      <c r="AZ32" s="22">
        <f>AW32+AY32</f>
        <v>0</v>
      </c>
      <c r="BA32" s="200" t="str">
        <f>$A$32</f>
        <v>印尼</v>
      </c>
      <c r="BB32" s="27">
        <f>AP32</f>
        <v>0</v>
      </c>
      <c r="BC32" s="27">
        <f>AV32</f>
        <v>0</v>
      </c>
      <c r="BD32" s="27">
        <f>AY32</f>
        <v>0</v>
      </c>
      <c r="BF32" s="3" t="s">
        <v>132</v>
      </c>
      <c r="BG32" s="27">
        <f>AB32</f>
        <v>0</v>
      </c>
      <c r="BH32" s="27">
        <f t="shared" si="13"/>
        <v>0</v>
      </c>
      <c r="BI32" s="27">
        <f>AZ32</f>
        <v>0</v>
      </c>
      <c r="BJ32" s="90">
        <f t="shared" si="15"/>
        <v>0</v>
      </c>
      <c r="BK32" s="91">
        <f>BG32+BH32</f>
        <v>0</v>
      </c>
      <c r="BL32" s="94">
        <f>BG32+BI32</f>
        <v>0</v>
      </c>
      <c r="BM32" s="94">
        <f>BG32+BH32+BI32</f>
        <v>0</v>
      </c>
      <c r="BN32" s="91">
        <f>BI32+BJ32</f>
        <v>0</v>
      </c>
      <c r="BO32" s="91">
        <f>BK32+BN32</f>
        <v>0</v>
      </c>
      <c r="BQ32" s="27">
        <f>AB32</f>
        <v>0</v>
      </c>
      <c r="BR32" s="27">
        <f>AZ32</f>
        <v>0</v>
      </c>
      <c r="BT32" s="27">
        <f t="shared" ref="BT32:BV33" si="39">AD32</f>
        <v>0</v>
      </c>
      <c r="BU32" s="27">
        <f t="shared" si="39"/>
        <v>0</v>
      </c>
      <c r="BV32" s="27">
        <f t="shared" si="39"/>
        <v>0</v>
      </c>
      <c r="BW32" s="27">
        <f>BH32+BI32+BJ32</f>
        <v>0</v>
      </c>
    </row>
    <row r="33" spans="1:82" x14ac:dyDescent="0.25">
      <c r="A33" s="195"/>
      <c r="B33" s="96" t="s">
        <v>303</v>
      </c>
      <c r="C33" s="11" t="b">
        <v>0</v>
      </c>
      <c r="D33" s="241"/>
      <c r="E33" s="139" t="str">
        <f>IF(C33=FALSE,"不申請",IF(OR(C21=TRUE,C22=TRUE,C28=TRUE,C31=TRUE,C29=TRUE,C30=TRUE,C27=TRUE),"翻譯案","異常"))</f>
        <v>不申請</v>
      </c>
      <c r="F33" s="3" t="s">
        <v>16</v>
      </c>
      <c r="G33" s="7">
        <f>IF($W$5=FALSE,0,IF(C33=FALSE,0,80))</f>
        <v>0</v>
      </c>
      <c r="H33" s="7">
        <f>IF($W$5=FALSE,0,IF(C33=FALSE,0,50))</f>
        <v>0</v>
      </c>
      <c r="I33" s="7">
        <f>IF($W$5=FALSE,0,IF(C33=FALSE,0,IF($B$7&lt;11,0,7.5*($B$7-10))))</f>
        <v>0</v>
      </c>
      <c r="J33" s="7"/>
      <c r="K33" s="7">
        <f>IF($U$5=FALSE,0,SUM(G33:J33))</f>
        <v>0</v>
      </c>
      <c r="L33" s="23">
        <f>K33*$L$5</f>
        <v>0</v>
      </c>
      <c r="M33" s="3" t="s">
        <v>16</v>
      </c>
      <c r="N33" s="7">
        <f>IF($W$6=FALSE,0,IF(C33=FALSE,0,650))</f>
        <v>0</v>
      </c>
      <c r="O33" s="10">
        <f>IF($W$6=FALSE,0,IF(C33=FALSE,0,IF(OR(C21=TRUE,C22=TRUE,C28=TRUE,C31=TRUE,C29=TRUE,C30=TRUE,C27=TRUE),$B$6/100*30,"欠缺英文案")))</f>
        <v>0</v>
      </c>
      <c r="P33" s="7">
        <f>IF($W$6=FALSE,0,IF(C33=FALSE,0,500))</f>
        <v>0</v>
      </c>
      <c r="Q33" s="7"/>
      <c r="R33" s="7"/>
      <c r="S33" s="7">
        <f>IF($W$6=FALSE,0,IF(C33=FALSE,0,30*$B$9))</f>
        <v>0</v>
      </c>
      <c r="T33" s="7">
        <f>IF($U$5=FALSE,0,SUM(N33:S33))</f>
        <v>0</v>
      </c>
      <c r="U33" s="23">
        <f>T33*$L$5</f>
        <v>0</v>
      </c>
      <c r="V33" s="23">
        <f>L33+U33</f>
        <v>0</v>
      </c>
      <c r="W33" s="10">
        <f t="shared" si="38"/>
        <v>0</v>
      </c>
      <c r="X33" s="10"/>
      <c r="Y33" s="10"/>
      <c r="Z33" s="7"/>
      <c r="AA33" s="23">
        <f>IF($U$5=FALSE,0,SUM(W33:Z33))</f>
        <v>0</v>
      </c>
      <c r="AB33" s="23">
        <f>V33+AA33</f>
        <v>0</v>
      </c>
      <c r="AC33" s="195"/>
      <c r="AD33" s="27">
        <f>L33</f>
        <v>0</v>
      </c>
      <c r="AE33" s="27">
        <f>U33</f>
        <v>0</v>
      </c>
      <c r="AF33" s="27">
        <f>AA33</f>
        <v>0</v>
      </c>
      <c r="AG33" s="195"/>
      <c r="AH33" s="239"/>
      <c r="AI33" s="195"/>
      <c r="AJ33" s="11" t="str">
        <f>B33</f>
        <v>新型</v>
      </c>
      <c r="AK33" s="3" t="s">
        <v>16</v>
      </c>
      <c r="AL33" s="7">
        <f>IF($W$5=FALSE,0,IF(C33=FALSE,0,75))</f>
        <v>0</v>
      </c>
      <c r="AM33" s="7">
        <f>IF($W$5=FALSE,0,IF(C33=FALSE,0,5*$B$7))</f>
        <v>0</v>
      </c>
      <c r="AN33" s="7"/>
      <c r="AO33" s="7">
        <f>IF($U$6=FALSE,0,SUM(AL33:AN33))</f>
        <v>0</v>
      </c>
      <c r="AP33" s="22">
        <f>AO33*$L$5</f>
        <v>0</v>
      </c>
      <c r="AQ33" s="3" t="s">
        <v>16</v>
      </c>
      <c r="AR33" s="7">
        <f>IF($W$6=FALSE,0,IF(C33=FALSE,0,300+150))</f>
        <v>0</v>
      </c>
      <c r="AS33" s="7"/>
      <c r="AT33" s="7"/>
      <c r="AU33" s="7">
        <f>IF($U$6=FALSE,0,SUM(AR33:AT33))</f>
        <v>0</v>
      </c>
      <c r="AV33" s="22">
        <f>AU33*$L$5</f>
        <v>0</v>
      </c>
      <c r="AW33" s="22">
        <f>AP33+AV33</f>
        <v>0</v>
      </c>
      <c r="AX33" s="7">
        <f>IF($W$7=FALSE,0,IF(C33=FALSE,0,0))</f>
        <v>0</v>
      </c>
      <c r="AY33" s="22">
        <f>IF($U$6=FALSE,0,SUM(AX33:AX33))</f>
        <v>0</v>
      </c>
      <c r="AZ33" s="22">
        <f>AW33+AY33</f>
        <v>0</v>
      </c>
      <c r="BA33" s="195"/>
      <c r="BB33" s="27">
        <f>AP33</f>
        <v>0</v>
      </c>
      <c r="BC33" s="27">
        <f>AV33</f>
        <v>0</v>
      </c>
      <c r="BD33" s="27">
        <f>AY33</f>
        <v>0</v>
      </c>
      <c r="BF33" s="3" t="s">
        <v>133</v>
      </c>
      <c r="BG33" s="27">
        <f>AB33</f>
        <v>0</v>
      </c>
      <c r="BH33" s="27">
        <f t="shared" si="13"/>
        <v>0</v>
      </c>
      <c r="BI33" s="27">
        <f>AZ33</f>
        <v>0</v>
      </c>
      <c r="BJ33" s="90">
        <f t="shared" si="15"/>
        <v>0</v>
      </c>
      <c r="BK33" s="91">
        <f>BG33+BH33</f>
        <v>0</v>
      </c>
      <c r="BL33" s="94">
        <f>BG33+BI33</f>
        <v>0</v>
      </c>
      <c r="BM33" s="94">
        <f>BG33+BH33+BI33</f>
        <v>0</v>
      </c>
      <c r="BN33" s="91">
        <f>BI33+BJ33</f>
        <v>0</v>
      </c>
      <c r="BO33" s="91">
        <f>BK33+BN33</f>
        <v>0</v>
      </c>
      <c r="BQ33" s="27">
        <f>AB33</f>
        <v>0</v>
      </c>
      <c r="BR33" s="27">
        <f>AZ33</f>
        <v>0</v>
      </c>
      <c r="BT33" s="27">
        <f t="shared" si="39"/>
        <v>0</v>
      </c>
      <c r="BU33" s="27">
        <f t="shared" si="39"/>
        <v>0</v>
      </c>
      <c r="BV33" s="27">
        <f t="shared" si="39"/>
        <v>0</v>
      </c>
      <c r="BW33" s="27">
        <f>BH33+BI33+BJ33</f>
        <v>0</v>
      </c>
    </row>
    <row r="34" spans="1:82" x14ac:dyDescent="0.25">
      <c r="A34" s="194" t="s">
        <v>9</v>
      </c>
      <c r="B34" s="96" t="s">
        <v>302</v>
      </c>
      <c r="C34" s="11" t="b">
        <v>0</v>
      </c>
      <c r="D34" s="241"/>
      <c r="E34" s="139" t="str">
        <f>IF(C34=FALSE,"不申請",IF(OR(C21=TRUE,C22=TRUE,C28=TRUE,C31=TRUE,C29=TRUE,C30=TRUE,C27=TRUE),"翻譯案","異常"))</f>
        <v>不申請</v>
      </c>
      <c r="F34" s="3" t="s">
        <v>21</v>
      </c>
      <c r="G34" s="7">
        <f>IF($W$5=FALSE,0,IF(C34=FALSE,0,150000+120000+60000*($B$9-1)))</f>
        <v>0</v>
      </c>
      <c r="H34" s="7">
        <f>IF($W$5=FALSE,0,IF(C34=FALSE,0,180000+1320000))</f>
        <v>0</v>
      </c>
      <c r="I34" s="7"/>
      <c r="J34" s="7">
        <f>IF($W$5=FALSE,0,IF(C34=FALSE,0,IF($B$8&lt;2,0,(180000+1320000)*($B$8-1))))</f>
        <v>0</v>
      </c>
      <c r="K34" s="7">
        <f t="shared" si="0"/>
        <v>0</v>
      </c>
      <c r="L34" s="23">
        <f>K34*$N$7</f>
        <v>0</v>
      </c>
      <c r="M34" s="3" t="s">
        <v>16</v>
      </c>
      <c r="N34" s="7">
        <f>IF($W$6=FALSE,0,IF(C34=FALSE,0,125+40+10*($B$9-1)))</f>
        <v>0</v>
      </c>
      <c r="O34" s="10">
        <f>IF($W$6=FALSE,0,IF(C34=FALSE,0,IF(OR(C21=TRUE,C22=TRUE,C28=TRUE,C31=TRUE,C29=TRUE,C30=TRUE,C27=TRUE),$B$6/100*12,"欠缺英文案")))</f>
        <v>0</v>
      </c>
      <c r="P34" s="7">
        <f>IF($W$6=FALSE,0,IF(C34=FALSE,0,140+95))</f>
        <v>0</v>
      </c>
      <c r="Q34" s="7"/>
      <c r="R34" s="7">
        <f>IF($W$6=FALSE,0,IF(C34=FALSE,0,IF($B$8&lt;2,0,(68+55)*($B$8-1))))</f>
        <v>0</v>
      </c>
      <c r="S34" s="7"/>
      <c r="T34" s="7">
        <f t="shared" si="1"/>
        <v>0</v>
      </c>
      <c r="U34" s="23">
        <f>T34*$L$5</f>
        <v>0</v>
      </c>
      <c r="V34" s="23">
        <f t="shared" si="24"/>
        <v>0</v>
      </c>
      <c r="W34" s="10">
        <f t="shared" ref="W34:W37" si="40">IF($W$7=FALSE,0,IF(E34="不申請",0,IF(E34="初稿案",30000,IF(E34="翻譯案",30000,IF(E34="同語言轉換案",30000,999999)))))</f>
        <v>0</v>
      </c>
      <c r="X34" s="10"/>
      <c r="Y34" s="10"/>
      <c r="Z34" s="7"/>
      <c r="AA34" s="23">
        <f t="shared" si="2"/>
        <v>0</v>
      </c>
      <c r="AB34" s="23">
        <f t="shared" si="3"/>
        <v>0</v>
      </c>
      <c r="AC34" s="200" t="str">
        <f>$A$34</f>
        <v>越南</v>
      </c>
      <c r="AD34" s="27">
        <f t="shared" si="4"/>
        <v>0</v>
      </c>
      <c r="AE34" s="27">
        <f t="shared" si="5"/>
        <v>0</v>
      </c>
      <c r="AF34" s="27">
        <f t="shared" si="6"/>
        <v>0</v>
      </c>
      <c r="AG34" s="200"/>
      <c r="AH34" s="238"/>
      <c r="AI34" s="200" t="str">
        <f>$A$34</f>
        <v>越南</v>
      </c>
      <c r="AJ34" s="11" t="str">
        <f t="shared" si="7"/>
        <v>發明</v>
      </c>
      <c r="AK34" s="3" t="str">
        <f t="shared" si="25"/>
        <v>VND</v>
      </c>
      <c r="AL34" s="7">
        <f>IF($W$5=FALSE,0,IF(C34=FALSE,0,240000+120000+800000+60000*($B$9-1)))</f>
        <v>0</v>
      </c>
      <c r="AM34" s="7"/>
      <c r="AN34" s="7">
        <f>IF($W$5=FALSE,0,IF(C34=FALSE,0,IF($B$8&lt;2,0,($B$8-1)*(100000+400000))))</f>
        <v>0</v>
      </c>
      <c r="AO34" s="7">
        <f t="shared" si="8"/>
        <v>0</v>
      </c>
      <c r="AP34" s="22">
        <f>AO34*$N$7</f>
        <v>0</v>
      </c>
      <c r="AQ34" s="3" t="str">
        <f t="shared" si="26"/>
        <v>USD</v>
      </c>
      <c r="AR34" s="7">
        <f>IF($W$6=FALSE,0,IF(C34=FALSE,0,160+40+65+10*($B$9-1)))</f>
        <v>0</v>
      </c>
      <c r="AS34" s="7"/>
      <c r="AT34" s="7">
        <f>IF($W$6=FALSE,0,IF(C34=FALSE,0,IF($B$8&lt;2,0,($B$8-1)*(18+11))))</f>
        <v>0</v>
      </c>
      <c r="AU34" s="7">
        <f t="shared" si="9"/>
        <v>0</v>
      </c>
      <c r="AV34" s="22">
        <f>AU34*$L$5</f>
        <v>0</v>
      </c>
      <c r="AW34" s="22">
        <f t="shared" si="10"/>
        <v>0</v>
      </c>
      <c r="AX34" s="7">
        <f t="shared" si="11"/>
        <v>0</v>
      </c>
      <c r="AY34" s="22">
        <f t="shared" si="27"/>
        <v>0</v>
      </c>
      <c r="AZ34" s="22">
        <f t="shared" si="12"/>
        <v>0</v>
      </c>
      <c r="BA34" s="200" t="str">
        <f>$A$34</f>
        <v>越南</v>
      </c>
      <c r="BB34" s="27">
        <f t="shared" si="28"/>
        <v>0</v>
      </c>
      <c r="BC34" s="27">
        <f t="shared" si="29"/>
        <v>0</v>
      </c>
      <c r="BD34" s="27">
        <f t="shared" si="30"/>
        <v>0</v>
      </c>
      <c r="BF34" s="3" t="s">
        <v>107</v>
      </c>
      <c r="BG34" s="27">
        <f t="shared" si="31"/>
        <v>0</v>
      </c>
      <c r="BH34" s="27">
        <f t="shared" si="13"/>
        <v>0</v>
      </c>
      <c r="BI34" s="27">
        <f t="shared" si="14"/>
        <v>0</v>
      </c>
      <c r="BJ34" s="90">
        <f t="shared" si="15"/>
        <v>0</v>
      </c>
      <c r="BK34" s="91">
        <f t="shared" si="16"/>
        <v>0</v>
      </c>
      <c r="BL34" s="94">
        <f t="shared" si="32"/>
        <v>0</v>
      </c>
      <c r="BM34" s="94">
        <f t="shared" si="33"/>
        <v>0</v>
      </c>
      <c r="BN34" s="91">
        <f t="shared" si="34"/>
        <v>0</v>
      </c>
      <c r="BO34" s="91">
        <f t="shared" si="17"/>
        <v>0</v>
      </c>
      <c r="BQ34" s="27">
        <f t="shared" si="18"/>
        <v>0</v>
      </c>
      <c r="BR34" s="27">
        <f t="shared" si="19"/>
        <v>0</v>
      </c>
      <c r="BT34" s="27">
        <f t="shared" si="20"/>
        <v>0</v>
      </c>
      <c r="BU34" s="27">
        <f t="shared" si="21"/>
        <v>0</v>
      </c>
      <c r="BV34" s="27">
        <f t="shared" si="22"/>
        <v>0</v>
      </c>
      <c r="BW34" s="27">
        <f t="shared" si="23"/>
        <v>0</v>
      </c>
    </row>
    <row r="35" spans="1:82" x14ac:dyDescent="0.25">
      <c r="A35" s="195"/>
      <c r="B35" s="96" t="s">
        <v>303</v>
      </c>
      <c r="C35" s="11" t="b">
        <v>0</v>
      </c>
      <c r="D35" s="241"/>
      <c r="E35" s="139" t="str">
        <f>IF(C35=FALSE,"不申請",IF(OR(C21=TRUE,C22=TRUE,C28=TRUE,C31=TRUE,C29=TRUE,C30=TRUE,C27=TRUE),"翻譯案","異常"))</f>
        <v>不申請</v>
      </c>
      <c r="F35" s="3" t="s">
        <v>21</v>
      </c>
      <c r="G35" s="7">
        <f>IF($W$5=FALSE,0,IF(C35=FALSE,0,150000+120000+60000*($B$9-1)))</f>
        <v>0</v>
      </c>
      <c r="H35" s="7">
        <f>IF($W$5=FALSE,0,IF(C35=FALSE,0,180000+1320000))</f>
        <v>0</v>
      </c>
      <c r="I35" s="7"/>
      <c r="J35" s="7">
        <f>IF($W$5=FALSE,0,IF(C35=FALSE,0,IF($B$8&lt;2,0,(180000+1320000)*($B$8-1))))</f>
        <v>0</v>
      </c>
      <c r="K35" s="7">
        <f t="shared" si="0"/>
        <v>0</v>
      </c>
      <c r="L35" s="23">
        <f>K35*$N$7</f>
        <v>0</v>
      </c>
      <c r="M35" s="3" t="s">
        <v>16</v>
      </c>
      <c r="N35" s="7">
        <f>IF($W$6=FALSE,0,IF(C35=FALSE,0,125+40+10*($B$9-1)))</f>
        <v>0</v>
      </c>
      <c r="O35" s="10">
        <f>IF($W$6=FALSE,0,IF(C35=FALSE,0,IF(OR(C21=TRUE,C22=TRUE,C28=TRUE,C31=TRUE,C29=TRUE,C30=TRUE,C27=TRUE),$B$6/100*12,"欠缺英文案")))</f>
        <v>0</v>
      </c>
      <c r="P35" s="7">
        <f>IF($W$6=FALSE,0,IF(C35=FALSE,0,140+95))</f>
        <v>0</v>
      </c>
      <c r="Q35" s="7"/>
      <c r="R35" s="7">
        <f>IF($W$6=FALSE,0,IF(C35=FALSE,0,IF($B$8&lt;2,0,(68+55)*($B$8-1))))</f>
        <v>0</v>
      </c>
      <c r="S35" s="7"/>
      <c r="T35" s="7">
        <f t="shared" si="1"/>
        <v>0</v>
      </c>
      <c r="U35" s="23">
        <f>T35*$L$5</f>
        <v>0</v>
      </c>
      <c r="V35" s="23">
        <f t="shared" si="24"/>
        <v>0</v>
      </c>
      <c r="W35" s="10">
        <f t="shared" si="40"/>
        <v>0</v>
      </c>
      <c r="X35" s="10"/>
      <c r="Y35" s="10"/>
      <c r="Z35" s="7"/>
      <c r="AA35" s="23">
        <f t="shared" si="2"/>
        <v>0</v>
      </c>
      <c r="AB35" s="23">
        <f t="shared" si="3"/>
        <v>0</v>
      </c>
      <c r="AC35" s="195"/>
      <c r="AD35" s="27">
        <f t="shared" si="4"/>
        <v>0</v>
      </c>
      <c r="AE35" s="27">
        <f t="shared" si="5"/>
        <v>0</v>
      </c>
      <c r="AF35" s="27">
        <f t="shared" si="6"/>
        <v>0</v>
      </c>
      <c r="AG35" s="195"/>
      <c r="AH35" s="239"/>
      <c r="AI35" s="195"/>
      <c r="AJ35" s="11" t="str">
        <f t="shared" si="7"/>
        <v>新型</v>
      </c>
      <c r="AK35" s="3" t="str">
        <f t="shared" si="25"/>
        <v>VND</v>
      </c>
      <c r="AL35" s="7">
        <f>IF($W$5=FALSE,0,IF(C35=FALSE,0,240000+120000+800000+60000*($B$9-1)))</f>
        <v>0</v>
      </c>
      <c r="AM35" s="7"/>
      <c r="AN35" s="7">
        <f>IF($W$5=FALSE,0,IF(C35=FALSE,0,IF($B$8&lt;2,0,($B$8-1)*(100000+400000))))</f>
        <v>0</v>
      </c>
      <c r="AO35" s="7">
        <f t="shared" si="8"/>
        <v>0</v>
      </c>
      <c r="AP35" s="22">
        <f>AO35*$N$7</f>
        <v>0</v>
      </c>
      <c r="AQ35" s="3" t="str">
        <f t="shared" si="26"/>
        <v>USD</v>
      </c>
      <c r="AR35" s="7">
        <f>IF($W$6=FALSE,0,IF(C35=FALSE,0,160+40+65+10*($B$9-1)))</f>
        <v>0</v>
      </c>
      <c r="AS35" s="7"/>
      <c r="AT35" s="7">
        <f>IF($W$6=FALSE,0,IF(C35=FALSE,0,IF($B$8&lt;2,0,($B$8-1)*(18+11))))</f>
        <v>0</v>
      </c>
      <c r="AU35" s="7">
        <f t="shared" si="9"/>
        <v>0</v>
      </c>
      <c r="AV35" s="22">
        <f>AU35*$L$5</f>
        <v>0</v>
      </c>
      <c r="AW35" s="22">
        <f t="shared" si="10"/>
        <v>0</v>
      </c>
      <c r="AX35" s="7">
        <f t="shared" si="11"/>
        <v>0</v>
      </c>
      <c r="AY35" s="22">
        <f t="shared" si="27"/>
        <v>0</v>
      </c>
      <c r="AZ35" s="22">
        <f t="shared" si="12"/>
        <v>0</v>
      </c>
      <c r="BA35" s="195"/>
      <c r="BB35" s="27">
        <f t="shared" si="28"/>
        <v>0</v>
      </c>
      <c r="BC35" s="27">
        <f t="shared" si="29"/>
        <v>0</v>
      </c>
      <c r="BD35" s="27">
        <f t="shared" si="30"/>
        <v>0</v>
      </c>
      <c r="BF35" s="3" t="s">
        <v>108</v>
      </c>
      <c r="BG35" s="27">
        <f t="shared" si="31"/>
        <v>0</v>
      </c>
      <c r="BH35" s="27">
        <f t="shared" si="13"/>
        <v>0</v>
      </c>
      <c r="BI35" s="27">
        <f t="shared" si="14"/>
        <v>0</v>
      </c>
      <c r="BJ35" s="90">
        <f t="shared" si="15"/>
        <v>0</v>
      </c>
      <c r="BK35" s="91">
        <f t="shared" si="16"/>
        <v>0</v>
      </c>
      <c r="BL35" s="94">
        <f t="shared" si="32"/>
        <v>0</v>
      </c>
      <c r="BM35" s="94">
        <f t="shared" si="33"/>
        <v>0</v>
      </c>
      <c r="BN35" s="91">
        <f t="shared" si="34"/>
        <v>0</v>
      </c>
      <c r="BO35" s="91">
        <f t="shared" si="17"/>
        <v>0</v>
      </c>
      <c r="BQ35" s="27">
        <f t="shared" si="18"/>
        <v>0</v>
      </c>
      <c r="BR35" s="27">
        <f t="shared" si="19"/>
        <v>0</v>
      </c>
      <c r="BT35" s="27">
        <f t="shared" si="20"/>
        <v>0</v>
      </c>
      <c r="BU35" s="27">
        <f t="shared" si="21"/>
        <v>0</v>
      </c>
      <c r="BV35" s="27">
        <f t="shared" si="22"/>
        <v>0</v>
      </c>
      <c r="BW35" s="27">
        <f t="shared" si="23"/>
        <v>0</v>
      </c>
    </row>
    <row r="36" spans="1:82" x14ac:dyDescent="0.25">
      <c r="A36" s="194" t="s">
        <v>10</v>
      </c>
      <c r="B36" s="96" t="s">
        <v>302</v>
      </c>
      <c r="C36" s="11" t="b">
        <v>0</v>
      </c>
      <c r="D36" s="241"/>
      <c r="E36" s="139" t="str">
        <f>IF(C36=FALSE,"不申請",IF(OR(C21=TRUE,C22=TRUE,C28=TRUE,C31=TRUE,C29=TRUE,C30=TRUE,C27=TRUE),"翻譯案","異常"))</f>
        <v>不申請</v>
      </c>
      <c r="F36" s="3" t="s">
        <v>22</v>
      </c>
      <c r="G36" s="7">
        <f>IF($W$5=FALSE,0,IF(C36=FALSE,0,500))</f>
        <v>0</v>
      </c>
      <c r="H36" s="7">
        <f>IF($W$5=FALSE,0,IF(C36=FALSE,0,250+20000+50))</f>
        <v>0</v>
      </c>
      <c r="I36" s="7"/>
      <c r="J36" s="7"/>
      <c r="K36" s="7">
        <f t="shared" si="0"/>
        <v>0</v>
      </c>
      <c r="L36" s="23">
        <f>K36*$L$9</f>
        <v>0</v>
      </c>
      <c r="M36" s="3" t="s">
        <v>22</v>
      </c>
      <c r="N36" s="7">
        <f>IF($W$6=FALSE,0,IF(C36=FALSE,0,18000))</f>
        <v>0</v>
      </c>
      <c r="O36" s="10">
        <f>IF($W$6=FALSE,0,IF(C36=FALSE,0,IF(OR(C21=TRUE,C22=TRUE,C28=TRUE,C31=TRUE,C29=TRUE,C30=TRUE,C27=TRUE),$B$6/12*70,"欠缺英文案")))</f>
        <v>0</v>
      </c>
      <c r="P36" s="7">
        <f>IF($W$6=FALSE,0,IF(C36=FALSE,0,2800+4800+3600))</f>
        <v>0</v>
      </c>
      <c r="Q36" s="7"/>
      <c r="R36" s="7"/>
      <c r="S36" s="7">
        <f>IF($W$6=FALSE,0,IF(C36=FALSE,0,4000))</f>
        <v>0</v>
      </c>
      <c r="T36" s="7">
        <f t="shared" si="1"/>
        <v>0</v>
      </c>
      <c r="U36" s="23">
        <f>T36*$L$9</f>
        <v>0</v>
      </c>
      <c r="V36" s="23">
        <f t="shared" si="24"/>
        <v>0</v>
      </c>
      <c r="W36" s="10">
        <f t="shared" si="40"/>
        <v>0</v>
      </c>
      <c r="X36" s="10"/>
      <c r="Y36" s="10"/>
      <c r="Z36" s="7"/>
      <c r="AA36" s="23">
        <f t="shared" si="2"/>
        <v>0</v>
      </c>
      <c r="AB36" s="23">
        <f t="shared" si="3"/>
        <v>0</v>
      </c>
      <c r="AC36" s="200" t="str">
        <f>$A$36</f>
        <v>泰國</v>
      </c>
      <c r="AD36" s="27">
        <f t="shared" si="4"/>
        <v>0</v>
      </c>
      <c r="AE36" s="27">
        <f t="shared" si="5"/>
        <v>0</v>
      </c>
      <c r="AF36" s="27">
        <f t="shared" si="6"/>
        <v>0</v>
      </c>
      <c r="AG36" s="200"/>
      <c r="AH36" s="238"/>
      <c r="AI36" s="200" t="str">
        <f>$A$36</f>
        <v>泰國</v>
      </c>
      <c r="AJ36" s="11" t="str">
        <f t="shared" si="7"/>
        <v>發明</v>
      </c>
      <c r="AK36" s="3" t="str">
        <f t="shared" si="25"/>
        <v>THB</v>
      </c>
      <c r="AL36" s="7">
        <f>IF($W$5=FALSE,0,IF(C36=FALSE,0,500))</f>
        <v>0</v>
      </c>
      <c r="AM36" s="7"/>
      <c r="AN36" s="7"/>
      <c r="AO36" s="7">
        <f t="shared" si="8"/>
        <v>0</v>
      </c>
      <c r="AP36" s="22">
        <f>AO36*$L$9</f>
        <v>0</v>
      </c>
      <c r="AQ36" s="3" t="str">
        <f t="shared" si="26"/>
        <v>THB</v>
      </c>
      <c r="AR36" s="7">
        <f>IF($W$6=FALSE,0,IF(C36=FALSE,0,2800))</f>
        <v>0</v>
      </c>
      <c r="AS36" s="7"/>
      <c r="AT36" s="7"/>
      <c r="AU36" s="7">
        <f t="shared" si="9"/>
        <v>0</v>
      </c>
      <c r="AV36" s="22">
        <f>AU36*$L$9</f>
        <v>0</v>
      </c>
      <c r="AW36" s="22">
        <f t="shared" si="10"/>
        <v>0</v>
      </c>
      <c r="AX36" s="7">
        <f t="shared" si="11"/>
        <v>0</v>
      </c>
      <c r="AY36" s="22">
        <f t="shared" si="27"/>
        <v>0</v>
      </c>
      <c r="AZ36" s="22">
        <f t="shared" si="12"/>
        <v>0</v>
      </c>
      <c r="BA36" s="200" t="str">
        <f>$A$36</f>
        <v>泰國</v>
      </c>
      <c r="BB36" s="27">
        <f t="shared" si="28"/>
        <v>0</v>
      </c>
      <c r="BC36" s="27">
        <f t="shared" si="29"/>
        <v>0</v>
      </c>
      <c r="BD36" s="27">
        <f t="shared" si="30"/>
        <v>0</v>
      </c>
      <c r="BF36" s="3" t="s">
        <v>109</v>
      </c>
      <c r="BG36" s="27">
        <f t="shared" si="31"/>
        <v>0</v>
      </c>
      <c r="BH36" s="27">
        <f t="shared" si="13"/>
        <v>0</v>
      </c>
      <c r="BI36" s="27">
        <f t="shared" si="14"/>
        <v>0</v>
      </c>
      <c r="BJ36" s="90">
        <f t="shared" si="15"/>
        <v>0</v>
      </c>
      <c r="BK36" s="91">
        <f t="shared" si="16"/>
        <v>0</v>
      </c>
      <c r="BL36" s="94">
        <f t="shared" si="32"/>
        <v>0</v>
      </c>
      <c r="BM36" s="94">
        <f t="shared" si="33"/>
        <v>0</v>
      </c>
      <c r="BN36" s="91">
        <f t="shared" si="34"/>
        <v>0</v>
      </c>
      <c r="BO36" s="91">
        <f t="shared" si="17"/>
        <v>0</v>
      </c>
      <c r="BQ36" s="27">
        <f t="shared" si="18"/>
        <v>0</v>
      </c>
      <c r="BR36" s="27">
        <f t="shared" si="19"/>
        <v>0</v>
      </c>
      <c r="BT36" s="27">
        <f t="shared" si="20"/>
        <v>0</v>
      </c>
      <c r="BU36" s="27">
        <f t="shared" si="21"/>
        <v>0</v>
      </c>
      <c r="BV36" s="27">
        <f t="shared" si="22"/>
        <v>0</v>
      </c>
      <c r="BW36" s="27">
        <f t="shared" si="23"/>
        <v>0</v>
      </c>
    </row>
    <row r="37" spans="1:82" x14ac:dyDescent="0.25">
      <c r="A37" s="195"/>
      <c r="B37" s="96" t="s">
        <v>303</v>
      </c>
      <c r="C37" s="11" t="b">
        <v>0</v>
      </c>
      <c r="D37" s="242"/>
      <c r="E37" s="139" t="str">
        <f>IF(C37=FALSE,"不申請",IF(OR(C21=TRUE,C22=TRUE,C28=TRUE,C31=TRUE,C29=TRUE,C30=TRUE,C27=TRUE),"翻譯案","異常"))</f>
        <v>不申請</v>
      </c>
      <c r="F37" s="3" t="s">
        <v>22</v>
      </c>
      <c r="G37" s="7">
        <f>IF($W$5=FALSE,0,IF(C37=FALSE,0,250))</f>
        <v>0</v>
      </c>
      <c r="H37" s="7">
        <f>IF($W$5=FALSE,0,IF(C37=FALSE,0,250))</f>
        <v>0</v>
      </c>
      <c r="I37" s="7"/>
      <c r="J37" s="7"/>
      <c r="K37" s="7">
        <f t="shared" si="0"/>
        <v>0</v>
      </c>
      <c r="L37" s="23">
        <f>K37*$L$9</f>
        <v>0</v>
      </c>
      <c r="M37" s="3" t="s">
        <v>22</v>
      </c>
      <c r="N37" s="7">
        <f>IF($W$6=FALSE,0,IF(C37=FALSE,0,14000))</f>
        <v>0</v>
      </c>
      <c r="O37" s="10">
        <f>IF($W$6=FALSE,0,IF(C37=FALSE,0,IF(OR(C21=TRUE,C22=TRUE,C28=TRUE,C31=TRUE,C29=TRUE,C30=TRUE,C27=TRUE),$B$6/12*70,"欠缺英文案")))</f>
        <v>0</v>
      </c>
      <c r="P37" s="7">
        <f>IF($W$6=FALSE,0,IF(C37=FALSE,0,2800))</f>
        <v>0</v>
      </c>
      <c r="Q37" s="7"/>
      <c r="R37" s="7"/>
      <c r="S37" s="7">
        <f>IF($W$6=FALSE,0,IF(C37=FALSE,0,4000))</f>
        <v>0</v>
      </c>
      <c r="T37" s="7">
        <f t="shared" si="1"/>
        <v>0</v>
      </c>
      <c r="U37" s="23">
        <f>T37*$L$9</f>
        <v>0</v>
      </c>
      <c r="V37" s="23">
        <f t="shared" si="24"/>
        <v>0</v>
      </c>
      <c r="W37" s="10">
        <f t="shared" si="40"/>
        <v>0</v>
      </c>
      <c r="X37" s="10"/>
      <c r="Y37" s="10"/>
      <c r="Z37" s="7"/>
      <c r="AA37" s="23">
        <f t="shared" si="2"/>
        <v>0</v>
      </c>
      <c r="AB37" s="23">
        <f t="shared" si="3"/>
        <v>0</v>
      </c>
      <c r="AC37" s="195"/>
      <c r="AD37" s="27">
        <f t="shared" si="4"/>
        <v>0</v>
      </c>
      <c r="AE37" s="27">
        <f t="shared" si="5"/>
        <v>0</v>
      </c>
      <c r="AF37" s="27">
        <f t="shared" si="6"/>
        <v>0</v>
      </c>
      <c r="AG37" s="195"/>
      <c r="AH37" s="239"/>
      <c r="AI37" s="195"/>
      <c r="AJ37" s="11" t="str">
        <f t="shared" si="7"/>
        <v>新型</v>
      </c>
      <c r="AK37" s="3" t="str">
        <f t="shared" si="25"/>
        <v>THB</v>
      </c>
      <c r="AL37" s="7">
        <f>IF($W$5=FALSE,0,IF(C37=FALSE,0,500))</f>
        <v>0</v>
      </c>
      <c r="AM37" s="7"/>
      <c r="AN37" s="7"/>
      <c r="AO37" s="7">
        <f t="shared" si="8"/>
        <v>0</v>
      </c>
      <c r="AP37" s="22">
        <f>AO37*$L$9</f>
        <v>0</v>
      </c>
      <c r="AQ37" s="3" t="str">
        <f t="shared" si="26"/>
        <v>THB</v>
      </c>
      <c r="AR37" s="7">
        <f>IF($W$6=FALSE,0,IF(C37=FALSE,0,2800))</f>
        <v>0</v>
      </c>
      <c r="AS37" s="7"/>
      <c r="AT37" s="7"/>
      <c r="AU37" s="7">
        <f t="shared" si="9"/>
        <v>0</v>
      </c>
      <c r="AV37" s="22">
        <f>AU37*$L$9</f>
        <v>0</v>
      </c>
      <c r="AW37" s="22">
        <f t="shared" si="10"/>
        <v>0</v>
      </c>
      <c r="AX37" s="7">
        <f t="shared" si="11"/>
        <v>0</v>
      </c>
      <c r="AY37" s="22">
        <f t="shared" si="27"/>
        <v>0</v>
      </c>
      <c r="AZ37" s="22">
        <f t="shared" si="12"/>
        <v>0</v>
      </c>
      <c r="BA37" s="195"/>
      <c r="BB37" s="27">
        <f t="shared" si="28"/>
        <v>0</v>
      </c>
      <c r="BC37" s="27">
        <f t="shared" si="29"/>
        <v>0</v>
      </c>
      <c r="BD37" s="27">
        <f t="shared" si="30"/>
        <v>0</v>
      </c>
      <c r="BF37" s="3" t="s">
        <v>110</v>
      </c>
      <c r="BG37" s="27">
        <f t="shared" si="31"/>
        <v>0</v>
      </c>
      <c r="BH37" s="27">
        <f t="shared" si="13"/>
        <v>0</v>
      </c>
      <c r="BI37" s="27">
        <f t="shared" si="14"/>
        <v>0</v>
      </c>
      <c r="BJ37" s="90">
        <f t="shared" si="15"/>
        <v>0</v>
      </c>
      <c r="BK37" s="91">
        <f t="shared" si="16"/>
        <v>0</v>
      </c>
      <c r="BL37" s="94">
        <f t="shared" si="32"/>
        <v>0</v>
      </c>
      <c r="BM37" s="94">
        <f t="shared" si="33"/>
        <v>0</v>
      </c>
      <c r="BN37" s="91">
        <f t="shared" si="34"/>
        <v>0</v>
      </c>
      <c r="BO37" s="91">
        <f t="shared" si="17"/>
        <v>0</v>
      </c>
      <c r="BQ37" s="27">
        <f t="shared" si="18"/>
        <v>0</v>
      </c>
      <c r="BR37" s="27">
        <f t="shared" si="19"/>
        <v>0</v>
      </c>
      <c r="BT37" s="27">
        <f t="shared" si="20"/>
        <v>0</v>
      </c>
      <c r="BU37" s="27">
        <f t="shared" si="21"/>
        <v>0</v>
      </c>
      <c r="BV37" s="27">
        <f t="shared" si="22"/>
        <v>0</v>
      </c>
      <c r="BW37" s="27">
        <f t="shared" si="23"/>
        <v>0</v>
      </c>
    </row>
    <row r="38" spans="1:82" ht="20.25" thickBot="1" x14ac:dyDescent="0.3">
      <c r="A38" s="5"/>
      <c r="B38" s="5"/>
      <c r="C38" s="5"/>
      <c r="D38" s="5"/>
      <c r="E38" s="134"/>
      <c r="F38" s="5"/>
      <c r="G38" s="5"/>
      <c r="H38" s="5"/>
      <c r="I38" s="5"/>
      <c r="J38" s="5"/>
      <c r="K38" s="8" t="s">
        <v>50</v>
      </c>
      <c r="L38" s="24">
        <f>SUM(L17:L37)</f>
        <v>256957.45</v>
      </c>
      <c r="M38" s="5"/>
      <c r="N38" s="5"/>
      <c r="O38" s="5"/>
      <c r="P38" s="5"/>
      <c r="Q38" s="5"/>
      <c r="R38" s="5"/>
      <c r="S38" s="5"/>
      <c r="T38" s="8" t="s">
        <v>50</v>
      </c>
      <c r="U38" s="24">
        <f>SUM(U17:U37)</f>
        <v>287875</v>
      </c>
      <c r="V38" s="24">
        <f>SUM(V17:V37)</f>
        <v>544832.45000000007</v>
      </c>
      <c r="W38" s="5"/>
      <c r="X38" s="5"/>
      <c r="Y38" s="5"/>
      <c r="Z38" s="7"/>
      <c r="AA38" s="24">
        <f>SUM(AA17:AA37)</f>
        <v>355000</v>
      </c>
      <c r="AB38" s="24">
        <f>SUM(AB17:AB37)</f>
        <v>899832.45</v>
      </c>
      <c r="AC38" s="3"/>
      <c r="AD38" s="27">
        <f t="shared" si="4"/>
        <v>256957.45</v>
      </c>
      <c r="AE38" s="27">
        <f t="shared" si="5"/>
        <v>287875</v>
      </c>
      <c r="AF38" s="27">
        <f t="shared" si="6"/>
        <v>355000</v>
      </c>
      <c r="AG38" s="32"/>
      <c r="AH38" s="21">
        <f>SUM(AH17:AH37)</f>
        <v>85000</v>
      </c>
      <c r="AI38" s="3"/>
      <c r="AJ38" s="3"/>
      <c r="AK38" s="5"/>
      <c r="AL38" s="5"/>
      <c r="AM38" s="5"/>
      <c r="AN38" s="5"/>
      <c r="AO38" s="8" t="s">
        <v>50</v>
      </c>
      <c r="AP38" s="20">
        <f>SUM(AP17:AP37)</f>
        <v>87845.34</v>
      </c>
      <c r="AQ38" s="5"/>
      <c r="AR38" s="5"/>
      <c r="AS38" s="5"/>
      <c r="AT38" s="5"/>
      <c r="AU38" s="8" t="s">
        <v>50</v>
      </c>
      <c r="AV38" s="20">
        <f>SUM(AV17:AV37)</f>
        <v>158496.5</v>
      </c>
      <c r="AW38" s="20">
        <f>SUM(AW17:AW37)</f>
        <v>246341.84</v>
      </c>
      <c r="AX38" s="5"/>
      <c r="AY38" s="20">
        <f>SUM(AY17:AY37)</f>
        <v>25000</v>
      </c>
      <c r="AZ38" s="20">
        <f>SUM(AZ17:AZ37)</f>
        <v>271341.83999999997</v>
      </c>
      <c r="BA38" s="3"/>
      <c r="BB38" s="19">
        <f>SUM(BB17:BB37)</f>
        <v>87845.34</v>
      </c>
      <c r="BC38" s="19">
        <f>SUM(BC17:BC37)</f>
        <v>158496.5</v>
      </c>
      <c r="BD38" s="19">
        <f>SUM(BD17:BD37)</f>
        <v>25000</v>
      </c>
      <c r="BF38" s="3"/>
      <c r="BG38" s="19">
        <f>SUM(BG17:BG37)</f>
        <v>899832.45</v>
      </c>
      <c r="BH38" s="27">
        <f t="shared" ref="BH38" si="41">AB67</f>
        <v>776070</v>
      </c>
      <c r="BI38" s="19">
        <f>SUM(BI17:BI37)</f>
        <v>271341.83999999997</v>
      </c>
      <c r="BJ38" s="90">
        <f t="shared" ref="BJ38" si="42">AZ67</f>
        <v>4378280.665</v>
      </c>
      <c r="BK38" s="92">
        <f t="shared" si="16"/>
        <v>1675902.45</v>
      </c>
      <c r="BL38" s="95">
        <f t="shared" si="32"/>
        <v>1171174.29</v>
      </c>
      <c r="BM38" s="95">
        <f t="shared" si="32"/>
        <v>5154350.665</v>
      </c>
      <c r="BN38" s="92">
        <f t="shared" si="34"/>
        <v>4649622.5049999999</v>
      </c>
      <c r="BO38" s="93">
        <f>SUM(BO17:BO37)</f>
        <v>6325524.9550000001</v>
      </c>
      <c r="BQ38" s="19">
        <f>SUM(BQ17:BQ37)</f>
        <v>899832.45</v>
      </c>
      <c r="BR38" s="19">
        <f>SUM(BR17:BR37)</f>
        <v>271341.83999999997</v>
      </c>
      <c r="BT38" s="19">
        <f>SUM(BT17:BT37)</f>
        <v>256957.45</v>
      </c>
      <c r="BU38" s="19">
        <f>SUM(BU17:BU37)</f>
        <v>287875</v>
      </c>
      <c r="BV38" s="19">
        <f>SUM(BV17:BV37)</f>
        <v>355000</v>
      </c>
      <c r="BW38" s="19">
        <f>SUM(BW17:BW37)</f>
        <v>5425692.5049999999</v>
      </c>
      <c r="BY38" s="19">
        <f>AH38</f>
        <v>85000</v>
      </c>
      <c r="BZ38" s="19">
        <f>BO38</f>
        <v>6325524.9550000001</v>
      </c>
      <c r="CB38" s="73">
        <f>BY38/BZ38</f>
        <v>1.3437619897904584E-2</v>
      </c>
      <c r="CC38" s="73">
        <v>1</v>
      </c>
    </row>
    <row r="39" spans="1:82" ht="20.25" thickTop="1" x14ac:dyDescent="0.25">
      <c r="E39" s="135"/>
      <c r="K39" s="78"/>
      <c r="L39" s="79"/>
      <c r="T39" s="78"/>
      <c r="U39" s="79"/>
      <c r="V39" s="79"/>
      <c r="Z39" s="80"/>
      <c r="AA39" s="79"/>
      <c r="AB39" s="79"/>
      <c r="AC39" s="81"/>
      <c r="AD39" s="80"/>
      <c r="AE39" s="80"/>
      <c r="AF39" s="80"/>
      <c r="AG39" s="85" t="s">
        <v>208</v>
      </c>
      <c r="AH39" s="84">
        <f>AH38/(AB38+AZ38)</f>
        <v>7.2576729805091597E-2</v>
      </c>
      <c r="AI39" s="81"/>
      <c r="AJ39" s="81"/>
      <c r="AL39" s="160" t="s">
        <v>338</v>
      </c>
      <c r="AO39" s="78"/>
      <c r="AP39" s="79"/>
      <c r="AR39" s="160" t="s">
        <v>337</v>
      </c>
      <c r="AU39" s="78"/>
      <c r="AV39" s="79"/>
      <c r="AW39" s="79"/>
      <c r="AY39" s="79"/>
      <c r="AZ39" s="79"/>
      <c r="BA39" s="81"/>
      <c r="BB39" s="79"/>
      <c r="BC39" s="79"/>
      <c r="BD39" s="79"/>
      <c r="BF39" s="81"/>
      <c r="BG39" s="79"/>
      <c r="BH39" s="79"/>
      <c r="BI39" s="79"/>
      <c r="BJ39" s="79"/>
      <c r="BK39" s="79"/>
      <c r="BL39" s="79"/>
      <c r="BM39" s="79"/>
      <c r="BN39" s="79"/>
      <c r="BO39" s="79"/>
      <c r="BQ39" s="79"/>
      <c r="BR39" s="79"/>
      <c r="BT39" s="79"/>
      <c r="BU39" s="79"/>
      <c r="BV39" s="79"/>
      <c r="BW39" s="79"/>
      <c r="BY39" s="79"/>
      <c r="BZ39" s="79"/>
      <c r="CB39" s="82"/>
      <c r="CC39" s="82"/>
    </row>
    <row r="40" spans="1:82" ht="19.5" x14ac:dyDescent="0.25">
      <c r="E40" s="135"/>
      <c r="K40" s="78"/>
      <c r="L40" s="79"/>
      <c r="T40" s="78"/>
      <c r="U40" s="79"/>
      <c r="V40" s="79"/>
      <c r="Z40" s="80"/>
      <c r="AA40" s="79"/>
      <c r="AB40" s="79"/>
      <c r="AC40" s="81"/>
      <c r="AD40" s="80"/>
      <c r="AE40" s="80"/>
      <c r="AF40" s="80"/>
      <c r="AG40" s="71"/>
      <c r="AH40" s="33"/>
      <c r="AI40" s="81"/>
      <c r="AJ40" s="81"/>
      <c r="AO40" s="78"/>
      <c r="AP40" s="79"/>
      <c r="AU40" s="78"/>
      <c r="AV40" s="79"/>
      <c r="AW40" s="79"/>
      <c r="AX40" s="160"/>
      <c r="AY40" s="79"/>
      <c r="AZ40" s="79"/>
      <c r="BA40" s="81"/>
      <c r="BB40" s="79"/>
      <c r="BC40" s="79"/>
      <c r="BD40" s="79"/>
      <c r="BF40" s="81"/>
      <c r="BG40" s="79"/>
      <c r="BH40" s="79"/>
      <c r="BI40" s="79"/>
      <c r="BJ40" s="79"/>
      <c r="BK40" s="79"/>
      <c r="BL40" s="79"/>
      <c r="BM40" s="79"/>
      <c r="BN40" s="79"/>
      <c r="BO40" s="79"/>
      <c r="BQ40" s="79"/>
      <c r="BR40" s="79"/>
      <c r="BT40" s="79"/>
      <c r="BU40" s="79"/>
      <c r="BV40" s="79"/>
      <c r="BW40" s="79"/>
      <c r="BY40" s="79"/>
      <c r="BZ40" s="79"/>
      <c r="CB40" s="82"/>
      <c r="CC40" s="82"/>
    </row>
    <row r="41" spans="1:82" ht="19.5" x14ac:dyDescent="0.25">
      <c r="E41" s="135"/>
      <c r="K41" s="78"/>
      <c r="L41" s="79"/>
      <c r="T41" s="78"/>
      <c r="U41" s="79"/>
      <c r="V41" s="79"/>
      <c r="Z41" s="80"/>
      <c r="AA41" s="79"/>
      <c r="AB41" s="79"/>
      <c r="AC41" s="81"/>
      <c r="AD41" s="80"/>
      <c r="AE41" s="80"/>
      <c r="AF41" s="80"/>
      <c r="AG41" s="71"/>
      <c r="AH41" s="33"/>
      <c r="AI41" s="81"/>
      <c r="AJ41" s="81"/>
      <c r="AO41" s="78"/>
      <c r="AP41" s="79"/>
      <c r="AU41" s="78"/>
      <c r="AV41" s="79"/>
      <c r="AW41" s="79"/>
      <c r="AY41" s="79"/>
      <c r="AZ41" s="79"/>
      <c r="BA41" s="81"/>
      <c r="BB41" s="79"/>
      <c r="BC41" s="79"/>
      <c r="BD41" s="79"/>
      <c r="BF41" s="81"/>
      <c r="BG41" s="79"/>
      <c r="BH41" s="79"/>
      <c r="BI41" s="79"/>
      <c r="BJ41" s="79"/>
      <c r="BK41" s="79"/>
      <c r="BL41" s="79"/>
      <c r="BM41" s="79"/>
      <c r="BN41" s="79"/>
      <c r="BO41" s="79"/>
      <c r="BQ41" s="79"/>
      <c r="BR41" s="79"/>
      <c r="BT41" s="79"/>
      <c r="BU41" s="79"/>
      <c r="BV41" s="79"/>
      <c r="BW41" s="79"/>
      <c r="BY41" s="79"/>
      <c r="BZ41" s="79"/>
      <c r="CB41" s="82"/>
      <c r="CC41" s="82"/>
    </row>
    <row r="42" spans="1:82" ht="19.5" x14ac:dyDescent="0.25">
      <c r="A42" s="9" t="s">
        <v>270</v>
      </c>
      <c r="E42" s="135"/>
      <c r="K42" s="78"/>
      <c r="L42" s="79"/>
      <c r="T42" s="78"/>
      <c r="U42" s="79"/>
      <c r="V42" s="79"/>
      <c r="Z42" s="80"/>
      <c r="AA42" s="79"/>
      <c r="AB42" s="79"/>
      <c r="AC42" s="81"/>
      <c r="AD42" s="80"/>
      <c r="AE42" s="80"/>
      <c r="AF42" s="80"/>
      <c r="AG42" s="71"/>
      <c r="AH42" s="83"/>
      <c r="AI42" s="9" t="s">
        <v>269</v>
      </c>
      <c r="AJ42" s="81"/>
      <c r="AO42" s="78"/>
      <c r="AP42" s="79"/>
      <c r="AU42" s="78"/>
      <c r="AV42" s="79"/>
      <c r="AW42" s="79"/>
      <c r="AY42" s="79"/>
      <c r="AZ42" s="79"/>
      <c r="BA42" s="81"/>
      <c r="BB42" s="79"/>
      <c r="BC42" s="79"/>
      <c r="BD42" s="79"/>
      <c r="BF42" s="81"/>
      <c r="BG42" s="81"/>
      <c r="BH42" s="81"/>
      <c r="BI42" s="81"/>
      <c r="BJ42" s="81"/>
      <c r="BK42" s="81"/>
      <c r="BL42" s="81"/>
      <c r="BM42" s="81"/>
      <c r="BN42" s="81"/>
      <c r="BO42" s="81"/>
      <c r="BP42" s="81"/>
      <c r="BQ42" s="81"/>
      <c r="BR42" s="81"/>
      <c r="BS42" s="81"/>
      <c r="BT42" s="81"/>
      <c r="BU42" s="81"/>
      <c r="BV42" s="81"/>
      <c r="BW42" s="81"/>
      <c r="BX42" s="81"/>
      <c r="BY42" s="81"/>
      <c r="BZ42" s="81"/>
      <c r="CA42" s="81"/>
      <c r="CB42" s="81"/>
      <c r="CC42" s="81"/>
      <c r="CD42" s="81"/>
    </row>
    <row r="43" spans="1:82" ht="16.5" customHeight="1" x14ac:dyDescent="0.25">
      <c r="A43" s="196" t="s">
        <v>207</v>
      </c>
      <c r="B43" s="197"/>
      <c r="C43" s="197"/>
      <c r="D43" s="197"/>
      <c r="E43" s="197"/>
      <c r="F43" s="197"/>
      <c r="G43" s="197"/>
      <c r="H43" s="197"/>
      <c r="I43" s="197"/>
      <c r="J43" s="197"/>
      <c r="K43" s="197"/>
      <c r="L43" s="197"/>
      <c r="M43" s="197"/>
      <c r="N43" s="197"/>
      <c r="O43" s="197"/>
      <c r="P43" s="197"/>
      <c r="Q43" s="197"/>
      <c r="R43" s="197"/>
      <c r="S43" s="197"/>
      <c r="T43" s="197"/>
      <c r="U43" s="197"/>
      <c r="V43" s="198"/>
      <c r="W43" s="198"/>
      <c r="X43" s="198"/>
      <c r="Y43" s="198"/>
      <c r="Z43" s="198"/>
      <c r="AA43" s="198"/>
      <c r="AB43" s="199"/>
      <c r="AD43" s="201" t="s">
        <v>209</v>
      </c>
      <c r="AE43" s="202"/>
      <c r="AF43" s="202"/>
      <c r="AI43" s="236" t="s">
        <v>206</v>
      </c>
      <c r="AJ43" s="237"/>
      <c r="AK43" s="237"/>
      <c r="AL43" s="237"/>
      <c r="AM43" s="237"/>
      <c r="AN43" s="237"/>
      <c r="AO43" s="237"/>
      <c r="AP43" s="237"/>
      <c r="AQ43" s="237"/>
      <c r="AR43" s="237"/>
      <c r="AS43" s="237"/>
      <c r="AT43" s="237"/>
      <c r="AU43" s="237"/>
      <c r="AV43" s="237"/>
      <c r="AW43" s="237"/>
      <c r="AX43" s="237"/>
      <c r="AY43" s="237"/>
      <c r="AZ43" s="237"/>
      <c r="BA43" s="237"/>
      <c r="BB43" s="201" t="s">
        <v>211</v>
      </c>
      <c r="BC43" s="202"/>
      <c r="BD43" s="202"/>
      <c r="BF43" s="81"/>
      <c r="BG43" s="81"/>
      <c r="BH43" s="81"/>
      <c r="BI43" s="81"/>
      <c r="BJ43" s="81"/>
      <c r="BK43" s="81"/>
      <c r="BL43" s="81"/>
      <c r="BM43" s="81"/>
      <c r="BN43" s="81"/>
      <c r="BO43" s="81"/>
      <c r="BP43" s="81"/>
      <c r="BQ43" s="81"/>
      <c r="BR43" s="81"/>
      <c r="BS43" s="81"/>
      <c r="BT43" s="81"/>
      <c r="BU43" s="81"/>
      <c r="BV43" s="81"/>
      <c r="BW43" s="81"/>
      <c r="BX43" s="81"/>
      <c r="BY43" s="81"/>
      <c r="BZ43" s="81"/>
      <c r="CA43" s="81"/>
      <c r="CB43" s="81"/>
      <c r="CC43" s="81"/>
      <c r="CD43" s="81"/>
    </row>
    <row r="44" spans="1:82" ht="33" customHeight="1" x14ac:dyDescent="0.25">
      <c r="A44" s="203" t="s">
        <v>114</v>
      </c>
      <c r="B44" s="203" t="s">
        <v>0</v>
      </c>
      <c r="C44" s="235" t="s">
        <v>301</v>
      </c>
      <c r="D44" s="74"/>
      <c r="E44" s="204" t="s">
        <v>306</v>
      </c>
      <c r="F44" s="206" t="s">
        <v>242</v>
      </c>
      <c r="G44" s="207"/>
      <c r="H44" s="207"/>
      <c r="I44" s="207"/>
      <c r="J44" s="207"/>
      <c r="K44" s="208"/>
      <c r="L44" s="209"/>
      <c r="M44" s="206" t="s">
        <v>243</v>
      </c>
      <c r="N44" s="207"/>
      <c r="O44" s="207"/>
      <c r="P44" s="207"/>
      <c r="Q44" s="207"/>
      <c r="R44" s="207"/>
      <c r="S44" s="207"/>
      <c r="T44" s="208"/>
      <c r="U44" s="209"/>
      <c r="V44" s="15" t="s">
        <v>244</v>
      </c>
      <c r="W44" s="210" t="s">
        <v>32</v>
      </c>
      <c r="X44" s="211"/>
      <c r="Y44" s="211"/>
      <c r="Z44" s="209"/>
      <c r="AA44" s="212" t="s">
        <v>245</v>
      </c>
      <c r="AB44" s="212" t="s">
        <v>246</v>
      </c>
      <c r="AC44" s="213" t="s">
        <v>114</v>
      </c>
      <c r="AD44" s="218" t="s">
        <v>247</v>
      </c>
      <c r="AE44" s="218" t="s">
        <v>248</v>
      </c>
      <c r="AF44" s="214" t="s">
        <v>249</v>
      </c>
      <c r="AG44" s="220"/>
      <c r="AH44" s="220"/>
      <c r="AI44" s="213" t="s">
        <v>114</v>
      </c>
      <c r="AJ44" s="217" t="s">
        <v>0</v>
      </c>
      <c r="AK44" s="222" t="s">
        <v>250</v>
      </c>
      <c r="AL44" s="223"/>
      <c r="AM44" s="223"/>
      <c r="AN44" s="223"/>
      <c r="AO44" s="224"/>
      <c r="AP44" s="225"/>
      <c r="AQ44" s="222" t="s">
        <v>251</v>
      </c>
      <c r="AR44" s="223"/>
      <c r="AS44" s="223"/>
      <c r="AT44" s="223"/>
      <c r="AU44" s="224"/>
      <c r="AV44" s="225"/>
      <c r="AW44" s="25" t="s">
        <v>252</v>
      </c>
      <c r="AX44" s="18" t="s">
        <v>32</v>
      </c>
      <c r="AY44" s="216" t="s">
        <v>253</v>
      </c>
      <c r="AZ44" s="216" t="s">
        <v>254</v>
      </c>
      <c r="BA44" s="213" t="s">
        <v>114</v>
      </c>
      <c r="BB44" s="218" t="s">
        <v>255</v>
      </c>
      <c r="BC44" s="218" t="s">
        <v>256</v>
      </c>
      <c r="BD44" s="214" t="s">
        <v>257</v>
      </c>
      <c r="BF44" s="81"/>
      <c r="BG44" s="81"/>
      <c r="BH44" s="81"/>
      <c r="BI44" s="81"/>
      <c r="BJ44" s="81"/>
      <c r="BK44" s="81"/>
      <c r="BL44" s="81"/>
      <c r="BM44" s="81"/>
      <c r="BN44" s="81"/>
      <c r="BO44" s="81"/>
      <c r="BP44" s="81"/>
      <c r="BQ44" s="81"/>
      <c r="BR44" s="81"/>
      <c r="BS44" s="81"/>
      <c r="BT44" s="81"/>
      <c r="BU44" s="81"/>
      <c r="BV44" s="81"/>
      <c r="BW44" s="81"/>
      <c r="BX44" s="81"/>
      <c r="BY44" s="81"/>
      <c r="BZ44" s="81"/>
      <c r="CA44" s="81"/>
      <c r="CB44" s="81"/>
      <c r="CC44" s="81"/>
      <c r="CD44" s="81"/>
    </row>
    <row r="45" spans="1:82" x14ac:dyDescent="0.25">
      <c r="A45" s="203"/>
      <c r="B45" s="203"/>
      <c r="C45" s="213"/>
      <c r="D45" s="132"/>
      <c r="E45" s="205"/>
      <c r="F45" s="4" t="s">
        <v>13</v>
      </c>
      <c r="G45" s="3" t="s">
        <v>218</v>
      </c>
      <c r="H45" s="3" t="s">
        <v>215</v>
      </c>
      <c r="I45" s="3" t="s">
        <v>28</v>
      </c>
      <c r="J45" s="3" t="s">
        <v>216</v>
      </c>
      <c r="K45" s="4" t="s">
        <v>56</v>
      </c>
      <c r="L45" s="4" t="s">
        <v>47</v>
      </c>
      <c r="M45" s="4" t="s">
        <v>13</v>
      </c>
      <c r="N45" s="3" t="s">
        <v>213</v>
      </c>
      <c r="O45" s="3" t="s">
        <v>212</v>
      </c>
      <c r="P45" s="3" t="s">
        <v>214</v>
      </c>
      <c r="Q45" s="3" t="s">
        <v>215</v>
      </c>
      <c r="R45" s="3" t="s">
        <v>216</v>
      </c>
      <c r="S45" s="3" t="s">
        <v>33</v>
      </c>
      <c r="T45" s="4" t="s">
        <v>56</v>
      </c>
      <c r="U45" s="4" t="s">
        <v>47</v>
      </c>
      <c r="V45" s="4" t="s">
        <v>47</v>
      </c>
      <c r="W45" s="3" t="s">
        <v>212</v>
      </c>
      <c r="X45" s="3" t="s">
        <v>215</v>
      </c>
      <c r="Y45" s="3" t="s">
        <v>31</v>
      </c>
      <c r="Z45" s="3" t="s">
        <v>46</v>
      </c>
      <c r="AA45" s="203"/>
      <c r="AB45" s="203"/>
      <c r="AC45" s="213"/>
      <c r="AD45" s="219"/>
      <c r="AE45" s="219"/>
      <c r="AF45" s="215"/>
      <c r="AG45" s="221"/>
      <c r="AH45" s="221"/>
      <c r="AI45" s="213"/>
      <c r="AJ45" s="217"/>
      <c r="AK45" s="26" t="s">
        <v>13</v>
      </c>
      <c r="AL45" s="3" t="s">
        <v>219</v>
      </c>
      <c r="AM45" s="3"/>
      <c r="AN45" s="3"/>
      <c r="AO45" s="26" t="s">
        <v>56</v>
      </c>
      <c r="AP45" s="26" t="s">
        <v>47</v>
      </c>
      <c r="AQ45" s="26" t="s">
        <v>13</v>
      </c>
      <c r="AR45" s="3" t="s">
        <v>219</v>
      </c>
      <c r="AS45" s="3"/>
      <c r="AT45" s="3"/>
      <c r="AU45" s="26" t="s">
        <v>56</v>
      </c>
      <c r="AV45" s="26" t="s">
        <v>47</v>
      </c>
      <c r="AW45" s="26" t="s">
        <v>47</v>
      </c>
      <c r="AX45" s="3" t="s">
        <v>219</v>
      </c>
      <c r="AY45" s="217"/>
      <c r="AZ45" s="217"/>
      <c r="BA45" s="213"/>
      <c r="BB45" s="219"/>
      <c r="BC45" s="219"/>
      <c r="BD45" s="215"/>
      <c r="BF45" s="81"/>
      <c r="BG45" s="81"/>
      <c r="BH45" s="81"/>
      <c r="BI45" s="81"/>
      <c r="BJ45" s="81"/>
      <c r="BK45" s="81"/>
      <c r="BL45" s="81"/>
      <c r="BM45" s="81"/>
      <c r="BN45" s="81"/>
      <c r="BO45" s="81"/>
      <c r="BP45" s="81"/>
      <c r="BQ45" s="81"/>
      <c r="BR45" s="81"/>
      <c r="BS45" s="81"/>
      <c r="BT45" s="81"/>
      <c r="BU45" s="81"/>
      <c r="BV45" s="81"/>
      <c r="BW45" s="81"/>
      <c r="BX45" s="81"/>
      <c r="BY45" s="81"/>
      <c r="BZ45" s="81"/>
      <c r="CA45" s="81"/>
      <c r="CB45" s="81"/>
      <c r="CC45" s="81"/>
      <c r="CD45" s="81"/>
    </row>
    <row r="46" spans="1:82" x14ac:dyDescent="0.25">
      <c r="A46" s="194" t="s">
        <v>2</v>
      </c>
      <c r="B46" s="11" t="str">
        <f t="shared" ref="B46:C66" si="43">B17</f>
        <v>發明</v>
      </c>
      <c r="C46" s="11" t="b">
        <f t="shared" si="43"/>
        <v>1</v>
      </c>
      <c r="D46" s="11"/>
      <c r="E46" s="139" t="str">
        <f t="shared" ref="E46:E66" si="44">E17</f>
        <v>初稿案</v>
      </c>
      <c r="F46" s="3" t="s">
        <v>14</v>
      </c>
      <c r="G46" s="86"/>
      <c r="H46" s="86"/>
      <c r="I46" s="86"/>
      <c r="J46" s="86"/>
      <c r="K46" s="7">
        <f t="shared" ref="K46:K66" si="45">IF($U$8=FALSE,0,SUM(G46:J46))</f>
        <v>0</v>
      </c>
      <c r="L46" s="23">
        <f>K46*1</f>
        <v>0</v>
      </c>
      <c r="M46" s="3" t="s">
        <v>14</v>
      </c>
      <c r="N46" s="86"/>
      <c r="O46" s="86"/>
      <c r="P46" s="86"/>
      <c r="Q46" s="86"/>
      <c r="R46" s="86"/>
      <c r="S46" s="86"/>
      <c r="T46" s="7">
        <f t="shared" ref="T46:T66" si="46">IF($U$8=FALSE,0,SUM(N46:S46))</f>
        <v>0</v>
      </c>
      <c r="U46" s="23">
        <f>T46*1</f>
        <v>0</v>
      </c>
      <c r="V46" s="23">
        <f>L46+U46</f>
        <v>0</v>
      </c>
      <c r="W46" s="7">
        <f>IF($W$7=FALSE,0,IF(C46=FALSE,0,25000))</f>
        <v>25000</v>
      </c>
      <c r="X46" s="86"/>
      <c r="Y46" s="86"/>
      <c r="Z46" s="86"/>
      <c r="AA46" s="23">
        <f t="shared" ref="AA46:AA66" si="47">IF($U$8=FALSE,0,SUM(W46:Z46))</f>
        <v>25000</v>
      </c>
      <c r="AB46" s="23">
        <f t="shared" ref="AB46:AB66" si="48">V46+AA46</f>
        <v>25000</v>
      </c>
      <c r="AC46" s="200" t="str">
        <f>$A$17</f>
        <v>台灣</v>
      </c>
      <c r="AD46" s="27">
        <f t="shared" ref="AD46:AD67" si="49">L46</f>
        <v>0</v>
      </c>
      <c r="AE46" s="27">
        <f t="shared" ref="AE46:AE67" si="50">U46</f>
        <v>0</v>
      </c>
      <c r="AF46" s="27">
        <f t="shared" ref="AF46:AF67" si="51">AA46</f>
        <v>25000</v>
      </c>
      <c r="AG46" s="32"/>
      <c r="AH46" s="32"/>
      <c r="AI46" s="200" t="str">
        <f>$A$17</f>
        <v>台灣</v>
      </c>
      <c r="AJ46" s="11" t="str">
        <f t="shared" ref="AJ46:AJ66" si="52">B46</f>
        <v>發明</v>
      </c>
      <c r="AK46" s="3" t="str">
        <f>F46</f>
        <v>NTD</v>
      </c>
      <c r="AL46" s="7">
        <f>IF($W$5=FALSE,0,IF(C46=FALSE,0,HLOOKUP(選項!$M$2,'P(M)年費表'!$AH$2:$BG$24,2)))</f>
        <v>214800</v>
      </c>
      <c r="AM46" s="87"/>
      <c r="AN46" s="7"/>
      <c r="AO46" s="7">
        <f t="shared" ref="AO46:AO66" si="53">IF($U$7=FALSE,0,SUM(AL46:AN46))</f>
        <v>214800</v>
      </c>
      <c r="AP46" s="22">
        <f>AO46*1</f>
        <v>214800</v>
      </c>
      <c r="AQ46" s="3" t="str">
        <f>M46</f>
        <v>NTD</v>
      </c>
      <c r="AR46" s="7">
        <f>IF($W$6=FALSE,0,IF(C46=FALSE,0,HLOOKUP(選項!$M$2,'P(M)年費表'!$AH$29:$BG$51,2)))</f>
        <v>0</v>
      </c>
      <c r="AS46" s="7"/>
      <c r="AT46" s="7"/>
      <c r="AU46" s="7">
        <f t="shared" ref="AU46:AU66" si="54">IF($U$7=FALSE,0,SUM(AR46:AT46))</f>
        <v>0</v>
      </c>
      <c r="AV46" s="22">
        <f>AU46*1</f>
        <v>0</v>
      </c>
      <c r="AW46" s="22">
        <f t="shared" ref="AW46:AW66" si="55">AP46+AV46</f>
        <v>214800</v>
      </c>
      <c r="AX46" s="7">
        <f>IF($W$7=FALSE,0,IF(C46=FALSE,0,HLOOKUP(選項!$M$2,'P(M)年費表'!$AH$56:$BG$78,2)))</f>
        <v>57000</v>
      </c>
      <c r="AY46" s="22">
        <f t="shared" ref="AY46:AY66" si="56">IF($U$7=FALSE,0,SUM(AX46:AX46))</f>
        <v>57000</v>
      </c>
      <c r="AZ46" s="22">
        <f t="shared" ref="AZ46:AZ66" si="57">AW46+AY46</f>
        <v>271800</v>
      </c>
      <c r="BA46" s="200" t="str">
        <f>$A$17</f>
        <v>台灣</v>
      </c>
      <c r="BB46" s="27">
        <f>AP46</f>
        <v>214800</v>
      </c>
      <c r="BC46" s="27">
        <f>AV46</f>
        <v>0</v>
      </c>
      <c r="BD46" s="27">
        <f>AY46</f>
        <v>57000</v>
      </c>
      <c r="BF46" s="81"/>
      <c r="BG46" s="81"/>
      <c r="BH46" s="81"/>
      <c r="BI46" s="81"/>
      <c r="BJ46" s="81"/>
      <c r="BK46" s="81"/>
      <c r="BL46" s="81"/>
      <c r="BM46" s="81"/>
      <c r="BN46" s="81"/>
      <c r="BO46" s="81"/>
      <c r="BP46" s="81"/>
      <c r="BQ46" s="81"/>
      <c r="BR46" s="81"/>
      <c r="BS46" s="81"/>
      <c r="BT46" s="81"/>
      <c r="BU46" s="81"/>
      <c r="BV46" s="81"/>
      <c r="BW46" s="81"/>
      <c r="BX46" s="81"/>
      <c r="BY46" s="81"/>
      <c r="BZ46" s="81"/>
      <c r="CA46" s="81"/>
      <c r="CB46" s="81"/>
      <c r="CC46" s="81"/>
      <c r="CD46" s="81"/>
    </row>
    <row r="47" spans="1:82" x14ac:dyDescent="0.25">
      <c r="A47" s="195"/>
      <c r="B47" s="11" t="str">
        <f t="shared" si="43"/>
        <v>新型</v>
      </c>
      <c r="C47" s="11" t="b">
        <f t="shared" si="43"/>
        <v>0</v>
      </c>
      <c r="D47" s="11"/>
      <c r="E47" s="139" t="str">
        <f t="shared" si="44"/>
        <v>不申請</v>
      </c>
      <c r="F47" s="3" t="s">
        <v>14</v>
      </c>
      <c r="G47" s="86"/>
      <c r="H47" s="86"/>
      <c r="I47" s="86"/>
      <c r="J47" s="86"/>
      <c r="K47" s="7">
        <f t="shared" si="45"/>
        <v>0</v>
      </c>
      <c r="L47" s="23">
        <f>K47*1</f>
        <v>0</v>
      </c>
      <c r="M47" s="3" t="s">
        <v>14</v>
      </c>
      <c r="N47" s="86"/>
      <c r="O47" s="86"/>
      <c r="P47" s="86"/>
      <c r="Q47" s="86"/>
      <c r="R47" s="86"/>
      <c r="S47" s="86"/>
      <c r="T47" s="7">
        <f t="shared" si="46"/>
        <v>0</v>
      </c>
      <c r="U47" s="23">
        <f>T47*1</f>
        <v>0</v>
      </c>
      <c r="V47" s="23">
        <f t="shared" ref="V47:V66" si="58">L47+U47</f>
        <v>0</v>
      </c>
      <c r="W47" s="86"/>
      <c r="X47" s="86"/>
      <c r="Y47" s="86"/>
      <c r="Z47" s="86"/>
      <c r="AA47" s="23">
        <f t="shared" si="47"/>
        <v>0</v>
      </c>
      <c r="AB47" s="23">
        <f t="shared" si="48"/>
        <v>0</v>
      </c>
      <c r="AC47" s="195"/>
      <c r="AD47" s="27">
        <f t="shared" si="49"/>
        <v>0</v>
      </c>
      <c r="AE47" s="27">
        <f t="shared" si="50"/>
        <v>0</v>
      </c>
      <c r="AF47" s="27">
        <f t="shared" si="51"/>
        <v>0</v>
      </c>
      <c r="AG47" s="32"/>
      <c r="AH47" s="32"/>
      <c r="AI47" s="195"/>
      <c r="AJ47" s="11" t="str">
        <f t="shared" si="52"/>
        <v>新型</v>
      </c>
      <c r="AK47" s="3" t="str">
        <f t="shared" ref="AK47:AK66" si="59">F47</f>
        <v>NTD</v>
      </c>
      <c r="AL47" s="7">
        <f>IF($W$5=FALSE,0,IF(C47=FALSE,0,HLOOKUP(選項!$M$2,'P(M)年費表'!$AH$2:$BG$24,3)))</f>
        <v>0</v>
      </c>
      <c r="AM47" s="87"/>
      <c r="AN47" s="7"/>
      <c r="AO47" s="7">
        <f t="shared" si="53"/>
        <v>0</v>
      </c>
      <c r="AP47" s="22">
        <f>AO47*1</f>
        <v>0</v>
      </c>
      <c r="AQ47" s="3" t="str">
        <f t="shared" ref="AQ47:AQ66" si="60">M47</f>
        <v>NTD</v>
      </c>
      <c r="AR47" s="7">
        <f>IF($W$6=FALSE,0,IF(C47=FALSE,0,HLOOKUP(選項!$M$2,'P(M)年費表'!$AH$29:$BG$51,3)))</f>
        <v>0</v>
      </c>
      <c r="AS47" s="7"/>
      <c r="AT47" s="7"/>
      <c r="AU47" s="7">
        <f t="shared" si="54"/>
        <v>0</v>
      </c>
      <c r="AV47" s="22">
        <f>AU47*1</f>
        <v>0</v>
      </c>
      <c r="AW47" s="22">
        <f t="shared" si="55"/>
        <v>0</v>
      </c>
      <c r="AX47" s="7">
        <f>IF($W$7=FALSE,0,IF(C47=FALSE,0,HLOOKUP(選項!$M$2,'P(M)年費表'!$AH$56:$BG$78,3)))</f>
        <v>0</v>
      </c>
      <c r="AY47" s="22">
        <f t="shared" si="56"/>
        <v>0</v>
      </c>
      <c r="AZ47" s="22">
        <f t="shared" si="57"/>
        <v>0</v>
      </c>
      <c r="BA47" s="195"/>
      <c r="BB47" s="27">
        <f t="shared" ref="BB47:BB66" si="61">AP47</f>
        <v>0</v>
      </c>
      <c r="BC47" s="27">
        <f t="shared" ref="BC47:BC66" si="62">AV47</f>
        <v>0</v>
      </c>
      <c r="BD47" s="27">
        <f t="shared" ref="BD47:BD66" si="63">AY47</f>
        <v>0</v>
      </c>
      <c r="BF47" s="81"/>
      <c r="BG47" s="81"/>
      <c r="BH47" s="81"/>
      <c r="BI47" s="81"/>
      <c r="BJ47" s="81"/>
      <c r="BK47" s="81"/>
      <c r="BL47" s="81"/>
      <c r="BM47" s="81"/>
      <c r="BN47" s="81"/>
      <c r="BO47" s="81"/>
      <c r="BP47" s="81"/>
      <c r="BQ47" s="81"/>
      <c r="BR47" s="81"/>
      <c r="BS47" s="81"/>
      <c r="BT47" s="81"/>
      <c r="BU47" s="81"/>
      <c r="BV47" s="81"/>
      <c r="BW47" s="81"/>
      <c r="BX47" s="81"/>
      <c r="BY47" s="81"/>
      <c r="BZ47" s="81"/>
      <c r="CA47" s="81"/>
      <c r="CB47" s="81"/>
      <c r="CC47" s="81"/>
      <c r="CD47" s="81"/>
    </row>
    <row r="48" spans="1:82" x14ac:dyDescent="0.25">
      <c r="A48" s="194" t="s">
        <v>3</v>
      </c>
      <c r="B48" s="11" t="str">
        <f t="shared" si="43"/>
        <v>發明</v>
      </c>
      <c r="C48" s="11" t="b">
        <f t="shared" si="43"/>
        <v>1</v>
      </c>
      <c r="D48" s="11"/>
      <c r="E48" s="139" t="str">
        <f t="shared" si="44"/>
        <v>同語言轉換案</v>
      </c>
      <c r="F48" s="3" t="s">
        <v>15</v>
      </c>
      <c r="G48" s="86"/>
      <c r="H48" s="86"/>
      <c r="I48" s="86"/>
      <c r="J48" s="86"/>
      <c r="K48" s="7">
        <f t="shared" si="45"/>
        <v>0</v>
      </c>
      <c r="L48" s="23">
        <f>K48*$N$5</f>
        <v>0</v>
      </c>
      <c r="M48" s="3" t="s">
        <v>15</v>
      </c>
      <c r="N48" s="86"/>
      <c r="O48" s="7">
        <f>IF($W$6=FALSE,0,IF(C48=FALSE,0,200+1000))</f>
        <v>1200</v>
      </c>
      <c r="P48" s="86"/>
      <c r="Q48" s="86"/>
      <c r="R48" s="86"/>
      <c r="S48" s="86"/>
      <c r="T48" s="7">
        <f t="shared" si="46"/>
        <v>1200</v>
      </c>
      <c r="U48" s="23">
        <f>T48*$N$5</f>
        <v>5520</v>
      </c>
      <c r="V48" s="23">
        <f t="shared" si="58"/>
        <v>5520</v>
      </c>
      <c r="W48" s="7">
        <f>IF($W$7=FALSE,0,IF(C48=FALSE,0,25000))</f>
        <v>25000</v>
      </c>
      <c r="X48" s="86"/>
      <c r="Y48" s="86"/>
      <c r="Z48" s="86"/>
      <c r="AA48" s="23">
        <f t="shared" si="47"/>
        <v>25000</v>
      </c>
      <c r="AB48" s="23">
        <f t="shared" si="48"/>
        <v>30520</v>
      </c>
      <c r="AC48" s="200" t="str">
        <f>$A$19</f>
        <v>大陸</v>
      </c>
      <c r="AD48" s="27">
        <f t="shared" si="49"/>
        <v>0</v>
      </c>
      <c r="AE48" s="27">
        <f t="shared" si="50"/>
        <v>5520</v>
      </c>
      <c r="AF48" s="27">
        <f t="shared" si="51"/>
        <v>25000</v>
      </c>
      <c r="AG48" s="32"/>
      <c r="AH48" s="32"/>
      <c r="AI48" s="200" t="str">
        <f>$A$19</f>
        <v>大陸</v>
      </c>
      <c r="AJ48" s="11" t="str">
        <f t="shared" si="52"/>
        <v>發明</v>
      </c>
      <c r="AK48" s="3" t="str">
        <f t="shared" si="59"/>
        <v>CNY</v>
      </c>
      <c r="AL48" s="7">
        <f>IF($W$5=FALSE,0,IF(C48=FALSE,0,HLOOKUP(選項!$M$2,'P(M)年費表'!$AH$2:$BG$24,4)))</f>
        <v>81400</v>
      </c>
      <c r="AM48" s="87"/>
      <c r="AN48" s="7"/>
      <c r="AO48" s="7">
        <f t="shared" si="53"/>
        <v>81400</v>
      </c>
      <c r="AP48" s="22">
        <f>AO48*$N$5</f>
        <v>374440</v>
      </c>
      <c r="AQ48" s="3" t="str">
        <f t="shared" si="60"/>
        <v>CNY</v>
      </c>
      <c r="AR48" s="7">
        <f>IF($W$6=FALSE,0,IF(C48=FALSE,0,HLOOKUP(選項!$M$2,'P(M)年費表'!$AH$29:$BG$51,4)))</f>
        <v>3800</v>
      </c>
      <c r="AS48" s="7"/>
      <c r="AT48" s="7"/>
      <c r="AU48" s="7">
        <f t="shared" si="54"/>
        <v>3800</v>
      </c>
      <c r="AV48" s="22">
        <f>AU48*$N$5</f>
        <v>17480</v>
      </c>
      <c r="AW48" s="22">
        <f t="shared" si="55"/>
        <v>391920</v>
      </c>
      <c r="AX48" s="7">
        <f>IF($W$7=FALSE,0,IF(C48=FALSE,0,HLOOKUP(選項!$M$2,'P(M)年費表'!$AH$56:$BG$78,4)))</f>
        <v>57000</v>
      </c>
      <c r="AY48" s="22">
        <f t="shared" si="56"/>
        <v>57000</v>
      </c>
      <c r="AZ48" s="22">
        <f t="shared" si="57"/>
        <v>448920</v>
      </c>
      <c r="BA48" s="200" t="str">
        <f>$A$19</f>
        <v>大陸</v>
      </c>
      <c r="BB48" s="27">
        <f t="shared" si="61"/>
        <v>374440</v>
      </c>
      <c r="BC48" s="27">
        <f t="shared" si="62"/>
        <v>17480</v>
      </c>
      <c r="BD48" s="27">
        <f t="shared" si="63"/>
        <v>57000</v>
      </c>
      <c r="BF48" s="81"/>
      <c r="BG48" s="81"/>
      <c r="BH48" s="81"/>
      <c r="BI48" s="81"/>
      <c r="BJ48" s="81"/>
      <c r="BK48" s="81"/>
      <c r="BL48" s="81"/>
      <c r="BM48" s="81"/>
      <c r="BN48" s="81"/>
      <c r="BO48" s="81"/>
      <c r="BP48" s="81"/>
      <c r="BQ48" s="81"/>
      <c r="BR48" s="81"/>
      <c r="BS48" s="81"/>
      <c r="BT48" s="81"/>
      <c r="BU48" s="81"/>
      <c r="BV48" s="81"/>
      <c r="BW48" s="81"/>
      <c r="BX48" s="81"/>
      <c r="BY48" s="81"/>
      <c r="BZ48" s="81"/>
      <c r="CA48" s="81"/>
      <c r="CB48" s="81"/>
      <c r="CC48" s="81"/>
      <c r="CD48" s="81"/>
    </row>
    <row r="49" spans="1:82" x14ac:dyDescent="0.25">
      <c r="A49" s="195"/>
      <c r="B49" s="11" t="str">
        <f t="shared" si="43"/>
        <v>新型</v>
      </c>
      <c r="C49" s="11" t="b">
        <f t="shared" si="43"/>
        <v>0</v>
      </c>
      <c r="D49" s="11"/>
      <c r="E49" s="139" t="str">
        <f t="shared" si="44"/>
        <v>不申請</v>
      </c>
      <c r="F49" s="3" t="s">
        <v>15</v>
      </c>
      <c r="G49" s="86"/>
      <c r="H49" s="86"/>
      <c r="I49" s="86"/>
      <c r="J49" s="86"/>
      <c r="K49" s="7">
        <f t="shared" si="45"/>
        <v>0</v>
      </c>
      <c r="L49" s="23">
        <f>K49*$N$5</f>
        <v>0</v>
      </c>
      <c r="M49" s="3" t="s">
        <v>15</v>
      </c>
      <c r="N49" s="86"/>
      <c r="O49" s="86"/>
      <c r="P49" s="86"/>
      <c r="Q49" s="86"/>
      <c r="R49" s="86"/>
      <c r="S49" s="86"/>
      <c r="T49" s="7">
        <f t="shared" si="46"/>
        <v>0</v>
      </c>
      <c r="U49" s="23">
        <f>T49*$N$5</f>
        <v>0</v>
      </c>
      <c r="V49" s="23">
        <f t="shared" si="58"/>
        <v>0</v>
      </c>
      <c r="W49" s="86"/>
      <c r="X49" s="86"/>
      <c r="Y49" s="86"/>
      <c r="Z49" s="86"/>
      <c r="AA49" s="23">
        <f t="shared" si="47"/>
        <v>0</v>
      </c>
      <c r="AB49" s="23">
        <f t="shared" si="48"/>
        <v>0</v>
      </c>
      <c r="AC49" s="195"/>
      <c r="AD49" s="27">
        <f t="shared" si="49"/>
        <v>0</v>
      </c>
      <c r="AE49" s="27">
        <f t="shared" si="50"/>
        <v>0</v>
      </c>
      <c r="AF49" s="27">
        <f t="shared" si="51"/>
        <v>0</v>
      </c>
      <c r="AG49" s="32"/>
      <c r="AH49" s="32"/>
      <c r="AI49" s="195"/>
      <c r="AJ49" s="11" t="str">
        <f t="shared" si="52"/>
        <v>新型</v>
      </c>
      <c r="AK49" s="3" t="str">
        <f t="shared" si="59"/>
        <v>CNY</v>
      </c>
      <c r="AL49" s="7">
        <f>IF($W$5=FALSE,0,IF(C49=FALSE,0,HLOOKUP(選項!$M$2,'P(M)年費表'!$AH$2:$BG$24,5)))</f>
        <v>0</v>
      </c>
      <c r="AM49" s="87"/>
      <c r="AN49" s="7"/>
      <c r="AO49" s="7">
        <f t="shared" si="53"/>
        <v>0</v>
      </c>
      <c r="AP49" s="22">
        <f>AO49*$N$5</f>
        <v>0</v>
      </c>
      <c r="AQ49" s="3" t="str">
        <f t="shared" si="60"/>
        <v>CNY</v>
      </c>
      <c r="AR49" s="7">
        <f>IF($W$6=FALSE,0,IF(C49=FALSE,0,HLOOKUP(選項!$M$2,'P(M)年費表'!$AH$29:$BG$51,5)))</f>
        <v>0</v>
      </c>
      <c r="AS49" s="7"/>
      <c r="AT49" s="7"/>
      <c r="AU49" s="7">
        <f t="shared" si="54"/>
        <v>0</v>
      </c>
      <c r="AV49" s="22">
        <f>AU49*$N$5</f>
        <v>0</v>
      </c>
      <c r="AW49" s="22">
        <f t="shared" si="55"/>
        <v>0</v>
      </c>
      <c r="AX49" s="7">
        <f>IF($W$7=FALSE,0,IF(C49=FALSE,0,HLOOKUP(選項!$M$2,'P(M)年費表'!$AH$56:$BG$78,5)))</f>
        <v>0</v>
      </c>
      <c r="AY49" s="22">
        <f t="shared" si="56"/>
        <v>0</v>
      </c>
      <c r="AZ49" s="22">
        <f t="shared" si="57"/>
        <v>0</v>
      </c>
      <c r="BA49" s="195"/>
      <c r="BB49" s="27">
        <f t="shared" si="61"/>
        <v>0</v>
      </c>
      <c r="BC49" s="27">
        <f t="shared" si="62"/>
        <v>0</v>
      </c>
      <c r="BD49" s="27">
        <f t="shared" si="63"/>
        <v>0</v>
      </c>
      <c r="BF49" s="81"/>
      <c r="BG49" s="81"/>
      <c r="BH49" s="81"/>
      <c r="BI49" s="81"/>
      <c r="BJ49" s="81"/>
      <c r="BK49" s="81"/>
      <c r="BL49" s="81"/>
      <c r="BM49" s="81"/>
      <c r="BN49" s="81"/>
      <c r="BO49" s="81"/>
      <c r="BP49" s="81"/>
      <c r="BQ49" s="81"/>
      <c r="BR49" s="81"/>
      <c r="BS49" s="81"/>
      <c r="BT49" s="81"/>
      <c r="BU49" s="81"/>
      <c r="BV49" s="81"/>
      <c r="BW49" s="81"/>
      <c r="BX49" s="81"/>
      <c r="BY49" s="81"/>
      <c r="BZ49" s="81"/>
      <c r="CA49" s="81"/>
      <c r="CB49" s="81"/>
      <c r="CC49" s="81"/>
      <c r="CD49" s="81"/>
    </row>
    <row r="50" spans="1:82" x14ac:dyDescent="0.25">
      <c r="A50" s="3" t="s">
        <v>4</v>
      </c>
      <c r="B50" s="11" t="str">
        <f t="shared" si="43"/>
        <v>發明</v>
      </c>
      <c r="C50" s="11" t="b">
        <f t="shared" si="43"/>
        <v>1</v>
      </c>
      <c r="D50" s="11"/>
      <c r="E50" s="139" t="str">
        <f t="shared" si="44"/>
        <v>翻譯案</v>
      </c>
      <c r="F50" s="3" t="s">
        <v>16</v>
      </c>
      <c r="G50" s="86"/>
      <c r="H50" s="86"/>
      <c r="I50" s="86"/>
      <c r="J50" s="86"/>
      <c r="K50" s="7">
        <f t="shared" si="45"/>
        <v>0</v>
      </c>
      <c r="L50" s="23">
        <f>K50*$L$5</f>
        <v>0</v>
      </c>
      <c r="M50" s="3" t="s">
        <v>16</v>
      </c>
      <c r="N50" s="7">
        <f>IF($W$6=FALSE,0,IF(C50=FALSE,0,145))</f>
        <v>145</v>
      </c>
      <c r="O50" s="7">
        <f>IF($W$6=FALSE,0,IF(C50=FALSE,0,1100))</f>
        <v>1100</v>
      </c>
      <c r="P50" s="7">
        <f>IF($W$6=FALSE,0,IF(C50=FALSE,0,75))</f>
        <v>75</v>
      </c>
      <c r="Q50" s="86"/>
      <c r="R50" s="86"/>
      <c r="S50" s="86"/>
      <c r="T50" s="7">
        <f t="shared" si="46"/>
        <v>1320</v>
      </c>
      <c r="U50" s="23">
        <f>T50*$L$5</f>
        <v>42240</v>
      </c>
      <c r="V50" s="23">
        <f t="shared" si="58"/>
        <v>42240</v>
      </c>
      <c r="W50" s="7">
        <f>IF($W$7=FALSE,0,IF(C50=FALSE,0,40000))</f>
        <v>40000</v>
      </c>
      <c r="X50" s="86"/>
      <c r="Y50" s="86"/>
      <c r="Z50" s="86"/>
      <c r="AA50" s="23">
        <f t="shared" si="47"/>
        <v>40000</v>
      </c>
      <c r="AB50" s="23">
        <f t="shared" si="48"/>
        <v>82240</v>
      </c>
      <c r="AC50" s="14" t="str">
        <f>$A$21</f>
        <v>美國</v>
      </c>
      <c r="AD50" s="27">
        <f t="shared" si="49"/>
        <v>0</v>
      </c>
      <c r="AE50" s="27">
        <f t="shared" si="50"/>
        <v>42240</v>
      </c>
      <c r="AF50" s="27">
        <f t="shared" si="51"/>
        <v>40000</v>
      </c>
      <c r="AG50" s="32"/>
      <c r="AH50" s="32"/>
      <c r="AI50" s="14" t="str">
        <f>$A$21</f>
        <v>美國</v>
      </c>
      <c r="AJ50" s="11" t="str">
        <f t="shared" si="52"/>
        <v>發明</v>
      </c>
      <c r="AK50" s="3" t="str">
        <f t="shared" si="59"/>
        <v>USD</v>
      </c>
      <c r="AL50" s="7">
        <f>IF($W$5=FALSE,0,IF(C50=FALSE,0,HLOOKUP(選項!$M$2,'P(M)年費表'!$AH$2:$BG$24,6)))</f>
        <v>5788</v>
      </c>
      <c r="AM50" s="87"/>
      <c r="AN50" s="7"/>
      <c r="AO50" s="7">
        <f t="shared" si="53"/>
        <v>5788</v>
      </c>
      <c r="AP50" s="22">
        <f>AO50*$L$5</f>
        <v>185216</v>
      </c>
      <c r="AQ50" s="3" t="str">
        <f t="shared" si="60"/>
        <v>USD</v>
      </c>
      <c r="AR50" s="7">
        <f>IF($W$6=FALSE,0,IF(C50=FALSE,0,HLOOKUP(選項!$M$2,'P(M)年費表'!$AH$29:$BG$51,6)))</f>
        <v>378</v>
      </c>
      <c r="AS50" s="7"/>
      <c r="AT50" s="7"/>
      <c r="AU50" s="7">
        <f t="shared" si="54"/>
        <v>378</v>
      </c>
      <c r="AV50" s="22">
        <f>AU50*$L$5</f>
        <v>12096</v>
      </c>
      <c r="AW50" s="22">
        <f t="shared" si="55"/>
        <v>197312</v>
      </c>
      <c r="AX50" s="7">
        <f>IF($W$7=FALSE,0,IF(C50=FALSE,0,HLOOKUP(選項!$M$2,'P(M)年費表'!$AH$56:$BG$78,6)))</f>
        <v>15000</v>
      </c>
      <c r="AY50" s="22">
        <f t="shared" si="56"/>
        <v>15000</v>
      </c>
      <c r="AZ50" s="22">
        <f t="shared" si="57"/>
        <v>212312</v>
      </c>
      <c r="BA50" s="14" t="str">
        <f>$A$21</f>
        <v>美國</v>
      </c>
      <c r="BB50" s="27">
        <f t="shared" si="61"/>
        <v>185216</v>
      </c>
      <c r="BC50" s="27">
        <f t="shared" si="62"/>
        <v>12096</v>
      </c>
      <c r="BD50" s="27">
        <f t="shared" si="63"/>
        <v>15000</v>
      </c>
      <c r="BF50" s="81"/>
      <c r="BG50" s="81"/>
      <c r="BH50" s="81"/>
      <c r="BI50" s="81"/>
      <c r="BJ50" s="81"/>
      <c r="BK50" s="81"/>
      <c r="BL50" s="81"/>
      <c r="BM50" s="81"/>
      <c r="BN50" s="81"/>
      <c r="BO50" s="81"/>
      <c r="BP50" s="81"/>
      <c r="BQ50" s="81"/>
      <c r="BR50" s="81"/>
      <c r="BS50" s="81"/>
      <c r="BT50" s="81"/>
      <c r="BU50" s="81"/>
      <c r="BV50" s="81"/>
      <c r="BW50" s="81"/>
      <c r="BX50" s="81"/>
      <c r="BY50" s="81"/>
      <c r="BZ50" s="81"/>
      <c r="CA50" s="81"/>
      <c r="CB50" s="81"/>
      <c r="CC50" s="81"/>
      <c r="CD50" s="81"/>
    </row>
    <row r="51" spans="1:82" x14ac:dyDescent="0.25">
      <c r="A51" s="3" t="s">
        <v>5</v>
      </c>
      <c r="B51" s="11" t="str">
        <f t="shared" si="43"/>
        <v>發明</v>
      </c>
      <c r="C51" s="11" t="b">
        <f t="shared" si="43"/>
        <v>1</v>
      </c>
      <c r="D51" s="11"/>
      <c r="E51" s="139" t="str">
        <f t="shared" si="44"/>
        <v>同語言轉換案</v>
      </c>
      <c r="F51" s="3" t="s">
        <v>17</v>
      </c>
      <c r="G51" s="86"/>
      <c r="H51" s="7">
        <f>IF($W$5=FALSE,0,IF(C51=FALSE,0,1840))</f>
        <v>1840</v>
      </c>
      <c r="I51" s="86"/>
      <c r="J51" s="7">
        <f>IF($W$5=FALSE,0,IF(C51=FALSE,0,660))</f>
        <v>660</v>
      </c>
      <c r="K51" s="7">
        <f t="shared" si="45"/>
        <v>2500</v>
      </c>
      <c r="L51" s="23">
        <f>K51*$L$6</f>
        <v>93750</v>
      </c>
      <c r="M51" s="3" t="s">
        <v>17</v>
      </c>
      <c r="N51" s="7">
        <f>IF($W$6=FALSE,0,IF(C51=FALSE,0,0))</f>
        <v>0</v>
      </c>
      <c r="O51" s="7">
        <f>IF($W$6=FALSE,0,IF(C51=FALSE,0,1800))</f>
        <v>1800</v>
      </c>
      <c r="P51" s="86"/>
      <c r="Q51" s="7">
        <f>IF($W$6=FALSE,0,IF(C51=FALSE,0,110))</f>
        <v>110</v>
      </c>
      <c r="R51" s="7">
        <f>IF($W$6=FALSE,0,IF(C51=FALSE,0,70))</f>
        <v>70</v>
      </c>
      <c r="S51" s="86"/>
      <c r="T51" s="7">
        <f t="shared" si="46"/>
        <v>1980</v>
      </c>
      <c r="U51" s="23">
        <f>T51*$L$6</f>
        <v>74250</v>
      </c>
      <c r="V51" s="23">
        <f t="shared" si="58"/>
        <v>168000</v>
      </c>
      <c r="W51" s="7">
        <f>IF($W$7=FALSE,0,IF(C51=FALSE,0,40000))</f>
        <v>40000</v>
      </c>
      <c r="X51" s="86"/>
      <c r="Y51" s="86"/>
      <c r="Z51" s="86"/>
      <c r="AA51" s="23">
        <f t="shared" si="47"/>
        <v>40000</v>
      </c>
      <c r="AB51" s="23">
        <f t="shared" si="48"/>
        <v>208000</v>
      </c>
      <c r="AC51" s="14" t="str">
        <f>$A$22</f>
        <v>歐洲</v>
      </c>
      <c r="AD51" s="27">
        <f t="shared" si="49"/>
        <v>93750</v>
      </c>
      <c r="AE51" s="27">
        <f t="shared" si="50"/>
        <v>74250</v>
      </c>
      <c r="AF51" s="27">
        <f t="shared" si="51"/>
        <v>40000</v>
      </c>
      <c r="AG51" s="32"/>
      <c r="AH51" s="32"/>
      <c r="AI51" s="14" t="str">
        <f>$A$22</f>
        <v>歐洲</v>
      </c>
      <c r="AJ51" s="11" t="str">
        <f t="shared" si="52"/>
        <v>發明</v>
      </c>
      <c r="AK51" s="126" t="s">
        <v>16</v>
      </c>
      <c r="AL51" s="7">
        <f>IF($W$5=FALSE,0,IF(C51=FALSE,0,HLOOKUP(選項!$M$2,'P(M)年費表'!$AH$2:$BG$24,7)))</f>
        <v>31965.340000000004</v>
      </c>
      <c r="AM51" s="87"/>
      <c r="AN51" s="7"/>
      <c r="AO51" s="7">
        <f t="shared" si="53"/>
        <v>31965.340000000004</v>
      </c>
      <c r="AP51" s="89">
        <f>AO51*$L$5</f>
        <v>1022890.8800000001</v>
      </c>
      <c r="AQ51" s="126" t="s">
        <v>16</v>
      </c>
      <c r="AR51" s="7">
        <f>IF($W$6=FALSE,0,IF(C51=FALSE,0,HLOOKUP(選項!$M$2,'P(M)年費表'!$AH$29:$BG$51,7)))</f>
        <v>7523.760000000002</v>
      </c>
      <c r="AS51" s="7"/>
      <c r="AT51" s="7"/>
      <c r="AU51" s="7">
        <f t="shared" si="54"/>
        <v>7523.760000000002</v>
      </c>
      <c r="AV51" s="89">
        <f>AU51*$L$5</f>
        <v>240760.32000000007</v>
      </c>
      <c r="AW51" s="22">
        <f t="shared" si="55"/>
        <v>1263651.2000000002</v>
      </c>
      <c r="AX51" s="7">
        <f>IF($W$7=FALSE,0,IF(C51=FALSE,0,HLOOKUP(選項!$M$2,'P(M)年費表'!$AH$56:$BG$78,7)))</f>
        <v>255000</v>
      </c>
      <c r="AY51" s="22">
        <f t="shared" si="56"/>
        <v>255000</v>
      </c>
      <c r="AZ51" s="22">
        <f t="shared" si="57"/>
        <v>1518651.2000000002</v>
      </c>
      <c r="BA51" s="14" t="str">
        <f>$A$22</f>
        <v>歐洲</v>
      </c>
      <c r="BB51" s="27">
        <f t="shared" si="61"/>
        <v>1022890.8800000001</v>
      </c>
      <c r="BC51" s="27">
        <f t="shared" si="62"/>
        <v>240760.32000000007</v>
      </c>
      <c r="BD51" s="27">
        <f t="shared" si="63"/>
        <v>255000</v>
      </c>
      <c r="BF51" s="81"/>
      <c r="BG51" s="81"/>
      <c r="BH51" s="81"/>
      <c r="BI51" s="81"/>
      <c r="BJ51" s="81"/>
      <c r="BK51" s="81"/>
      <c r="BL51" s="81"/>
      <c r="BM51" s="81"/>
      <c r="BN51" s="81"/>
      <c r="BO51" s="81"/>
      <c r="BP51" s="81"/>
      <c r="BQ51" s="81"/>
      <c r="BR51" s="81"/>
      <c r="BS51" s="81"/>
      <c r="BT51" s="81"/>
      <c r="BU51" s="81"/>
      <c r="BV51" s="81"/>
      <c r="BW51" s="81"/>
      <c r="BX51" s="81"/>
      <c r="BY51" s="81"/>
      <c r="BZ51" s="81"/>
      <c r="CA51" s="81"/>
      <c r="CB51" s="81"/>
      <c r="CC51" s="81"/>
      <c r="CD51" s="81"/>
    </row>
    <row r="52" spans="1:82" x14ac:dyDescent="0.25">
      <c r="A52" s="194" t="s">
        <v>6</v>
      </c>
      <c r="B52" s="11" t="str">
        <f t="shared" si="43"/>
        <v>發明</v>
      </c>
      <c r="C52" s="11" t="b">
        <f t="shared" si="43"/>
        <v>1</v>
      </c>
      <c r="D52" s="11"/>
      <c r="E52" s="139" t="str">
        <f t="shared" si="44"/>
        <v>翻譯案</v>
      </c>
      <c r="F52" s="3" t="s">
        <v>18</v>
      </c>
      <c r="G52" s="86"/>
      <c r="H52" s="86"/>
      <c r="I52" s="86"/>
      <c r="J52" s="86"/>
      <c r="K52" s="7">
        <f t="shared" si="45"/>
        <v>0</v>
      </c>
      <c r="L52" s="23">
        <f>K52*$L$7</f>
        <v>0</v>
      </c>
      <c r="M52" s="3" t="s">
        <v>18</v>
      </c>
      <c r="N52" s="7">
        <f>IF($W$6=FALSE,0,IF(C52=FALSE,0,15000))</f>
        <v>15000</v>
      </c>
      <c r="O52" s="7">
        <f>IF($W$6=FALSE,0,IF(C52=FALSE,0,200000))</f>
        <v>200000</v>
      </c>
      <c r="P52" s="86"/>
      <c r="Q52" s="86"/>
      <c r="R52" s="86"/>
      <c r="S52" s="86"/>
      <c r="T52" s="7">
        <f t="shared" si="46"/>
        <v>215000</v>
      </c>
      <c r="U52" s="23">
        <f>T52*$L$7</f>
        <v>45150</v>
      </c>
      <c r="V52" s="23">
        <f t="shared" si="58"/>
        <v>45150</v>
      </c>
      <c r="W52" s="7">
        <f>IF($W$7=FALSE,0,IF(C52=FALSE,0,40000))</f>
        <v>40000</v>
      </c>
      <c r="X52" s="86"/>
      <c r="Y52" s="86"/>
      <c r="Z52" s="86"/>
      <c r="AA52" s="23">
        <f t="shared" si="47"/>
        <v>40000</v>
      </c>
      <c r="AB52" s="23">
        <f t="shared" si="48"/>
        <v>85150</v>
      </c>
      <c r="AC52" s="200" t="str">
        <f>$A$23</f>
        <v>日本</v>
      </c>
      <c r="AD52" s="27">
        <f t="shared" si="49"/>
        <v>0</v>
      </c>
      <c r="AE52" s="27">
        <f t="shared" si="50"/>
        <v>45150</v>
      </c>
      <c r="AF52" s="27">
        <f t="shared" si="51"/>
        <v>40000</v>
      </c>
      <c r="AG52" s="32"/>
      <c r="AH52" s="32"/>
      <c r="AI52" s="200" t="str">
        <f>$A$23</f>
        <v>日本</v>
      </c>
      <c r="AJ52" s="11" t="str">
        <f t="shared" si="52"/>
        <v>發明</v>
      </c>
      <c r="AK52" s="3" t="str">
        <f t="shared" si="59"/>
        <v>JPY</v>
      </c>
      <c r="AL52" s="7">
        <f>IF($W$5=FALSE,0,IF(C52=FALSE,0,HLOOKUP(選項!$M$2,'P(M)年費表'!$AH$2:$BG$24,8)))</f>
        <v>1345700</v>
      </c>
      <c r="AM52" s="87"/>
      <c r="AN52" s="7"/>
      <c r="AO52" s="7">
        <f t="shared" si="53"/>
        <v>1345700</v>
      </c>
      <c r="AP52" s="22">
        <f>AO52*$L$7</f>
        <v>282597</v>
      </c>
      <c r="AQ52" s="3" t="str">
        <f t="shared" si="60"/>
        <v>JPY</v>
      </c>
      <c r="AR52" s="7">
        <f>IF($W$6=FALSE,0,IF(C52=FALSE,0,HLOOKUP(選項!$M$2,'P(M)年費表'!$AH$29:$BG$51,8)))</f>
        <v>195000</v>
      </c>
      <c r="AS52" s="7"/>
      <c r="AT52" s="7"/>
      <c r="AU52" s="7">
        <f t="shared" si="54"/>
        <v>195000</v>
      </c>
      <c r="AV52" s="22">
        <f>AU52*$L$7</f>
        <v>40950</v>
      </c>
      <c r="AW52" s="22">
        <f t="shared" si="55"/>
        <v>323547</v>
      </c>
      <c r="AX52" s="7">
        <f>IF($W$7=FALSE,0,IF(C52=FALSE,0,HLOOKUP(選項!$M$2,'P(M)年費表'!$AH$56:$BG$78,8)))</f>
        <v>85000</v>
      </c>
      <c r="AY52" s="22">
        <f t="shared" si="56"/>
        <v>85000</v>
      </c>
      <c r="AZ52" s="22">
        <f t="shared" si="57"/>
        <v>408547</v>
      </c>
      <c r="BA52" s="200" t="str">
        <f>$A$23</f>
        <v>日本</v>
      </c>
      <c r="BB52" s="27">
        <f t="shared" si="61"/>
        <v>282597</v>
      </c>
      <c r="BC52" s="27">
        <f t="shared" si="62"/>
        <v>40950</v>
      </c>
      <c r="BD52" s="27">
        <f t="shared" si="63"/>
        <v>85000</v>
      </c>
      <c r="BF52" s="81"/>
      <c r="BG52" s="81"/>
      <c r="BH52" s="81"/>
      <c r="BI52" s="81"/>
      <c r="BJ52" s="81"/>
      <c r="BK52" s="81"/>
      <c r="BL52" s="81"/>
      <c r="BM52" s="81"/>
      <c r="BN52" s="81"/>
      <c r="BO52" s="81"/>
      <c r="BP52" s="81"/>
      <c r="BQ52" s="81"/>
      <c r="BR52" s="81"/>
      <c r="BS52" s="81"/>
      <c r="BT52" s="81"/>
      <c r="BU52" s="81"/>
      <c r="BV52" s="81"/>
      <c r="BW52" s="81"/>
      <c r="BX52" s="81"/>
      <c r="BY52" s="81"/>
      <c r="BZ52" s="81"/>
      <c r="CA52" s="81"/>
      <c r="CB52" s="81"/>
      <c r="CC52" s="81"/>
      <c r="CD52" s="81"/>
    </row>
    <row r="53" spans="1:82" x14ac:dyDescent="0.25">
      <c r="A53" s="195"/>
      <c r="B53" s="11" t="str">
        <f t="shared" si="43"/>
        <v>新型</v>
      </c>
      <c r="C53" s="11" t="b">
        <f t="shared" si="43"/>
        <v>0</v>
      </c>
      <c r="D53" s="11"/>
      <c r="E53" s="139" t="str">
        <f t="shared" si="44"/>
        <v>不申請</v>
      </c>
      <c r="F53" s="3" t="s">
        <v>18</v>
      </c>
      <c r="G53" s="86"/>
      <c r="H53" s="86"/>
      <c r="I53" s="86"/>
      <c r="J53" s="86"/>
      <c r="K53" s="7">
        <f t="shared" si="45"/>
        <v>0</v>
      </c>
      <c r="L53" s="23">
        <f>K53*$L$7</f>
        <v>0</v>
      </c>
      <c r="M53" s="3" t="s">
        <v>18</v>
      </c>
      <c r="N53" s="86"/>
      <c r="O53" s="86"/>
      <c r="P53" s="86"/>
      <c r="Q53" s="86"/>
      <c r="R53" s="86"/>
      <c r="S53" s="86"/>
      <c r="T53" s="7">
        <f t="shared" si="46"/>
        <v>0</v>
      </c>
      <c r="U53" s="23">
        <f>T53*$L$7</f>
        <v>0</v>
      </c>
      <c r="V53" s="23">
        <f t="shared" si="58"/>
        <v>0</v>
      </c>
      <c r="W53" s="86"/>
      <c r="X53" s="86"/>
      <c r="Y53" s="86"/>
      <c r="Z53" s="86"/>
      <c r="AA53" s="23">
        <f t="shared" si="47"/>
        <v>0</v>
      </c>
      <c r="AB53" s="23">
        <f t="shared" si="48"/>
        <v>0</v>
      </c>
      <c r="AC53" s="195"/>
      <c r="AD53" s="27">
        <f t="shared" si="49"/>
        <v>0</v>
      </c>
      <c r="AE53" s="27">
        <f t="shared" si="50"/>
        <v>0</v>
      </c>
      <c r="AF53" s="27">
        <f t="shared" si="51"/>
        <v>0</v>
      </c>
      <c r="AG53" s="32"/>
      <c r="AH53" s="32"/>
      <c r="AI53" s="195"/>
      <c r="AJ53" s="11" t="str">
        <f t="shared" si="52"/>
        <v>新型</v>
      </c>
      <c r="AK53" s="3" t="str">
        <f t="shared" si="59"/>
        <v>JPY</v>
      </c>
      <c r="AL53" s="7">
        <f>IF($W$5=FALSE,0,IF(C53=FALSE,0,HLOOKUP(選項!$M$2,'P(M)年費表'!$AH$2:$BG$24,9)))</f>
        <v>0</v>
      </c>
      <c r="AM53" s="87"/>
      <c r="AN53" s="7"/>
      <c r="AO53" s="7">
        <f t="shared" si="53"/>
        <v>0</v>
      </c>
      <c r="AP53" s="22">
        <f>AO53*$L$7</f>
        <v>0</v>
      </c>
      <c r="AQ53" s="3" t="str">
        <f t="shared" si="60"/>
        <v>JPY</v>
      </c>
      <c r="AR53" s="7">
        <f>IF($W$6=FALSE,0,IF(C53=FALSE,0,HLOOKUP(選項!$M$2,'P(M)年費表'!$AH$29:$BG$51,9)))</f>
        <v>0</v>
      </c>
      <c r="AS53" s="7"/>
      <c r="AT53" s="7"/>
      <c r="AU53" s="7">
        <f t="shared" si="54"/>
        <v>0</v>
      </c>
      <c r="AV53" s="22">
        <f>AU53*$L$7</f>
        <v>0</v>
      </c>
      <c r="AW53" s="22">
        <f t="shared" si="55"/>
        <v>0</v>
      </c>
      <c r="AX53" s="7">
        <f>IF($W$7=FALSE,0,IF(C53=FALSE,0,HLOOKUP(選項!$M$2,'P(M)年費表'!$AH$56:$BG$78,9)))</f>
        <v>0</v>
      </c>
      <c r="AY53" s="22">
        <f t="shared" si="56"/>
        <v>0</v>
      </c>
      <c r="AZ53" s="22">
        <f t="shared" si="57"/>
        <v>0</v>
      </c>
      <c r="BA53" s="195"/>
      <c r="BB53" s="27">
        <f t="shared" si="61"/>
        <v>0</v>
      </c>
      <c r="BC53" s="27">
        <f t="shared" si="62"/>
        <v>0</v>
      </c>
      <c r="BD53" s="27">
        <f t="shared" si="63"/>
        <v>0</v>
      </c>
      <c r="BF53" s="81"/>
      <c r="BG53" s="81"/>
      <c r="BH53" s="81"/>
      <c r="BI53" s="81"/>
      <c r="BJ53" s="81"/>
      <c r="BK53" s="81"/>
      <c r="BL53" s="81"/>
      <c r="BM53" s="81"/>
      <c r="BN53" s="81"/>
      <c r="BO53" s="81"/>
      <c r="BP53" s="81"/>
      <c r="BQ53" s="81"/>
      <c r="BR53" s="81"/>
      <c r="BS53" s="81"/>
      <c r="BT53" s="81"/>
      <c r="BU53" s="81"/>
      <c r="BV53" s="81"/>
      <c r="BW53" s="81"/>
      <c r="BX53" s="81"/>
      <c r="BY53" s="81"/>
      <c r="BZ53" s="81"/>
      <c r="CA53" s="81"/>
      <c r="CB53" s="81"/>
      <c r="CC53" s="81"/>
      <c r="CD53" s="81"/>
    </row>
    <row r="54" spans="1:82" x14ac:dyDescent="0.25">
      <c r="A54" s="194" t="s">
        <v>7</v>
      </c>
      <c r="B54" s="11" t="str">
        <f t="shared" si="43"/>
        <v>發明</v>
      </c>
      <c r="C54" s="11" t="b">
        <f t="shared" si="43"/>
        <v>1</v>
      </c>
      <c r="D54" s="11"/>
      <c r="E54" s="139" t="str">
        <f t="shared" si="44"/>
        <v>翻譯案</v>
      </c>
      <c r="F54" s="3" t="s">
        <v>19</v>
      </c>
      <c r="G54" s="7">
        <f>IF($W$5=FALSE,0,IF(C54=FALSE,0,4000))</f>
        <v>4000</v>
      </c>
      <c r="H54" s="86"/>
      <c r="I54" s="86"/>
      <c r="J54" s="86"/>
      <c r="K54" s="7">
        <f t="shared" si="45"/>
        <v>4000</v>
      </c>
      <c r="L54" s="23">
        <f>K54*$L$8</f>
        <v>100</v>
      </c>
      <c r="M54" s="3" t="s">
        <v>16</v>
      </c>
      <c r="N54" s="86"/>
      <c r="O54" s="7">
        <f>IF($W$6=FALSE,0,IF(C54=FALSE,0,1000))</f>
        <v>1000</v>
      </c>
      <c r="P54" s="86"/>
      <c r="Q54" s="86"/>
      <c r="R54" s="86"/>
      <c r="S54" s="7">
        <f>IF($W$6=FALSE,0,IF(C54=FALSE,0,1000))</f>
        <v>1000</v>
      </c>
      <c r="T54" s="7">
        <f t="shared" si="46"/>
        <v>2000</v>
      </c>
      <c r="U54" s="23">
        <f>T54*$L$5</f>
        <v>64000</v>
      </c>
      <c r="V54" s="23">
        <f t="shared" si="58"/>
        <v>64100</v>
      </c>
      <c r="W54" s="7">
        <f t="shared" ref="W54:W65" si="64">IF($W$7=FALSE,0,IF(C54=FALSE,0,40000))</f>
        <v>40000</v>
      </c>
      <c r="X54" s="86"/>
      <c r="Y54" s="86"/>
      <c r="Z54" s="86"/>
      <c r="AA54" s="23">
        <f t="shared" si="47"/>
        <v>40000</v>
      </c>
      <c r="AB54" s="23">
        <f t="shared" si="48"/>
        <v>104100</v>
      </c>
      <c r="AC54" s="200" t="str">
        <f>$A$25</f>
        <v>韓國</v>
      </c>
      <c r="AD54" s="27">
        <f t="shared" si="49"/>
        <v>100</v>
      </c>
      <c r="AE54" s="27">
        <f t="shared" si="50"/>
        <v>64000</v>
      </c>
      <c r="AF54" s="27">
        <f t="shared" si="51"/>
        <v>40000</v>
      </c>
      <c r="AG54" s="32"/>
      <c r="AH54" s="32"/>
      <c r="AI54" s="200" t="str">
        <f>$A$25</f>
        <v>韓國</v>
      </c>
      <c r="AJ54" s="11" t="str">
        <f t="shared" si="52"/>
        <v>發明</v>
      </c>
      <c r="AK54" s="3" t="str">
        <f t="shared" si="59"/>
        <v>KRW</v>
      </c>
      <c r="AL54" s="7">
        <f>IF($W$5=FALSE,0,IF(C54=FALSE,0,HLOOKUP(選項!$M$2,'P(M)年費表'!$AH$2:$BG$24,10)))</f>
        <v>10628000</v>
      </c>
      <c r="AM54" s="87"/>
      <c r="AN54" s="7"/>
      <c r="AO54" s="7">
        <f t="shared" si="53"/>
        <v>10628000</v>
      </c>
      <c r="AP54" s="22">
        <f>AO54*$L$8</f>
        <v>265700</v>
      </c>
      <c r="AQ54" s="3" t="str">
        <f t="shared" si="60"/>
        <v>USD</v>
      </c>
      <c r="AR54" s="7">
        <f>IF($W$6=FALSE,0,IF(C54=FALSE,0,HLOOKUP(選項!$M$2,'P(M)年費表'!$AH$29:$BG$51,10)))</f>
        <v>3210</v>
      </c>
      <c r="AS54" s="7"/>
      <c r="AT54" s="7"/>
      <c r="AU54" s="7">
        <f t="shared" si="54"/>
        <v>3210</v>
      </c>
      <c r="AV54" s="22">
        <f>AU54*$L$5</f>
        <v>102720</v>
      </c>
      <c r="AW54" s="22">
        <f t="shared" si="55"/>
        <v>368420</v>
      </c>
      <c r="AX54" s="7">
        <f>IF($W$7=FALSE,0,IF(C54=FALSE,0,HLOOKUP(選項!$M$2,'P(M)年費表'!$AH$56:$BG$78,10)))</f>
        <v>85000</v>
      </c>
      <c r="AY54" s="22">
        <f t="shared" si="56"/>
        <v>85000</v>
      </c>
      <c r="AZ54" s="22">
        <f t="shared" si="57"/>
        <v>453420</v>
      </c>
      <c r="BA54" s="200" t="str">
        <f>$A$25</f>
        <v>韓國</v>
      </c>
      <c r="BB54" s="27">
        <f t="shared" si="61"/>
        <v>265700</v>
      </c>
      <c r="BC54" s="27">
        <f t="shared" si="62"/>
        <v>102720</v>
      </c>
      <c r="BD54" s="27">
        <f t="shared" si="63"/>
        <v>85000</v>
      </c>
      <c r="BF54" s="81"/>
      <c r="BG54" s="81"/>
      <c r="BH54" s="81"/>
      <c r="BI54" s="81"/>
      <c r="BJ54" s="81"/>
      <c r="BK54" s="81"/>
      <c r="BL54" s="81"/>
      <c r="BM54" s="81"/>
      <c r="BN54" s="81"/>
      <c r="BO54" s="81"/>
      <c r="BP54" s="81"/>
      <c r="BQ54" s="81"/>
      <c r="BR54" s="81"/>
      <c r="BS54" s="81"/>
      <c r="BT54" s="81"/>
      <c r="BU54" s="81"/>
      <c r="BV54" s="81"/>
      <c r="BW54" s="81"/>
      <c r="BX54" s="81"/>
      <c r="BY54" s="81"/>
      <c r="BZ54" s="81"/>
      <c r="CA54" s="81"/>
      <c r="CB54" s="81"/>
      <c r="CC54" s="81"/>
      <c r="CD54" s="81"/>
    </row>
    <row r="55" spans="1:82" x14ac:dyDescent="0.25">
      <c r="A55" s="195"/>
      <c r="B55" s="11" t="str">
        <f t="shared" si="43"/>
        <v>新型</v>
      </c>
      <c r="C55" s="11" t="b">
        <f t="shared" si="43"/>
        <v>0</v>
      </c>
      <c r="D55" s="11"/>
      <c r="E55" s="139" t="str">
        <f t="shared" si="44"/>
        <v>不申請</v>
      </c>
      <c r="F55" s="3" t="s">
        <v>19</v>
      </c>
      <c r="G55" s="7">
        <f>IF($W$5=FALSE,0,IF(C55=FALSE,0,4000))</f>
        <v>0</v>
      </c>
      <c r="H55" s="86"/>
      <c r="I55" s="86"/>
      <c r="J55" s="86"/>
      <c r="K55" s="7">
        <f t="shared" si="45"/>
        <v>0</v>
      </c>
      <c r="L55" s="23">
        <f>K55*$L$8</f>
        <v>0</v>
      </c>
      <c r="M55" s="3" t="s">
        <v>16</v>
      </c>
      <c r="N55" s="86"/>
      <c r="O55" s="7">
        <f>IF($W$6=FALSE,0,IF(C55=FALSE,0,1000))</f>
        <v>0</v>
      </c>
      <c r="P55" s="86"/>
      <c r="Q55" s="86"/>
      <c r="R55" s="86"/>
      <c r="S55" s="7">
        <f>IF($W$6=FALSE,0,IF(C55=FALSE,0,1000))</f>
        <v>0</v>
      </c>
      <c r="T55" s="7">
        <f t="shared" si="46"/>
        <v>0</v>
      </c>
      <c r="U55" s="23">
        <f>T55*$L$5</f>
        <v>0</v>
      </c>
      <c r="V55" s="23">
        <f t="shared" si="58"/>
        <v>0</v>
      </c>
      <c r="W55" s="7">
        <f t="shared" si="64"/>
        <v>0</v>
      </c>
      <c r="X55" s="86"/>
      <c r="Y55" s="86"/>
      <c r="Z55" s="86"/>
      <c r="AA55" s="23">
        <f t="shared" si="47"/>
        <v>0</v>
      </c>
      <c r="AB55" s="23">
        <f t="shared" si="48"/>
        <v>0</v>
      </c>
      <c r="AC55" s="195"/>
      <c r="AD55" s="27">
        <f t="shared" si="49"/>
        <v>0</v>
      </c>
      <c r="AE55" s="27">
        <f t="shared" si="50"/>
        <v>0</v>
      </c>
      <c r="AF55" s="27">
        <f t="shared" si="51"/>
        <v>0</v>
      </c>
      <c r="AG55" s="32"/>
      <c r="AH55" s="32"/>
      <c r="AI55" s="195"/>
      <c r="AJ55" s="11" t="str">
        <f t="shared" si="52"/>
        <v>新型</v>
      </c>
      <c r="AK55" s="3" t="str">
        <f t="shared" si="59"/>
        <v>KRW</v>
      </c>
      <c r="AL55" s="7">
        <f>IF($W$5=FALSE,0,IF(C55=FALSE,0,HLOOKUP(選項!$M$2,'P(M)年費表'!$AH$2:$BG$24,11)))</f>
        <v>0</v>
      </c>
      <c r="AM55" s="87"/>
      <c r="AN55" s="7"/>
      <c r="AO55" s="7">
        <f t="shared" si="53"/>
        <v>0</v>
      </c>
      <c r="AP55" s="22">
        <f>AO55*$L$8</f>
        <v>0</v>
      </c>
      <c r="AQ55" s="3" t="str">
        <f t="shared" si="60"/>
        <v>USD</v>
      </c>
      <c r="AR55" s="7">
        <f>IF($W$6=FALSE,0,IF(C55=FALSE,0,HLOOKUP(選項!$M$2,'P(M)年費表'!$AH$29:$BG$51,11)))</f>
        <v>0</v>
      </c>
      <c r="AS55" s="7"/>
      <c r="AT55" s="7"/>
      <c r="AU55" s="7">
        <f t="shared" si="54"/>
        <v>0</v>
      </c>
      <c r="AV55" s="22">
        <f>AU55*$L$5</f>
        <v>0</v>
      </c>
      <c r="AW55" s="22">
        <f t="shared" si="55"/>
        <v>0</v>
      </c>
      <c r="AX55" s="7">
        <f>IF($W$7=FALSE,0,IF(C55=FALSE,0,HLOOKUP(選項!$M$2,'P(M)年費表'!$AH$56:$BG$78,11)))</f>
        <v>0</v>
      </c>
      <c r="AY55" s="22">
        <f t="shared" si="56"/>
        <v>0</v>
      </c>
      <c r="AZ55" s="22">
        <f t="shared" si="57"/>
        <v>0</v>
      </c>
      <c r="BA55" s="195"/>
      <c r="BB55" s="27">
        <f t="shared" si="61"/>
        <v>0</v>
      </c>
      <c r="BC55" s="27">
        <f t="shared" si="62"/>
        <v>0</v>
      </c>
      <c r="BD55" s="27">
        <f t="shared" si="63"/>
        <v>0</v>
      </c>
      <c r="BF55" s="81"/>
      <c r="BG55" s="81"/>
      <c r="BH55" s="81"/>
      <c r="BI55" s="81"/>
      <c r="BJ55" s="81"/>
      <c r="BK55" s="81"/>
      <c r="BL55" s="81"/>
      <c r="BM55" s="81"/>
      <c r="BN55" s="81"/>
      <c r="BO55" s="81"/>
      <c r="BP55" s="81"/>
      <c r="BQ55" s="81"/>
      <c r="BR55" s="81"/>
      <c r="BS55" s="81"/>
      <c r="BT55" s="81"/>
      <c r="BU55" s="81"/>
      <c r="BV55" s="81"/>
      <c r="BW55" s="81"/>
      <c r="BX55" s="81"/>
      <c r="BY55" s="81"/>
      <c r="BZ55" s="81"/>
      <c r="CA55" s="81"/>
      <c r="CB55" s="81"/>
      <c r="CC55" s="81"/>
      <c r="CD55" s="81"/>
    </row>
    <row r="56" spans="1:82" x14ac:dyDescent="0.25">
      <c r="A56" s="3" t="s">
        <v>42</v>
      </c>
      <c r="B56" s="11" t="str">
        <f t="shared" si="43"/>
        <v>發明</v>
      </c>
      <c r="C56" s="11" t="b">
        <f t="shared" si="43"/>
        <v>1</v>
      </c>
      <c r="D56" s="11"/>
      <c r="E56" s="139" t="str">
        <f t="shared" si="44"/>
        <v>同語言轉換案</v>
      </c>
      <c r="F56" s="3" t="s">
        <v>43</v>
      </c>
      <c r="G56" s="86"/>
      <c r="H56" s="86"/>
      <c r="I56" s="86"/>
      <c r="J56" s="86"/>
      <c r="K56" s="7">
        <f>IF($U$8=FALSE,0,SUM(G56:J56))</f>
        <v>0</v>
      </c>
      <c r="L56" s="23">
        <f>K56*$N$9</f>
        <v>0</v>
      </c>
      <c r="M56" s="3" t="s">
        <v>43</v>
      </c>
      <c r="N56" s="86"/>
      <c r="O56" s="7">
        <f>IF($W$6=FALSE,0,IF(C56=FALSE,0,2000))</f>
        <v>2000</v>
      </c>
      <c r="P56" s="86"/>
      <c r="Q56" s="86"/>
      <c r="R56" s="86"/>
      <c r="S56" s="86"/>
      <c r="T56" s="7">
        <f>IF($U$8=FALSE,0,SUM(N56:S56))</f>
        <v>2000</v>
      </c>
      <c r="U56" s="23">
        <f>T56*$N$9</f>
        <v>47000</v>
      </c>
      <c r="V56" s="23">
        <f>L56+U56</f>
        <v>47000</v>
      </c>
      <c r="W56" s="7">
        <f>IF($W$7=FALSE,0,IF(C56=FALSE,0,40000))</f>
        <v>40000</v>
      </c>
      <c r="X56" s="86"/>
      <c r="Y56" s="86"/>
      <c r="Z56" s="86"/>
      <c r="AA56" s="23">
        <f>IF($U$8=FALSE,0,SUM(W56:Z56))</f>
        <v>40000</v>
      </c>
      <c r="AB56" s="23">
        <f>V56+AA56</f>
        <v>87000</v>
      </c>
      <c r="AC56" s="14" t="str">
        <f>$A$27</f>
        <v>加拿大</v>
      </c>
      <c r="AD56" s="27">
        <f>L56</f>
        <v>0</v>
      </c>
      <c r="AE56" s="27">
        <f>U56</f>
        <v>47000</v>
      </c>
      <c r="AF56" s="27">
        <f>AA56</f>
        <v>40000</v>
      </c>
      <c r="AG56" s="32"/>
      <c r="AH56" s="32"/>
      <c r="AI56" s="14" t="str">
        <f>$A$27</f>
        <v>加拿大</v>
      </c>
      <c r="AJ56" s="11" t="str">
        <f>B56</f>
        <v>發明</v>
      </c>
      <c r="AK56" s="3" t="str">
        <f>F56</f>
        <v>CAD</v>
      </c>
      <c r="AL56" s="7">
        <f>IF($W$5=FALSE,0,IF(C56=FALSE,0,HLOOKUP(選項!$M$2,'P(M)年費表'!$AH$2:$BG$24,12)))</f>
        <v>2671.1900000000005</v>
      </c>
      <c r="AM56" s="87"/>
      <c r="AN56" s="7"/>
      <c r="AO56" s="7">
        <f>IF($U$7=FALSE,0,SUM(AL56:AN56))</f>
        <v>2671.1900000000005</v>
      </c>
      <c r="AP56" s="22">
        <f>AO56*$N$9</f>
        <v>62772.965000000011</v>
      </c>
      <c r="AQ56" s="3" t="str">
        <f>M56</f>
        <v>CAD</v>
      </c>
      <c r="AR56" s="7">
        <f>IF($W$6=FALSE,0,IF(C56=FALSE,0,HLOOKUP(選項!$M$2,'P(M)年費表'!$AH$29:$BG$51,12)))</f>
        <v>4050</v>
      </c>
      <c r="AS56" s="7"/>
      <c r="AT56" s="7"/>
      <c r="AU56" s="7">
        <f>IF($U$7=FALSE,0,SUM(AR56:AT56))</f>
        <v>4050</v>
      </c>
      <c r="AV56" s="22">
        <f>AU56*$N$9</f>
        <v>95175</v>
      </c>
      <c r="AW56" s="22">
        <f>AP56+AV56</f>
        <v>157947.96500000003</v>
      </c>
      <c r="AX56" s="7">
        <f>IF($W$7=FALSE,0,IF(C56=FALSE,0,HLOOKUP(選項!$M$2,'P(M)年費表'!$AH$56:$BG$78,12)))</f>
        <v>90000</v>
      </c>
      <c r="AY56" s="22">
        <f>IF($U$7=FALSE,0,SUM(AX56:AX56))</f>
        <v>90000</v>
      </c>
      <c r="AZ56" s="22">
        <f>AW56+AY56</f>
        <v>247947.96500000003</v>
      </c>
      <c r="BA56" s="14" t="str">
        <f>$A$27</f>
        <v>加拿大</v>
      </c>
      <c r="BB56" s="27">
        <f>AP56</f>
        <v>62772.965000000011</v>
      </c>
      <c r="BC56" s="27">
        <f>AV56</f>
        <v>95175</v>
      </c>
      <c r="BD56" s="27">
        <f>AY56</f>
        <v>90000</v>
      </c>
      <c r="BF56" s="81"/>
      <c r="BG56" s="81"/>
      <c r="BH56" s="81"/>
      <c r="BI56" s="81"/>
      <c r="BJ56" s="81"/>
      <c r="BK56" s="81"/>
      <c r="BL56" s="81"/>
      <c r="BM56" s="81"/>
      <c r="BN56" s="81"/>
      <c r="BO56" s="81"/>
      <c r="BP56" s="81"/>
      <c r="BQ56" s="81"/>
      <c r="BR56" s="81"/>
      <c r="BS56" s="81"/>
      <c r="BT56" s="81"/>
      <c r="BU56" s="81"/>
      <c r="BV56" s="81"/>
      <c r="BW56" s="81"/>
      <c r="BX56" s="81"/>
      <c r="BY56" s="81"/>
      <c r="BZ56" s="81"/>
      <c r="CA56" s="81"/>
      <c r="CB56" s="81"/>
      <c r="CC56" s="81"/>
      <c r="CD56" s="81"/>
    </row>
    <row r="57" spans="1:82" x14ac:dyDescent="0.25">
      <c r="A57" s="3" t="s">
        <v>8</v>
      </c>
      <c r="B57" s="11" t="str">
        <f t="shared" si="43"/>
        <v>發明</v>
      </c>
      <c r="C57" s="11" t="b">
        <f t="shared" si="43"/>
        <v>1</v>
      </c>
      <c r="D57" s="11"/>
      <c r="E57" s="139" t="str">
        <f t="shared" si="44"/>
        <v>同語言轉換案</v>
      </c>
      <c r="F57" s="3" t="s">
        <v>20</v>
      </c>
      <c r="G57" s="86"/>
      <c r="H57" s="86"/>
      <c r="I57" s="86"/>
      <c r="J57" s="86"/>
      <c r="K57" s="7">
        <f t="shared" si="45"/>
        <v>0</v>
      </c>
      <c r="L57" s="23">
        <f>K57*$N$6</f>
        <v>0</v>
      </c>
      <c r="M57" s="3" t="s">
        <v>20</v>
      </c>
      <c r="N57" s="7">
        <f>IF($W$6=FALSE,0,IF(C57=FALSE,0,400))</f>
        <v>400</v>
      </c>
      <c r="O57" s="7">
        <f>IF($W$6=FALSE,0,IF(C57=FALSE,0,1500))</f>
        <v>1500</v>
      </c>
      <c r="P57" s="86"/>
      <c r="Q57" s="86"/>
      <c r="R57" s="86"/>
      <c r="S57" s="86"/>
      <c r="T57" s="7">
        <f t="shared" si="46"/>
        <v>1900</v>
      </c>
      <c r="U57" s="23">
        <f>T57*$N$6</f>
        <v>47500</v>
      </c>
      <c r="V57" s="23">
        <f t="shared" si="58"/>
        <v>47500</v>
      </c>
      <c r="W57" s="7">
        <f t="shared" si="64"/>
        <v>40000</v>
      </c>
      <c r="X57" s="86"/>
      <c r="Y57" s="86"/>
      <c r="Z57" s="86"/>
      <c r="AA57" s="23">
        <f t="shared" si="47"/>
        <v>40000</v>
      </c>
      <c r="AB57" s="23">
        <f t="shared" si="48"/>
        <v>87500</v>
      </c>
      <c r="AC57" s="14" t="str">
        <f>$A$28</f>
        <v>新加坡</v>
      </c>
      <c r="AD57" s="27">
        <f t="shared" si="49"/>
        <v>0</v>
      </c>
      <c r="AE57" s="27">
        <f t="shared" si="50"/>
        <v>47500</v>
      </c>
      <c r="AF57" s="27">
        <f t="shared" si="51"/>
        <v>40000</v>
      </c>
      <c r="AG57" s="32"/>
      <c r="AH57" s="32"/>
      <c r="AI57" s="14" t="str">
        <f>$A$28</f>
        <v>新加坡</v>
      </c>
      <c r="AJ57" s="11" t="str">
        <f t="shared" si="52"/>
        <v>發明</v>
      </c>
      <c r="AK57" s="3" t="str">
        <f t="shared" si="59"/>
        <v>SGD</v>
      </c>
      <c r="AL57" s="7">
        <f>IF($W$5=FALSE,0,IF(C57=FALSE,0,HLOOKUP(選項!$M$2,'P(M)年費表'!$AH$2:$BG$24,13)))</f>
        <v>10548</v>
      </c>
      <c r="AM57" s="87"/>
      <c r="AN57" s="7"/>
      <c r="AO57" s="7">
        <f t="shared" si="53"/>
        <v>10548</v>
      </c>
      <c r="AP57" s="22">
        <f>AO57*$N$6</f>
        <v>263700</v>
      </c>
      <c r="AQ57" s="3" t="str">
        <f t="shared" si="60"/>
        <v>SGD</v>
      </c>
      <c r="AR57" s="7">
        <f>IF($W$6=FALSE,0,IF(C57=FALSE,0,HLOOKUP(選項!$M$2,'P(M)年費表'!$AH$29:$BG$51,13)))</f>
        <v>5400</v>
      </c>
      <c r="AS57" s="7"/>
      <c r="AT57" s="7"/>
      <c r="AU57" s="7">
        <f t="shared" si="54"/>
        <v>5400</v>
      </c>
      <c r="AV57" s="22">
        <f>AU57*$N$6</f>
        <v>135000</v>
      </c>
      <c r="AW57" s="22">
        <f t="shared" si="55"/>
        <v>398700</v>
      </c>
      <c r="AX57" s="7">
        <f>IF($W$7=FALSE,0,IF(C57=FALSE,0,HLOOKUP(選項!$M$2,'P(M)年費表'!$AH$56:$BG$78,13)))</f>
        <v>80000</v>
      </c>
      <c r="AY57" s="22">
        <f t="shared" si="56"/>
        <v>80000</v>
      </c>
      <c r="AZ57" s="22">
        <f t="shared" si="57"/>
        <v>478700</v>
      </c>
      <c r="BA57" s="14" t="str">
        <f>$A$28</f>
        <v>新加坡</v>
      </c>
      <c r="BB57" s="27">
        <f t="shared" si="61"/>
        <v>263700</v>
      </c>
      <c r="BC57" s="27">
        <f t="shared" si="62"/>
        <v>135000</v>
      </c>
      <c r="BD57" s="27">
        <f t="shared" si="63"/>
        <v>80000</v>
      </c>
      <c r="BF57" s="81"/>
      <c r="BG57" s="81"/>
      <c r="BH57" s="81"/>
      <c r="BI57" s="81"/>
      <c r="BJ57" s="81"/>
      <c r="BK57" s="81"/>
      <c r="BL57" s="81"/>
      <c r="BM57" s="81"/>
      <c r="BN57" s="81"/>
      <c r="BO57" s="81"/>
      <c r="BP57" s="81"/>
      <c r="BQ57" s="81"/>
      <c r="BR57" s="81"/>
      <c r="BS57" s="81"/>
      <c r="BT57" s="81"/>
      <c r="BU57" s="81"/>
      <c r="BV57" s="81"/>
      <c r="BW57" s="81"/>
      <c r="BX57" s="81"/>
      <c r="BY57" s="81"/>
      <c r="BZ57" s="81"/>
      <c r="CA57" s="81"/>
      <c r="CB57" s="81"/>
      <c r="CC57" s="81"/>
      <c r="CD57" s="81"/>
    </row>
    <row r="58" spans="1:82" x14ac:dyDescent="0.25">
      <c r="A58" s="194" t="s">
        <v>11</v>
      </c>
      <c r="B58" s="11" t="str">
        <f t="shared" si="43"/>
        <v>發明</v>
      </c>
      <c r="C58" s="11" t="b">
        <f t="shared" si="43"/>
        <v>1</v>
      </c>
      <c r="D58" s="11"/>
      <c r="E58" s="139" t="str">
        <f t="shared" si="44"/>
        <v>同語言轉換案</v>
      </c>
      <c r="F58" s="3" t="s">
        <v>23</v>
      </c>
      <c r="G58" s="86"/>
      <c r="H58" s="86"/>
      <c r="I58" s="86"/>
      <c r="J58" s="86"/>
      <c r="K58" s="7">
        <f>IF($U$8=FALSE,0,SUM(G58:J58))</f>
        <v>0</v>
      </c>
      <c r="L58" s="23">
        <f>K58*$N$8</f>
        <v>0</v>
      </c>
      <c r="M58" s="3" t="s">
        <v>23</v>
      </c>
      <c r="N58" s="7">
        <f>IF($W$6=FALSE,0,IF(C58=FALSE,0,200))</f>
        <v>200</v>
      </c>
      <c r="O58" s="7">
        <f>IF($W$6=FALSE,0,IF(C58=FALSE,0,3000))</f>
        <v>3000</v>
      </c>
      <c r="P58" s="86"/>
      <c r="Q58" s="86"/>
      <c r="R58" s="86"/>
      <c r="S58" s="86"/>
      <c r="T58" s="7">
        <f>IF($U$8=FALSE,0,SUM(N58:S58))</f>
        <v>3200</v>
      </c>
      <c r="U58" s="23">
        <f>T58*$N$8</f>
        <v>26560.000000000004</v>
      </c>
      <c r="V58" s="23">
        <f>L58+U58</f>
        <v>26560.000000000004</v>
      </c>
      <c r="W58" s="7">
        <f>IF($W$7=FALSE,0,IF(C58=FALSE,0,40000))</f>
        <v>40000</v>
      </c>
      <c r="X58" s="86"/>
      <c r="Y58" s="86"/>
      <c r="Z58" s="86"/>
      <c r="AA58" s="23">
        <f>IF($U$8=FALSE,0,SUM(W58:Z58))</f>
        <v>40000</v>
      </c>
      <c r="AB58" s="23">
        <f>V58+AA58</f>
        <v>66560</v>
      </c>
      <c r="AC58" s="200" t="str">
        <f>$A$29</f>
        <v>馬來西亞</v>
      </c>
      <c r="AD58" s="27">
        <f>L58</f>
        <v>0</v>
      </c>
      <c r="AE58" s="27">
        <f>U58</f>
        <v>26560.000000000004</v>
      </c>
      <c r="AF58" s="27">
        <f>AA58</f>
        <v>40000</v>
      </c>
      <c r="AG58" s="32"/>
      <c r="AH58" s="32"/>
      <c r="AI58" s="200" t="str">
        <f>$A$29</f>
        <v>馬來西亞</v>
      </c>
      <c r="AJ58" s="11" t="str">
        <f>B58</f>
        <v>發明</v>
      </c>
      <c r="AK58" s="3" t="str">
        <f>F58</f>
        <v>MYR</v>
      </c>
      <c r="AL58" s="7">
        <f>IF($W$5=FALSE,0,IF(C58=FALSE,0,HLOOKUP(選項!$M$2,'P(M)年費表'!$AH$2:$BG$24,14)))</f>
        <v>24150</v>
      </c>
      <c r="AM58" s="87"/>
      <c r="AN58" s="7"/>
      <c r="AO58" s="7">
        <f>IF($U$7=FALSE,0,SUM(AL58:AN58))</f>
        <v>24150</v>
      </c>
      <c r="AP58" s="22">
        <f>AO58*$N$8</f>
        <v>200445.00000000003</v>
      </c>
      <c r="AQ58" s="3" t="str">
        <f>M58</f>
        <v>MYR</v>
      </c>
      <c r="AR58" s="7">
        <f>IF($W$6=FALSE,0,IF(C58=FALSE,0,HLOOKUP(選項!$M$2,'P(M)年費表'!$AH$29:$BG$51,14)))</f>
        <v>5125</v>
      </c>
      <c r="AS58" s="7"/>
      <c r="AT58" s="7"/>
      <c r="AU58" s="7">
        <f>IF($U$7=FALSE,0,SUM(AR58:AT58))</f>
        <v>5125</v>
      </c>
      <c r="AV58" s="22">
        <f>AU58*$N$8</f>
        <v>42537.500000000007</v>
      </c>
      <c r="AW58" s="22">
        <f>AP58+AV58</f>
        <v>242982.50000000003</v>
      </c>
      <c r="AX58" s="7">
        <f>IF($W$7=FALSE,0,IF(C58=FALSE,0,HLOOKUP(選項!$M$2,'P(M)年費表'!$AH$56:$BG$78,14)))</f>
        <v>95000</v>
      </c>
      <c r="AY58" s="22">
        <f>IF($U$7=FALSE,0,SUM(AX58:AX58))</f>
        <v>95000</v>
      </c>
      <c r="AZ58" s="22">
        <f>AW58+AY58</f>
        <v>337982.5</v>
      </c>
      <c r="BA58" s="200" t="str">
        <f>$A$29</f>
        <v>馬來西亞</v>
      </c>
      <c r="BB58" s="27">
        <f>AP58</f>
        <v>200445.00000000003</v>
      </c>
      <c r="BC58" s="27">
        <f>AV58</f>
        <v>42537.500000000007</v>
      </c>
      <c r="BD58" s="27">
        <f>AY58</f>
        <v>95000</v>
      </c>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81"/>
    </row>
    <row r="59" spans="1:82" x14ac:dyDescent="0.25">
      <c r="A59" s="195"/>
      <c r="B59" s="11" t="str">
        <f t="shared" si="43"/>
        <v>新型</v>
      </c>
      <c r="C59" s="11" t="b">
        <f t="shared" si="43"/>
        <v>0</v>
      </c>
      <c r="D59" s="11"/>
      <c r="E59" s="139" t="str">
        <f t="shared" si="44"/>
        <v>不申請</v>
      </c>
      <c r="F59" s="3" t="s">
        <v>23</v>
      </c>
      <c r="G59" s="86"/>
      <c r="H59" s="86"/>
      <c r="I59" s="86"/>
      <c r="J59" s="86"/>
      <c r="K59" s="7">
        <f>IF($U$8=FALSE,0,SUM(G59:J59))</f>
        <v>0</v>
      </c>
      <c r="L59" s="23">
        <f>K59*$N$8</f>
        <v>0</v>
      </c>
      <c r="M59" s="3" t="s">
        <v>23</v>
      </c>
      <c r="N59" s="7">
        <f>IF($W$6=FALSE,0,IF(C59=FALSE,0,200))</f>
        <v>0</v>
      </c>
      <c r="O59" s="7">
        <f>IF($W$6=FALSE,0,IF(C59=FALSE,0,3000))</f>
        <v>0</v>
      </c>
      <c r="P59" s="86"/>
      <c r="Q59" s="86"/>
      <c r="R59" s="86"/>
      <c r="S59" s="86"/>
      <c r="T59" s="7">
        <f>IF($U$8=FALSE,0,SUM(N59:S59))</f>
        <v>0</v>
      </c>
      <c r="U59" s="23">
        <f>T59*$N$8</f>
        <v>0</v>
      </c>
      <c r="V59" s="23">
        <f>L59+U59</f>
        <v>0</v>
      </c>
      <c r="W59" s="7">
        <f>IF($W$7=FALSE,0,IF(C59=FALSE,0,40000))</f>
        <v>0</v>
      </c>
      <c r="X59" s="86"/>
      <c r="Y59" s="86"/>
      <c r="Z59" s="86"/>
      <c r="AA59" s="23">
        <f>IF($U$8=FALSE,0,SUM(W59:Z59))</f>
        <v>0</v>
      </c>
      <c r="AB59" s="23">
        <f>V59+AA59</f>
        <v>0</v>
      </c>
      <c r="AC59" s="195"/>
      <c r="AD59" s="27">
        <f>L59</f>
        <v>0</v>
      </c>
      <c r="AE59" s="27">
        <f>U59</f>
        <v>0</v>
      </c>
      <c r="AF59" s="27">
        <f>AA59</f>
        <v>0</v>
      </c>
      <c r="AG59" s="32"/>
      <c r="AH59" s="32"/>
      <c r="AI59" s="195"/>
      <c r="AJ59" s="11" t="str">
        <f>B59</f>
        <v>新型</v>
      </c>
      <c r="AK59" s="3" t="str">
        <f>F59</f>
        <v>MYR</v>
      </c>
      <c r="AL59" s="7">
        <f>IF($W$5=FALSE,0,IF(C59=FALSE,0,HLOOKUP(選項!$M$2,'P(M)年費表'!$AH$2:$BG$24,15)))</f>
        <v>0</v>
      </c>
      <c r="AM59" s="87"/>
      <c r="AN59" s="7"/>
      <c r="AO59" s="7">
        <f>IF($U$7=FALSE,0,SUM(AL59:AN59))</f>
        <v>0</v>
      </c>
      <c r="AP59" s="22">
        <f>AO59*$N$8</f>
        <v>0</v>
      </c>
      <c r="AQ59" s="3" t="str">
        <f>M59</f>
        <v>MYR</v>
      </c>
      <c r="AR59" s="7">
        <f>IF($W$6=FALSE,0,IF(C59=FALSE,0,HLOOKUP(選項!$M$2,'P(M)年費表'!$AH$29:$BG$51,15)))</f>
        <v>0</v>
      </c>
      <c r="AS59" s="7"/>
      <c r="AT59" s="7"/>
      <c r="AU59" s="7">
        <f>IF($U$7=FALSE,0,SUM(AR59:AT59))</f>
        <v>0</v>
      </c>
      <c r="AV59" s="22">
        <f>AU59*$N$8</f>
        <v>0</v>
      </c>
      <c r="AW59" s="22">
        <f>AP59+AV59</f>
        <v>0</v>
      </c>
      <c r="AX59" s="7">
        <f>IF($W$7=FALSE,0,IF(C59=FALSE,0,HLOOKUP(選項!$M$2,'P(M)年費表'!$AH$56:$BG$78,15)))</f>
        <v>0</v>
      </c>
      <c r="AY59" s="22">
        <f>IF($U$7=FALSE,0,SUM(AX59:AX59))</f>
        <v>0</v>
      </c>
      <c r="AZ59" s="22">
        <f>AW59+AY59</f>
        <v>0</v>
      </c>
      <c r="BA59" s="195"/>
      <c r="BB59" s="27">
        <f>AP59</f>
        <v>0</v>
      </c>
      <c r="BC59" s="27">
        <f>AV59</f>
        <v>0</v>
      </c>
      <c r="BD59" s="27">
        <f>AY59</f>
        <v>0</v>
      </c>
      <c r="BF59" s="81"/>
      <c r="BG59" s="81"/>
      <c r="BH59" s="81"/>
      <c r="BI59" s="81"/>
      <c r="BJ59" s="81"/>
      <c r="BK59" s="81"/>
      <c r="BL59" s="81"/>
      <c r="BM59" s="81"/>
      <c r="BN59" s="81"/>
      <c r="BO59" s="81"/>
      <c r="BP59" s="81"/>
      <c r="BQ59" s="81"/>
      <c r="BR59" s="81"/>
      <c r="BS59" s="81"/>
      <c r="BT59" s="81"/>
      <c r="BU59" s="81"/>
      <c r="BV59" s="81"/>
      <c r="BW59" s="81"/>
      <c r="BX59" s="81"/>
      <c r="BY59" s="81"/>
      <c r="BZ59" s="81"/>
      <c r="CA59" s="81"/>
      <c r="CB59" s="81"/>
      <c r="CC59" s="81"/>
      <c r="CD59" s="81"/>
    </row>
    <row r="60" spans="1:82" x14ac:dyDescent="0.25">
      <c r="A60" s="53" t="s">
        <v>146</v>
      </c>
      <c r="B60" s="11" t="str">
        <f t="shared" si="43"/>
        <v>發明</v>
      </c>
      <c r="C60" s="11" t="b">
        <f t="shared" si="43"/>
        <v>0</v>
      </c>
      <c r="D60" s="11"/>
      <c r="E60" s="139" t="str">
        <f t="shared" si="44"/>
        <v>不申請</v>
      </c>
      <c r="F60" s="3" t="s">
        <v>16</v>
      </c>
      <c r="G60" s="86"/>
      <c r="H60" s="86"/>
      <c r="I60" s="86"/>
      <c r="J60" s="86"/>
      <c r="K60" s="7">
        <f t="shared" si="45"/>
        <v>0</v>
      </c>
      <c r="L60" s="23">
        <f>K60*$L$5</f>
        <v>0</v>
      </c>
      <c r="M60" s="3" t="s">
        <v>16</v>
      </c>
      <c r="N60" s="7">
        <f>IF($W$6=FALSE,0,IF(C60=FALSE,0,150))</f>
        <v>0</v>
      </c>
      <c r="O60" s="7">
        <f>IF($W$6=FALSE,0,IF(C60=FALSE,0,1000))</f>
        <v>0</v>
      </c>
      <c r="P60" s="86"/>
      <c r="Q60" s="86"/>
      <c r="R60" s="86"/>
      <c r="S60" s="86"/>
      <c r="T60" s="7">
        <f t="shared" si="46"/>
        <v>0</v>
      </c>
      <c r="U60" s="23">
        <f>T60*$L$5</f>
        <v>0</v>
      </c>
      <c r="V60" s="23">
        <f t="shared" si="58"/>
        <v>0</v>
      </c>
      <c r="W60" s="7">
        <f t="shared" si="64"/>
        <v>0</v>
      </c>
      <c r="X60" s="86"/>
      <c r="Y60" s="86"/>
      <c r="Z60" s="86"/>
      <c r="AA60" s="23">
        <f t="shared" si="47"/>
        <v>0</v>
      </c>
      <c r="AB60" s="23">
        <f t="shared" si="48"/>
        <v>0</v>
      </c>
      <c r="AC60" s="14" t="str">
        <f>$A$31</f>
        <v>菲律賓</v>
      </c>
      <c r="AD60" s="27">
        <f t="shared" si="49"/>
        <v>0</v>
      </c>
      <c r="AE60" s="27">
        <f t="shared" si="50"/>
        <v>0</v>
      </c>
      <c r="AF60" s="27">
        <f t="shared" si="51"/>
        <v>0</v>
      </c>
      <c r="AG60" s="32"/>
      <c r="AH60" s="32"/>
      <c r="AI60" s="14" t="str">
        <f>$A$31</f>
        <v>菲律賓</v>
      </c>
      <c r="AJ60" s="11" t="str">
        <f t="shared" si="52"/>
        <v>發明</v>
      </c>
      <c r="AK60" s="3" t="str">
        <f t="shared" si="59"/>
        <v>USD</v>
      </c>
      <c r="AL60" s="7">
        <f>IF($W$5=FALSE,0,IF(C60=FALSE,0,HLOOKUP(選項!$M$2,'P(M)年費表'!$AH$2:$BG$24,16)))</f>
        <v>0</v>
      </c>
      <c r="AM60" s="87"/>
      <c r="AN60" s="7"/>
      <c r="AO60" s="7">
        <f t="shared" si="53"/>
        <v>0</v>
      </c>
      <c r="AP60" s="22">
        <f>AO60*$L$5</f>
        <v>0</v>
      </c>
      <c r="AQ60" s="3" t="str">
        <f t="shared" si="60"/>
        <v>USD</v>
      </c>
      <c r="AR60" s="7">
        <f>IF($W$6=FALSE,0,IF(C60=FALSE,0,HLOOKUP(選項!$M$2,'P(M)年費表'!$AH$29:$BG$51,16)))</f>
        <v>0</v>
      </c>
      <c r="AS60" s="7"/>
      <c r="AT60" s="7"/>
      <c r="AU60" s="7">
        <f t="shared" si="54"/>
        <v>0</v>
      </c>
      <c r="AV60" s="22">
        <f>AU60*$L$5</f>
        <v>0</v>
      </c>
      <c r="AW60" s="22">
        <f t="shared" si="55"/>
        <v>0</v>
      </c>
      <c r="AX60" s="7">
        <f>IF($W$7=FALSE,0,IF(C60=FALSE,0,HLOOKUP(選項!$M$2,'P(M)年費表'!$AH$56:$BG$78,16)))</f>
        <v>0</v>
      </c>
      <c r="AY60" s="22">
        <f t="shared" si="56"/>
        <v>0</v>
      </c>
      <c r="AZ60" s="22">
        <f t="shared" si="57"/>
        <v>0</v>
      </c>
      <c r="BA60" s="14" t="str">
        <f>$A$31</f>
        <v>菲律賓</v>
      </c>
      <c r="BB60" s="27">
        <f t="shared" si="61"/>
        <v>0</v>
      </c>
      <c r="BC60" s="27">
        <f t="shared" si="62"/>
        <v>0</v>
      </c>
      <c r="BD60" s="27">
        <f t="shared" si="63"/>
        <v>0</v>
      </c>
      <c r="BF60" s="81"/>
      <c r="BG60" s="81"/>
      <c r="BH60" s="81"/>
      <c r="BI60" s="81"/>
      <c r="BJ60" s="81"/>
      <c r="BK60" s="81"/>
      <c r="BL60" s="81"/>
      <c r="BM60" s="81"/>
      <c r="BN60" s="81"/>
      <c r="BO60" s="81"/>
      <c r="BP60" s="81"/>
      <c r="BQ60" s="81"/>
      <c r="BR60" s="81"/>
      <c r="BS60" s="81"/>
      <c r="BT60" s="81"/>
      <c r="BU60" s="81"/>
      <c r="BV60" s="81"/>
      <c r="BW60" s="81"/>
      <c r="BX60" s="81"/>
      <c r="BY60" s="81"/>
      <c r="BZ60" s="81"/>
      <c r="CA60" s="81"/>
      <c r="CB60" s="81"/>
      <c r="CC60" s="81"/>
      <c r="CD60" s="81"/>
    </row>
    <row r="61" spans="1:82" x14ac:dyDescent="0.25">
      <c r="A61" s="194" t="s">
        <v>131</v>
      </c>
      <c r="B61" s="11" t="str">
        <f t="shared" si="43"/>
        <v>發明</v>
      </c>
      <c r="C61" s="11" t="b">
        <f t="shared" si="43"/>
        <v>0</v>
      </c>
      <c r="D61" s="11"/>
      <c r="E61" s="139" t="str">
        <f t="shared" si="44"/>
        <v>不申請</v>
      </c>
      <c r="F61" s="3" t="s">
        <v>16</v>
      </c>
      <c r="G61" s="86"/>
      <c r="H61" s="86"/>
      <c r="I61" s="86"/>
      <c r="J61" s="86"/>
      <c r="K61" s="7">
        <f>IF($U$8=FALSE,0,SUM(G61:J61))</f>
        <v>0</v>
      </c>
      <c r="L61" s="23">
        <f>K61*$L$5</f>
        <v>0</v>
      </c>
      <c r="M61" s="3" t="s">
        <v>16</v>
      </c>
      <c r="N61" s="7">
        <f>IF($W$6=FALSE,0,IF(C61=FALSE,0,100))</f>
        <v>0</v>
      </c>
      <c r="O61" s="7">
        <f>IF($W$6=FALSE,0,IF(C61=FALSE,0,1000))</f>
        <v>0</v>
      </c>
      <c r="P61" s="86"/>
      <c r="Q61" s="86"/>
      <c r="R61" s="86"/>
      <c r="S61" s="86"/>
      <c r="T61" s="7">
        <f>IF($U$8=FALSE,0,SUM(N61:S61))</f>
        <v>0</v>
      </c>
      <c r="U61" s="23">
        <f>T61*$L$5</f>
        <v>0</v>
      </c>
      <c r="V61" s="23">
        <f>L61+U61</f>
        <v>0</v>
      </c>
      <c r="W61" s="7">
        <f>IF($W$7=FALSE,0,IF(C61=FALSE,0,40000))</f>
        <v>0</v>
      </c>
      <c r="X61" s="86"/>
      <c r="Y61" s="86"/>
      <c r="Z61" s="86"/>
      <c r="AA61" s="23">
        <f>IF($U$8=FALSE,0,SUM(W61:Z61))</f>
        <v>0</v>
      </c>
      <c r="AB61" s="23">
        <f>V61+AA61</f>
        <v>0</v>
      </c>
      <c r="AC61" s="200" t="str">
        <f>$A$32</f>
        <v>印尼</v>
      </c>
      <c r="AD61" s="27">
        <f>L61</f>
        <v>0</v>
      </c>
      <c r="AE61" s="27">
        <f>U61</f>
        <v>0</v>
      </c>
      <c r="AF61" s="27">
        <f>AA61</f>
        <v>0</v>
      </c>
      <c r="AG61" s="32"/>
      <c r="AH61" s="32"/>
      <c r="AI61" s="200" t="str">
        <f>$A$32</f>
        <v>印尼</v>
      </c>
      <c r="AJ61" s="11" t="str">
        <f>B61</f>
        <v>發明</v>
      </c>
      <c r="AK61" s="3" t="s">
        <v>16</v>
      </c>
      <c r="AL61" s="7">
        <f>IF($W$5=FALSE,0,IF(C61=FALSE,0,HLOOKUP(選項!$M$2,'P(M)年費表'!$AH$2:$BG$24,17)))</f>
        <v>0</v>
      </c>
      <c r="AM61" s="87"/>
      <c r="AN61" s="7"/>
      <c r="AO61" s="7">
        <f>IF($U$7=FALSE,0,SUM(AL61:AN61))</f>
        <v>0</v>
      </c>
      <c r="AP61" s="22">
        <f>AO61*$L$5</f>
        <v>0</v>
      </c>
      <c r="AQ61" s="3" t="s">
        <v>16</v>
      </c>
      <c r="AR61" s="7">
        <f>IF($W$6=FALSE,0,IF(C61=FALSE,0,HLOOKUP(選項!$M$2,'P(M)年費表'!$AH$29:$BG$51,17)))</f>
        <v>0</v>
      </c>
      <c r="AS61" s="7"/>
      <c r="AT61" s="7"/>
      <c r="AU61" s="7">
        <f>IF($U$7=FALSE,0,SUM(AR61:AT61))</f>
        <v>0</v>
      </c>
      <c r="AV61" s="22">
        <f>AU61*$L$5</f>
        <v>0</v>
      </c>
      <c r="AW61" s="22">
        <f>AP61+AV61</f>
        <v>0</v>
      </c>
      <c r="AX61" s="7">
        <f>IF($W$7=FALSE,0,IF(C61=FALSE,0,HLOOKUP(選項!$M$2,'P(M)年費表'!$AH$56:$BG$78,17)))</f>
        <v>0</v>
      </c>
      <c r="AY61" s="22">
        <f>IF($U$7=FALSE,0,SUM(AX61:AX61))</f>
        <v>0</v>
      </c>
      <c r="AZ61" s="22">
        <f>AW61+AY61</f>
        <v>0</v>
      </c>
      <c r="BA61" s="200" t="str">
        <f>$A$32</f>
        <v>印尼</v>
      </c>
      <c r="BB61" s="27">
        <f>AP61</f>
        <v>0</v>
      </c>
      <c r="BC61" s="27">
        <f>AV61</f>
        <v>0</v>
      </c>
      <c r="BD61" s="27">
        <f>AY61</f>
        <v>0</v>
      </c>
      <c r="BF61" s="81"/>
      <c r="BG61" s="81"/>
      <c r="BH61" s="81"/>
      <c r="BI61" s="81"/>
      <c r="BJ61" s="81"/>
      <c r="BK61" s="81"/>
      <c r="BL61" s="81"/>
      <c r="BM61" s="81"/>
      <c r="BN61" s="81"/>
      <c r="BO61" s="81"/>
      <c r="BP61" s="81"/>
      <c r="BQ61" s="81"/>
      <c r="BR61" s="81"/>
      <c r="BS61" s="81"/>
      <c r="BT61" s="81"/>
      <c r="BU61" s="81"/>
      <c r="BV61" s="81"/>
      <c r="BW61" s="81"/>
      <c r="BX61" s="81"/>
      <c r="BY61" s="81"/>
      <c r="BZ61" s="81"/>
      <c r="CA61" s="81"/>
      <c r="CB61" s="81"/>
      <c r="CC61" s="81"/>
      <c r="CD61" s="81"/>
    </row>
    <row r="62" spans="1:82" x14ac:dyDescent="0.25">
      <c r="A62" s="195"/>
      <c r="B62" s="11" t="str">
        <f t="shared" si="43"/>
        <v>新型</v>
      </c>
      <c r="C62" s="11" t="b">
        <f t="shared" si="43"/>
        <v>0</v>
      </c>
      <c r="D62" s="11"/>
      <c r="E62" s="139" t="str">
        <f t="shared" si="44"/>
        <v>不申請</v>
      </c>
      <c r="F62" s="3" t="s">
        <v>16</v>
      </c>
      <c r="G62" s="86"/>
      <c r="H62" s="86"/>
      <c r="I62" s="86"/>
      <c r="J62" s="86"/>
      <c r="K62" s="7">
        <f>IF($U$8=FALSE,0,SUM(G62:J62))</f>
        <v>0</v>
      </c>
      <c r="L62" s="23">
        <f>K62*$L$5</f>
        <v>0</v>
      </c>
      <c r="M62" s="3" t="s">
        <v>16</v>
      </c>
      <c r="N62" s="7">
        <f>IF($W$6=FALSE,0,IF(C62=FALSE,0,100))</f>
        <v>0</v>
      </c>
      <c r="O62" s="7">
        <f>IF($W$6=FALSE,0,IF(C62=FALSE,0,1000))</f>
        <v>0</v>
      </c>
      <c r="P62" s="86"/>
      <c r="Q62" s="86"/>
      <c r="R62" s="86"/>
      <c r="S62" s="86"/>
      <c r="T62" s="7">
        <f>IF($U$8=FALSE,0,SUM(N62:S62))</f>
        <v>0</v>
      </c>
      <c r="U62" s="23">
        <f>T62*$L$5</f>
        <v>0</v>
      </c>
      <c r="V62" s="23">
        <f>L62+U62</f>
        <v>0</v>
      </c>
      <c r="W62" s="7">
        <f>IF($W$7=FALSE,0,IF(C62=FALSE,0,40000))</f>
        <v>0</v>
      </c>
      <c r="X62" s="86"/>
      <c r="Y62" s="86"/>
      <c r="Z62" s="86"/>
      <c r="AA62" s="23">
        <f>IF($U$8=FALSE,0,SUM(W62:Z62))</f>
        <v>0</v>
      </c>
      <c r="AB62" s="23">
        <f>V62+AA62</f>
        <v>0</v>
      </c>
      <c r="AC62" s="195"/>
      <c r="AD62" s="27">
        <f>L62</f>
        <v>0</v>
      </c>
      <c r="AE62" s="27">
        <f>U62</f>
        <v>0</v>
      </c>
      <c r="AF62" s="27">
        <f>AA62</f>
        <v>0</v>
      </c>
      <c r="AG62" s="32"/>
      <c r="AH62" s="32"/>
      <c r="AI62" s="195"/>
      <c r="AJ62" s="11" t="str">
        <f>B62</f>
        <v>新型</v>
      </c>
      <c r="AK62" s="3" t="s">
        <v>16</v>
      </c>
      <c r="AL62" s="7">
        <f>IF($W$5=FALSE,0,IF(C62=FALSE,0,HLOOKUP(選項!$M$2,'P(M)年費表'!$AH$2:$BG$24,18)))</f>
        <v>0</v>
      </c>
      <c r="AM62" s="87"/>
      <c r="AN62" s="7"/>
      <c r="AO62" s="7">
        <f>IF($U$7=FALSE,0,SUM(AL62:AN62))</f>
        <v>0</v>
      </c>
      <c r="AP62" s="22">
        <f>AO62*$L$5</f>
        <v>0</v>
      </c>
      <c r="AQ62" s="3" t="s">
        <v>16</v>
      </c>
      <c r="AR62" s="7">
        <f>IF($W$6=FALSE,0,IF(C62=FALSE,0,HLOOKUP(選項!$M$2,'P(M)年費表'!$AH$29:$BG$51,18)))</f>
        <v>0</v>
      </c>
      <c r="AS62" s="7"/>
      <c r="AT62" s="7"/>
      <c r="AU62" s="7">
        <f>IF($U$7=FALSE,0,SUM(AR62:AT62))</f>
        <v>0</v>
      </c>
      <c r="AV62" s="22">
        <f>AU62*$L$5</f>
        <v>0</v>
      </c>
      <c r="AW62" s="22">
        <f>AP62+AV62</f>
        <v>0</v>
      </c>
      <c r="AX62" s="7">
        <f>IF($W$7=FALSE,0,IF(C62=FALSE,0,HLOOKUP(選項!$M$2,'P(M)年費表'!$AH$56:$BG$78,18)))</f>
        <v>0</v>
      </c>
      <c r="AY62" s="22">
        <f>IF($U$7=FALSE,0,SUM(AX62:AX62))</f>
        <v>0</v>
      </c>
      <c r="AZ62" s="22">
        <f>AW62+AY62</f>
        <v>0</v>
      </c>
      <c r="BA62" s="195"/>
      <c r="BB62" s="27">
        <f>AP62</f>
        <v>0</v>
      </c>
      <c r="BC62" s="27">
        <f>AV62</f>
        <v>0</v>
      </c>
      <c r="BD62" s="27">
        <f>AY62</f>
        <v>0</v>
      </c>
      <c r="BF62" s="81"/>
      <c r="BG62" s="81"/>
      <c r="BH62" s="81"/>
      <c r="BI62" s="81"/>
      <c r="BJ62" s="81"/>
      <c r="BK62" s="81"/>
      <c r="BL62" s="81"/>
      <c r="BM62" s="81"/>
      <c r="BN62" s="81"/>
      <c r="BO62" s="81"/>
      <c r="BP62" s="81"/>
      <c r="BQ62" s="81"/>
      <c r="BR62" s="81"/>
      <c r="BS62" s="81"/>
      <c r="BT62" s="81"/>
      <c r="BU62" s="81"/>
      <c r="BV62" s="81"/>
      <c r="BW62" s="81"/>
      <c r="BX62" s="81"/>
      <c r="BY62" s="81"/>
      <c r="BZ62" s="81"/>
      <c r="CA62" s="81"/>
      <c r="CB62" s="81"/>
      <c r="CC62" s="81"/>
      <c r="CD62" s="81"/>
    </row>
    <row r="63" spans="1:82" x14ac:dyDescent="0.25">
      <c r="A63" s="194" t="s">
        <v>9</v>
      </c>
      <c r="B63" s="11" t="str">
        <f t="shared" si="43"/>
        <v>發明</v>
      </c>
      <c r="C63" s="11" t="b">
        <f t="shared" si="43"/>
        <v>0</v>
      </c>
      <c r="D63" s="11"/>
      <c r="E63" s="139" t="str">
        <f t="shared" si="44"/>
        <v>不申請</v>
      </c>
      <c r="F63" s="3" t="s">
        <v>21</v>
      </c>
      <c r="G63" s="86"/>
      <c r="H63" s="86"/>
      <c r="I63" s="86"/>
      <c r="J63" s="86"/>
      <c r="K63" s="7">
        <f t="shared" si="45"/>
        <v>0</v>
      </c>
      <c r="L63" s="23">
        <f>K63*$N$7</f>
        <v>0</v>
      </c>
      <c r="M63" s="3" t="s">
        <v>16</v>
      </c>
      <c r="N63" s="86"/>
      <c r="O63" s="7">
        <f>IF($W$6=FALSE,0,IF(C63=FALSE,0,110+1000))</f>
        <v>0</v>
      </c>
      <c r="P63" s="86"/>
      <c r="Q63" s="86"/>
      <c r="R63" s="86"/>
      <c r="S63" s="86"/>
      <c r="T63" s="7">
        <f t="shared" si="46"/>
        <v>0</v>
      </c>
      <c r="U63" s="23">
        <f>T63*$L$5</f>
        <v>0</v>
      </c>
      <c r="V63" s="23">
        <f t="shared" si="58"/>
        <v>0</v>
      </c>
      <c r="W63" s="7">
        <f t="shared" si="64"/>
        <v>0</v>
      </c>
      <c r="X63" s="86"/>
      <c r="Y63" s="86"/>
      <c r="Z63" s="86"/>
      <c r="AA63" s="23">
        <f t="shared" si="47"/>
        <v>0</v>
      </c>
      <c r="AB63" s="23">
        <f t="shared" si="48"/>
        <v>0</v>
      </c>
      <c r="AC63" s="200" t="str">
        <f>$A$34</f>
        <v>越南</v>
      </c>
      <c r="AD63" s="27">
        <f t="shared" si="49"/>
        <v>0</v>
      </c>
      <c r="AE63" s="27">
        <f t="shared" si="50"/>
        <v>0</v>
      </c>
      <c r="AF63" s="27">
        <f t="shared" si="51"/>
        <v>0</v>
      </c>
      <c r="AG63" s="32"/>
      <c r="AH63" s="32"/>
      <c r="AI63" s="200" t="str">
        <f>$A$34</f>
        <v>越南</v>
      </c>
      <c r="AJ63" s="11" t="str">
        <f t="shared" si="52"/>
        <v>發明</v>
      </c>
      <c r="AK63" s="3" t="str">
        <f t="shared" si="59"/>
        <v>VND</v>
      </c>
      <c r="AL63" s="7">
        <f>IF($W$5=FALSE,0,IF(C63=FALSE,0,HLOOKUP(選項!$M$2,'P(M)年費表'!$AH$2:$BG$24,19)))</f>
        <v>0</v>
      </c>
      <c r="AM63" s="87"/>
      <c r="AN63" s="7"/>
      <c r="AO63" s="7">
        <f t="shared" si="53"/>
        <v>0</v>
      </c>
      <c r="AP63" s="22">
        <f>AO63*$N$7</f>
        <v>0</v>
      </c>
      <c r="AQ63" s="3" t="str">
        <f t="shared" si="60"/>
        <v>USD</v>
      </c>
      <c r="AR63" s="7">
        <f>IF($W$6=FALSE,0,IF(C63=FALSE,0,HLOOKUP(選項!$M$2,'P(M)年費表'!$AH$29:$BG$51,19)))</f>
        <v>0</v>
      </c>
      <c r="AS63" s="7"/>
      <c r="AT63" s="7"/>
      <c r="AU63" s="7">
        <f t="shared" si="54"/>
        <v>0</v>
      </c>
      <c r="AV63" s="22">
        <f>AU63*$L$5</f>
        <v>0</v>
      </c>
      <c r="AW63" s="22">
        <f t="shared" si="55"/>
        <v>0</v>
      </c>
      <c r="AX63" s="7">
        <f>IF($W$7=FALSE,0,IF(C63=FALSE,0,HLOOKUP(選項!$M$2,'P(M)年費表'!$AH$56:$BG$78,19)))</f>
        <v>0</v>
      </c>
      <c r="AY63" s="22">
        <f t="shared" si="56"/>
        <v>0</v>
      </c>
      <c r="AZ63" s="22">
        <f t="shared" si="57"/>
        <v>0</v>
      </c>
      <c r="BA63" s="200" t="str">
        <f>$A$34</f>
        <v>越南</v>
      </c>
      <c r="BB63" s="27">
        <f t="shared" si="61"/>
        <v>0</v>
      </c>
      <c r="BC63" s="27">
        <f t="shared" si="62"/>
        <v>0</v>
      </c>
      <c r="BD63" s="27">
        <f t="shared" si="63"/>
        <v>0</v>
      </c>
      <c r="BF63" s="81"/>
      <c r="BG63" s="81"/>
      <c r="BH63" s="81"/>
      <c r="BI63" s="81"/>
      <c r="BJ63" s="81"/>
      <c r="BK63" s="81"/>
      <c r="BL63" s="81"/>
      <c r="BM63" s="81"/>
      <c r="BN63" s="81"/>
      <c r="BO63" s="81"/>
      <c r="BP63" s="81"/>
      <c r="BQ63" s="81"/>
      <c r="BR63" s="81"/>
      <c r="BS63" s="81"/>
      <c r="BT63" s="81"/>
      <c r="BU63" s="81"/>
      <c r="BV63" s="81"/>
      <c r="BW63" s="81"/>
      <c r="BX63" s="81"/>
      <c r="BY63" s="81"/>
      <c r="BZ63" s="81"/>
      <c r="CA63" s="81"/>
      <c r="CB63" s="81"/>
      <c r="CC63" s="81"/>
      <c r="CD63" s="81"/>
    </row>
    <row r="64" spans="1:82" x14ac:dyDescent="0.25">
      <c r="A64" s="195"/>
      <c r="B64" s="11" t="str">
        <f t="shared" si="43"/>
        <v>新型</v>
      </c>
      <c r="C64" s="11" t="b">
        <f t="shared" si="43"/>
        <v>0</v>
      </c>
      <c r="D64" s="11"/>
      <c r="E64" s="139" t="str">
        <f t="shared" si="44"/>
        <v>不申請</v>
      </c>
      <c r="F64" s="3" t="s">
        <v>21</v>
      </c>
      <c r="G64" s="86"/>
      <c r="H64" s="86"/>
      <c r="I64" s="86"/>
      <c r="J64" s="86"/>
      <c r="K64" s="7">
        <f t="shared" si="45"/>
        <v>0</v>
      </c>
      <c r="L64" s="23">
        <f>K64*$N$7</f>
        <v>0</v>
      </c>
      <c r="M64" s="3" t="s">
        <v>16</v>
      </c>
      <c r="N64" s="86"/>
      <c r="O64" s="7">
        <f>IF($W$6=FALSE,0,IF(C64=FALSE,0,110+1000))</f>
        <v>0</v>
      </c>
      <c r="P64" s="86"/>
      <c r="Q64" s="86"/>
      <c r="R64" s="86"/>
      <c r="S64" s="86"/>
      <c r="T64" s="7">
        <f t="shared" si="46"/>
        <v>0</v>
      </c>
      <c r="U64" s="23">
        <f>T64*$L$5</f>
        <v>0</v>
      </c>
      <c r="V64" s="23">
        <f t="shared" si="58"/>
        <v>0</v>
      </c>
      <c r="W64" s="7">
        <f t="shared" si="64"/>
        <v>0</v>
      </c>
      <c r="X64" s="86"/>
      <c r="Y64" s="86"/>
      <c r="Z64" s="86"/>
      <c r="AA64" s="23">
        <f t="shared" si="47"/>
        <v>0</v>
      </c>
      <c r="AB64" s="23">
        <f t="shared" si="48"/>
        <v>0</v>
      </c>
      <c r="AC64" s="195"/>
      <c r="AD64" s="27">
        <f t="shared" si="49"/>
        <v>0</v>
      </c>
      <c r="AE64" s="27">
        <f t="shared" si="50"/>
        <v>0</v>
      </c>
      <c r="AF64" s="27">
        <f t="shared" si="51"/>
        <v>0</v>
      </c>
      <c r="AG64" s="32"/>
      <c r="AH64" s="32"/>
      <c r="AI64" s="195"/>
      <c r="AJ64" s="11" t="str">
        <f t="shared" si="52"/>
        <v>新型</v>
      </c>
      <c r="AK64" s="3" t="str">
        <f t="shared" si="59"/>
        <v>VND</v>
      </c>
      <c r="AL64" s="7">
        <f>IF($W$5=FALSE,0,IF(C64=FALSE,0,HLOOKUP(選項!$M$2,'P(M)年費表'!$AH$2:$BG$24,20)))</f>
        <v>0</v>
      </c>
      <c r="AM64" s="87"/>
      <c r="AN64" s="7"/>
      <c r="AO64" s="7">
        <f t="shared" si="53"/>
        <v>0</v>
      </c>
      <c r="AP64" s="22">
        <f>AO64*$N$7</f>
        <v>0</v>
      </c>
      <c r="AQ64" s="3" t="str">
        <f t="shared" si="60"/>
        <v>USD</v>
      </c>
      <c r="AR64" s="7">
        <f>IF($W$6=FALSE,0,IF(C64=FALSE,0,HLOOKUP(選項!$M$2,'P(M)年費表'!$AH$29:$BG$51,20)))</f>
        <v>0</v>
      </c>
      <c r="AS64" s="7"/>
      <c r="AT64" s="7"/>
      <c r="AU64" s="7">
        <f t="shared" si="54"/>
        <v>0</v>
      </c>
      <c r="AV64" s="22">
        <f>AU64*$L$5</f>
        <v>0</v>
      </c>
      <c r="AW64" s="22">
        <f t="shared" si="55"/>
        <v>0</v>
      </c>
      <c r="AX64" s="7">
        <f>IF($W$7=FALSE,0,IF(C64=FALSE,0,HLOOKUP(選項!$M$2,'P(M)年費表'!$AH$56:$BG$78,20)))</f>
        <v>0</v>
      </c>
      <c r="AY64" s="22">
        <f t="shared" si="56"/>
        <v>0</v>
      </c>
      <c r="AZ64" s="22">
        <f t="shared" si="57"/>
        <v>0</v>
      </c>
      <c r="BA64" s="195"/>
      <c r="BB64" s="27">
        <f t="shared" si="61"/>
        <v>0</v>
      </c>
      <c r="BC64" s="27">
        <f t="shared" si="62"/>
        <v>0</v>
      </c>
      <c r="BD64" s="27">
        <f t="shared" si="63"/>
        <v>0</v>
      </c>
      <c r="BF64" s="81"/>
      <c r="BG64" s="81"/>
      <c r="BH64" s="81"/>
      <c r="BI64" s="81"/>
      <c r="BJ64" s="81"/>
      <c r="BK64" s="81"/>
      <c r="BL64" s="81"/>
      <c r="BM64" s="81"/>
      <c r="BN64" s="81"/>
      <c r="BO64" s="81"/>
      <c r="BP64" s="81"/>
      <c r="BQ64" s="81"/>
      <c r="BR64" s="81"/>
      <c r="BS64" s="81"/>
      <c r="BT64" s="81"/>
      <c r="BU64" s="81"/>
      <c r="BV64" s="81"/>
      <c r="BW64" s="81"/>
      <c r="BX64" s="81"/>
      <c r="BY64" s="81"/>
      <c r="BZ64" s="81"/>
      <c r="CA64" s="81"/>
      <c r="CB64" s="81"/>
      <c r="CC64" s="81"/>
      <c r="CD64" s="81"/>
    </row>
    <row r="65" spans="1:122" x14ac:dyDescent="0.25">
      <c r="A65" s="194" t="s">
        <v>10</v>
      </c>
      <c r="B65" s="11" t="str">
        <f t="shared" si="43"/>
        <v>發明</v>
      </c>
      <c r="C65" s="11" t="b">
        <f t="shared" si="43"/>
        <v>0</v>
      </c>
      <c r="D65" s="11"/>
      <c r="E65" s="139" t="str">
        <f t="shared" si="44"/>
        <v>不申請</v>
      </c>
      <c r="F65" s="3" t="s">
        <v>22</v>
      </c>
      <c r="G65" s="7">
        <f>IF($W$5=FALSE,0,IF(C65=FALSE,0,60))</f>
        <v>0</v>
      </c>
      <c r="H65" s="86"/>
      <c r="I65" s="86"/>
      <c r="J65" s="86"/>
      <c r="K65" s="7">
        <f t="shared" si="45"/>
        <v>0</v>
      </c>
      <c r="L65" s="23">
        <f>K65*$L$9</f>
        <v>0</v>
      </c>
      <c r="M65" s="3" t="s">
        <v>22</v>
      </c>
      <c r="N65" s="86"/>
      <c r="O65" s="7">
        <f>IF($W$6=FALSE,0,IF(C65=FALSE,0,24000))</f>
        <v>0</v>
      </c>
      <c r="P65" s="86"/>
      <c r="Q65" s="86"/>
      <c r="R65" s="86"/>
      <c r="S65" s="86"/>
      <c r="T65" s="7">
        <f t="shared" si="46"/>
        <v>0</v>
      </c>
      <c r="U65" s="23">
        <f>T65*$L$9</f>
        <v>0</v>
      </c>
      <c r="V65" s="23">
        <f t="shared" si="58"/>
        <v>0</v>
      </c>
      <c r="W65" s="7">
        <f t="shared" si="64"/>
        <v>0</v>
      </c>
      <c r="X65" s="86"/>
      <c r="Y65" s="86"/>
      <c r="Z65" s="86"/>
      <c r="AA65" s="23">
        <f t="shared" si="47"/>
        <v>0</v>
      </c>
      <c r="AB65" s="23">
        <f t="shared" si="48"/>
        <v>0</v>
      </c>
      <c r="AC65" s="200" t="str">
        <f>$A$36</f>
        <v>泰國</v>
      </c>
      <c r="AD65" s="27">
        <f t="shared" si="49"/>
        <v>0</v>
      </c>
      <c r="AE65" s="27">
        <f t="shared" si="50"/>
        <v>0</v>
      </c>
      <c r="AF65" s="27">
        <f t="shared" si="51"/>
        <v>0</v>
      </c>
      <c r="AG65" s="32"/>
      <c r="AH65" s="32"/>
      <c r="AI65" s="200" t="str">
        <f>$A$36</f>
        <v>泰國</v>
      </c>
      <c r="AJ65" s="11" t="str">
        <f t="shared" si="52"/>
        <v>發明</v>
      </c>
      <c r="AK65" s="3" t="str">
        <f t="shared" si="59"/>
        <v>THB</v>
      </c>
      <c r="AL65" s="7">
        <f>IF($W$5=FALSE,0,IF(C65=FALSE,0,HLOOKUP(選項!$M$2,'P(M)年費表'!$AH$2:$BG$24,21)))</f>
        <v>0</v>
      </c>
      <c r="AM65" s="87"/>
      <c r="AN65" s="7"/>
      <c r="AO65" s="7">
        <f t="shared" si="53"/>
        <v>0</v>
      </c>
      <c r="AP65" s="22">
        <f>AO65*$L$9</f>
        <v>0</v>
      </c>
      <c r="AQ65" s="3" t="str">
        <f t="shared" si="60"/>
        <v>THB</v>
      </c>
      <c r="AR65" s="7">
        <f>IF($W$6=FALSE,0,IF(C65=FALSE,0,HLOOKUP(選項!$M$2,'P(M)年費表'!$AH$29:$BG$51,21)))</f>
        <v>0</v>
      </c>
      <c r="AS65" s="7"/>
      <c r="AT65" s="7"/>
      <c r="AU65" s="7">
        <f t="shared" si="54"/>
        <v>0</v>
      </c>
      <c r="AV65" s="22">
        <f>AU65*$L$9</f>
        <v>0</v>
      </c>
      <c r="AW65" s="22">
        <f t="shared" si="55"/>
        <v>0</v>
      </c>
      <c r="AX65" s="7">
        <f>IF($W$7=FALSE,0,IF(C65=FALSE,0,HLOOKUP(選項!$M$2,'P(M)年費表'!$AH$56:$BG$78,21)))</f>
        <v>0</v>
      </c>
      <c r="AY65" s="22">
        <f t="shared" si="56"/>
        <v>0</v>
      </c>
      <c r="AZ65" s="22">
        <f t="shared" si="57"/>
        <v>0</v>
      </c>
      <c r="BA65" s="200" t="str">
        <f>$A$36</f>
        <v>泰國</v>
      </c>
      <c r="BB65" s="27">
        <f t="shared" si="61"/>
        <v>0</v>
      </c>
      <c r="BC65" s="27">
        <f t="shared" si="62"/>
        <v>0</v>
      </c>
      <c r="BD65" s="27">
        <f t="shared" si="63"/>
        <v>0</v>
      </c>
      <c r="BF65" s="81"/>
      <c r="BG65" s="81"/>
      <c r="BH65" s="81"/>
      <c r="BI65" s="81"/>
      <c r="BJ65" s="81"/>
      <c r="BK65" s="81"/>
      <c r="BL65" s="81"/>
      <c r="BM65" s="81"/>
      <c r="BN65" s="81"/>
      <c r="BO65" s="81"/>
      <c r="BP65" s="81"/>
      <c r="BQ65" s="81"/>
      <c r="BR65" s="81"/>
      <c r="BS65" s="81"/>
      <c r="BT65" s="81"/>
      <c r="BU65" s="81"/>
      <c r="BV65" s="81"/>
      <c r="BW65" s="81"/>
      <c r="BX65" s="81"/>
      <c r="BY65" s="81"/>
      <c r="BZ65" s="81"/>
      <c r="CA65" s="81"/>
      <c r="CB65" s="81"/>
      <c r="CC65" s="81"/>
      <c r="CD65" s="81"/>
    </row>
    <row r="66" spans="1:122" x14ac:dyDescent="0.25">
      <c r="A66" s="195"/>
      <c r="B66" s="11" t="str">
        <f t="shared" si="43"/>
        <v>新型</v>
      </c>
      <c r="C66" s="11" t="b">
        <f t="shared" si="43"/>
        <v>0</v>
      </c>
      <c r="D66" s="11"/>
      <c r="E66" s="139" t="str">
        <f t="shared" si="44"/>
        <v>不申請</v>
      </c>
      <c r="F66" s="3" t="s">
        <v>22</v>
      </c>
      <c r="G66" s="86"/>
      <c r="H66" s="86"/>
      <c r="I66" s="86"/>
      <c r="J66" s="86"/>
      <c r="K66" s="7">
        <f t="shared" si="45"/>
        <v>0</v>
      </c>
      <c r="L66" s="23">
        <f>K66*$L$9</f>
        <v>0</v>
      </c>
      <c r="M66" s="3" t="s">
        <v>22</v>
      </c>
      <c r="N66" s="86"/>
      <c r="O66" s="86"/>
      <c r="P66" s="86"/>
      <c r="Q66" s="86"/>
      <c r="R66" s="86"/>
      <c r="S66" s="86"/>
      <c r="T66" s="7">
        <f t="shared" si="46"/>
        <v>0</v>
      </c>
      <c r="U66" s="23">
        <f>T66*$L$9</f>
        <v>0</v>
      </c>
      <c r="V66" s="23">
        <f t="shared" si="58"/>
        <v>0</v>
      </c>
      <c r="W66" s="86"/>
      <c r="X66" s="86"/>
      <c r="Y66" s="86"/>
      <c r="Z66" s="86"/>
      <c r="AA66" s="23">
        <f t="shared" si="47"/>
        <v>0</v>
      </c>
      <c r="AB66" s="23">
        <f t="shared" si="48"/>
        <v>0</v>
      </c>
      <c r="AC66" s="195"/>
      <c r="AD66" s="27">
        <f t="shared" si="49"/>
        <v>0</v>
      </c>
      <c r="AE66" s="27">
        <f t="shared" si="50"/>
        <v>0</v>
      </c>
      <c r="AF66" s="27">
        <f t="shared" si="51"/>
        <v>0</v>
      </c>
      <c r="AG66" s="32"/>
      <c r="AH66" s="32"/>
      <c r="AI66" s="195"/>
      <c r="AJ66" s="11" t="str">
        <f t="shared" si="52"/>
        <v>新型</v>
      </c>
      <c r="AK66" s="3" t="str">
        <f t="shared" si="59"/>
        <v>THB</v>
      </c>
      <c r="AL66" s="7">
        <f>IF($W$5=FALSE,0,IF(C66=FALSE,0,HLOOKUP(選項!$M$2,'P(M)年費表'!$AH$2:$BG$24,22)))</f>
        <v>0</v>
      </c>
      <c r="AM66" s="87"/>
      <c r="AN66" s="7"/>
      <c r="AO66" s="7">
        <f t="shared" si="53"/>
        <v>0</v>
      </c>
      <c r="AP66" s="22">
        <f>AO66*$L$9</f>
        <v>0</v>
      </c>
      <c r="AQ66" s="3" t="str">
        <f t="shared" si="60"/>
        <v>THB</v>
      </c>
      <c r="AR66" s="7">
        <f>IF($W$6=FALSE,0,IF(C66=FALSE,0,HLOOKUP(選項!$M$2,'P(M)年費表'!$AH$29:$BG$51,22)))</f>
        <v>0</v>
      </c>
      <c r="AS66" s="7"/>
      <c r="AT66" s="7"/>
      <c r="AU66" s="7">
        <f t="shared" si="54"/>
        <v>0</v>
      </c>
      <c r="AV66" s="22">
        <f>AU66*$L$9</f>
        <v>0</v>
      </c>
      <c r="AW66" s="22">
        <f t="shared" si="55"/>
        <v>0</v>
      </c>
      <c r="AX66" s="7">
        <f>IF($W$7=FALSE,0,IF(C66=FALSE,0,HLOOKUP(選項!$M$2,'P(M)年費表'!$AH$56:$BG$78,22)))</f>
        <v>0</v>
      </c>
      <c r="AY66" s="22">
        <f t="shared" si="56"/>
        <v>0</v>
      </c>
      <c r="AZ66" s="22">
        <f t="shared" si="57"/>
        <v>0</v>
      </c>
      <c r="BA66" s="195"/>
      <c r="BB66" s="27">
        <f t="shared" si="61"/>
        <v>0</v>
      </c>
      <c r="BC66" s="27">
        <f t="shared" si="62"/>
        <v>0</v>
      </c>
      <c r="BD66" s="27">
        <f t="shared" si="63"/>
        <v>0</v>
      </c>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row>
    <row r="67" spans="1:122" ht="19.5" x14ac:dyDescent="0.25">
      <c r="A67" s="5"/>
      <c r="B67" s="5"/>
      <c r="C67" s="5"/>
      <c r="D67" s="5"/>
      <c r="E67" s="134"/>
      <c r="F67" s="5"/>
      <c r="G67" s="5"/>
      <c r="H67" s="5"/>
      <c r="I67" s="5"/>
      <c r="J67" s="5"/>
      <c r="K67" s="8" t="s">
        <v>50</v>
      </c>
      <c r="L67" s="24">
        <f>SUM(L46:L66)</f>
        <v>93850</v>
      </c>
      <c r="M67" s="5"/>
      <c r="N67" s="5"/>
      <c r="O67" s="5"/>
      <c r="P67" s="5"/>
      <c r="Q67" s="5"/>
      <c r="R67" s="5"/>
      <c r="S67" s="5"/>
      <c r="T67" s="8" t="s">
        <v>50</v>
      </c>
      <c r="U67" s="24">
        <f>SUM(U46:U66)</f>
        <v>352220</v>
      </c>
      <c r="V67" s="24">
        <f>SUM(V46:V66)</f>
        <v>446070</v>
      </c>
      <c r="W67" s="5"/>
      <c r="X67" s="5"/>
      <c r="Y67" s="5"/>
      <c r="Z67" s="7"/>
      <c r="AA67" s="24">
        <f>SUM(AA46:AA66)</f>
        <v>330000</v>
      </c>
      <c r="AB67" s="24">
        <f>SUM(AB46:AB66)</f>
        <v>776070</v>
      </c>
      <c r="AC67" s="3"/>
      <c r="AD67" s="27">
        <f t="shared" si="49"/>
        <v>93850</v>
      </c>
      <c r="AE67" s="27">
        <f t="shared" si="50"/>
        <v>352220</v>
      </c>
      <c r="AF67" s="27">
        <f t="shared" si="51"/>
        <v>330000</v>
      </c>
      <c r="AG67" s="32"/>
      <c r="AH67" s="32"/>
      <c r="AI67" s="3"/>
      <c r="AJ67" s="3"/>
      <c r="AK67" s="5"/>
      <c r="AL67" s="5"/>
      <c r="AM67" s="5"/>
      <c r="AN67" s="5"/>
      <c r="AO67" s="8" t="s">
        <v>50</v>
      </c>
      <c r="AP67" s="20">
        <f>SUM(AP46:AP66)</f>
        <v>2872561.8449999997</v>
      </c>
      <c r="AQ67" s="5"/>
      <c r="AR67" s="5"/>
      <c r="AS67" s="5"/>
      <c r="AT67" s="5"/>
      <c r="AU67" s="8" t="s">
        <v>50</v>
      </c>
      <c r="AV67" s="20">
        <f>SUM(AV46:AV66)</f>
        <v>686718.82000000007</v>
      </c>
      <c r="AW67" s="20">
        <f>SUM(AW46:AW66)</f>
        <v>3559280.665</v>
      </c>
      <c r="AX67" s="5"/>
      <c r="AY67" s="20">
        <f>SUM(AY46:AY66)</f>
        <v>819000</v>
      </c>
      <c r="AZ67" s="20">
        <f>SUM(AZ46:AZ66)</f>
        <v>4378280.665</v>
      </c>
      <c r="BA67" s="3"/>
      <c r="BB67" s="19">
        <f>SUM(BB46:BB66)</f>
        <v>2872561.8449999997</v>
      </c>
      <c r="BC67" s="19">
        <f>SUM(BC46:BC66)</f>
        <v>686718.82000000007</v>
      </c>
      <c r="BD67" s="19">
        <f>SUM(BD46:BD66)</f>
        <v>819000</v>
      </c>
      <c r="BF67" s="81"/>
      <c r="BG67" s="81"/>
      <c r="BH67" s="81"/>
      <c r="BI67" s="81"/>
      <c r="BJ67" s="81"/>
      <c r="BK67" s="81"/>
      <c r="BL67" s="81"/>
      <c r="BM67" s="81"/>
      <c r="BN67" s="81"/>
      <c r="BO67" s="81"/>
      <c r="BP67" s="81"/>
      <c r="BQ67" s="81"/>
      <c r="BR67" s="81"/>
      <c r="BS67" s="81"/>
      <c r="BT67" s="81"/>
      <c r="BU67" s="81"/>
      <c r="BV67" s="81"/>
      <c r="BW67" s="81"/>
      <c r="BX67" s="81"/>
      <c r="BY67" s="81"/>
      <c r="BZ67" s="81"/>
      <c r="CA67" s="81"/>
      <c r="CB67" s="81"/>
      <c r="CC67" s="81"/>
      <c r="CD67" s="81"/>
    </row>
    <row r="68" spans="1:122" ht="19.5" x14ac:dyDescent="0.25">
      <c r="E68" s="135"/>
      <c r="K68" s="78"/>
      <c r="L68" s="79"/>
      <c r="T68" s="78"/>
      <c r="U68" s="79"/>
      <c r="V68" s="79"/>
      <c r="Z68" s="80"/>
      <c r="AA68" s="79"/>
      <c r="AB68" s="79"/>
      <c r="AC68" s="81"/>
      <c r="AD68" s="80"/>
      <c r="AE68" s="80"/>
      <c r="AF68" s="80"/>
      <c r="AG68" s="71"/>
      <c r="AH68" s="83"/>
      <c r="AI68" s="9"/>
      <c r="AJ68" s="81"/>
      <c r="AL68" s="81" t="s">
        <v>309</v>
      </c>
      <c r="AO68" s="78"/>
      <c r="AP68" s="79"/>
      <c r="AR68" s="81" t="s">
        <v>309</v>
      </c>
      <c r="AU68" s="78"/>
      <c r="AV68" s="79"/>
      <c r="AW68" s="79"/>
      <c r="AX68" s="81" t="s">
        <v>309</v>
      </c>
      <c r="AY68" s="79"/>
      <c r="AZ68" s="79"/>
      <c r="BA68" s="81"/>
      <c r="BB68" s="79"/>
      <c r="BC68" s="79"/>
      <c r="BD68" s="79"/>
      <c r="BF68" s="81"/>
      <c r="BG68" s="81"/>
      <c r="BH68" s="81"/>
      <c r="BI68" s="81"/>
      <c r="BJ68" s="81"/>
      <c r="BK68" s="81"/>
      <c r="BL68" s="81"/>
      <c r="BM68" s="81"/>
      <c r="BN68" s="81"/>
      <c r="BO68" s="81"/>
      <c r="BP68" s="81"/>
      <c r="BQ68" s="81"/>
      <c r="BR68" s="81"/>
      <c r="BS68" s="81"/>
      <c r="BT68" s="81"/>
      <c r="BU68" s="81"/>
      <c r="BV68" s="81"/>
      <c r="BW68" s="81"/>
      <c r="BX68" s="81"/>
      <c r="BY68" s="81"/>
      <c r="BZ68" s="81"/>
      <c r="CA68" s="81"/>
      <c r="CB68" s="81"/>
      <c r="CC68" s="81"/>
      <c r="CD68" s="81"/>
    </row>
    <row r="69" spans="1:122" ht="19.5" x14ac:dyDescent="0.25">
      <c r="E69" s="135"/>
      <c r="K69" s="78"/>
      <c r="L69" s="79"/>
      <c r="T69" s="78"/>
      <c r="U69" s="79"/>
      <c r="V69" s="79"/>
      <c r="Z69" s="80"/>
      <c r="AA69" s="79"/>
      <c r="AB69" s="79"/>
      <c r="AC69" s="81"/>
      <c r="AD69" s="80"/>
      <c r="AE69" s="80"/>
      <c r="AF69" s="80"/>
      <c r="AG69" s="71"/>
      <c r="AH69" s="83"/>
      <c r="AI69" s="81"/>
      <c r="AJ69" s="81"/>
      <c r="AL69" s="144" t="s">
        <v>308</v>
      </c>
      <c r="AO69" s="78"/>
      <c r="AP69" s="79"/>
      <c r="AU69" s="78"/>
      <c r="AV69" s="79"/>
      <c r="AW69" s="79"/>
      <c r="AY69" s="79"/>
      <c r="AZ69" s="79"/>
      <c r="BA69" s="81"/>
      <c r="BB69" s="79"/>
      <c r="BC69" s="79"/>
      <c r="BD69" s="79"/>
      <c r="BF69" s="81"/>
      <c r="BG69" s="81"/>
      <c r="BH69" s="81"/>
      <c r="BI69" s="81"/>
      <c r="BJ69" s="81"/>
      <c r="BK69" s="81"/>
      <c r="BL69" s="81"/>
      <c r="BM69" s="81"/>
      <c r="BN69" s="81"/>
      <c r="BO69" s="81"/>
      <c r="BP69" s="81"/>
      <c r="BQ69" s="81"/>
      <c r="BR69" s="81"/>
      <c r="BS69" s="81"/>
      <c r="BT69" s="81"/>
      <c r="BU69" s="81"/>
      <c r="BV69" s="81"/>
      <c r="BW69" s="81"/>
      <c r="BX69" s="81"/>
      <c r="BY69" s="81"/>
      <c r="BZ69" s="81"/>
      <c r="CA69" s="81"/>
      <c r="CB69" s="81"/>
      <c r="CC69" s="81"/>
      <c r="CD69" s="81"/>
    </row>
    <row r="70" spans="1:122" ht="19.5" x14ac:dyDescent="0.25">
      <c r="E70" s="135"/>
      <c r="K70" s="78"/>
      <c r="L70" s="79"/>
      <c r="T70" s="78"/>
      <c r="U70" s="79"/>
      <c r="V70" s="79"/>
      <c r="Z70" s="80"/>
      <c r="AA70" s="79"/>
      <c r="AB70" s="79"/>
      <c r="AC70" s="81"/>
      <c r="AD70" s="80"/>
      <c r="AE70" s="80"/>
      <c r="AF70" s="80"/>
      <c r="AG70" s="71"/>
      <c r="AH70" s="83"/>
      <c r="AI70" s="81"/>
      <c r="AJ70" s="81"/>
      <c r="AO70" s="78"/>
      <c r="AP70" s="79"/>
      <c r="AU70" s="78"/>
      <c r="AV70" s="79"/>
      <c r="AW70" s="79"/>
      <c r="AY70" s="79"/>
      <c r="AZ70" s="79"/>
      <c r="BA70" s="81"/>
      <c r="BB70" s="79"/>
      <c r="BC70" s="79"/>
      <c r="BD70" s="79"/>
      <c r="BF70" s="81"/>
      <c r="BG70" s="79"/>
      <c r="BH70" s="79"/>
      <c r="BI70" s="79"/>
      <c r="BJ70" s="79"/>
      <c r="BK70" s="79"/>
      <c r="BL70" s="79"/>
      <c r="BM70" s="79"/>
      <c r="BN70" s="79"/>
      <c r="BO70" s="79"/>
      <c r="BQ70" s="79"/>
      <c r="BR70" s="79"/>
      <c r="BT70" s="79"/>
      <c r="BU70" s="79"/>
      <c r="BV70" s="79"/>
      <c r="BW70" s="79"/>
      <c r="BY70" s="79"/>
      <c r="BZ70" s="79"/>
      <c r="CB70" s="82"/>
      <c r="CC70" s="82"/>
    </row>
    <row r="71" spans="1:122" x14ac:dyDescent="0.25">
      <c r="A71" s="9" t="s">
        <v>48</v>
      </c>
    </row>
    <row r="72" spans="1:122" s="44" customFormat="1" x14ac:dyDescent="0.25">
      <c r="A72" s="41" t="s">
        <v>117</v>
      </c>
      <c r="B72" s="45"/>
      <c r="C72" s="45"/>
      <c r="D72" s="45"/>
      <c r="E72" s="136"/>
      <c r="F72" s="45"/>
      <c r="G72" s="45"/>
      <c r="H72" s="45"/>
      <c r="I72" s="45"/>
      <c r="J72" s="45"/>
      <c r="K72" s="45"/>
      <c r="L72" s="45"/>
      <c r="M72" s="45"/>
      <c r="N72" s="45"/>
      <c r="O72" s="45"/>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c r="BD72" s="38"/>
      <c r="BE72" s="38"/>
      <c r="BF72" s="38"/>
      <c r="BG72" s="38"/>
      <c r="BH72" s="38"/>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I72" s="38"/>
      <c r="CJ72" s="38"/>
      <c r="CK72" s="38"/>
      <c r="CL72" s="38"/>
      <c r="CM72" s="38"/>
      <c r="CN72" s="38"/>
      <c r="CO72" s="38"/>
      <c r="CP72" s="38"/>
      <c r="CQ72" s="38"/>
      <c r="CR72" s="38"/>
      <c r="CS72" s="38"/>
      <c r="CT72" s="38"/>
      <c r="CU72" s="38"/>
      <c r="CV72" s="38"/>
      <c r="CW72" s="38"/>
      <c r="CX72" s="38"/>
      <c r="CY72" s="38"/>
      <c r="CZ72" s="38"/>
      <c r="DA72" s="38"/>
      <c r="DB72" s="38"/>
      <c r="DC72" s="38"/>
      <c r="DD72" s="38"/>
      <c r="DE72" s="38"/>
      <c r="DF72" s="38"/>
      <c r="DG72" s="38"/>
      <c r="DH72" s="38"/>
      <c r="DI72" s="38"/>
      <c r="DJ72" s="38"/>
      <c r="DK72" s="38"/>
      <c r="DL72" s="38"/>
      <c r="DM72" s="38"/>
      <c r="DN72" s="38"/>
      <c r="DO72" s="38"/>
      <c r="DP72" s="38"/>
      <c r="DQ72" s="38"/>
      <c r="DR72" s="38"/>
    </row>
    <row r="73" spans="1:122" s="44" customFormat="1" x14ac:dyDescent="0.25">
      <c r="A73" s="41" t="s">
        <v>118</v>
      </c>
      <c r="B73" s="45"/>
      <c r="C73" s="45"/>
      <c r="D73" s="45"/>
      <c r="E73" s="136"/>
      <c r="F73" s="45"/>
      <c r="G73" s="47"/>
      <c r="H73" s="45"/>
      <c r="I73" s="45"/>
      <c r="J73" s="45"/>
      <c r="K73" s="45"/>
      <c r="L73" s="45"/>
      <c r="M73" s="45"/>
      <c r="N73" s="45"/>
      <c r="O73" s="45"/>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c r="BD73" s="38"/>
      <c r="BE73" s="38"/>
      <c r="BF73" s="38"/>
      <c r="BG73" s="38"/>
      <c r="BH73" s="38"/>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38"/>
      <c r="DO73" s="38"/>
      <c r="DP73" s="38"/>
      <c r="DQ73" s="38"/>
      <c r="DR73" s="38"/>
    </row>
    <row r="74" spans="1:122" s="44" customFormat="1" x14ac:dyDescent="0.25">
      <c r="A74" s="52" t="s">
        <v>136</v>
      </c>
      <c r="B74" s="45"/>
      <c r="C74" s="45"/>
      <c r="D74" s="45"/>
      <c r="E74" s="136"/>
      <c r="F74" s="45"/>
      <c r="G74" s="47"/>
      <c r="H74" s="45"/>
      <c r="I74" s="45"/>
      <c r="J74" s="45"/>
      <c r="K74" s="45"/>
      <c r="L74" s="45"/>
      <c r="M74" s="45"/>
      <c r="N74" s="45"/>
      <c r="O74" s="45"/>
      <c r="P74" s="38"/>
      <c r="Q74" s="38"/>
      <c r="R74" s="4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row>
    <row r="75" spans="1:122" s="44" customFormat="1" x14ac:dyDescent="0.25">
      <c r="A75" s="52" t="s">
        <v>137</v>
      </c>
      <c r="B75" s="45"/>
      <c r="C75" s="45"/>
      <c r="D75" s="45"/>
      <c r="E75" s="136"/>
      <c r="F75" s="45"/>
      <c r="G75" s="47"/>
      <c r="H75" s="45"/>
      <c r="I75" s="45"/>
      <c r="J75" s="45"/>
      <c r="K75" s="45"/>
      <c r="L75" s="45"/>
      <c r="M75" s="45"/>
      <c r="N75" s="45"/>
      <c r="O75" s="45"/>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c r="CY75" s="38"/>
      <c r="CZ75" s="38"/>
      <c r="DA75" s="38"/>
      <c r="DB75" s="38"/>
      <c r="DC75" s="38"/>
      <c r="DD75" s="38"/>
      <c r="DE75" s="38"/>
      <c r="DF75" s="38"/>
      <c r="DG75" s="38"/>
      <c r="DH75" s="38"/>
      <c r="DI75" s="38"/>
      <c r="DJ75" s="38"/>
      <c r="DK75" s="38"/>
      <c r="DL75" s="38"/>
      <c r="DM75" s="38"/>
      <c r="DN75" s="38"/>
      <c r="DO75" s="38"/>
      <c r="DP75" s="38"/>
      <c r="DQ75" s="38"/>
      <c r="DR75" s="38"/>
    </row>
    <row r="76" spans="1:122" s="44" customFormat="1" x14ac:dyDescent="0.25">
      <c r="A76" s="52" t="s">
        <v>138</v>
      </c>
      <c r="B76" s="45"/>
      <c r="C76" s="45"/>
      <c r="D76" s="45"/>
      <c r="E76" s="136"/>
      <c r="F76" s="45"/>
      <c r="G76" s="47"/>
      <c r="H76" s="45"/>
      <c r="I76" s="45"/>
      <c r="J76" s="45"/>
      <c r="K76" s="45"/>
      <c r="L76" s="45"/>
      <c r="M76" s="45"/>
      <c r="N76" s="45"/>
      <c r="O76" s="45"/>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c r="BD76" s="38"/>
      <c r="BE76" s="38"/>
      <c r="BF76" s="38"/>
      <c r="BG76" s="38"/>
      <c r="BH76" s="38"/>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38"/>
      <c r="CJ76" s="38"/>
      <c r="CK76" s="38"/>
      <c r="CL76" s="38"/>
      <c r="CM76" s="38"/>
      <c r="CN76" s="38"/>
      <c r="CO76" s="38"/>
      <c r="CP76" s="38"/>
      <c r="CQ76" s="38"/>
      <c r="CR76" s="38"/>
      <c r="CS76" s="38"/>
      <c r="CT76" s="38"/>
      <c r="CU76" s="38"/>
      <c r="CV76" s="38"/>
      <c r="CW76" s="38"/>
      <c r="CX76" s="38"/>
      <c r="CY76" s="38"/>
      <c r="CZ76" s="38"/>
      <c r="DA76" s="38"/>
      <c r="DB76" s="38"/>
      <c r="DC76" s="38"/>
      <c r="DD76" s="38"/>
      <c r="DE76" s="38"/>
      <c r="DF76" s="38"/>
      <c r="DG76" s="38"/>
      <c r="DH76" s="38"/>
      <c r="DI76" s="38"/>
      <c r="DJ76" s="38"/>
      <c r="DK76" s="38"/>
      <c r="DL76" s="38"/>
      <c r="DM76" s="38"/>
      <c r="DN76" s="38"/>
      <c r="DO76" s="38"/>
      <c r="DP76" s="38"/>
      <c r="DQ76" s="38"/>
      <c r="DR76" s="38"/>
    </row>
    <row r="77" spans="1:122" s="44" customFormat="1" x14ac:dyDescent="0.25">
      <c r="A77" s="41" t="s">
        <v>119</v>
      </c>
      <c r="B77" s="45"/>
      <c r="C77" s="45"/>
      <c r="D77" s="45"/>
      <c r="E77" s="136"/>
      <c r="F77" s="45"/>
      <c r="G77" s="45"/>
      <c r="H77" s="45"/>
      <c r="I77" s="45"/>
      <c r="J77" s="45"/>
      <c r="K77" s="45"/>
      <c r="L77" s="45"/>
      <c r="M77" s="45"/>
      <c r="N77" s="45"/>
      <c r="O77" s="45"/>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c r="BD77" s="38"/>
      <c r="BE77" s="38"/>
      <c r="BF77" s="38"/>
      <c r="BG77" s="38"/>
      <c r="BH77" s="38"/>
      <c r="BI77" s="38"/>
      <c r="BJ77" s="38"/>
      <c r="BK77" s="38"/>
      <c r="BL77" s="38"/>
      <c r="BM77" s="38"/>
      <c r="BN77" s="38"/>
      <c r="BO77" s="38"/>
      <c r="BP77" s="38"/>
      <c r="BQ77" s="38"/>
      <c r="BR77" s="38"/>
      <c r="BS77" s="38"/>
      <c r="BT77" s="38"/>
      <c r="BU77" s="38"/>
      <c r="BV77" s="38"/>
      <c r="BW77" s="38"/>
      <c r="BX77" s="38"/>
      <c r="BY77" s="38"/>
      <c r="BZ77" s="38"/>
      <c r="CA77" s="38"/>
      <c r="CB77" s="38"/>
      <c r="CC77" s="38"/>
      <c r="CD77" s="38"/>
      <c r="CE77" s="38"/>
      <c r="CF77" s="38"/>
      <c r="CG77" s="38"/>
      <c r="CH77" s="38"/>
      <c r="CI77" s="38"/>
      <c r="CJ77" s="38"/>
      <c r="CK77" s="38"/>
      <c r="CL77" s="38"/>
      <c r="CM77" s="38"/>
      <c r="CN77" s="38"/>
      <c r="CO77" s="38"/>
      <c r="CP77" s="38"/>
      <c r="CQ77" s="38"/>
      <c r="CR77" s="38"/>
      <c r="CS77" s="38"/>
      <c r="CT77" s="38"/>
      <c r="CU77" s="38"/>
      <c r="CV77" s="38"/>
      <c r="CW77" s="38"/>
      <c r="CX77" s="38"/>
      <c r="CY77" s="38"/>
      <c r="CZ77" s="38"/>
      <c r="DA77" s="38"/>
      <c r="DB77" s="38"/>
      <c r="DC77" s="38"/>
      <c r="DD77" s="38"/>
      <c r="DE77" s="38"/>
      <c r="DF77" s="38"/>
      <c r="DG77" s="38"/>
      <c r="DH77" s="38"/>
      <c r="DI77" s="38"/>
      <c r="DJ77" s="38"/>
      <c r="DK77" s="38"/>
      <c r="DL77" s="38"/>
      <c r="DM77" s="38"/>
      <c r="DN77" s="38"/>
      <c r="DO77" s="38"/>
      <c r="DP77" s="38"/>
      <c r="DQ77" s="38"/>
      <c r="DR77" s="38"/>
    </row>
    <row r="78" spans="1:122" s="44" customFormat="1" x14ac:dyDescent="0.25">
      <c r="A78" s="41" t="s">
        <v>140</v>
      </c>
      <c r="B78" s="45"/>
      <c r="C78" s="45"/>
      <c r="D78" s="45"/>
      <c r="E78" s="136"/>
      <c r="F78" s="45"/>
      <c r="G78" s="45"/>
      <c r="H78" s="45"/>
      <c r="I78" s="45"/>
      <c r="J78" s="45"/>
      <c r="K78" s="45"/>
      <c r="L78" s="45"/>
      <c r="M78" s="45"/>
      <c r="N78" s="45"/>
      <c r="O78" s="45"/>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c r="BD78" s="38"/>
      <c r="BE78" s="38"/>
      <c r="BF78" s="38"/>
      <c r="BG78" s="38"/>
      <c r="BH78" s="38"/>
      <c r="BI78" s="38"/>
      <c r="BJ78" s="38"/>
      <c r="BK78" s="38"/>
      <c r="BL78" s="38"/>
      <c r="BM78" s="38"/>
      <c r="BN78" s="38"/>
      <c r="BO78" s="38"/>
      <c r="BP78" s="38"/>
      <c r="BQ78" s="38"/>
      <c r="BR78" s="38"/>
      <c r="BS78" s="38"/>
      <c r="BT78" s="38"/>
      <c r="BU78" s="38"/>
      <c r="BV78" s="38"/>
      <c r="BW78" s="38"/>
      <c r="BX78" s="38"/>
      <c r="BY78" s="38"/>
      <c r="BZ78" s="38"/>
      <c r="CA78" s="38"/>
      <c r="CB78" s="38"/>
      <c r="CC78" s="38"/>
      <c r="CD78" s="38"/>
      <c r="CE78" s="38"/>
      <c r="CF78" s="38"/>
      <c r="CG78" s="38"/>
      <c r="CH78" s="38"/>
      <c r="CI78" s="38"/>
      <c r="CJ78" s="38"/>
      <c r="CK78" s="38"/>
      <c r="CL78" s="38"/>
      <c r="CM78" s="38"/>
      <c r="CN78" s="38"/>
      <c r="CO78" s="38"/>
      <c r="CP78" s="38"/>
      <c r="CQ78" s="38"/>
      <c r="CR78" s="38"/>
      <c r="CS78" s="38"/>
      <c r="CT78" s="38"/>
      <c r="CU78" s="38"/>
      <c r="CV78" s="38"/>
      <c r="CW78" s="38"/>
      <c r="CX78" s="38"/>
      <c r="CY78" s="38"/>
      <c r="CZ78" s="38"/>
      <c r="DA78" s="38"/>
      <c r="DB78" s="38"/>
      <c r="DC78" s="38"/>
      <c r="DD78" s="38"/>
      <c r="DE78" s="38"/>
      <c r="DF78" s="38"/>
      <c r="DG78" s="38"/>
      <c r="DH78" s="38"/>
      <c r="DI78" s="38"/>
      <c r="DJ78" s="38"/>
      <c r="DK78" s="38"/>
      <c r="DL78" s="38"/>
      <c r="DM78" s="38"/>
      <c r="DN78" s="38"/>
      <c r="DO78" s="38"/>
      <c r="DP78" s="38"/>
      <c r="DQ78" s="38"/>
      <c r="DR78" s="38"/>
    </row>
    <row r="79" spans="1:122" s="44" customFormat="1" x14ac:dyDescent="0.25">
      <c r="A79" s="52" t="s">
        <v>139</v>
      </c>
      <c r="B79" s="45"/>
      <c r="C79" s="45"/>
      <c r="D79" s="45"/>
      <c r="E79" s="136"/>
      <c r="F79" s="45"/>
      <c r="G79" s="45"/>
      <c r="H79" s="45"/>
      <c r="I79" s="45"/>
      <c r="J79" s="45"/>
      <c r="K79" s="45"/>
      <c r="L79" s="45"/>
      <c r="M79" s="45"/>
      <c r="N79" s="45"/>
      <c r="O79" s="45"/>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c r="BD79" s="38"/>
      <c r="BE79" s="38"/>
      <c r="BF79" s="38"/>
      <c r="BG79" s="38"/>
      <c r="BH79" s="38"/>
      <c r="BI79" s="38"/>
      <c r="BJ79" s="38"/>
      <c r="BK79" s="38"/>
      <c r="BL79" s="38"/>
      <c r="BM79" s="38"/>
      <c r="BN79" s="38"/>
      <c r="BO79" s="38"/>
      <c r="BP79" s="38"/>
      <c r="BQ79" s="38"/>
      <c r="BR79" s="38"/>
      <c r="BS79" s="38"/>
      <c r="BT79" s="38"/>
      <c r="BU79" s="38"/>
      <c r="BV79" s="38"/>
      <c r="BW79" s="38"/>
      <c r="BX79" s="38"/>
      <c r="BY79" s="38"/>
      <c r="BZ79" s="38"/>
      <c r="CA79" s="38"/>
      <c r="CB79" s="38"/>
      <c r="CC79" s="38"/>
      <c r="CD79" s="38"/>
      <c r="CE79" s="38"/>
      <c r="CF79" s="38"/>
      <c r="CG79" s="38"/>
      <c r="CH79" s="38"/>
      <c r="CI79" s="38"/>
      <c r="CJ79" s="38"/>
      <c r="CK79" s="38"/>
      <c r="CL79" s="38"/>
      <c r="CM79" s="38"/>
      <c r="CN79" s="38"/>
      <c r="CO79" s="38"/>
      <c r="CP79" s="38"/>
      <c r="CQ79" s="38"/>
      <c r="CR79" s="38"/>
      <c r="CS79" s="38"/>
      <c r="CT79" s="38"/>
      <c r="CU79" s="38"/>
      <c r="CV79" s="38"/>
      <c r="CW79" s="38"/>
      <c r="CX79" s="38"/>
      <c r="CY79" s="38"/>
      <c r="CZ79" s="38"/>
      <c r="DA79" s="38"/>
      <c r="DB79" s="38"/>
      <c r="DC79" s="38"/>
      <c r="DD79" s="38"/>
      <c r="DE79" s="38"/>
      <c r="DF79" s="38"/>
      <c r="DG79" s="38"/>
      <c r="DH79" s="38"/>
      <c r="DI79" s="38"/>
      <c r="DJ79" s="38"/>
      <c r="DK79" s="38"/>
      <c r="DL79" s="38"/>
      <c r="DM79" s="38"/>
      <c r="DN79" s="38"/>
      <c r="DO79" s="38"/>
      <c r="DP79" s="38"/>
      <c r="DQ79" s="38"/>
      <c r="DR79" s="38"/>
    </row>
    <row r="80" spans="1:122" s="44" customFormat="1" ht="15.75" x14ac:dyDescent="0.25">
      <c r="A80" s="41" t="s">
        <v>129</v>
      </c>
      <c r="B80" s="45"/>
      <c r="C80" s="45"/>
      <c r="D80" s="45"/>
      <c r="E80" s="136"/>
      <c r="F80" s="45"/>
      <c r="G80" s="45"/>
      <c r="H80" s="45"/>
      <c r="I80" s="45"/>
      <c r="J80" s="45"/>
      <c r="K80" s="45"/>
      <c r="L80" s="45"/>
      <c r="M80" s="45"/>
      <c r="N80" s="45"/>
      <c r="O80" s="45"/>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c r="BD80" s="38"/>
      <c r="BE80" s="38"/>
      <c r="BF80" s="38"/>
      <c r="BG80" s="38"/>
      <c r="BH80" s="38"/>
      <c r="BI80" s="38"/>
      <c r="BJ80" s="38"/>
      <c r="BK80" s="38"/>
      <c r="BL80" s="38"/>
      <c r="BM80" s="38"/>
      <c r="BN80" s="38"/>
      <c r="BO80" s="38"/>
      <c r="BP80" s="38"/>
      <c r="BQ80" s="38"/>
      <c r="BR80" s="38"/>
      <c r="BS80" s="38"/>
      <c r="BT80" s="38"/>
      <c r="BU80" s="38"/>
      <c r="BV80" s="38"/>
      <c r="BW80" s="38"/>
      <c r="BX80" s="38"/>
      <c r="BY80" s="38"/>
      <c r="BZ80" s="38"/>
      <c r="CA80" s="38"/>
      <c r="CB80" s="38"/>
      <c r="CC80" s="38"/>
      <c r="CD80" s="38"/>
      <c r="CE80" s="38"/>
      <c r="CF80" s="38"/>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38"/>
      <c r="DO80" s="38"/>
      <c r="DP80" s="38"/>
      <c r="DQ80" s="38"/>
      <c r="DR80" s="38"/>
    </row>
    <row r="81" spans="1:122" s="44" customFormat="1" x14ac:dyDescent="0.25">
      <c r="A81" s="41" t="s">
        <v>120</v>
      </c>
      <c r="B81" s="45"/>
      <c r="C81" s="45"/>
      <c r="D81" s="45"/>
      <c r="E81" s="136"/>
      <c r="F81" s="45"/>
      <c r="G81" s="45"/>
      <c r="H81" s="45"/>
      <c r="I81" s="45"/>
      <c r="J81" s="45"/>
      <c r="K81" s="45"/>
      <c r="L81" s="45"/>
      <c r="M81" s="45"/>
      <c r="N81" s="45"/>
      <c r="O81" s="45"/>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c r="BD81" s="38"/>
      <c r="BE81" s="38"/>
      <c r="BF81" s="38"/>
      <c r="BG81" s="38"/>
      <c r="BH81" s="38"/>
      <c r="BI81" s="38"/>
      <c r="BJ81" s="38"/>
      <c r="BK81" s="38"/>
      <c r="BL81" s="38"/>
      <c r="BM81" s="38"/>
      <c r="BN81" s="38"/>
      <c r="BO81" s="38"/>
      <c r="BP81" s="38"/>
      <c r="BQ81" s="38"/>
      <c r="BR81" s="38"/>
      <c r="BS81" s="38"/>
      <c r="BT81" s="38"/>
      <c r="BU81" s="38"/>
      <c r="BV81" s="38"/>
      <c r="BW81" s="38"/>
      <c r="BX81" s="38"/>
      <c r="BY81" s="38"/>
      <c r="BZ81" s="38"/>
      <c r="CA81" s="38"/>
      <c r="CB81" s="38"/>
      <c r="CC81" s="38"/>
      <c r="CD81" s="38"/>
      <c r="CE81" s="38"/>
      <c r="CF81" s="38"/>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38"/>
      <c r="DO81" s="38"/>
      <c r="DP81" s="38"/>
      <c r="DQ81" s="38"/>
      <c r="DR81" s="38"/>
    </row>
    <row r="82" spans="1:122" s="44" customFormat="1" x14ac:dyDescent="0.25">
      <c r="A82" s="41" t="s">
        <v>121</v>
      </c>
      <c r="B82" s="45"/>
      <c r="C82" s="45"/>
      <c r="D82" s="45"/>
      <c r="E82" s="136"/>
      <c r="F82" s="45"/>
      <c r="G82" s="45"/>
      <c r="H82" s="45"/>
      <c r="I82" s="45"/>
      <c r="J82" s="45"/>
      <c r="K82" s="45"/>
      <c r="L82" s="45"/>
      <c r="M82" s="45"/>
      <c r="N82" s="45"/>
      <c r="O82" s="45"/>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c r="BD82" s="38"/>
      <c r="BE82" s="38"/>
      <c r="BF82" s="38"/>
      <c r="BG82" s="38"/>
      <c r="BH82" s="38"/>
      <c r="BI82" s="38"/>
      <c r="BJ82" s="38"/>
      <c r="BK82" s="38"/>
      <c r="BL82" s="38"/>
      <c r="BM82" s="38"/>
      <c r="BN82" s="38"/>
      <c r="BO82" s="38"/>
      <c r="BP82" s="38"/>
      <c r="BQ82" s="38"/>
      <c r="BR82" s="38"/>
      <c r="BS82" s="38"/>
      <c r="BT82" s="38"/>
      <c r="BU82" s="38"/>
      <c r="BV82" s="38"/>
      <c r="BW82" s="38"/>
      <c r="BX82" s="38"/>
      <c r="BY82" s="38"/>
      <c r="BZ82" s="38"/>
      <c r="CA82" s="38"/>
      <c r="CB82" s="38"/>
      <c r="CC82" s="38"/>
      <c r="CD82" s="38"/>
      <c r="CE82" s="38"/>
      <c r="CF82" s="38"/>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row>
    <row r="83" spans="1:122" s="44" customFormat="1" x14ac:dyDescent="0.25">
      <c r="A83" s="41" t="s">
        <v>122</v>
      </c>
      <c r="B83" s="45"/>
      <c r="C83" s="45"/>
      <c r="D83" s="45"/>
      <c r="E83" s="136"/>
      <c r="F83" s="45"/>
      <c r="G83" s="45"/>
      <c r="H83" s="45"/>
      <c r="I83" s="45"/>
      <c r="J83" s="45"/>
      <c r="K83" s="45"/>
      <c r="L83" s="45"/>
      <c r="M83" s="45"/>
      <c r="N83" s="45"/>
      <c r="O83" s="45"/>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c r="BD83" s="38"/>
      <c r="BE83" s="38"/>
      <c r="BF83" s="38"/>
      <c r="BG83" s="38"/>
      <c r="BH83" s="38"/>
      <c r="BI83" s="38"/>
      <c r="BJ83" s="38"/>
      <c r="BK83" s="38"/>
      <c r="BL83" s="38"/>
      <c r="BM83" s="38"/>
      <c r="BN83" s="38"/>
      <c r="BO83" s="38"/>
      <c r="BP83" s="38"/>
      <c r="BQ83" s="38"/>
      <c r="BR83" s="38"/>
      <c r="BS83" s="38"/>
      <c r="BT83" s="38"/>
      <c r="BU83" s="38"/>
      <c r="BV83" s="38"/>
      <c r="BW83" s="38"/>
      <c r="BX83" s="38"/>
      <c r="BY83" s="38"/>
      <c r="BZ83" s="38"/>
      <c r="CA83" s="38"/>
      <c r="CB83" s="38"/>
      <c r="CC83" s="38"/>
      <c r="CD83" s="38"/>
      <c r="CE83" s="38"/>
      <c r="CF83" s="38"/>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c r="DN83" s="38"/>
      <c r="DO83" s="38"/>
      <c r="DP83" s="38"/>
      <c r="DQ83" s="38"/>
      <c r="DR83" s="38"/>
    </row>
    <row r="84" spans="1:122" s="44" customFormat="1" x14ac:dyDescent="0.25">
      <c r="A84" s="41" t="s">
        <v>134</v>
      </c>
      <c r="B84" s="45"/>
      <c r="C84" s="45"/>
      <c r="D84" s="45"/>
      <c r="E84" s="136"/>
      <c r="F84" s="45"/>
      <c r="G84" s="45"/>
      <c r="H84" s="45"/>
      <c r="I84" s="45"/>
      <c r="J84" s="45"/>
      <c r="K84" s="45"/>
      <c r="L84" s="45"/>
      <c r="M84" s="45"/>
      <c r="N84" s="45"/>
      <c r="O84" s="45"/>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c r="BD84" s="38"/>
      <c r="BE84" s="38"/>
      <c r="BF84" s="38"/>
      <c r="BG84" s="38"/>
      <c r="BH84" s="38"/>
      <c r="BI84" s="38"/>
      <c r="BJ84" s="38"/>
      <c r="BK84" s="38"/>
      <c r="BL84" s="38"/>
      <c r="BM84" s="38"/>
      <c r="BN84" s="38"/>
      <c r="BO84" s="38"/>
      <c r="BP84" s="38"/>
      <c r="BQ84" s="38"/>
      <c r="BR84" s="38"/>
      <c r="BS84" s="38"/>
      <c r="BT84" s="38"/>
      <c r="BU84" s="38"/>
      <c r="BV84" s="38"/>
      <c r="BW84" s="38"/>
      <c r="BX84" s="38"/>
      <c r="BY84" s="38"/>
      <c r="BZ84" s="38"/>
      <c r="CA84" s="38"/>
      <c r="CB84" s="38"/>
      <c r="CC84" s="38"/>
      <c r="CD84" s="38"/>
      <c r="CE84" s="38"/>
      <c r="CF84" s="38"/>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c r="DN84" s="38"/>
      <c r="DO84" s="38"/>
      <c r="DP84" s="38"/>
      <c r="DQ84" s="38"/>
      <c r="DR84" s="38"/>
    </row>
    <row r="85" spans="1:122" s="44" customFormat="1" x14ac:dyDescent="0.25">
      <c r="A85" s="41" t="s">
        <v>123</v>
      </c>
      <c r="B85" s="45"/>
      <c r="C85" s="45"/>
      <c r="D85" s="45"/>
      <c r="E85" s="136"/>
      <c r="F85" s="45"/>
      <c r="G85" s="45"/>
      <c r="H85" s="45"/>
      <c r="I85" s="45"/>
      <c r="J85" s="45"/>
      <c r="K85" s="45"/>
      <c r="L85" s="45"/>
      <c r="M85" s="45"/>
      <c r="N85" s="45"/>
      <c r="O85" s="45"/>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c r="BD85" s="38"/>
      <c r="BE85" s="38"/>
      <c r="BF85" s="38"/>
      <c r="BG85" s="38"/>
      <c r="BH85" s="38"/>
      <c r="BI85" s="38"/>
      <c r="BJ85" s="38"/>
      <c r="BK85" s="38"/>
      <c r="BL85" s="38"/>
      <c r="BM85" s="38"/>
      <c r="BN85" s="38"/>
      <c r="BO85" s="38"/>
      <c r="BP85" s="38"/>
      <c r="BQ85" s="38"/>
      <c r="BR85" s="38"/>
      <c r="BS85" s="38"/>
      <c r="BT85" s="38"/>
      <c r="BU85" s="38"/>
      <c r="BV85" s="38"/>
      <c r="BW85" s="38"/>
      <c r="BX85" s="38"/>
      <c r="BY85" s="38"/>
      <c r="BZ85" s="38"/>
      <c r="CA85" s="38"/>
      <c r="CB85" s="38"/>
      <c r="CC85" s="38"/>
      <c r="CD85" s="38"/>
      <c r="CE85" s="38"/>
      <c r="CF85" s="38"/>
      <c r="CG85" s="38"/>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row>
    <row r="86" spans="1:122" s="44" customFormat="1" x14ac:dyDescent="0.25">
      <c r="A86" s="41" t="s">
        <v>124</v>
      </c>
      <c r="B86" s="45"/>
      <c r="C86" s="45"/>
      <c r="D86" s="45"/>
      <c r="E86" s="136"/>
      <c r="F86" s="45"/>
      <c r="G86" s="45"/>
      <c r="H86" s="45"/>
      <c r="I86" s="45"/>
      <c r="J86" s="45"/>
      <c r="K86" s="45"/>
      <c r="L86" s="45"/>
      <c r="M86" s="45"/>
      <c r="N86" s="45"/>
      <c r="O86" s="45"/>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c r="BD86" s="38"/>
      <c r="BE86" s="38"/>
      <c r="BF86" s="38"/>
      <c r="BG86" s="38"/>
      <c r="BH86" s="38"/>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8"/>
      <c r="CJ86" s="38"/>
      <c r="CK86" s="38"/>
      <c r="CL86" s="38"/>
      <c r="CM86" s="38"/>
      <c r="CN86" s="38"/>
      <c r="CO86" s="38"/>
      <c r="CP86" s="38"/>
      <c r="CQ86" s="38"/>
      <c r="CR86" s="38"/>
      <c r="CS86" s="38"/>
      <c r="CT86" s="38"/>
      <c r="CU86" s="38"/>
      <c r="CV86" s="38"/>
      <c r="CW86" s="38"/>
      <c r="CX86" s="38"/>
      <c r="CY86" s="38"/>
      <c r="CZ86" s="38"/>
      <c r="DA86" s="38"/>
      <c r="DB86" s="38"/>
      <c r="DC86" s="38"/>
      <c r="DD86" s="38"/>
      <c r="DE86" s="38"/>
      <c r="DF86" s="38"/>
      <c r="DG86" s="38"/>
      <c r="DH86" s="38"/>
      <c r="DI86" s="38"/>
      <c r="DJ86" s="38"/>
      <c r="DK86" s="38"/>
      <c r="DL86" s="38"/>
      <c r="DM86" s="38"/>
      <c r="DN86" s="38"/>
      <c r="DO86" s="38"/>
      <c r="DP86" s="38"/>
      <c r="DQ86" s="38"/>
      <c r="DR86" s="38"/>
    </row>
    <row r="87" spans="1:122" s="44" customFormat="1" x14ac:dyDescent="0.25">
      <c r="A87" s="41" t="s">
        <v>135</v>
      </c>
      <c r="B87" s="45"/>
      <c r="C87" s="45"/>
      <c r="D87" s="45"/>
      <c r="E87" s="136"/>
      <c r="F87" s="45"/>
      <c r="G87" s="45"/>
      <c r="H87" s="45"/>
      <c r="I87" s="45"/>
      <c r="J87" s="45"/>
      <c r="K87" s="45"/>
      <c r="L87" s="45"/>
      <c r="M87" s="45"/>
      <c r="N87" s="45"/>
      <c r="O87" s="45"/>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c r="BD87" s="38"/>
      <c r="BE87" s="38"/>
      <c r="BF87" s="38"/>
      <c r="BG87" s="38"/>
      <c r="BH87" s="38"/>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8"/>
      <c r="CJ87" s="38"/>
      <c r="CK87" s="38"/>
      <c r="CL87" s="38"/>
      <c r="CM87" s="38"/>
      <c r="CN87" s="38"/>
      <c r="CO87" s="38"/>
      <c r="CP87" s="38"/>
      <c r="CQ87" s="38"/>
      <c r="CR87" s="38"/>
      <c r="CS87" s="38"/>
      <c r="CT87" s="38"/>
      <c r="CU87" s="38"/>
      <c r="CV87" s="38"/>
      <c r="CW87" s="38"/>
      <c r="CX87" s="38"/>
      <c r="CY87" s="38"/>
      <c r="CZ87" s="38"/>
      <c r="DA87" s="38"/>
      <c r="DB87" s="38"/>
      <c r="DC87" s="38"/>
      <c r="DD87" s="38"/>
      <c r="DE87" s="38"/>
      <c r="DF87" s="38"/>
      <c r="DG87" s="38"/>
      <c r="DH87" s="38"/>
      <c r="DI87" s="38"/>
      <c r="DJ87" s="38"/>
      <c r="DK87" s="38"/>
      <c r="DL87" s="38"/>
      <c r="DM87" s="38"/>
      <c r="DN87" s="38"/>
      <c r="DO87" s="38"/>
      <c r="DP87" s="38"/>
      <c r="DQ87" s="38"/>
      <c r="DR87" s="38"/>
    </row>
    <row r="88" spans="1:122" s="44" customFormat="1" x14ac:dyDescent="0.25">
      <c r="A88" s="46" t="s">
        <v>125</v>
      </c>
      <c r="B88" s="45"/>
      <c r="C88" s="45"/>
      <c r="D88" s="45"/>
      <c r="E88" s="136"/>
      <c r="F88" s="45"/>
      <c r="G88" s="45"/>
      <c r="H88" s="45"/>
      <c r="I88" s="45"/>
      <c r="J88" s="45"/>
      <c r="K88" s="45"/>
      <c r="L88" s="45"/>
      <c r="M88" s="45"/>
      <c r="N88" s="45"/>
      <c r="O88" s="45"/>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38"/>
      <c r="DO88" s="38"/>
      <c r="DP88" s="38"/>
      <c r="DQ88" s="38"/>
      <c r="DR88" s="38"/>
    </row>
    <row r="89" spans="1:122" s="44" customFormat="1" x14ac:dyDescent="0.25">
      <c r="A89" s="41" t="s">
        <v>126</v>
      </c>
      <c r="B89" s="45"/>
      <c r="C89" s="45"/>
      <c r="D89" s="45"/>
      <c r="E89" s="136"/>
      <c r="F89" s="45"/>
      <c r="G89" s="45"/>
      <c r="H89" s="45"/>
      <c r="I89" s="45"/>
      <c r="J89" s="45"/>
      <c r="K89" s="45"/>
      <c r="L89" s="45"/>
      <c r="M89" s="45"/>
      <c r="N89" s="45"/>
      <c r="O89" s="45"/>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c r="BD89" s="38"/>
      <c r="BE89" s="38"/>
      <c r="BF89" s="38"/>
      <c r="BG89" s="38"/>
      <c r="BH89" s="38"/>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c r="DN89" s="38"/>
      <c r="DO89" s="38"/>
      <c r="DP89" s="38"/>
      <c r="DQ89" s="38"/>
      <c r="DR89" s="38"/>
    </row>
    <row r="90" spans="1:122" s="44" customFormat="1" x14ac:dyDescent="0.25">
      <c r="A90" s="49" t="s">
        <v>127</v>
      </c>
      <c r="B90" s="45"/>
      <c r="C90" s="45"/>
      <c r="D90" s="45"/>
      <c r="E90" s="136"/>
      <c r="F90" s="45"/>
      <c r="G90" s="45"/>
      <c r="H90" s="45"/>
      <c r="I90" s="45"/>
      <c r="J90" s="50" t="s">
        <v>128</v>
      </c>
      <c r="K90" s="51"/>
      <c r="L90" s="45"/>
      <c r="M90" s="45"/>
      <c r="N90" s="45"/>
      <c r="O90" s="45"/>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8"/>
      <c r="AP90" s="38"/>
      <c r="AQ90" s="38"/>
      <c r="AR90" s="38"/>
      <c r="AS90" s="38"/>
      <c r="AT90" s="38"/>
      <c r="AU90" s="38"/>
      <c r="AV90" s="38"/>
      <c r="AW90" s="38"/>
      <c r="AX90" s="38"/>
      <c r="AY90" s="38"/>
      <c r="AZ90" s="38"/>
      <c r="BA90" s="38"/>
      <c r="BB90" s="38"/>
      <c r="BC90" s="38"/>
      <c r="BD90" s="38"/>
      <c r="BE90" s="38"/>
      <c r="BF90" s="38"/>
      <c r="BG90" s="38"/>
      <c r="BH90" s="38"/>
      <c r="BI90" s="38"/>
      <c r="BJ90" s="38"/>
      <c r="BK90" s="38"/>
      <c r="BL90" s="38"/>
      <c r="BM90" s="38"/>
      <c r="BN90" s="38"/>
      <c r="BO90" s="38"/>
      <c r="BP90" s="38"/>
      <c r="BQ90" s="38"/>
      <c r="BR90" s="38"/>
      <c r="BS90" s="38"/>
      <c r="BT90" s="38"/>
      <c r="BU90" s="38"/>
      <c r="BV90" s="38"/>
      <c r="BW90" s="38"/>
      <c r="BX90" s="38"/>
      <c r="BY90" s="38"/>
      <c r="BZ90" s="38"/>
      <c r="CA90" s="38"/>
      <c r="CB90" s="38"/>
      <c r="CC90" s="38"/>
      <c r="CD90" s="38"/>
      <c r="CE90" s="38"/>
      <c r="CF90" s="38"/>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8"/>
      <c r="DP90" s="38"/>
      <c r="DQ90" s="38"/>
      <c r="DR90" s="38"/>
    </row>
    <row r="91" spans="1:122" s="44" customFormat="1" x14ac:dyDescent="0.25">
      <c r="A91" s="49" t="s">
        <v>130</v>
      </c>
      <c r="B91" s="45"/>
      <c r="C91" s="45"/>
      <c r="D91" s="45"/>
      <c r="E91" s="136"/>
      <c r="F91" s="45"/>
      <c r="G91" s="45"/>
      <c r="H91" s="45"/>
      <c r="I91" s="45"/>
      <c r="J91" s="50" t="s">
        <v>128</v>
      </c>
      <c r="K91" s="51"/>
      <c r="L91" s="45"/>
      <c r="M91" s="45"/>
      <c r="N91" s="45"/>
      <c r="O91" s="45"/>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8"/>
      <c r="AP91" s="38"/>
      <c r="AQ91" s="38"/>
      <c r="AR91" s="38"/>
      <c r="AS91" s="38"/>
      <c r="AT91" s="38"/>
      <c r="AU91" s="38"/>
      <c r="AV91" s="38"/>
      <c r="AW91" s="38"/>
      <c r="AX91" s="38"/>
      <c r="AY91" s="38"/>
      <c r="AZ91" s="38"/>
      <c r="BA91" s="38"/>
      <c r="BB91" s="38"/>
      <c r="BC91" s="38"/>
      <c r="BD91" s="38"/>
      <c r="BE91" s="38"/>
      <c r="BF91" s="38"/>
      <c r="BG91" s="38"/>
      <c r="BH91" s="38"/>
      <c r="BI91" s="38"/>
      <c r="BJ91" s="38"/>
      <c r="BK91" s="38"/>
      <c r="BL91" s="38"/>
      <c r="BM91" s="38"/>
      <c r="BN91" s="38"/>
      <c r="BO91" s="38"/>
      <c r="BP91" s="38"/>
      <c r="BQ91" s="38"/>
      <c r="BR91" s="38"/>
      <c r="BS91" s="38"/>
      <c r="BT91" s="38"/>
      <c r="BU91" s="38"/>
      <c r="BV91" s="38"/>
      <c r="BW91" s="38"/>
      <c r="BX91" s="38"/>
      <c r="BY91" s="38"/>
      <c r="BZ91" s="38"/>
      <c r="CA91" s="38"/>
      <c r="CB91" s="38"/>
      <c r="CC91" s="38"/>
      <c r="CD91" s="38"/>
      <c r="CE91" s="38"/>
      <c r="CF91" s="38"/>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8"/>
      <c r="DP91" s="38"/>
      <c r="DQ91" s="38"/>
      <c r="DR91" s="38"/>
    </row>
    <row r="92" spans="1:122" x14ac:dyDescent="0.25">
      <c r="A92" s="9"/>
      <c r="F92" s="17"/>
    </row>
    <row r="93" spans="1:122" x14ac:dyDescent="0.25">
      <c r="A93" s="9"/>
    </row>
  </sheetData>
  <mergeCells count="170">
    <mergeCell ref="CB14:CC14"/>
    <mergeCell ref="CB15:CB16"/>
    <mergeCell ref="CC15:CC16"/>
    <mergeCell ref="BY14:BZ14"/>
    <mergeCell ref="BY15:BY16"/>
    <mergeCell ref="BZ15:BZ16"/>
    <mergeCell ref="BO15:BO16"/>
    <mergeCell ref="BF14:BO14"/>
    <mergeCell ref="BT14:BW14"/>
    <mergeCell ref="BQ14:BR14"/>
    <mergeCell ref="BQ15:BQ16"/>
    <mergeCell ref="BR15:BR16"/>
    <mergeCell ref="BW15:BW16"/>
    <mergeCell ref="BT15:BT16"/>
    <mergeCell ref="BU15:BU16"/>
    <mergeCell ref="BV15:BV16"/>
    <mergeCell ref="BF15:BF16"/>
    <mergeCell ref="BG15:BG16"/>
    <mergeCell ref="BH15:BH16"/>
    <mergeCell ref="BJ15:BJ16"/>
    <mergeCell ref="BK15:BK16"/>
    <mergeCell ref="BN15:BN16"/>
    <mergeCell ref="BL15:BL16"/>
    <mergeCell ref="BM15:BM16"/>
    <mergeCell ref="W15:Z15"/>
    <mergeCell ref="AG15:AG16"/>
    <mergeCell ref="AI15:AI16"/>
    <mergeCell ref="AJ15:AJ16"/>
    <mergeCell ref="A36:A37"/>
    <mergeCell ref="A23:A24"/>
    <mergeCell ref="C44:C45"/>
    <mergeCell ref="AI25:AI26"/>
    <mergeCell ref="AI34:AI35"/>
    <mergeCell ref="D17:D18"/>
    <mergeCell ref="AG32:AG33"/>
    <mergeCell ref="AD44:AD45"/>
    <mergeCell ref="AE44:AE45"/>
    <mergeCell ref="AF44:AF45"/>
    <mergeCell ref="AG44:AG45"/>
    <mergeCell ref="AD43:AF43"/>
    <mergeCell ref="AI43:BA43"/>
    <mergeCell ref="AH19:AH20"/>
    <mergeCell ref="AH23:AH24"/>
    <mergeCell ref="AH25:AH26"/>
    <mergeCell ref="AH34:AH35"/>
    <mergeCell ref="AH36:AH37"/>
    <mergeCell ref="AH29:AH30"/>
    <mergeCell ref="AH32:AH33"/>
    <mergeCell ref="AC36:AC37"/>
    <mergeCell ref="AC29:AC30"/>
    <mergeCell ref="A17:A18"/>
    <mergeCell ref="A19:A20"/>
    <mergeCell ref="BA29:BA30"/>
    <mergeCell ref="AI17:AI18"/>
    <mergeCell ref="AI19:AI20"/>
    <mergeCell ref="A25:A26"/>
    <mergeCell ref="A34:A35"/>
    <mergeCell ref="AC17:AC18"/>
    <mergeCell ref="AC19:AC20"/>
    <mergeCell ref="AC23:AC24"/>
    <mergeCell ref="AC25:AC26"/>
    <mergeCell ref="A32:A33"/>
    <mergeCell ref="AC32:AC33"/>
    <mergeCell ref="AI32:AI33"/>
    <mergeCell ref="BA32:BA33"/>
    <mergeCell ref="A29:A30"/>
    <mergeCell ref="AH17:AH18"/>
    <mergeCell ref="D19:D37"/>
    <mergeCell ref="AF15:AF16"/>
    <mergeCell ref="AD15:AD16"/>
    <mergeCell ref="AE15:AE16"/>
    <mergeCell ref="AQ15:AV15"/>
    <mergeCell ref="AI14:BA14"/>
    <mergeCell ref="AK15:AP15"/>
    <mergeCell ref="BA15:BA16"/>
    <mergeCell ref="BA36:BA37"/>
    <mergeCell ref="AG34:AG35"/>
    <mergeCell ref="AG36:AG37"/>
    <mergeCell ref="AG17:AG18"/>
    <mergeCell ref="AG19:AG20"/>
    <mergeCell ref="AG23:AG24"/>
    <mergeCell ref="BA17:BA18"/>
    <mergeCell ref="BA19:BA20"/>
    <mergeCell ref="BA23:BA24"/>
    <mergeCell ref="BA25:BA26"/>
    <mergeCell ref="BA34:BA35"/>
    <mergeCell ref="AI23:AI24"/>
    <mergeCell ref="AG25:AG26"/>
    <mergeCell ref="AG29:AG30"/>
    <mergeCell ref="BI15:BI16"/>
    <mergeCell ref="A4:B4"/>
    <mergeCell ref="K4:N4"/>
    <mergeCell ref="A15:A16"/>
    <mergeCell ref="E15:E16"/>
    <mergeCell ref="M15:U15"/>
    <mergeCell ref="B15:B16"/>
    <mergeCell ref="F15:L15"/>
    <mergeCell ref="V4:W4"/>
    <mergeCell ref="A14:AB14"/>
    <mergeCell ref="T4:U4"/>
    <mergeCell ref="C15:C16"/>
    <mergeCell ref="D15:D16"/>
    <mergeCell ref="AY15:AY16"/>
    <mergeCell ref="AZ15:AZ16"/>
    <mergeCell ref="AH15:AH16"/>
    <mergeCell ref="AC15:AC16"/>
    <mergeCell ref="AA15:AA16"/>
    <mergeCell ref="AB15:AB16"/>
    <mergeCell ref="BB14:BD14"/>
    <mergeCell ref="BB15:BB16"/>
    <mergeCell ref="BC15:BC16"/>
    <mergeCell ref="BD15:BD16"/>
    <mergeCell ref="AD14:AF14"/>
    <mergeCell ref="BB43:BD43"/>
    <mergeCell ref="AC34:AC35"/>
    <mergeCell ref="AI36:AI37"/>
    <mergeCell ref="AI29:AI30"/>
    <mergeCell ref="A44:A45"/>
    <mergeCell ref="B44:B45"/>
    <mergeCell ref="E44:E45"/>
    <mergeCell ref="F44:L44"/>
    <mergeCell ref="M44:U44"/>
    <mergeCell ref="W44:Z44"/>
    <mergeCell ref="AA44:AA45"/>
    <mergeCell ref="AB44:AB45"/>
    <mergeCell ref="AC44:AC45"/>
    <mergeCell ref="BD44:BD45"/>
    <mergeCell ref="AY44:AY45"/>
    <mergeCell ref="AZ44:AZ45"/>
    <mergeCell ref="BA44:BA45"/>
    <mergeCell ref="BB44:BB45"/>
    <mergeCell ref="BC44:BC45"/>
    <mergeCell ref="AH44:AH45"/>
    <mergeCell ref="AI44:AI45"/>
    <mergeCell ref="AJ44:AJ45"/>
    <mergeCell ref="AK44:AP44"/>
    <mergeCell ref="AQ44:AV44"/>
    <mergeCell ref="A63:A64"/>
    <mergeCell ref="AC63:AC64"/>
    <mergeCell ref="AI63:AI64"/>
    <mergeCell ref="BA63:BA64"/>
    <mergeCell ref="A65:A66"/>
    <mergeCell ref="AC65:AC66"/>
    <mergeCell ref="AI65:AI66"/>
    <mergeCell ref="BA65:BA66"/>
    <mergeCell ref="A52:A53"/>
    <mergeCell ref="AC52:AC53"/>
    <mergeCell ref="AI52:AI53"/>
    <mergeCell ref="BA52:BA53"/>
    <mergeCell ref="A54:A55"/>
    <mergeCell ref="AC54:AC55"/>
    <mergeCell ref="AI54:AI55"/>
    <mergeCell ref="BA54:BA55"/>
    <mergeCell ref="A43:AB43"/>
    <mergeCell ref="A58:A59"/>
    <mergeCell ref="AC58:AC59"/>
    <mergeCell ref="AI58:AI59"/>
    <mergeCell ref="BA58:BA59"/>
    <mergeCell ref="A61:A62"/>
    <mergeCell ref="AC61:AC62"/>
    <mergeCell ref="AI61:AI62"/>
    <mergeCell ref="BA61:BA62"/>
    <mergeCell ref="A46:A47"/>
    <mergeCell ref="AC46:AC47"/>
    <mergeCell ref="AI46:AI47"/>
    <mergeCell ref="BA46:BA47"/>
    <mergeCell ref="A48:A49"/>
    <mergeCell ref="AC48:AC49"/>
    <mergeCell ref="AI48:AI49"/>
    <mergeCell ref="BA48:BA49"/>
  </mergeCells>
  <phoneticPr fontId="1"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5FBAF-938D-40CE-97DC-EABC734E4DBF}">
  <sheetPr codeName="工作表3"/>
  <dimension ref="A1:BG79"/>
  <sheetViews>
    <sheetView topLeftCell="A10" zoomScale="85" zoomScaleNormal="85" workbookViewId="0">
      <selection activeCell="K2" sqref="K2"/>
    </sheetView>
  </sheetViews>
  <sheetFormatPr defaultRowHeight="16.5" x14ac:dyDescent="0.25"/>
  <cols>
    <col min="4" max="4" width="9" style="99"/>
    <col min="5" max="7" width="10" style="99" bestFit="1" customWidth="1"/>
    <col min="8" max="23" width="11.125" style="99" bestFit="1" customWidth="1"/>
    <col min="24" max="28" width="9" style="99"/>
    <col min="29" max="29" width="13" customWidth="1"/>
    <col min="35" max="35" width="10" bestFit="1" customWidth="1"/>
    <col min="36" max="42" width="11.125" bestFit="1" customWidth="1"/>
    <col min="43" max="50" width="12.25" bestFit="1" customWidth="1"/>
    <col min="51" max="59" width="11.125" bestFit="1" customWidth="1"/>
  </cols>
  <sheetData>
    <row r="1" spans="1:59" s="76" customFormat="1" x14ac:dyDescent="0.25">
      <c r="A1" s="191" t="s">
        <v>196</v>
      </c>
      <c r="B1" s="192"/>
      <c r="C1" s="193"/>
      <c r="D1" s="100" t="s">
        <v>197</v>
      </c>
      <c r="E1" s="101"/>
      <c r="F1" s="101"/>
      <c r="G1" s="101"/>
      <c r="H1" s="101"/>
      <c r="I1" s="101"/>
      <c r="J1" s="101"/>
      <c r="K1" s="101"/>
      <c r="L1" s="101"/>
      <c r="M1" s="101"/>
      <c r="N1" s="101"/>
      <c r="O1" s="101"/>
      <c r="P1" s="101"/>
      <c r="Q1" s="101"/>
      <c r="R1" s="101"/>
      <c r="S1" s="101"/>
      <c r="T1" s="101"/>
      <c r="U1" s="101"/>
      <c r="V1" s="101"/>
      <c r="W1" s="101"/>
      <c r="X1" s="101"/>
      <c r="Y1" s="101"/>
      <c r="Z1" s="101"/>
      <c r="AA1" s="101"/>
      <c r="AB1" s="101"/>
      <c r="AC1" s="74"/>
      <c r="AD1" s="74"/>
      <c r="AE1" s="191" t="s">
        <v>198</v>
      </c>
      <c r="AF1" s="192"/>
      <c r="AG1" s="193"/>
      <c r="AH1" s="77" t="s">
        <v>195</v>
      </c>
      <c r="AI1" s="74"/>
      <c r="AJ1" s="74"/>
      <c r="AK1" s="74"/>
      <c r="AL1" s="74"/>
      <c r="AM1" s="74"/>
      <c r="AN1" s="74"/>
      <c r="AO1" s="74"/>
      <c r="AP1" s="74"/>
      <c r="AQ1" s="74"/>
      <c r="AR1" s="74"/>
      <c r="AS1" s="74"/>
      <c r="AT1" s="74"/>
      <c r="AU1" s="74"/>
      <c r="AV1" s="74"/>
      <c r="AW1" s="74"/>
      <c r="AX1" s="74"/>
      <c r="AY1" s="74"/>
      <c r="AZ1" s="74"/>
      <c r="BA1" s="74"/>
      <c r="BB1" s="74"/>
      <c r="BC1" s="74"/>
      <c r="BD1" s="74"/>
      <c r="BE1" s="74"/>
      <c r="BF1" s="74"/>
      <c r="BG1" s="74"/>
    </row>
    <row r="2" spans="1:59" x14ac:dyDescent="0.25">
      <c r="A2" s="4" t="s">
        <v>114</v>
      </c>
      <c r="B2" s="4" t="s">
        <v>194</v>
      </c>
      <c r="C2" s="4" t="s">
        <v>13</v>
      </c>
      <c r="D2" s="102">
        <v>1</v>
      </c>
      <c r="E2" s="102">
        <v>2</v>
      </c>
      <c r="F2" s="102">
        <v>3</v>
      </c>
      <c r="G2" s="102">
        <v>4</v>
      </c>
      <c r="H2" s="102">
        <v>5</v>
      </c>
      <c r="I2" s="102">
        <v>6</v>
      </c>
      <c r="J2" s="102">
        <v>7</v>
      </c>
      <c r="K2" s="102">
        <v>8</v>
      </c>
      <c r="L2" s="102">
        <v>9</v>
      </c>
      <c r="M2" s="102">
        <v>10</v>
      </c>
      <c r="N2" s="102">
        <v>11</v>
      </c>
      <c r="O2" s="102">
        <v>12</v>
      </c>
      <c r="P2" s="102">
        <v>13</v>
      </c>
      <c r="Q2" s="102">
        <v>14</v>
      </c>
      <c r="R2" s="102">
        <v>15</v>
      </c>
      <c r="S2" s="102">
        <v>16</v>
      </c>
      <c r="T2" s="102">
        <v>17</v>
      </c>
      <c r="U2" s="102">
        <v>18</v>
      </c>
      <c r="V2" s="102">
        <v>19</v>
      </c>
      <c r="W2" s="102">
        <v>20</v>
      </c>
      <c r="X2" s="102">
        <v>21</v>
      </c>
      <c r="Y2" s="102">
        <v>22</v>
      </c>
      <c r="Z2" s="102">
        <v>23</v>
      </c>
      <c r="AA2" s="102">
        <v>24</v>
      </c>
      <c r="AB2" s="102">
        <v>25</v>
      </c>
      <c r="AC2" s="4" t="s">
        <v>193</v>
      </c>
      <c r="AD2" s="4"/>
      <c r="AE2" s="4" t="s">
        <v>114</v>
      </c>
      <c r="AF2" s="4" t="s">
        <v>194</v>
      </c>
      <c r="AG2" s="4" t="s">
        <v>13</v>
      </c>
      <c r="AH2" s="4">
        <v>1</v>
      </c>
      <c r="AI2" s="4">
        <v>2</v>
      </c>
      <c r="AJ2" s="4">
        <v>3</v>
      </c>
      <c r="AK2" s="4">
        <v>4</v>
      </c>
      <c r="AL2" s="4">
        <v>5</v>
      </c>
      <c r="AM2" s="4">
        <v>6</v>
      </c>
      <c r="AN2" s="4">
        <v>7</v>
      </c>
      <c r="AO2" s="4">
        <v>8</v>
      </c>
      <c r="AP2" s="4">
        <v>9</v>
      </c>
      <c r="AQ2" s="4">
        <v>10</v>
      </c>
      <c r="AR2" s="4">
        <v>11</v>
      </c>
      <c r="AS2" s="4">
        <v>12</v>
      </c>
      <c r="AT2" s="4">
        <v>13</v>
      </c>
      <c r="AU2" s="4">
        <v>14</v>
      </c>
      <c r="AV2" s="4">
        <v>15</v>
      </c>
      <c r="AW2" s="4">
        <v>16</v>
      </c>
      <c r="AX2" s="4">
        <v>17</v>
      </c>
      <c r="AY2" s="4">
        <v>18</v>
      </c>
      <c r="AZ2" s="4">
        <v>19</v>
      </c>
      <c r="BA2" s="4">
        <v>20</v>
      </c>
      <c r="BB2" s="4">
        <v>21</v>
      </c>
      <c r="BC2" s="4">
        <v>22</v>
      </c>
      <c r="BD2" s="4">
        <v>23</v>
      </c>
      <c r="BE2" s="4">
        <v>24</v>
      </c>
      <c r="BF2" s="4">
        <v>25</v>
      </c>
      <c r="BG2" s="4" t="s">
        <v>222</v>
      </c>
    </row>
    <row r="3" spans="1:59" x14ac:dyDescent="0.25">
      <c r="A3" s="194" t="s">
        <v>2</v>
      </c>
      <c r="B3" s="11" t="str">
        <f>'P(M)'!B17</f>
        <v>發明</v>
      </c>
      <c r="C3" s="3" t="s">
        <v>14</v>
      </c>
      <c r="D3" s="97"/>
      <c r="E3" s="97">
        <f>IF('發明(新型)案成本估算'!$B$11="大企業",2500,1700)</f>
        <v>1700</v>
      </c>
      <c r="F3" s="97">
        <f>IF('發明(新型)案成本估算'!$B$11="大企業",2500,1700)</f>
        <v>1700</v>
      </c>
      <c r="G3" s="97">
        <f>IF('發明(新型)案成本估算'!$B$11="大企業",5000,3800)</f>
        <v>3800</v>
      </c>
      <c r="H3" s="97">
        <f>IF('發明(新型)案成本估算'!$B$11="大企業",5000,3800)</f>
        <v>3800</v>
      </c>
      <c r="I3" s="97">
        <f>IF('發明(新型)案成本估算'!$B$11="大企業",5000,3800)</f>
        <v>3800</v>
      </c>
      <c r="J3" s="97">
        <v>8000</v>
      </c>
      <c r="K3" s="97">
        <v>8000</v>
      </c>
      <c r="L3" s="97">
        <v>8000</v>
      </c>
      <c r="M3" s="97">
        <v>16000</v>
      </c>
      <c r="N3" s="97">
        <v>16000</v>
      </c>
      <c r="O3" s="97">
        <v>16000</v>
      </c>
      <c r="P3" s="97">
        <v>16000</v>
      </c>
      <c r="Q3" s="97">
        <v>16000</v>
      </c>
      <c r="R3" s="97">
        <v>16000</v>
      </c>
      <c r="S3" s="97">
        <v>16000</v>
      </c>
      <c r="T3" s="97">
        <v>16000</v>
      </c>
      <c r="U3" s="97">
        <v>16000</v>
      </c>
      <c r="V3" s="97">
        <v>16000</v>
      </c>
      <c r="W3" s="97">
        <v>16000</v>
      </c>
      <c r="X3" s="97"/>
      <c r="Y3" s="97"/>
      <c r="Z3" s="97"/>
      <c r="AA3" s="97"/>
      <c r="AB3" s="97"/>
      <c r="AC3" s="75">
        <f>SUM(D3:AB3)</f>
        <v>214800</v>
      </c>
      <c r="AD3" s="11"/>
      <c r="AE3" s="194" t="s">
        <v>2</v>
      </c>
      <c r="AF3" s="11" t="str">
        <f>B3</f>
        <v>發明</v>
      </c>
      <c r="AG3" s="14" t="str">
        <f t="shared" ref="AG3:AG23" si="0">C3</f>
        <v>NTD</v>
      </c>
      <c r="AH3" s="11">
        <f>D3</f>
        <v>0</v>
      </c>
      <c r="AI3" s="75">
        <f t="shared" ref="AI3:BA3" si="1">AH3+E3</f>
        <v>1700</v>
      </c>
      <c r="AJ3" s="75">
        <f t="shared" si="1"/>
        <v>3400</v>
      </c>
      <c r="AK3" s="75">
        <f t="shared" si="1"/>
        <v>7200</v>
      </c>
      <c r="AL3" s="75">
        <f t="shared" si="1"/>
        <v>11000</v>
      </c>
      <c r="AM3" s="75">
        <f t="shared" si="1"/>
        <v>14800</v>
      </c>
      <c r="AN3" s="75">
        <f t="shared" si="1"/>
        <v>22800</v>
      </c>
      <c r="AO3" s="75">
        <f t="shared" si="1"/>
        <v>30800</v>
      </c>
      <c r="AP3" s="75">
        <f t="shared" si="1"/>
        <v>38800</v>
      </c>
      <c r="AQ3" s="75">
        <f t="shared" si="1"/>
        <v>54800</v>
      </c>
      <c r="AR3" s="75">
        <f t="shared" si="1"/>
        <v>70800</v>
      </c>
      <c r="AS3" s="75">
        <f t="shared" si="1"/>
        <v>86800</v>
      </c>
      <c r="AT3" s="75">
        <f t="shared" si="1"/>
        <v>102800</v>
      </c>
      <c r="AU3" s="75">
        <f t="shared" si="1"/>
        <v>118800</v>
      </c>
      <c r="AV3" s="75">
        <f t="shared" si="1"/>
        <v>134800</v>
      </c>
      <c r="AW3" s="75">
        <f t="shared" si="1"/>
        <v>150800</v>
      </c>
      <c r="AX3" s="75">
        <f t="shared" si="1"/>
        <v>166800</v>
      </c>
      <c r="AY3" s="75">
        <f t="shared" si="1"/>
        <v>182800</v>
      </c>
      <c r="AZ3" s="75">
        <f t="shared" si="1"/>
        <v>198800</v>
      </c>
      <c r="BA3" s="75">
        <f t="shared" si="1"/>
        <v>214800</v>
      </c>
      <c r="BB3" s="75">
        <f t="shared" ref="BB3:BF23" si="2">BA3+X3</f>
        <v>214800</v>
      </c>
      <c r="BC3" s="75">
        <f t="shared" si="2"/>
        <v>214800</v>
      </c>
      <c r="BD3" s="75">
        <f t="shared" si="2"/>
        <v>214800</v>
      </c>
      <c r="BE3" s="75">
        <f t="shared" si="2"/>
        <v>214800</v>
      </c>
      <c r="BF3" s="75">
        <f t="shared" si="2"/>
        <v>214800</v>
      </c>
      <c r="BG3" s="75">
        <f>BF3</f>
        <v>214800</v>
      </c>
    </row>
    <row r="4" spans="1:59" x14ac:dyDescent="0.25">
      <c r="A4" s="195"/>
      <c r="B4" s="11" t="str">
        <f>'P(M)'!B18</f>
        <v>新型</v>
      </c>
      <c r="C4" s="3" t="s">
        <v>14</v>
      </c>
      <c r="D4" s="97"/>
      <c r="E4" s="97">
        <f>IF('發明(新型)案成本估算'!$B$11="大企業",2500,1700)</f>
        <v>1700</v>
      </c>
      <c r="F4" s="97">
        <f>IF('發明(新型)案成本估算'!$B$11="大企業",2500,1700)</f>
        <v>1700</v>
      </c>
      <c r="G4" s="97">
        <f>IF('發明(新型)案成本估算'!$B$11="大企業",4000,2800)</f>
        <v>2800</v>
      </c>
      <c r="H4" s="97">
        <f>IF('發明(新型)案成本估算'!$B$11="大企業",4000,2800)</f>
        <v>2800</v>
      </c>
      <c r="I4" s="97">
        <f>IF('發明(新型)案成本估算'!$B$11="大企業",4000,2800)</f>
        <v>2800</v>
      </c>
      <c r="J4" s="97">
        <v>8000</v>
      </c>
      <c r="K4" s="97">
        <v>8000</v>
      </c>
      <c r="L4" s="97">
        <v>8000</v>
      </c>
      <c r="M4" s="97">
        <v>8000</v>
      </c>
      <c r="N4" s="97"/>
      <c r="O4" s="97"/>
      <c r="P4" s="97"/>
      <c r="Q4" s="97"/>
      <c r="R4" s="97"/>
      <c r="S4" s="97"/>
      <c r="T4" s="97"/>
      <c r="U4" s="97"/>
      <c r="V4" s="97"/>
      <c r="W4" s="97"/>
      <c r="X4" s="97"/>
      <c r="Y4" s="97"/>
      <c r="Z4" s="97"/>
      <c r="AA4" s="97"/>
      <c r="AB4" s="97"/>
      <c r="AC4" s="75">
        <f t="shared" ref="AC4:AC24" si="3">SUM(D4:AB4)</f>
        <v>43800</v>
      </c>
      <c r="AD4" s="11"/>
      <c r="AE4" s="195"/>
      <c r="AF4" s="11" t="str">
        <f t="shared" ref="AF4:AF23" si="4">B4</f>
        <v>新型</v>
      </c>
      <c r="AG4" s="14" t="str">
        <f t="shared" si="0"/>
        <v>NTD</v>
      </c>
      <c r="AH4" s="11">
        <f>D4</f>
        <v>0</v>
      </c>
      <c r="AI4" s="75">
        <f t="shared" ref="AI4:AR5" si="5">AH4+E4</f>
        <v>1700</v>
      </c>
      <c r="AJ4" s="75">
        <f t="shared" si="5"/>
        <v>3400</v>
      </c>
      <c r="AK4" s="75">
        <f t="shared" si="5"/>
        <v>6200</v>
      </c>
      <c r="AL4" s="75">
        <f t="shared" si="5"/>
        <v>9000</v>
      </c>
      <c r="AM4" s="75">
        <f t="shared" si="5"/>
        <v>11800</v>
      </c>
      <c r="AN4" s="75">
        <f t="shared" si="5"/>
        <v>19800</v>
      </c>
      <c r="AO4" s="75">
        <f t="shared" si="5"/>
        <v>27800</v>
      </c>
      <c r="AP4" s="75">
        <f t="shared" si="5"/>
        <v>35800</v>
      </c>
      <c r="AQ4" s="75">
        <f t="shared" si="5"/>
        <v>43800</v>
      </c>
      <c r="AR4" s="75">
        <f t="shared" si="5"/>
        <v>43800</v>
      </c>
      <c r="AS4" s="75">
        <f t="shared" ref="AS4:BA5" si="6">AR4+O4</f>
        <v>43800</v>
      </c>
      <c r="AT4" s="75">
        <f t="shared" si="6"/>
        <v>43800</v>
      </c>
      <c r="AU4" s="75">
        <f t="shared" si="6"/>
        <v>43800</v>
      </c>
      <c r="AV4" s="75">
        <f t="shared" si="6"/>
        <v>43800</v>
      </c>
      <c r="AW4" s="75">
        <f t="shared" si="6"/>
        <v>43800</v>
      </c>
      <c r="AX4" s="75">
        <f t="shared" si="6"/>
        <v>43800</v>
      </c>
      <c r="AY4" s="75">
        <f t="shared" si="6"/>
        <v>43800</v>
      </c>
      <c r="AZ4" s="75">
        <f t="shared" si="6"/>
        <v>43800</v>
      </c>
      <c r="BA4" s="75">
        <f t="shared" si="6"/>
        <v>43800</v>
      </c>
      <c r="BB4" s="75">
        <f t="shared" si="2"/>
        <v>43800</v>
      </c>
      <c r="BC4" s="75">
        <f t="shared" si="2"/>
        <v>43800</v>
      </c>
      <c r="BD4" s="75">
        <f t="shared" si="2"/>
        <v>43800</v>
      </c>
      <c r="BE4" s="75">
        <f t="shared" si="2"/>
        <v>43800</v>
      </c>
      <c r="BF4" s="75">
        <f t="shared" si="2"/>
        <v>43800</v>
      </c>
      <c r="BG4" s="75">
        <f t="shared" ref="BG4:BG23" si="7">BF4</f>
        <v>43800</v>
      </c>
    </row>
    <row r="5" spans="1:59" x14ac:dyDescent="0.25">
      <c r="A5" s="194" t="s">
        <v>3</v>
      </c>
      <c r="B5" s="11" t="str">
        <f>'P(M)'!B19</f>
        <v>發明</v>
      </c>
      <c r="C5" s="3" t="s">
        <v>15</v>
      </c>
      <c r="D5" s="97"/>
      <c r="E5" s="125">
        <v>900</v>
      </c>
      <c r="F5" s="125">
        <v>900</v>
      </c>
      <c r="G5" s="125">
        <v>1200</v>
      </c>
      <c r="H5" s="125">
        <v>1200</v>
      </c>
      <c r="I5" s="125">
        <v>1200</v>
      </c>
      <c r="J5" s="125">
        <v>2000</v>
      </c>
      <c r="K5" s="125">
        <v>2000</v>
      </c>
      <c r="L5" s="125">
        <v>2000</v>
      </c>
      <c r="M5" s="125">
        <v>4000</v>
      </c>
      <c r="N5" s="125">
        <v>4000</v>
      </c>
      <c r="O5" s="125">
        <v>4000</v>
      </c>
      <c r="P5" s="125">
        <v>6000</v>
      </c>
      <c r="Q5" s="125">
        <v>6000</v>
      </c>
      <c r="R5" s="125">
        <v>6000</v>
      </c>
      <c r="S5" s="125">
        <v>8000</v>
      </c>
      <c r="T5" s="125">
        <v>8000</v>
      </c>
      <c r="U5" s="125">
        <v>8000</v>
      </c>
      <c r="V5" s="125">
        <v>8000</v>
      </c>
      <c r="W5" s="125">
        <v>8000</v>
      </c>
      <c r="X5" s="97"/>
      <c r="Y5" s="97"/>
      <c r="Z5" s="97"/>
      <c r="AA5" s="97"/>
      <c r="AB5" s="97"/>
      <c r="AC5" s="75">
        <f t="shared" si="3"/>
        <v>81400</v>
      </c>
      <c r="AD5" s="11"/>
      <c r="AE5" s="194" t="s">
        <v>3</v>
      </c>
      <c r="AF5" s="11" t="str">
        <f t="shared" si="4"/>
        <v>發明</v>
      </c>
      <c r="AG5" s="14" t="str">
        <f t="shared" si="0"/>
        <v>CNY</v>
      </c>
      <c r="AH5" s="11">
        <f>D5</f>
        <v>0</v>
      </c>
      <c r="AI5" s="75">
        <f t="shared" si="5"/>
        <v>900</v>
      </c>
      <c r="AJ5" s="75">
        <f t="shared" si="5"/>
        <v>1800</v>
      </c>
      <c r="AK5" s="75">
        <f t="shared" si="5"/>
        <v>3000</v>
      </c>
      <c r="AL5" s="75">
        <f t="shared" si="5"/>
        <v>4200</v>
      </c>
      <c r="AM5" s="75">
        <f t="shared" si="5"/>
        <v>5400</v>
      </c>
      <c r="AN5" s="75">
        <f t="shared" si="5"/>
        <v>7400</v>
      </c>
      <c r="AO5" s="75">
        <f t="shared" si="5"/>
        <v>9400</v>
      </c>
      <c r="AP5" s="75">
        <f t="shared" si="5"/>
        <v>11400</v>
      </c>
      <c r="AQ5" s="75">
        <f t="shared" si="5"/>
        <v>15400</v>
      </c>
      <c r="AR5" s="75">
        <f t="shared" si="5"/>
        <v>19400</v>
      </c>
      <c r="AS5" s="75">
        <f t="shared" si="6"/>
        <v>23400</v>
      </c>
      <c r="AT5" s="75">
        <f t="shared" si="6"/>
        <v>29400</v>
      </c>
      <c r="AU5" s="75">
        <f t="shared" si="6"/>
        <v>35400</v>
      </c>
      <c r="AV5" s="75">
        <f t="shared" si="6"/>
        <v>41400</v>
      </c>
      <c r="AW5" s="75">
        <f t="shared" si="6"/>
        <v>49400</v>
      </c>
      <c r="AX5" s="75">
        <f t="shared" si="6"/>
        <v>57400</v>
      </c>
      <c r="AY5" s="75">
        <f t="shared" si="6"/>
        <v>65400</v>
      </c>
      <c r="AZ5" s="75">
        <f t="shared" si="6"/>
        <v>73400</v>
      </c>
      <c r="BA5" s="75">
        <f t="shared" si="6"/>
        <v>81400</v>
      </c>
      <c r="BB5" s="75">
        <f>BA5+X5</f>
        <v>81400</v>
      </c>
      <c r="BC5" s="75">
        <f>BB5+Y5</f>
        <v>81400</v>
      </c>
      <c r="BD5" s="75">
        <f>BC5+Z5</f>
        <v>81400</v>
      </c>
      <c r="BE5" s="75">
        <f>BD5+AA5</f>
        <v>81400</v>
      </c>
      <c r="BF5" s="75">
        <f>BE5+AB5</f>
        <v>81400</v>
      </c>
      <c r="BG5" s="75">
        <f>BF5</f>
        <v>81400</v>
      </c>
    </row>
    <row r="6" spans="1:59" x14ac:dyDescent="0.25">
      <c r="A6" s="195"/>
      <c r="B6" s="11" t="str">
        <f>'P(M)'!B20</f>
        <v>新型</v>
      </c>
      <c r="C6" s="3" t="s">
        <v>15</v>
      </c>
      <c r="D6" s="97"/>
      <c r="E6" s="97">
        <v>600</v>
      </c>
      <c r="F6" s="97">
        <v>600</v>
      </c>
      <c r="G6" s="97">
        <v>900</v>
      </c>
      <c r="H6" s="97">
        <v>900</v>
      </c>
      <c r="I6" s="97">
        <v>1200</v>
      </c>
      <c r="J6" s="97">
        <v>1200</v>
      </c>
      <c r="K6" s="97">
        <v>1200</v>
      </c>
      <c r="L6" s="97">
        <v>2000</v>
      </c>
      <c r="M6" s="97">
        <v>2000</v>
      </c>
      <c r="N6" s="97"/>
      <c r="O6" s="97"/>
      <c r="P6" s="97"/>
      <c r="Q6" s="97"/>
      <c r="R6" s="97"/>
      <c r="S6" s="97"/>
      <c r="T6" s="97"/>
      <c r="U6" s="97"/>
      <c r="V6" s="97"/>
      <c r="W6" s="97"/>
      <c r="X6" s="97"/>
      <c r="Y6" s="97"/>
      <c r="Z6" s="97"/>
      <c r="AA6" s="97"/>
      <c r="AB6" s="97"/>
      <c r="AC6" s="75">
        <f t="shared" si="3"/>
        <v>10600</v>
      </c>
      <c r="AD6" s="11"/>
      <c r="AE6" s="195"/>
      <c r="AF6" s="11" t="str">
        <f t="shared" si="4"/>
        <v>新型</v>
      </c>
      <c r="AG6" s="14" t="str">
        <f t="shared" si="0"/>
        <v>CNY</v>
      </c>
      <c r="AH6" s="11">
        <f t="shared" ref="AH6:AH23" si="8">D6</f>
        <v>0</v>
      </c>
      <c r="AI6" s="75">
        <f t="shared" ref="AI6:AI23" si="9">AH6+E6</f>
        <v>600</v>
      </c>
      <c r="AJ6" s="75">
        <f t="shared" ref="AJ6:AJ23" si="10">AI6+F6</f>
        <v>1200</v>
      </c>
      <c r="AK6" s="75">
        <f t="shared" ref="AK6:AK23" si="11">AJ6+G6</f>
        <v>2100</v>
      </c>
      <c r="AL6" s="75">
        <f t="shared" ref="AL6:AL23" si="12">AK6+H6</f>
        <v>3000</v>
      </c>
      <c r="AM6" s="75">
        <f t="shared" ref="AM6:AM23" si="13">AL6+I6</f>
        <v>4200</v>
      </c>
      <c r="AN6" s="75">
        <f t="shared" ref="AN6:AN23" si="14">AM6+J6</f>
        <v>5400</v>
      </c>
      <c r="AO6" s="75">
        <f t="shared" ref="AO6:AO23" si="15">AN6+K6</f>
        <v>6600</v>
      </c>
      <c r="AP6" s="75">
        <f t="shared" ref="AP6:AP23" si="16">AO6+L6</f>
        <v>8600</v>
      </c>
      <c r="AQ6" s="75">
        <f t="shared" ref="AQ6:AQ23" si="17">AP6+M6</f>
        <v>10600</v>
      </c>
      <c r="AR6" s="75">
        <f t="shared" ref="AR6:AR23" si="18">AQ6+N6</f>
        <v>10600</v>
      </c>
      <c r="AS6" s="75">
        <f t="shared" ref="AS6:AS23" si="19">AR6+O6</f>
        <v>10600</v>
      </c>
      <c r="AT6" s="75">
        <f t="shared" ref="AT6:AT23" si="20">AS6+P6</f>
        <v>10600</v>
      </c>
      <c r="AU6" s="75">
        <f t="shared" ref="AU6:AU23" si="21">AT6+Q6</f>
        <v>10600</v>
      </c>
      <c r="AV6" s="75">
        <f t="shared" ref="AV6:AV23" si="22">AU6+R6</f>
        <v>10600</v>
      </c>
      <c r="AW6" s="75">
        <f t="shared" ref="AW6:AW23" si="23">AV6+S6</f>
        <v>10600</v>
      </c>
      <c r="AX6" s="75">
        <f t="shared" ref="AX6:AX23" si="24">AW6+T6</f>
        <v>10600</v>
      </c>
      <c r="AY6" s="75">
        <f t="shared" ref="AY6:AY23" si="25">AX6+U6</f>
        <v>10600</v>
      </c>
      <c r="AZ6" s="75">
        <f t="shared" ref="AZ6:AZ23" si="26">AY6+V6</f>
        <v>10600</v>
      </c>
      <c r="BA6" s="75">
        <f t="shared" ref="BA6:BA23" si="27">AZ6+W6</f>
        <v>10600</v>
      </c>
      <c r="BB6" s="75">
        <f t="shared" si="2"/>
        <v>10600</v>
      </c>
      <c r="BC6" s="75">
        <f t="shared" si="2"/>
        <v>10600</v>
      </c>
      <c r="BD6" s="75">
        <f t="shared" si="2"/>
        <v>10600</v>
      </c>
      <c r="BE6" s="75">
        <f t="shared" si="2"/>
        <v>10600</v>
      </c>
      <c r="BF6" s="75">
        <f t="shared" si="2"/>
        <v>10600</v>
      </c>
      <c r="BG6" s="75">
        <f t="shared" si="7"/>
        <v>10600</v>
      </c>
    </row>
    <row r="7" spans="1:59" x14ac:dyDescent="0.25">
      <c r="A7" s="3" t="s">
        <v>4</v>
      </c>
      <c r="B7" s="11" t="str">
        <f>'P(M)'!B21</f>
        <v>發明</v>
      </c>
      <c r="C7" s="3" t="s">
        <v>16</v>
      </c>
      <c r="D7" s="97"/>
      <c r="E7" s="97"/>
      <c r="F7" s="97"/>
      <c r="G7" s="97">
        <f>IF('發明(新型)案成本估算'!$B$10="500人以上",2150,2150*40%)</f>
        <v>860</v>
      </c>
      <c r="H7" s="97"/>
      <c r="I7" s="97"/>
      <c r="J7" s="97"/>
      <c r="K7" s="97">
        <f>IF('發明(新型)案成本估算'!$B$10="500人以上",4040,4040*40%)</f>
        <v>1616</v>
      </c>
      <c r="L7" s="97"/>
      <c r="M7" s="97"/>
      <c r="N7" s="97"/>
      <c r="O7" s="97">
        <f>IF('發明(新型)案成本估算'!$B$10="500人以上",8280,8280*40%)</f>
        <v>3312</v>
      </c>
      <c r="P7" s="97"/>
      <c r="Q7" s="97"/>
      <c r="R7" s="97"/>
      <c r="S7" s="97"/>
      <c r="T7" s="97"/>
      <c r="U7" s="97"/>
      <c r="V7" s="97"/>
      <c r="W7" s="97"/>
      <c r="X7" s="97"/>
      <c r="Y7" s="97"/>
      <c r="Z7" s="97"/>
      <c r="AA7" s="97"/>
      <c r="AB7" s="97"/>
      <c r="AC7" s="75">
        <f t="shared" si="3"/>
        <v>5788</v>
      </c>
      <c r="AD7" s="11"/>
      <c r="AE7" s="3" t="s">
        <v>4</v>
      </c>
      <c r="AF7" s="11" t="str">
        <f t="shared" si="4"/>
        <v>發明</v>
      </c>
      <c r="AG7" s="14" t="str">
        <f t="shared" si="0"/>
        <v>USD</v>
      </c>
      <c r="AH7" s="11">
        <f t="shared" si="8"/>
        <v>0</v>
      </c>
      <c r="AI7" s="75">
        <f t="shared" si="9"/>
        <v>0</v>
      </c>
      <c r="AJ7" s="75">
        <f t="shared" si="10"/>
        <v>0</v>
      </c>
      <c r="AK7" s="75">
        <f t="shared" si="11"/>
        <v>860</v>
      </c>
      <c r="AL7" s="75">
        <f t="shared" si="12"/>
        <v>860</v>
      </c>
      <c r="AM7" s="75">
        <f t="shared" si="13"/>
        <v>860</v>
      </c>
      <c r="AN7" s="75">
        <f t="shared" si="14"/>
        <v>860</v>
      </c>
      <c r="AO7" s="75">
        <f t="shared" si="15"/>
        <v>2476</v>
      </c>
      <c r="AP7" s="75">
        <f t="shared" si="16"/>
        <v>2476</v>
      </c>
      <c r="AQ7" s="75">
        <f t="shared" si="17"/>
        <v>2476</v>
      </c>
      <c r="AR7" s="75">
        <f t="shared" si="18"/>
        <v>2476</v>
      </c>
      <c r="AS7" s="75">
        <f t="shared" si="19"/>
        <v>5788</v>
      </c>
      <c r="AT7" s="75">
        <f t="shared" si="20"/>
        <v>5788</v>
      </c>
      <c r="AU7" s="75">
        <f t="shared" si="21"/>
        <v>5788</v>
      </c>
      <c r="AV7" s="75">
        <f t="shared" si="22"/>
        <v>5788</v>
      </c>
      <c r="AW7" s="75">
        <f t="shared" si="23"/>
        <v>5788</v>
      </c>
      <c r="AX7" s="75">
        <f t="shared" si="24"/>
        <v>5788</v>
      </c>
      <c r="AY7" s="75">
        <f t="shared" si="25"/>
        <v>5788</v>
      </c>
      <c r="AZ7" s="75">
        <f t="shared" si="26"/>
        <v>5788</v>
      </c>
      <c r="BA7" s="75">
        <f t="shared" si="27"/>
        <v>5788</v>
      </c>
      <c r="BB7" s="75">
        <f t="shared" si="2"/>
        <v>5788</v>
      </c>
      <c r="BC7" s="75">
        <f t="shared" si="2"/>
        <v>5788</v>
      </c>
      <c r="BD7" s="75">
        <f t="shared" si="2"/>
        <v>5788</v>
      </c>
      <c r="BE7" s="75">
        <f t="shared" si="2"/>
        <v>5788</v>
      </c>
      <c r="BF7" s="75">
        <f t="shared" si="2"/>
        <v>5788</v>
      </c>
      <c r="BG7" s="75">
        <f t="shared" si="7"/>
        <v>5788</v>
      </c>
    </row>
    <row r="8" spans="1:59" x14ac:dyDescent="0.25">
      <c r="A8" s="3" t="s">
        <v>5</v>
      </c>
      <c r="B8" s="11" t="str">
        <f>'P(M)'!B22</f>
        <v>發明</v>
      </c>
      <c r="C8" s="3" t="s">
        <v>16</v>
      </c>
      <c r="D8" s="103"/>
      <c r="E8" s="103">
        <v>47.84</v>
      </c>
      <c r="F8" s="103">
        <v>135.96</v>
      </c>
      <c r="G8" s="103">
        <v>135.96</v>
      </c>
      <c r="H8" s="103">
        <v>274.79000000000002</v>
      </c>
      <c r="I8" s="103">
        <v>414.45</v>
      </c>
      <c r="J8" s="103">
        <v>544.03</v>
      </c>
      <c r="K8" s="103">
        <v>711.38</v>
      </c>
      <c r="L8" s="103">
        <v>883.78</v>
      </c>
      <c r="M8" s="103">
        <v>1063.72</v>
      </c>
      <c r="N8" s="103">
        <v>1281.46</v>
      </c>
      <c r="O8" s="103">
        <v>1551.36</v>
      </c>
      <c r="P8" s="103">
        <v>1860.88</v>
      </c>
      <c r="Q8" s="103">
        <v>2170.4299999999998</v>
      </c>
      <c r="R8" s="103">
        <v>2521.42</v>
      </c>
      <c r="S8" s="103">
        <v>2910.18</v>
      </c>
      <c r="T8" s="103">
        <v>3284.51</v>
      </c>
      <c r="U8" s="103">
        <v>3671.43</v>
      </c>
      <c r="V8" s="103">
        <v>4058.34</v>
      </c>
      <c r="W8" s="103">
        <v>4443.42</v>
      </c>
      <c r="X8" s="97"/>
      <c r="Y8" s="97"/>
      <c r="Z8" s="97"/>
      <c r="AA8" s="97"/>
      <c r="AB8" s="97"/>
      <c r="AC8" s="75">
        <f t="shared" si="3"/>
        <v>31965.340000000004</v>
      </c>
      <c r="AD8" s="11"/>
      <c r="AE8" s="3" t="s">
        <v>5</v>
      </c>
      <c r="AF8" s="11" t="str">
        <f t="shared" si="4"/>
        <v>發明</v>
      </c>
      <c r="AG8" s="14" t="str">
        <f t="shared" si="0"/>
        <v>USD</v>
      </c>
      <c r="AH8" s="11">
        <f t="shared" si="8"/>
        <v>0</v>
      </c>
      <c r="AI8" s="75">
        <f t="shared" si="9"/>
        <v>47.84</v>
      </c>
      <c r="AJ8" s="75">
        <f t="shared" si="10"/>
        <v>183.8</v>
      </c>
      <c r="AK8" s="75">
        <f t="shared" si="11"/>
        <v>319.76</v>
      </c>
      <c r="AL8" s="75">
        <f t="shared" si="12"/>
        <v>594.54999999999995</v>
      </c>
      <c r="AM8" s="75">
        <f t="shared" si="13"/>
        <v>1009</v>
      </c>
      <c r="AN8" s="75">
        <f t="shared" si="14"/>
        <v>1553.03</v>
      </c>
      <c r="AO8" s="75">
        <f t="shared" si="15"/>
        <v>2264.41</v>
      </c>
      <c r="AP8" s="75">
        <f t="shared" si="16"/>
        <v>3148.1899999999996</v>
      </c>
      <c r="AQ8" s="75">
        <f t="shared" si="17"/>
        <v>4211.91</v>
      </c>
      <c r="AR8" s="75">
        <f t="shared" si="18"/>
        <v>5493.37</v>
      </c>
      <c r="AS8" s="75">
        <f t="shared" si="19"/>
        <v>7044.73</v>
      </c>
      <c r="AT8" s="75">
        <f t="shared" si="20"/>
        <v>8905.61</v>
      </c>
      <c r="AU8" s="75">
        <f t="shared" si="21"/>
        <v>11076.04</v>
      </c>
      <c r="AV8" s="75">
        <f t="shared" si="22"/>
        <v>13597.460000000001</v>
      </c>
      <c r="AW8" s="75">
        <f t="shared" si="23"/>
        <v>16507.64</v>
      </c>
      <c r="AX8" s="75">
        <f t="shared" si="24"/>
        <v>19792.150000000001</v>
      </c>
      <c r="AY8" s="75">
        <f t="shared" si="25"/>
        <v>23463.58</v>
      </c>
      <c r="AZ8" s="75">
        <f t="shared" si="26"/>
        <v>27521.920000000002</v>
      </c>
      <c r="BA8" s="75">
        <f t="shared" si="27"/>
        <v>31965.340000000004</v>
      </c>
      <c r="BB8" s="75">
        <f t="shared" si="2"/>
        <v>31965.340000000004</v>
      </c>
      <c r="BC8" s="75">
        <f t="shared" si="2"/>
        <v>31965.340000000004</v>
      </c>
      <c r="BD8" s="75">
        <f t="shared" si="2"/>
        <v>31965.340000000004</v>
      </c>
      <c r="BE8" s="75">
        <f t="shared" si="2"/>
        <v>31965.340000000004</v>
      </c>
      <c r="BF8" s="75">
        <f t="shared" si="2"/>
        <v>31965.340000000004</v>
      </c>
      <c r="BG8" s="75">
        <f t="shared" si="7"/>
        <v>31965.340000000004</v>
      </c>
    </row>
    <row r="9" spans="1:59" x14ac:dyDescent="0.25">
      <c r="A9" s="194" t="s">
        <v>6</v>
      </c>
      <c r="B9" s="11" t="str">
        <f>'P(M)'!B23</f>
        <v>發明</v>
      </c>
      <c r="C9" s="3" t="s">
        <v>18</v>
      </c>
      <c r="D9" s="97"/>
      <c r="E9" s="97"/>
      <c r="F9" s="97"/>
      <c r="G9" s="97">
        <f>IF('發明(新型)案成本估算'!$B$7&gt;0,10300+800*'發明(新型)案成本估算'!$B$7,0)</f>
        <v>18300</v>
      </c>
      <c r="H9" s="97">
        <f>IF('發明(新型)案成本估算'!$B$7&gt;0,10300+800*'發明(新型)案成本估算'!$B$7,0)</f>
        <v>18300</v>
      </c>
      <c r="I9" s="97">
        <f>IF('發明(新型)案成本估算'!$B$7&gt;0,10300+800*'發明(新型)案成本估算'!$B$7,0)</f>
        <v>18300</v>
      </c>
      <c r="J9" s="97">
        <f>IF('發明(新型)案成本估算'!$B$7&gt;0,24800+1900*'發明(新型)案成本估算'!$B$7,0)</f>
        <v>43800</v>
      </c>
      <c r="K9" s="97">
        <f>IF('發明(新型)案成本估算'!$B$7&gt;0,24800+1900*'發明(新型)案成本估算'!$B$7,0)</f>
        <v>43800</v>
      </c>
      <c r="L9" s="97">
        <f>IF('發明(新型)案成本估算'!$B$7&gt;0,24800+1900*'發明(新型)案成本估算'!$B$7,0)</f>
        <v>43800</v>
      </c>
      <c r="M9" s="97">
        <f>IF('發明(新型)案成本估算'!$B$7&gt;0,59400+4600*'發明(新型)案成本估算'!$B$7,0)</f>
        <v>105400</v>
      </c>
      <c r="N9" s="97">
        <f>IF('發明(新型)案成本估算'!$B$7&gt;0,59400+4600*'發明(新型)案成本估算'!$B$7,0)</f>
        <v>105400</v>
      </c>
      <c r="O9" s="97">
        <f>IF('發明(新型)案成本估算'!$B$7&gt;0,59400+4600*'發明(新型)案成本估算'!$B$7,0)</f>
        <v>105400</v>
      </c>
      <c r="P9" s="97">
        <f>IF('發明(新型)案成本估算'!$B$7&gt;0,59400+4600*'發明(新型)案成本估算'!$B$7,0)</f>
        <v>105400</v>
      </c>
      <c r="Q9" s="97">
        <f>IF('發明(新型)案成本估算'!$B$7&gt;0,59400+4600*'發明(新型)案成本估算'!$B$7,0)</f>
        <v>105400</v>
      </c>
      <c r="R9" s="97">
        <f>IF('發明(新型)案成本估算'!$B$7&gt;0,59400+4600*'發明(新型)案成本估算'!$B$7,0)</f>
        <v>105400</v>
      </c>
      <c r="S9" s="97">
        <f>IF('發明(新型)案成本估算'!$B$7&gt;0,59400+4600*'發明(新型)案成本估算'!$B$7,0)</f>
        <v>105400</v>
      </c>
      <c r="T9" s="97">
        <f>IF('發明(新型)案成本估算'!$B$7&gt;0,59400+4600*'發明(新型)案成本估算'!$B$7,0)</f>
        <v>105400</v>
      </c>
      <c r="U9" s="97">
        <f>IF('發明(新型)案成本估算'!$B$7&gt;0,59400+4600*'發明(新型)案成本估算'!$B$7,0)</f>
        <v>105400</v>
      </c>
      <c r="V9" s="97">
        <f>IF('發明(新型)案成本估算'!$B$7&gt;0,59400+4600*'發明(新型)案成本估算'!$B$7,0)</f>
        <v>105400</v>
      </c>
      <c r="W9" s="97">
        <f>IF('發明(新型)案成本估算'!$B$7&gt;0,59400+4600*'發明(新型)案成本估算'!$B$7,0)</f>
        <v>105400</v>
      </c>
      <c r="X9" s="97"/>
      <c r="Y9" s="97"/>
      <c r="Z9" s="97"/>
      <c r="AA9" s="97"/>
      <c r="AB9" s="97"/>
      <c r="AC9" s="75">
        <f t="shared" si="3"/>
        <v>1345700</v>
      </c>
      <c r="AD9" s="11"/>
      <c r="AE9" s="194" t="s">
        <v>6</v>
      </c>
      <c r="AF9" s="11" t="str">
        <f t="shared" si="4"/>
        <v>發明</v>
      </c>
      <c r="AG9" s="14" t="str">
        <f t="shared" si="0"/>
        <v>JPY</v>
      </c>
      <c r="AH9" s="11">
        <f t="shared" si="8"/>
        <v>0</v>
      </c>
      <c r="AI9" s="75">
        <f t="shared" si="9"/>
        <v>0</v>
      </c>
      <c r="AJ9" s="75">
        <f t="shared" si="10"/>
        <v>0</v>
      </c>
      <c r="AK9" s="75">
        <f t="shared" si="11"/>
        <v>18300</v>
      </c>
      <c r="AL9" s="75">
        <f t="shared" si="12"/>
        <v>36600</v>
      </c>
      <c r="AM9" s="75">
        <f t="shared" si="13"/>
        <v>54900</v>
      </c>
      <c r="AN9" s="75">
        <f t="shared" si="14"/>
        <v>98700</v>
      </c>
      <c r="AO9" s="75">
        <f t="shared" si="15"/>
        <v>142500</v>
      </c>
      <c r="AP9" s="75">
        <f t="shared" si="16"/>
        <v>186300</v>
      </c>
      <c r="AQ9" s="75">
        <f t="shared" si="17"/>
        <v>291700</v>
      </c>
      <c r="AR9" s="75">
        <f t="shared" si="18"/>
        <v>397100</v>
      </c>
      <c r="AS9" s="75">
        <f t="shared" si="19"/>
        <v>502500</v>
      </c>
      <c r="AT9" s="75">
        <f t="shared" si="20"/>
        <v>607900</v>
      </c>
      <c r="AU9" s="75">
        <f t="shared" si="21"/>
        <v>713300</v>
      </c>
      <c r="AV9" s="75">
        <f t="shared" si="22"/>
        <v>818700</v>
      </c>
      <c r="AW9" s="75">
        <f t="shared" si="23"/>
        <v>924100</v>
      </c>
      <c r="AX9" s="75">
        <f t="shared" si="24"/>
        <v>1029500</v>
      </c>
      <c r="AY9" s="75">
        <f t="shared" si="25"/>
        <v>1134900</v>
      </c>
      <c r="AZ9" s="75">
        <f t="shared" si="26"/>
        <v>1240300</v>
      </c>
      <c r="BA9" s="75">
        <f t="shared" si="27"/>
        <v>1345700</v>
      </c>
      <c r="BB9" s="75">
        <f t="shared" si="2"/>
        <v>1345700</v>
      </c>
      <c r="BC9" s="75">
        <f t="shared" si="2"/>
        <v>1345700</v>
      </c>
      <c r="BD9" s="75">
        <f t="shared" si="2"/>
        <v>1345700</v>
      </c>
      <c r="BE9" s="75">
        <f t="shared" si="2"/>
        <v>1345700</v>
      </c>
      <c r="BF9" s="75">
        <f t="shared" si="2"/>
        <v>1345700</v>
      </c>
      <c r="BG9" s="75">
        <f t="shared" si="7"/>
        <v>1345700</v>
      </c>
    </row>
    <row r="10" spans="1:59" x14ac:dyDescent="0.25">
      <c r="A10" s="195"/>
      <c r="B10" s="11" t="str">
        <f>'P(M)'!B24</f>
        <v>新型</v>
      </c>
      <c r="C10" s="3" t="s">
        <v>18</v>
      </c>
      <c r="D10" s="97"/>
      <c r="E10" s="97"/>
      <c r="F10" s="97"/>
      <c r="G10" s="97">
        <f>IF('發明(新型)案成本估算'!$B$7&gt;0,6300+300*'發明(新型)案成本估算'!$B$7,0)</f>
        <v>9300</v>
      </c>
      <c r="H10" s="97">
        <f>IF('發明(新型)案成本估算'!$B$7&gt;0,6300+300*'發明(新型)案成本估算'!$B$7,0)</f>
        <v>9300</v>
      </c>
      <c r="I10" s="97">
        <f>IF('發明(新型)案成本估算'!$B$7&gt;0,6300+300*'發明(新型)案成本估算'!$B$7,0)</f>
        <v>9300</v>
      </c>
      <c r="J10" s="97">
        <f>IF('發明(新型)案成本估算'!$B$7&gt;0,18100+900*'發明(新型)案成本估算'!$B$7,0)</f>
        <v>27100</v>
      </c>
      <c r="K10" s="97">
        <f>IF('發明(新型)案成本估算'!$B$7&gt;0,18100+900*'發明(新型)案成本估算'!$B$7,0)</f>
        <v>27100</v>
      </c>
      <c r="L10" s="97">
        <f>IF('發明(新型)案成本估算'!$B$7&gt;0,18100+900*'發明(新型)案成本估算'!$B$7,0)</f>
        <v>27100</v>
      </c>
      <c r="M10" s="97">
        <f>IF('發明(新型)案成本估算'!$B$7&gt;0,18100+900*'發明(新型)案成本估算'!$B$7,0)</f>
        <v>27100</v>
      </c>
      <c r="N10" s="97"/>
      <c r="O10" s="97"/>
      <c r="P10" s="97"/>
      <c r="Q10" s="97"/>
      <c r="R10" s="97"/>
      <c r="S10" s="97"/>
      <c r="T10" s="97"/>
      <c r="U10" s="97"/>
      <c r="V10" s="97"/>
      <c r="W10" s="97"/>
      <c r="X10" s="97"/>
      <c r="Y10" s="97"/>
      <c r="Z10" s="97"/>
      <c r="AA10" s="97"/>
      <c r="AB10" s="97"/>
      <c r="AC10" s="75">
        <f t="shared" si="3"/>
        <v>136300</v>
      </c>
      <c r="AD10" s="11"/>
      <c r="AE10" s="195"/>
      <c r="AF10" s="11" t="str">
        <f t="shared" si="4"/>
        <v>新型</v>
      </c>
      <c r="AG10" s="14" t="str">
        <f t="shared" si="0"/>
        <v>JPY</v>
      </c>
      <c r="AH10" s="11">
        <f t="shared" si="8"/>
        <v>0</v>
      </c>
      <c r="AI10" s="75">
        <f t="shared" si="9"/>
        <v>0</v>
      </c>
      <c r="AJ10" s="75">
        <f t="shared" si="10"/>
        <v>0</v>
      </c>
      <c r="AK10" s="75">
        <f t="shared" si="11"/>
        <v>9300</v>
      </c>
      <c r="AL10" s="75">
        <f t="shared" si="12"/>
        <v>18600</v>
      </c>
      <c r="AM10" s="75">
        <f t="shared" si="13"/>
        <v>27900</v>
      </c>
      <c r="AN10" s="75">
        <f t="shared" si="14"/>
        <v>55000</v>
      </c>
      <c r="AO10" s="75">
        <f t="shared" si="15"/>
        <v>82100</v>
      </c>
      <c r="AP10" s="75">
        <f t="shared" si="16"/>
        <v>109200</v>
      </c>
      <c r="AQ10" s="75">
        <f t="shared" si="17"/>
        <v>136300</v>
      </c>
      <c r="AR10" s="75">
        <f t="shared" si="18"/>
        <v>136300</v>
      </c>
      <c r="AS10" s="75">
        <f t="shared" si="19"/>
        <v>136300</v>
      </c>
      <c r="AT10" s="75">
        <f t="shared" si="20"/>
        <v>136300</v>
      </c>
      <c r="AU10" s="75">
        <f t="shared" si="21"/>
        <v>136300</v>
      </c>
      <c r="AV10" s="75">
        <f t="shared" si="22"/>
        <v>136300</v>
      </c>
      <c r="AW10" s="75">
        <f t="shared" si="23"/>
        <v>136300</v>
      </c>
      <c r="AX10" s="75">
        <f t="shared" si="24"/>
        <v>136300</v>
      </c>
      <c r="AY10" s="75">
        <f t="shared" si="25"/>
        <v>136300</v>
      </c>
      <c r="AZ10" s="75">
        <f t="shared" si="26"/>
        <v>136300</v>
      </c>
      <c r="BA10" s="75">
        <f t="shared" si="27"/>
        <v>136300</v>
      </c>
      <c r="BB10" s="75">
        <f t="shared" si="2"/>
        <v>136300</v>
      </c>
      <c r="BC10" s="75">
        <f t="shared" si="2"/>
        <v>136300</v>
      </c>
      <c r="BD10" s="75">
        <f t="shared" si="2"/>
        <v>136300</v>
      </c>
      <c r="BE10" s="75">
        <f t="shared" si="2"/>
        <v>136300</v>
      </c>
      <c r="BF10" s="75">
        <f t="shared" si="2"/>
        <v>136300</v>
      </c>
      <c r="BG10" s="75">
        <f t="shared" si="7"/>
        <v>136300</v>
      </c>
    </row>
    <row r="11" spans="1:59" x14ac:dyDescent="0.25">
      <c r="A11" s="194" t="s">
        <v>7</v>
      </c>
      <c r="B11" s="11" t="str">
        <f>'P(M)'!B25</f>
        <v>發明</v>
      </c>
      <c r="C11" s="3" t="s">
        <v>19</v>
      </c>
      <c r="D11" s="97"/>
      <c r="E11" s="97"/>
      <c r="F11" s="97"/>
      <c r="G11" s="97">
        <f>IF('發明(新型)案成本估算'!$B$7&gt;0,36000+20000*'發明(新型)案成本估算'!$B$7,0)</f>
        <v>236000</v>
      </c>
      <c r="H11" s="97">
        <f>IF('發明(新型)案成本估算'!$B$7&gt;0,36000+20000*'發明(新型)案成本估算'!$B$7,0)</f>
        <v>236000</v>
      </c>
      <c r="I11" s="97">
        <f>IF('發明(新型)案成本估算'!$B$7&gt;0,36000+20000*'發明(新型)案成本估算'!$B$7,0)</f>
        <v>236000</v>
      </c>
      <c r="J11" s="97">
        <f>IF('發明(新型)案成本估算'!$B$7&gt;0,90000+34000*'發明(新型)案成本估算'!$B$7,0)</f>
        <v>430000</v>
      </c>
      <c r="K11" s="97">
        <f>IF('發明(新型)案成本估算'!$B$7&gt;0,90000+34000*'發明(新型)案成本估算'!$B$7,0)</f>
        <v>430000</v>
      </c>
      <c r="L11" s="97">
        <f>IF('發明(新型)案成本估算'!$B$7&gt;0,90000+34000*'發明(新型)案成本估算'!$B$7,0)</f>
        <v>430000</v>
      </c>
      <c r="M11" s="97">
        <f>IF('發明(新型)案成本估算'!$B$7&gt;0,216000+49000*'發明(新型)案成本估算'!$B$7,0)</f>
        <v>706000</v>
      </c>
      <c r="N11" s="97">
        <f>IF('發明(新型)案成本估算'!$B$7&gt;0,216000+49000*'發明(新型)案成本估算'!$B$7,0)</f>
        <v>706000</v>
      </c>
      <c r="O11" s="97">
        <f>IF('發明(新型)案成本估算'!$B$7&gt;0,216000+49000*'發明(新型)案成本估算'!$B$7,0)</f>
        <v>706000</v>
      </c>
      <c r="P11" s="97">
        <f>IF('發明(新型)案成本估算'!$B$7&gt;0,324000+49000*'發明(新型)案成本估算'!$B$7,0)</f>
        <v>814000</v>
      </c>
      <c r="Q11" s="97">
        <f>IF('發明(新型)案成本估算'!$B$7&gt;0,324000+49000*'發明(新型)案成本估算'!$B$7,0)</f>
        <v>814000</v>
      </c>
      <c r="R11" s="97">
        <f>IF('發明(新型)案成本估算'!$B$7&gt;0,324000+49000*'發明(新型)案成本估算'!$B$7,0)</f>
        <v>814000</v>
      </c>
      <c r="S11" s="97">
        <f>IF('發明(新型)案成本估算'!$B$7&gt;0,324000+49000*'發明(新型)案成本估算'!$B$7,0)</f>
        <v>814000</v>
      </c>
      <c r="T11" s="97">
        <f>IF('發明(新型)案成本估算'!$B$7&gt;0,324000+49000*'發明(新型)案成本估算'!$B$7,0)</f>
        <v>814000</v>
      </c>
      <c r="U11" s="97">
        <f>IF('發明(新型)案成本估算'!$B$7&gt;0,324000+49000*'發明(新型)案成本估算'!$B$7,0)</f>
        <v>814000</v>
      </c>
      <c r="V11" s="97">
        <f>IF('發明(新型)案成本估算'!$B$7&gt;0,324000+49000*'發明(新型)案成本估算'!$B$7,0)</f>
        <v>814000</v>
      </c>
      <c r="W11" s="97">
        <f>IF('發明(新型)案成本估算'!$B$7&gt;0,324000+49000*'發明(新型)案成本估算'!$B$7,0)</f>
        <v>814000</v>
      </c>
      <c r="X11" s="97"/>
      <c r="Y11" s="97"/>
      <c r="Z11" s="97"/>
      <c r="AA11" s="97"/>
      <c r="AB11" s="97"/>
      <c r="AC11" s="75">
        <f t="shared" si="3"/>
        <v>10628000</v>
      </c>
      <c r="AD11" s="11"/>
      <c r="AE11" s="194" t="s">
        <v>7</v>
      </c>
      <c r="AF11" s="11" t="str">
        <f t="shared" si="4"/>
        <v>發明</v>
      </c>
      <c r="AG11" s="14" t="str">
        <f t="shared" si="0"/>
        <v>KRW</v>
      </c>
      <c r="AH11" s="11">
        <f t="shared" si="8"/>
        <v>0</v>
      </c>
      <c r="AI11" s="75">
        <f t="shared" si="9"/>
        <v>0</v>
      </c>
      <c r="AJ11" s="75">
        <f t="shared" si="10"/>
        <v>0</v>
      </c>
      <c r="AK11" s="75">
        <f t="shared" si="11"/>
        <v>236000</v>
      </c>
      <c r="AL11" s="75">
        <f t="shared" si="12"/>
        <v>472000</v>
      </c>
      <c r="AM11" s="75">
        <f t="shared" si="13"/>
        <v>708000</v>
      </c>
      <c r="AN11" s="75">
        <f t="shared" si="14"/>
        <v>1138000</v>
      </c>
      <c r="AO11" s="75">
        <f t="shared" si="15"/>
        <v>1568000</v>
      </c>
      <c r="AP11" s="75">
        <f t="shared" si="16"/>
        <v>1998000</v>
      </c>
      <c r="AQ11" s="75">
        <f t="shared" si="17"/>
        <v>2704000</v>
      </c>
      <c r="AR11" s="75">
        <f t="shared" si="18"/>
        <v>3410000</v>
      </c>
      <c r="AS11" s="75">
        <f t="shared" si="19"/>
        <v>4116000</v>
      </c>
      <c r="AT11" s="75">
        <f t="shared" si="20"/>
        <v>4930000</v>
      </c>
      <c r="AU11" s="75">
        <f t="shared" si="21"/>
        <v>5744000</v>
      </c>
      <c r="AV11" s="75">
        <f t="shared" si="22"/>
        <v>6558000</v>
      </c>
      <c r="AW11" s="75">
        <f t="shared" si="23"/>
        <v>7372000</v>
      </c>
      <c r="AX11" s="75">
        <f t="shared" si="24"/>
        <v>8186000</v>
      </c>
      <c r="AY11" s="75">
        <f t="shared" si="25"/>
        <v>9000000</v>
      </c>
      <c r="AZ11" s="75">
        <f t="shared" si="26"/>
        <v>9814000</v>
      </c>
      <c r="BA11" s="75">
        <f t="shared" si="27"/>
        <v>10628000</v>
      </c>
      <c r="BB11" s="75">
        <f t="shared" si="2"/>
        <v>10628000</v>
      </c>
      <c r="BC11" s="75">
        <f t="shared" si="2"/>
        <v>10628000</v>
      </c>
      <c r="BD11" s="75">
        <f t="shared" si="2"/>
        <v>10628000</v>
      </c>
      <c r="BE11" s="75">
        <f t="shared" si="2"/>
        <v>10628000</v>
      </c>
      <c r="BF11" s="75">
        <f t="shared" si="2"/>
        <v>10628000</v>
      </c>
      <c r="BG11" s="75">
        <f t="shared" si="7"/>
        <v>10628000</v>
      </c>
    </row>
    <row r="12" spans="1:59" x14ac:dyDescent="0.25">
      <c r="A12" s="195"/>
      <c r="B12" s="11" t="str">
        <f>'P(M)'!B26</f>
        <v>新型</v>
      </c>
      <c r="C12" s="3" t="s">
        <v>19</v>
      </c>
      <c r="D12" s="97"/>
      <c r="E12" s="97"/>
      <c r="F12" s="97"/>
      <c r="G12" s="97">
        <f>IF('發明(新型)案成本估算'!$B$7&gt;0,25000+9000*'發明(新型)案成本估算'!$B$7,0)</f>
        <v>115000</v>
      </c>
      <c r="H12" s="97">
        <f>IF('發明(新型)案成本估算'!$B$7&gt;0,25000+9000*'發明(新型)案成本估算'!$B$7,0)</f>
        <v>115000</v>
      </c>
      <c r="I12" s="97">
        <f>IF('發明(新型)案成本估算'!$B$7&gt;0,25000+9000*'發明(新型)案成本估算'!$B$7,0)</f>
        <v>115000</v>
      </c>
      <c r="J12" s="97">
        <f>IF('發明(新型)案成本估算'!$B$7&gt;0,60000+14000*'發明(新型)案成本估算'!$B$7,0)</f>
        <v>200000</v>
      </c>
      <c r="K12" s="97">
        <f>IF('發明(新型)案成本估算'!$B$7&gt;0,60000+14000*'發明(新型)案成本估算'!$B$7,0)</f>
        <v>200000</v>
      </c>
      <c r="L12" s="97">
        <f>IF('發明(新型)案成本估算'!$B$7&gt;0,60000+14000*'發明(新型)案成本估算'!$B$7,0)</f>
        <v>200000</v>
      </c>
      <c r="M12" s="97">
        <f>IF('發明(新型)案成本估算'!$B$7&gt;0,160000+20000*'發明(新型)案成本估算'!$B$7,0)</f>
        <v>360000</v>
      </c>
      <c r="N12" s="97">
        <f>IF('發明(新型)案成本估算'!$B$7&gt;0,160000+20000*'發明(新型)案成本估算'!$B$7,0)</f>
        <v>360000</v>
      </c>
      <c r="O12" s="97">
        <f>IF('發明(新型)案成本估算'!$B$7&gt;0,160000+20000*'發明(新型)案成本估算'!$B$7,0)</f>
        <v>360000</v>
      </c>
      <c r="P12" s="97">
        <f>IF('發明(新型)案成本估算'!$B$7&gt;0,240000+20000*'發明(新型)案成本估算'!$B$7,0)</f>
        <v>440000</v>
      </c>
      <c r="Q12" s="97">
        <f>IF('發明(新型)案成本估算'!$B$7&gt;0,240000+20000*'發明(新型)案成本估算'!$B$7,0)</f>
        <v>440000</v>
      </c>
      <c r="R12" s="97">
        <f>IF('發明(新型)案成本估算'!$B$7&gt;0,240000+20000*'發明(新型)案成本估算'!$B$7,0)</f>
        <v>440000</v>
      </c>
      <c r="S12" s="97"/>
      <c r="T12" s="97"/>
      <c r="U12" s="97"/>
      <c r="V12" s="97"/>
      <c r="W12" s="97"/>
      <c r="X12" s="97"/>
      <c r="Y12" s="97"/>
      <c r="Z12" s="97"/>
      <c r="AA12" s="97"/>
      <c r="AB12" s="97"/>
      <c r="AC12" s="75">
        <f t="shared" si="3"/>
        <v>3345000</v>
      </c>
      <c r="AD12" s="11"/>
      <c r="AE12" s="195"/>
      <c r="AF12" s="11" t="str">
        <f t="shared" si="4"/>
        <v>新型</v>
      </c>
      <c r="AG12" s="14" t="str">
        <f t="shared" si="0"/>
        <v>KRW</v>
      </c>
      <c r="AH12" s="11">
        <f t="shared" si="8"/>
        <v>0</v>
      </c>
      <c r="AI12" s="75">
        <f t="shared" si="9"/>
        <v>0</v>
      </c>
      <c r="AJ12" s="75">
        <f t="shared" si="10"/>
        <v>0</v>
      </c>
      <c r="AK12" s="75">
        <f t="shared" si="11"/>
        <v>115000</v>
      </c>
      <c r="AL12" s="75">
        <f t="shared" si="12"/>
        <v>230000</v>
      </c>
      <c r="AM12" s="75">
        <f t="shared" si="13"/>
        <v>345000</v>
      </c>
      <c r="AN12" s="75">
        <f t="shared" si="14"/>
        <v>545000</v>
      </c>
      <c r="AO12" s="75">
        <f t="shared" si="15"/>
        <v>745000</v>
      </c>
      <c r="AP12" s="75">
        <f t="shared" si="16"/>
        <v>945000</v>
      </c>
      <c r="AQ12" s="75">
        <f t="shared" si="17"/>
        <v>1305000</v>
      </c>
      <c r="AR12" s="75">
        <f t="shared" si="18"/>
        <v>1665000</v>
      </c>
      <c r="AS12" s="75">
        <f t="shared" si="19"/>
        <v>2025000</v>
      </c>
      <c r="AT12" s="75">
        <f t="shared" si="20"/>
        <v>2465000</v>
      </c>
      <c r="AU12" s="75">
        <f t="shared" si="21"/>
        <v>2905000</v>
      </c>
      <c r="AV12" s="75">
        <f t="shared" si="22"/>
        <v>3345000</v>
      </c>
      <c r="AW12" s="75">
        <f t="shared" si="23"/>
        <v>3345000</v>
      </c>
      <c r="AX12" s="75">
        <f t="shared" si="24"/>
        <v>3345000</v>
      </c>
      <c r="AY12" s="75">
        <f t="shared" si="25"/>
        <v>3345000</v>
      </c>
      <c r="AZ12" s="75">
        <f t="shared" si="26"/>
        <v>3345000</v>
      </c>
      <c r="BA12" s="75">
        <f t="shared" si="27"/>
        <v>3345000</v>
      </c>
      <c r="BB12" s="75">
        <f t="shared" si="2"/>
        <v>3345000</v>
      </c>
      <c r="BC12" s="75">
        <f t="shared" si="2"/>
        <v>3345000</v>
      </c>
      <c r="BD12" s="75">
        <f t="shared" si="2"/>
        <v>3345000</v>
      </c>
      <c r="BE12" s="75">
        <f t="shared" si="2"/>
        <v>3345000</v>
      </c>
      <c r="BF12" s="75">
        <f t="shared" si="2"/>
        <v>3345000</v>
      </c>
      <c r="BG12" s="75">
        <f t="shared" si="7"/>
        <v>3345000</v>
      </c>
    </row>
    <row r="13" spans="1:59" x14ac:dyDescent="0.25">
      <c r="A13" s="3" t="s">
        <v>42</v>
      </c>
      <c r="B13" s="11" t="str">
        <f>'P(M)'!B27</f>
        <v>發明</v>
      </c>
      <c r="C13" s="3" t="s">
        <v>43</v>
      </c>
      <c r="D13" s="97"/>
      <c r="E13" s="97">
        <f>IF('發明(新型)案成本估算'!$B$10="少於100人",58.68,130.5)</f>
        <v>58.68</v>
      </c>
      <c r="F13" s="97">
        <f>IF('發明(新型)案成本估算'!$B$10="少於100人",58.68,130.5)</f>
        <v>58.68</v>
      </c>
      <c r="G13" s="97">
        <f>IF('發明(新型)案成本估算'!$B$10="少於100人",58.68,130.5)</f>
        <v>58.68</v>
      </c>
      <c r="H13" s="97">
        <f>IF('發明(新型)案成本估算'!$B$10="少於100人",104.4,289.19)</f>
        <v>104.4</v>
      </c>
      <c r="I13" s="97">
        <f>IF('發明(新型)案成本估算'!$B$10="少於100人",104.4,289.19)</f>
        <v>104.4</v>
      </c>
      <c r="J13" s="97">
        <f>IF('發明(新型)案成本估算'!$B$10="少於100人",104.4,289.19)</f>
        <v>104.4</v>
      </c>
      <c r="K13" s="97">
        <f>IF('發明(新型)案成本估算'!$B$10="少於100人",104.4,289.19)</f>
        <v>104.4</v>
      </c>
      <c r="L13" s="97">
        <f>IF('發明(新型)案成本估算'!$B$10="少於100人",104.4,289.19)</f>
        <v>104.4</v>
      </c>
      <c r="M13" s="97">
        <f>IF('發明(新型)案成本估算'!$B$10="少於100人",130.5,362.27)</f>
        <v>130.5</v>
      </c>
      <c r="N13" s="97">
        <f>IF('發明(新型)案成本估算'!$B$10="少於100人",130.5,362.27)</f>
        <v>130.5</v>
      </c>
      <c r="O13" s="97">
        <f>IF('發明(新型)案成本估算'!$B$10="少於100人",130.5,362.27)</f>
        <v>130.5</v>
      </c>
      <c r="P13" s="97">
        <f>IF('發明(新型)案成本估算'!$B$10="少於100人",130.5,362.27)</f>
        <v>130.5</v>
      </c>
      <c r="Q13" s="97">
        <f>IF('發明(新型)案成本估算'!$B$10="少於100人",130.5,362.27)</f>
        <v>130.5</v>
      </c>
      <c r="R13" s="97">
        <f>IF('發明(新型)案成本估算'!$B$10="少於100人",264.13,651.46)</f>
        <v>264.13</v>
      </c>
      <c r="S13" s="97">
        <f>IF('發明(新型)案成本估算'!$B$10="少於100人",264.13,651.46)</f>
        <v>264.13</v>
      </c>
      <c r="T13" s="97">
        <f>IF('發明(新型)案成本估算'!$B$10="少於100人",264.13,651.46)</f>
        <v>264.13</v>
      </c>
      <c r="U13" s="97">
        <f>IF('發明(新型)案成本估算'!$B$10="少於100人",264.13,651.46)</f>
        <v>264.13</v>
      </c>
      <c r="V13" s="97">
        <f>IF('發明(新型)案成本估算'!$B$10="少於100人",264.13,651.46)</f>
        <v>264.13</v>
      </c>
      <c r="W13" s="97"/>
      <c r="X13" s="97"/>
      <c r="Y13" s="97"/>
      <c r="Z13" s="97"/>
      <c r="AA13" s="97"/>
      <c r="AB13" s="97"/>
      <c r="AC13" s="75">
        <f>SUM(D13:AB13)</f>
        <v>2671.1900000000005</v>
      </c>
      <c r="AD13" s="11"/>
      <c r="AE13" s="3" t="s">
        <v>42</v>
      </c>
      <c r="AF13" s="11" t="str">
        <f>B13</f>
        <v>發明</v>
      </c>
      <c r="AG13" s="14" t="str">
        <f>C13</f>
        <v>CAD</v>
      </c>
      <c r="AH13" s="11">
        <f>D13</f>
        <v>0</v>
      </c>
      <c r="AI13" s="75">
        <f t="shared" ref="AI13:BF13" si="28">AH13+E13</f>
        <v>58.68</v>
      </c>
      <c r="AJ13" s="75">
        <f t="shared" si="28"/>
        <v>117.36</v>
      </c>
      <c r="AK13" s="75">
        <f t="shared" si="28"/>
        <v>176.04</v>
      </c>
      <c r="AL13" s="75">
        <f t="shared" si="28"/>
        <v>280.44</v>
      </c>
      <c r="AM13" s="75">
        <f t="shared" si="28"/>
        <v>384.84000000000003</v>
      </c>
      <c r="AN13" s="75">
        <f t="shared" si="28"/>
        <v>489.24</v>
      </c>
      <c r="AO13" s="75">
        <f t="shared" si="28"/>
        <v>593.64</v>
      </c>
      <c r="AP13" s="75">
        <f t="shared" si="28"/>
        <v>698.04</v>
      </c>
      <c r="AQ13" s="75">
        <f t="shared" si="28"/>
        <v>828.54</v>
      </c>
      <c r="AR13" s="75">
        <f t="shared" si="28"/>
        <v>959.04</v>
      </c>
      <c r="AS13" s="75">
        <f t="shared" si="28"/>
        <v>1089.54</v>
      </c>
      <c r="AT13" s="75">
        <f t="shared" si="28"/>
        <v>1220.04</v>
      </c>
      <c r="AU13" s="75">
        <f t="shared" si="28"/>
        <v>1350.54</v>
      </c>
      <c r="AV13" s="75">
        <f t="shared" si="28"/>
        <v>1614.67</v>
      </c>
      <c r="AW13" s="75">
        <f t="shared" si="28"/>
        <v>1878.8000000000002</v>
      </c>
      <c r="AX13" s="75">
        <f t="shared" si="28"/>
        <v>2142.9300000000003</v>
      </c>
      <c r="AY13" s="75">
        <f t="shared" si="28"/>
        <v>2407.0600000000004</v>
      </c>
      <c r="AZ13" s="75">
        <f t="shared" si="28"/>
        <v>2671.1900000000005</v>
      </c>
      <c r="BA13" s="75">
        <f t="shared" si="28"/>
        <v>2671.1900000000005</v>
      </c>
      <c r="BB13" s="75">
        <f t="shared" si="28"/>
        <v>2671.1900000000005</v>
      </c>
      <c r="BC13" s="75">
        <f t="shared" si="28"/>
        <v>2671.1900000000005</v>
      </c>
      <c r="BD13" s="75">
        <f t="shared" si="28"/>
        <v>2671.1900000000005</v>
      </c>
      <c r="BE13" s="75">
        <f t="shared" si="28"/>
        <v>2671.1900000000005</v>
      </c>
      <c r="BF13" s="75">
        <f t="shared" si="28"/>
        <v>2671.1900000000005</v>
      </c>
      <c r="BG13" s="75">
        <f>BF13</f>
        <v>2671.1900000000005</v>
      </c>
    </row>
    <row r="14" spans="1:59" x14ac:dyDescent="0.25">
      <c r="A14" s="3" t="s">
        <v>8</v>
      </c>
      <c r="B14" s="11" t="str">
        <f>'P(M)'!B28</f>
        <v>發明</v>
      </c>
      <c r="C14" s="3" t="s">
        <v>20</v>
      </c>
      <c r="D14" s="97"/>
      <c r="E14" s="97"/>
      <c r="F14" s="97"/>
      <c r="G14" s="97"/>
      <c r="H14" s="97">
        <v>176</v>
      </c>
      <c r="I14" s="97">
        <v>176</v>
      </c>
      <c r="J14" s="97">
        <v>176</v>
      </c>
      <c r="K14" s="97">
        <v>460</v>
      </c>
      <c r="L14" s="97">
        <v>460</v>
      </c>
      <c r="M14" s="97">
        <v>460</v>
      </c>
      <c r="N14" s="97">
        <v>640</v>
      </c>
      <c r="O14" s="97">
        <v>640</v>
      </c>
      <c r="P14" s="97">
        <v>640</v>
      </c>
      <c r="Q14" s="97">
        <v>830</v>
      </c>
      <c r="R14" s="97">
        <v>830</v>
      </c>
      <c r="S14" s="97">
        <v>830</v>
      </c>
      <c r="T14" s="97">
        <v>1010</v>
      </c>
      <c r="U14" s="97">
        <v>1010</v>
      </c>
      <c r="V14" s="97">
        <v>1010</v>
      </c>
      <c r="W14" s="97">
        <v>1200</v>
      </c>
      <c r="X14" s="97"/>
      <c r="Y14" s="97"/>
      <c r="Z14" s="97"/>
      <c r="AA14" s="97"/>
      <c r="AB14" s="97"/>
      <c r="AC14" s="75">
        <f t="shared" si="3"/>
        <v>10548</v>
      </c>
      <c r="AD14" s="11"/>
      <c r="AE14" s="3" t="s">
        <v>8</v>
      </c>
      <c r="AF14" s="11" t="str">
        <f t="shared" si="4"/>
        <v>發明</v>
      </c>
      <c r="AG14" s="14" t="str">
        <f t="shared" si="0"/>
        <v>SGD</v>
      </c>
      <c r="AH14" s="11">
        <f t="shared" si="8"/>
        <v>0</v>
      </c>
      <c r="AI14" s="75">
        <f t="shared" si="9"/>
        <v>0</v>
      </c>
      <c r="AJ14" s="75">
        <f t="shared" si="10"/>
        <v>0</v>
      </c>
      <c r="AK14" s="75">
        <f t="shared" si="11"/>
        <v>0</v>
      </c>
      <c r="AL14" s="75">
        <f t="shared" si="12"/>
        <v>176</v>
      </c>
      <c r="AM14" s="75">
        <f t="shared" si="13"/>
        <v>352</v>
      </c>
      <c r="AN14" s="75">
        <f t="shared" si="14"/>
        <v>528</v>
      </c>
      <c r="AO14" s="75">
        <f t="shared" si="15"/>
        <v>988</v>
      </c>
      <c r="AP14" s="75">
        <f t="shared" si="16"/>
        <v>1448</v>
      </c>
      <c r="AQ14" s="75">
        <f t="shared" si="17"/>
        <v>1908</v>
      </c>
      <c r="AR14" s="75">
        <f t="shared" si="18"/>
        <v>2548</v>
      </c>
      <c r="AS14" s="75">
        <f t="shared" si="19"/>
        <v>3188</v>
      </c>
      <c r="AT14" s="75">
        <f t="shared" si="20"/>
        <v>3828</v>
      </c>
      <c r="AU14" s="75">
        <f t="shared" si="21"/>
        <v>4658</v>
      </c>
      <c r="AV14" s="75">
        <f t="shared" si="22"/>
        <v>5488</v>
      </c>
      <c r="AW14" s="75">
        <f t="shared" si="23"/>
        <v>6318</v>
      </c>
      <c r="AX14" s="75">
        <f t="shared" si="24"/>
        <v>7328</v>
      </c>
      <c r="AY14" s="75">
        <f t="shared" si="25"/>
        <v>8338</v>
      </c>
      <c r="AZ14" s="75">
        <f t="shared" si="26"/>
        <v>9348</v>
      </c>
      <c r="BA14" s="75">
        <f t="shared" si="27"/>
        <v>10548</v>
      </c>
      <c r="BB14" s="75">
        <f t="shared" si="2"/>
        <v>10548</v>
      </c>
      <c r="BC14" s="75">
        <f t="shared" si="2"/>
        <v>10548</v>
      </c>
      <c r="BD14" s="75">
        <f t="shared" si="2"/>
        <v>10548</v>
      </c>
      <c r="BE14" s="75">
        <f t="shared" si="2"/>
        <v>10548</v>
      </c>
      <c r="BF14" s="75">
        <f t="shared" si="2"/>
        <v>10548</v>
      </c>
      <c r="BG14" s="75">
        <f t="shared" si="7"/>
        <v>10548</v>
      </c>
    </row>
    <row r="15" spans="1:59" x14ac:dyDescent="0.25">
      <c r="A15" s="194" t="s">
        <v>11</v>
      </c>
      <c r="B15" s="11" t="str">
        <f>'P(M)'!B29</f>
        <v>發明</v>
      </c>
      <c r="C15" s="3" t="s">
        <v>23</v>
      </c>
      <c r="D15" s="97"/>
      <c r="E15" s="97">
        <v>290</v>
      </c>
      <c r="F15" s="97">
        <v>360</v>
      </c>
      <c r="G15" s="97">
        <v>440</v>
      </c>
      <c r="H15" s="97">
        <v>530</v>
      </c>
      <c r="I15" s="97">
        <v>630</v>
      </c>
      <c r="J15" s="97">
        <v>730</v>
      </c>
      <c r="K15" s="97">
        <v>830</v>
      </c>
      <c r="L15" s="97">
        <v>910</v>
      </c>
      <c r="M15" s="97">
        <v>990</v>
      </c>
      <c r="N15" s="97">
        <v>1020</v>
      </c>
      <c r="O15" s="97">
        <v>1140</v>
      </c>
      <c r="P15" s="97">
        <v>1280</v>
      </c>
      <c r="Q15" s="97">
        <v>1450</v>
      </c>
      <c r="R15" s="97">
        <v>1550</v>
      </c>
      <c r="S15" s="97">
        <v>1900</v>
      </c>
      <c r="T15" s="97">
        <v>2100</v>
      </c>
      <c r="U15" s="97">
        <v>2400</v>
      </c>
      <c r="V15" s="97">
        <v>2700</v>
      </c>
      <c r="W15" s="97">
        <v>2900</v>
      </c>
      <c r="X15" s="97"/>
      <c r="Y15" s="97"/>
      <c r="Z15" s="97"/>
      <c r="AA15" s="97"/>
      <c r="AB15" s="97"/>
      <c r="AC15" s="75">
        <f>SUM(D15:AB15)</f>
        <v>24150</v>
      </c>
      <c r="AD15" s="11"/>
      <c r="AE15" s="194" t="s">
        <v>11</v>
      </c>
      <c r="AF15" s="11" t="str">
        <f t="shared" ref="AF15:AH16" si="29">B15</f>
        <v>發明</v>
      </c>
      <c r="AG15" s="14" t="str">
        <f t="shared" si="29"/>
        <v>MYR</v>
      </c>
      <c r="AH15" s="11">
        <f t="shared" si="29"/>
        <v>0</v>
      </c>
      <c r="AI15" s="75">
        <f t="shared" ref="AI15:AR16" si="30">AH15+E15</f>
        <v>290</v>
      </c>
      <c r="AJ15" s="75">
        <f t="shared" si="30"/>
        <v>650</v>
      </c>
      <c r="AK15" s="75">
        <f t="shared" si="30"/>
        <v>1090</v>
      </c>
      <c r="AL15" s="75">
        <f t="shared" si="30"/>
        <v>1620</v>
      </c>
      <c r="AM15" s="75">
        <f t="shared" si="30"/>
        <v>2250</v>
      </c>
      <c r="AN15" s="75">
        <f t="shared" si="30"/>
        <v>2980</v>
      </c>
      <c r="AO15" s="75">
        <f t="shared" si="30"/>
        <v>3810</v>
      </c>
      <c r="AP15" s="75">
        <f t="shared" si="30"/>
        <v>4720</v>
      </c>
      <c r="AQ15" s="75">
        <f t="shared" si="30"/>
        <v>5710</v>
      </c>
      <c r="AR15" s="75">
        <f t="shared" si="30"/>
        <v>6730</v>
      </c>
      <c r="AS15" s="75">
        <f t="shared" si="19"/>
        <v>7870</v>
      </c>
      <c r="AT15" s="75">
        <f t="shared" si="20"/>
        <v>9150</v>
      </c>
      <c r="AU15" s="75">
        <f t="shared" si="21"/>
        <v>10600</v>
      </c>
      <c r="AV15" s="75">
        <f t="shared" si="22"/>
        <v>12150</v>
      </c>
      <c r="AW15" s="75">
        <f t="shared" si="23"/>
        <v>14050</v>
      </c>
      <c r="AX15" s="75">
        <f t="shared" si="24"/>
        <v>16150</v>
      </c>
      <c r="AY15" s="75">
        <f t="shared" si="25"/>
        <v>18550</v>
      </c>
      <c r="AZ15" s="75">
        <f t="shared" si="26"/>
        <v>21250</v>
      </c>
      <c r="BA15" s="75">
        <f t="shared" si="27"/>
        <v>24150</v>
      </c>
      <c r="BB15" s="75">
        <f t="shared" si="2"/>
        <v>24150</v>
      </c>
      <c r="BC15" s="75">
        <f t="shared" si="2"/>
        <v>24150</v>
      </c>
      <c r="BD15" s="75">
        <f t="shared" si="2"/>
        <v>24150</v>
      </c>
      <c r="BE15" s="75">
        <f t="shared" si="2"/>
        <v>24150</v>
      </c>
      <c r="BF15" s="75">
        <f t="shared" si="2"/>
        <v>24150</v>
      </c>
      <c r="BG15" s="75">
        <f>BF15</f>
        <v>24150</v>
      </c>
    </row>
    <row r="16" spans="1:59" x14ac:dyDescent="0.25">
      <c r="A16" s="195"/>
      <c r="B16" s="11" t="str">
        <f>'P(M)'!B30</f>
        <v>新型</v>
      </c>
      <c r="C16" s="3" t="s">
        <v>23</v>
      </c>
      <c r="D16" s="97"/>
      <c r="E16" s="97">
        <v>0</v>
      </c>
      <c r="F16" s="97">
        <v>170</v>
      </c>
      <c r="G16" s="97">
        <v>240</v>
      </c>
      <c r="H16" s="97">
        <v>290</v>
      </c>
      <c r="I16" s="97">
        <v>350</v>
      </c>
      <c r="J16" s="97">
        <v>350</v>
      </c>
      <c r="K16" s="97">
        <v>420</v>
      </c>
      <c r="L16" s="97">
        <v>420</v>
      </c>
      <c r="M16" s="97">
        <v>480</v>
      </c>
      <c r="N16" s="97">
        <v>670</v>
      </c>
      <c r="O16" s="97">
        <v>940</v>
      </c>
      <c r="P16" s="97">
        <v>1090</v>
      </c>
      <c r="Q16" s="97">
        <v>1270</v>
      </c>
      <c r="R16" s="97">
        <v>1550</v>
      </c>
      <c r="S16" s="97">
        <v>1650</v>
      </c>
      <c r="T16" s="97">
        <v>1820</v>
      </c>
      <c r="U16" s="97">
        <v>1930</v>
      </c>
      <c r="V16" s="97">
        <v>2090</v>
      </c>
      <c r="W16" s="97">
        <v>2200</v>
      </c>
      <c r="X16" s="97"/>
      <c r="Y16" s="97"/>
      <c r="Z16" s="97"/>
      <c r="AA16" s="97"/>
      <c r="AB16" s="97"/>
      <c r="AC16" s="75">
        <f>SUM(D16:AB16)</f>
        <v>17930</v>
      </c>
      <c r="AD16" s="11"/>
      <c r="AE16" s="195"/>
      <c r="AF16" s="11" t="str">
        <f t="shared" si="29"/>
        <v>新型</v>
      </c>
      <c r="AG16" s="14" t="str">
        <f t="shared" si="29"/>
        <v>MYR</v>
      </c>
      <c r="AH16" s="11">
        <f t="shared" si="29"/>
        <v>0</v>
      </c>
      <c r="AI16" s="75">
        <f t="shared" si="30"/>
        <v>0</v>
      </c>
      <c r="AJ16" s="75">
        <f t="shared" si="30"/>
        <v>170</v>
      </c>
      <c r="AK16" s="75">
        <f t="shared" si="30"/>
        <v>410</v>
      </c>
      <c r="AL16" s="75">
        <f t="shared" si="30"/>
        <v>700</v>
      </c>
      <c r="AM16" s="75">
        <f t="shared" si="30"/>
        <v>1050</v>
      </c>
      <c r="AN16" s="75">
        <f t="shared" si="30"/>
        <v>1400</v>
      </c>
      <c r="AO16" s="75">
        <f t="shared" si="30"/>
        <v>1820</v>
      </c>
      <c r="AP16" s="75">
        <f t="shared" si="30"/>
        <v>2240</v>
      </c>
      <c r="AQ16" s="75">
        <f t="shared" si="30"/>
        <v>2720</v>
      </c>
      <c r="AR16" s="75">
        <f t="shared" si="30"/>
        <v>3390</v>
      </c>
      <c r="AS16" s="75">
        <f t="shared" si="19"/>
        <v>4330</v>
      </c>
      <c r="AT16" s="75">
        <f t="shared" si="20"/>
        <v>5420</v>
      </c>
      <c r="AU16" s="75">
        <f t="shared" si="21"/>
        <v>6690</v>
      </c>
      <c r="AV16" s="75">
        <f t="shared" si="22"/>
        <v>8240</v>
      </c>
      <c r="AW16" s="75">
        <f t="shared" si="23"/>
        <v>9890</v>
      </c>
      <c r="AX16" s="75">
        <f t="shared" si="24"/>
        <v>11710</v>
      </c>
      <c r="AY16" s="75">
        <f t="shared" si="25"/>
        <v>13640</v>
      </c>
      <c r="AZ16" s="75">
        <f t="shared" si="26"/>
        <v>15730</v>
      </c>
      <c r="BA16" s="75">
        <f t="shared" si="27"/>
        <v>17930</v>
      </c>
      <c r="BB16" s="75">
        <f t="shared" si="2"/>
        <v>17930</v>
      </c>
      <c r="BC16" s="75">
        <f t="shared" si="2"/>
        <v>17930</v>
      </c>
      <c r="BD16" s="75">
        <f t="shared" si="2"/>
        <v>17930</v>
      </c>
      <c r="BE16" s="75">
        <f t="shared" si="2"/>
        <v>17930</v>
      </c>
      <c r="BF16" s="75">
        <f t="shared" si="2"/>
        <v>17930</v>
      </c>
      <c r="BG16" s="75">
        <f>BF16</f>
        <v>17930</v>
      </c>
    </row>
    <row r="17" spans="1:59" x14ac:dyDescent="0.25">
      <c r="A17" s="53" t="s">
        <v>146</v>
      </c>
      <c r="B17" s="11" t="str">
        <f>'P(M)'!B31</f>
        <v>發明</v>
      </c>
      <c r="C17" s="3" t="s">
        <v>16</v>
      </c>
      <c r="D17" s="97"/>
      <c r="E17" s="97"/>
      <c r="F17" s="97"/>
      <c r="G17" s="97"/>
      <c r="H17" s="97">
        <f>IF('發明(新型)案成本估算'!$B$7&gt;5,73+10*('發明(新型)案成本估算'!$B$7-5),73)</f>
        <v>123</v>
      </c>
      <c r="I17" s="97">
        <f>IF('發明(新型)案成本估算'!$B$7&gt;5,97+10*('發明(新型)案成本估算'!$B$7-5),97)</f>
        <v>147</v>
      </c>
      <c r="J17" s="97">
        <f>IF('發明(新型)案成本估算'!$B$7&gt;5,122+10*('發明(新型)案成本估算'!$B$7-5),122)</f>
        <v>172</v>
      </c>
      <c r="K17" s="97">
        <f>IF('發明(新型)案成本估算'!$B$7&gt;5,146+10*('發明(新型)案成本估算'!$B$7-5),146)</f>
        <v>196</v>
      </c>
      <c r="L17" s="97">
        <f>IF('發明(新型)案成本估算'!$B$7&gt;5,194+10*('發明(新型)案成本估算'!$B$7-5),194)</f>
        <v>244</v>
      </c>
      <c r="M17" s="97">
        <f>IF('發明(新型)案成本估算'!$B$7&gt;5,243+10*('發明(新型)案成本估算'!$B$7-5),243)</f>
        <v>293</v>
      </c>
      <c r="N17" s="97">
        <f>IF('發明(新型)案成本估算'!$B$7&gt;5,313+10*('發明(新型)案成本估算'!$B$7-5),313)</f>
        <v>363</v>
      </c>
      <c r="O17" s="97">
        <f>IF('發明(新型)案成本估算'!$B$7&gt;5,388+10*('發明(新型)案成本估算'!$B$7-5),388)</f>
        <v>438</v>
      </c>
      <c r="P17" s="97">
        <f>IF('發明(新型)案成本估算'!$B$7&gt;5,458+10*('發明(新型)案成本估算'!$B$7-5),458)</f>
        <v>508</v>
      </c>
      <c r="Q17" s="97">
        <f>IF('發明(新型)案成本估算'!$B$7&gt;5,558+10*('發明(新型)案成本估算'!$B$7-5),558)</f>
        <v>608</v>
      </c>
      <c r="R17" s="97">
        <f>IF('發明(新型)案成本估算'!$B$7&gt;5,655+10*('發明(新型)案成本估算'!$B$7-5),655)</f>
        <v>705</v>
      </c>
      <c r="S17" s="97">
        <f>IF('發明(新型)案成本估算'!$B$7&gt;5,749+10*('發明(新型)案成本估算'!$B$7-5),749)</f>
        <v>799</v>
      </c>
      <c r="T17" s="97">
        <f>IF('發明(新型)案成本估算'!$B$7&gt;5,846+10*('發明(新型)案成本估算'!$B$7-5),846)</f>
        <v>896</v>
      </c>
      <c r="U17" s="97">
        <f>IF('發明(新型)案成本估算'!$B$7&gt;5,1016+10*('發明(新型)案成本估算'!$B$7-5),1016)</f>
        <v>1066</v>
      </c>
      <c r="V17" s="97">
        <f>IF('發明(新型)案成本估算'!$B$7&gt;5,1221+10*('發明(新型)案成本估算'!$B$7-5),1221)</f>
        <v>1271</v>
      </c>
      <c r="W17" s="97">
        <f>IF('發明(新型)案成本估算'!$B$7&gt;5,1463+10*('發明(新型)案成本估算'!$B$7-5),1463)</f>
        <v>1513</v>
      </c>
      <c r="X17" s="97"/>
      <c r="Y17" s="97"/>
      <c r="Z17" s="97"/>
      <c r="AA17" s="97"/>
      <c r="AB17" s="97"/>
      <c r="AC17" s="75">
        <f t="shared" si="3"/>
        <v>9342</v>
      </c>
      <c r="AD17" s="11"/>
      <c r="AE17" s="53" t="s">
        <v>146</v>
      </c>
      <c r="AF17" s="11" t="str">
        <f t="shared" si="4"/>
        <v>發明</v>
      </c>
      <c r="AG17" s="14" t="str">
        <f t="shared" si="0"/>
        <v>USD</v>
      </c>
      <c r="AH17" s="11">
        <f t="shared" si="8"/>
        <v>0</v>
      </c>
      <c r="AI17" s="75">
        <f t="shared" si="9"/>
        <v>0</v>
      </c>
      <c r="AJ17" s="75">
        <f t="shared" si="10"/>
        <v>0</v>
      </c>
      <c r="AK17" s="75">
        <f t="shared" si="11"/>
        <v>0</v>
      </c>
      <c r="AL17" s="75">
        <f t="shared" si="12"/>
        <v>123</v>
      </c>
      <c r="AM17" s="75">
        <f t="shared" si="13"/>
        <v>270</v>
      </c>
      <c r="AN17" s="75">
        <f t="shared" si="14"/>
        <v>442</v>
      </c>
      <c r="AO17" s="75">
        <f t="shared" si="15"/>
        <v>638</v>
      </c>
      <c r="AP17" s="75">
        <f t="shared" si="16"/>
        <v>882</v>
      </c>
      <c r="AQ17" s="75">
        <f t="shared" si="17"/>
        <v>1175</v>
      </c>
      <c r="AR17" s="75">
        <f t="shared" si="18"/>
        <v>1538</v>
      </c>
      <c r="AS17" s="75">
        <f t="shared" si="19"/>
        <v>1976</v>
      </c>
      <c r="AT17" s="75">
        <f t="shared" si="20"/>
        <v>2484</v>
      </c>
      <c r="AU17" s="75">
        <f t="shared" si="21"/>
        <v>3092</v>
      </c>
      <c r="AV17" s="75">
        <f t="shared" si="22"/>
        <v>3797</v>
      </c>
      <c r="AW17" s="75">
        <f t="shared" si="23"/>
        <v>4596</v>
      </c>
      <c r="AX17" s="75">
        <f t="shared" si="24"/>
        <v>5492</v>
      </c>
      <c r="AY17" s="75">
        <f t="shared" si="25"/>
        <v>6558</v>
      </c>
      <c r="AZ17" s="75">
        <f t="shared" si="26"/>
        <v>7829</v>
      </c>
      <c r="BA17" s="75">
        <f t="shared" si="27"/>
        <v>9342</v>
      </c>
      <c r="BB17" s="75">
        <f t="shared" si="2"/>
        <v>9342</v>
      </c>
      <c r="BC17" s="75">
        <f t="shared" si="2"/>
        <v>9342</v>
      </c>
      <c r="BD17" s="75">
        <f t="shared" si="2"/>
        <v>9342</v>
      </c>
      <c r="BE17" s="75">
        <f t="shared" si="2"/>
        <v>9342</v>
      </c>
      <c r="BF17" s="75">
        <f t="shared" si="2"/>
        <v>9342</v>
      </c>
      <c r="BG17" s="75">
        <f t="shared" si="7"/>
        <v>9342</v>
      </c>
    </row>
    <row r="18" spans="1:59" x14ac:dyDescent="0.25">
      <c r="A18" s="194" t="s">
        <v>131</v>
      </c>
      <c r="B18" s="11" t="str">
        <f>'P(M)'!B32</f>
        <v>發明</v>
      </c>
      <c r="C18" s="3" t="s">
        <v>16</v>
      </c>
      <c r="D18" s="97"/>
      <c r="E18" s="97">
        <f>IF('發明(新型)案成本估算'!$B$7&gt;0,100+7.5*'發明(新型)案成本估算'!$B$7,0)</f>
        <v>175</v>
      </c>
      <c r="F18" s="97">
        <f>IF('發明(新型)案成本估算'!$B$7&gt;0,100+7.5*'發明(新型)案成本估算'!$B$7,0)</f>
        <v>175</v>
      </c>
      <c r="G18" s="97">
        <f>IF('發明(新型)案成本估算'!$B$7&gt;0,125+10*'發明(新型)案成本估算'!$B$7,0)</f>
        <v>225</v>
      </c>
      <c r="H18" s="97">
        <f>IF('發明(新型)案成本估算'!$B$7&gt;0,125+10*'發明(新型)案成本估算'!$B$7,0)</f>
        <v>225</v>
      </c>
      <c r="I18" s="97">
        <f>IF('發明(新型)案成本估算'!$B$7&gt;0,175+17.5*'發明(新型)案成本估算'!$B$7,0)</f>
        <v>350</v>
      </c>
      <c r="J18" s="97">
        <f>IF('發明(新型)案成本估算'!$B$7&gt;0,225+22.5*'發明(新型)案成本估算'!$B$7,0)</f>
        <v>450</v>
      </c>
      <c r="K18" s="97">
        <f>IF('發明(新型)案成本估算'!$B$7&gt;0,225+22.5*'發明(新型)案成本估算'!$B$7,0)</f>
        <v>450</v>
      </c>
      <c r="L18" s="97">
        <f>IF('發明(新型)案成本估算'!$B$7&gt;0,300+30*'發明(新型)案成本估算'!$B$7,0)</f>
        <v>600</v>
      </c>
      <c r="M18" s="97">
        <f>IF('發明(新型)案成本估算'!$B$7&gt;0,400+30*'發明(新型)案成本估算'!$B$7,0)</f>
        <v>700</v>
      </c>
      <c r="N18" s="97">
        <f>IF('發明(新型)案成本估算'!$B$7&gt;0,650+50*'發明(新型)案成本估算'!$B$7,0)</f>
        <v>1150</v>
      </c>
      <c r="O18" s="97">
        <f>IF('發明(新型)案成本估算'!$B$7&gt;0,650+50*'發明(新型)案成本估算'!$B$7,0)</f>
        <v>1150</v>
      </c>
      <c r="P18" s="97">
        <f>IF('發明(新型)案成本估算'!$B$7&gt;0,650+50*'發明(新型)案成本估算'!$B$7,0)</f>
        <v>1150</v>
      </c>
      <c r="Q18" s="97">
        <f>IF('發明(新型)案成本估算'!$B$7&gt;0,650+50*'發明(新型)案成本估算'!$B$7,0)</f>
        <v>1150</v>
      </c>
      <c r="R18" s="97">
        <f>IF('發明(新型)案成本估算'!$B$7&gt;0,650+50*'發明(新型)案成本估算'!$B$7,0)</f>
        <v>1150</v>
      </c>
      <c r="S18" s="97">
        <f>IF('發明(新型)案成本估算'!$B$7&gt;0,650+50*'發明(新型)案成本估算'!$B$7,0)</f>
        <v>1150</v>
      </c>
      <c r="T18" s="97">
        <f>IF('發明(新型)案成本估算'!$B$7&gt;0,650+50*'發明(新型)案成本估算'!$B$7,0)</f>
        <v>1150</v>
      </c>
      <c r="U18" s="97">
        <f>IF('發明(新型)案成本估算'!$B$7&gt;0,650+50*'發明(新型)案成本估算'!$B$7,0)</f>
        <v>1150</v>
      </c>
      <c r="V18" s="97">
        <f>IF('發明(新型)案成本估算'!$B$7&gt;0,650+50*'發明(新型)案成本估算'!$B$7,0)</f>
        <v>1150</v>
      </c>
      <c r="W18" s="97">
        <f>IF('發明(新型)案成本估算'!$B$7&gt;0,650+50*'發明(新型)案成本估算'!$B$7,0)</f>
        <v>1150</v>
      </c>
      <c r="X18" s="97"/>
      <c r="Y18" s="97"/>
      <c r="Z18" s="97"/>
      <c r="AA18" s="97"/>
      <c r="AB18" s="97"/>
      <c r="AC18" s="75">
        <f>SUM(D18:AB18)</f>
        <v>14850</v>
      </c>
      <c r="AD18" s="11"/>
      <c r="AE18" s="194" t="s">
        <v>131</v>
      </c>
      <c r="AF18" s="11" t="str">
        <f t="shared" ref="AF18:AH19" si="31">B18</f>
        <v>發明</v>
      </c>
      <c r="AG18" s="14" t="str">
        <f t="shared" si="31"/>
        <v>USD</v>
      </c>
      <c r="AH18" s="11">
        <f t="shared" si="31"/>
        <v>0</v>
      </c>
      <c r="AI18" s="75">
        <f t="shared" ref="AI18:AR19" si="32">AH18+E18</f>
        <v>175</v>
      </c>
      <c r="AJ18" s="75">
        <f t="shared" si="32"/>
        <v>350</v>
      </c>
      <c r="AK18" s="75">
        <f t="shared" si="32"/>
        <v>575</v>
      </c>
      <c r="AL18" s="75">
        <f t="shared" si="32"/>
        <v>800</v>
      </c>
      <c r="AM18" s="75">
        <f t="shared" si="32"/>
        <v>1150</v>
      </c>
      <c r="AN18" s="75">
        <f t="shared" si="32"/>
        <v>1600</v>
      </c>
      <c r="AO18" s="75">
        <f t="shared" si="32"/>
        <v>2050</v>
      </c>
      <c r="AP18" s="75">
        <f t="shared" si="32"/>
        <v>2650</v>
      </c>
      <c r="AQ18" s="75">
        <f t="shared" si="32"/>
        <v>3350</v>
      </c>
      <c r="AR18" s="75">
        <f t="shared" si="32"/>
        <v>4500</v>
      </c>
      <c r="AS18" s="75">
        <f t="shared" si="19"/>
        <v>5650</v>
      </c>
      <c r="AT18" s="75">
        <f t="shared" si="20"/>
        <v>6800</v>
      </c>
      <c r="AU18" s="75">
        <f t="shared" si="21"/>
        <v>7950</v>
      </c>
      <c r="AV18" s="75">
        <f t="shared" si="22"/>
        <v>9100</v>
      </c>
      <c r="AW18" s="75">
        <f t="shared" si="23"/>
        <v>10250</v>
      </c>
      <c r="AX18" s="75">
        <f t="shared" si="24"/>
        <v>11400</v>
      </c>
      <c r="AY18" s="75">
        <f t="shared" si="25"/>
        <v>12550</v>
      </c>
      <c r="AZ18" s="75">
        <f t="shared" si="26"/>
        <v>13700</v>
      </c>
      <c r="BA18" s="75">
        <f t="shared" si="27"/>
        <v>14850</v>
      </c>
      <c r="BB18" s="75">
        <f t="shared" ref="BB18:BF19" si="33">BA18+X18</f>
        <v>14850</v>
      </c>
      <c r="BC18" s="75">
        <f t="shared" si="33"/>
        <v>14850</v>
      </c>
      <c r="BD18" s="75">
        <f t="shared" si="33"/>
        <v>14850</v>
      </c>
      <c r="BE18" s="75">
        <f t="shared" si="33"/>
        <v>14850</v>
      </c>
      <c r="BF18" s="75">
        <f t="shared" si="33"/>
        <v>14850</v>
      </c>
      <c r="BG18" s="75">
        <f>BF18</f>
        <v>14850</v>
      </c>
    </row>
    <row r="19" spans="1:59" x14ac:dyDescent="0.25">
      <c r="A19" s="195"/>
      <c r="B19" s="11" t="str">
        <f>'P(M)'!B33</f>
        <v>新型</v>
      </c>
      <c r="C19" s="3" t="s">
        <v>16</v>
      </c>
      <c r="D19" s="97"/>
      <c r="E19" s="97">
        <f>IF('發明(新型)案成本估算'!$B$7&gt;0,75+5*'發明(新型)案成本估算'!$B$7,0)</f>
        <v>125</v>
      </c>
      <c r="F19" s="97">
        <f>IF('發明(新型)案成本估算'!$B$7&gt;0,75+5*'發明(新型)案成本估算'!$B$7,0)</f>
        <v>125</v>
      </c>
      <c r="G19" s="97">
        <f>IF('發明(新型)案成本估算'!$B$7&gt;0,75+5*'發明(新型)案成本估算'!$B$7,0)</f>
        <v>125</v>
      </c>
      <c r="H19" s="97">
        <f>IF('發明(新型)案成本估算'!$B$7&gt;0,125+5*'發明(新型)案成本估算'!$B$7,0)</f>
        <v>175</v>
      </c>
      <c r="I19" s="97">
        <f>IF('發明(新型)案成本估算'!$B$7&gt;0,170+5*'發明(新型)案成本估算'!$B$7,0)</f>
        <v>220</v>
      </c>
      <c r="J19" s="97">
        <f>IF('發明(新型)案成本估算'!$B$7&gt;0,230+5*'發明(新型)案成本估算'!$B$7,0)</f>
        <v>280</v>
      </c>
      <c r="K19" s="97">
        <f>IF('發明(新型)案成本估算'!$B$7&gt;0,280+5*'發明(新型)案成本估算'!$B$7,0)</f>
        <v>330</v>
      </c>
      <c r="L19" s="97">
        <f>IF('發明(新型)案成本估算'!$B$7&gt;0,350+5*'發明(新型)案成本估算'!$B$7,0)</f>
        <v>400</v>
      </c>
      <c r="M19" s="97">
        <f>IF('發明(新型)案成本估算'!$B$7&gt;0,400+5*'發明(新型)案成本估算'!$B$7,0)</f>
        <v>450</v>
      </c>
      <c r="N19" s="97"/>
      <c r="O19" s="97"/>
      <c r="P19" s="97"/>
      <c r="Q19" s="97"/>
      <c r="R19" s="97"/>
      <c r="S19" s="97"/>
      <c r="T19" s="97"/>
      <c r="U19" s="97"/>
      <c r="V19" s="97"/>
      <c r="W19" s="97"/>
      <c r="X19" s="97"/>
      <c r="Y19" s="97"/>
      <c r="Z19" s="97"/>
      <c r="AA19" s="97"/>
      <c r="AB19" s="97"/>
      <c r="AC19" s="75">
        <f>SUM(D19:AB19)</f>
        <v>2230</v>
      </c>
      <c r="AD19" s="11"/>
      <c r="AE19" s="195"/>
      <c r="AF19" s="11" t="str">
        <f t="shared" si="31"/>
        <v>新型</v>
      </c>
      <c r="AG19" s="14" t="str">
        <f t="shared" si="31"/>
        <v>USD</v>
      </c>
      <c r="AH19" s="11">
        <f t="shared" si="31"/>
        <v>0</v>
      </c>
      <c r="AI19" s="75">
        <f t="shared" si="32"/>
        <v>125</v>
      </c>
      <c r="AJ19" s="75">
        <f t="shared" si="32"/>
        <v>250</v>
      </c>
      <c r="AK19" s="75">
        <f t="shared" si="32"/>
        <v>375</v>
      </c>
      <c r="AL19" s="75">
        <f t="shared" si="32"/>
        <v>550</v>
      </c>
      <c r="AM19" s="75">
        <f t="shared" si="32"/>
        <v>770</v>
      </c>
      <c r="AN19" s="75">
        <f t="shared" si="32"/>
        <v>1050</v>
      </c>
      <c r="AO19" s="75">
        <f t="shared" si="32"/>
        <v>1380</v>
      </c>
      <c r="AP19" s="75">
        <f t="shared" si="32"/>
        <v>1780</v>
      </c>
      <c r="AQ19" s="75">
        <f t="shared" si="32"/>
        <v>2230</v>
      </c>
      <c r="AR19" s="75">
        <f t="shared" si="32"/>
        <v>2230</v>
      </c>
      <c r="AS19" s="75">
        <f t="shared" si="19"/>
        <v>2230</v>
      </c>
      <c r="AT19" s="75">
        <f t="shared" si="20"/>
        <v>2230</v>
      </c>
      <c r="AU19" s="75">
        <f t="shared" si="21"/>
        <v>2230</v>
      </c>
      <c r="AV19" s="75">
        <f t="shared" si="22"/>
        <v>2230</v>
      </c>
      <c r="AW19" s="75">
        <f t="shared" si="23"/>
        <v>2230</v>
      </c>
      <c r="AX19" s="75">
        <f t="shared" si="24"/>
        <v>2230</v>
      </c>
      <c r="AY19" s="75">
        <f t="shared" si="25"/>
        <v>2230</v>
      </c>
      <c r="AZ19" s="75">
        <f t="shared" si="26"/>
        <v>2230</v>
      </c>
      <c r="BA19" s="75">
        <f t="shared" si="27"/>
        <v>2230</v>
      </c>
      <c r="BB19" s="75">
        <f t="shared" si="33"/>
        <v>2230</v>
      </c>
      <c r="BC19" s="75">
        <f t="shared" si="33"/>
        <v>2230</v>
      </c>
      <c r="BD19" s="75">
        <f t="shared" si="33"/>
        <v>2230</v>
      </c>
      <c r="BE19" s="75">
        <f t="shared" si="33"/>
        <v>2230</v>
      </c>
      <c r="BF19" s="75">
        <f t="shared" si="33"/>
        <v>2230</v>
      </c>
      <c r="BG19" s="75">
        <f>BF19</f>
        <v>2230</v>
      </c>
    </row>
    <row r="20" spans="1:59" x14ac:dyDescent="0.25">
      <c r="A20" s="194" t="s">
        <v>9</v>
      </c>
      <c r="B20" s="11" t="str">
        <f>'P(M)'!B34</f>
        <v>發明</v>
      </c>
      <c r="C20" s="3" t="s">
        <v>21</v>
      </c>
      <c r="D20" s="97"/>
      <c r="E20" s="97">
        <f>IF('發明(新型)案成本估算'!$B$8&gt;0,800000+400000*('發明(新型)案成本估算'!$B$8-1),0)</f>
        <v>1600000</v>
      </c>
      <c r="F20" s="97">
        <f>IF('發明(新型)案成本估算'!$B$8&gt;0,1000000+600000*('發明(新型)案成本估算'!$B$8-1),0)</f>
        <v>2200000</v>
      </c>
      <c r="G20" s="97">
        <f>IF('發明(新型)案成本估算'!$B$8&gt;0,1000000+600000*('發明(新型)案成本估算'!$B$8-1),0)</f>
        <v>2200000</v>
      </c>
      <c r="H20" s="97">
        <f>IF('發明(新型)案成本估算'!$B$8&gt;0,1300000+900000*('發明(新型)案成本估算'!$B$8-1),0)</f>
        <v>3100000</v>
      </c>
      <c r="I20" s="97">
        <f>IF('發明(新型)案成本估算'!$B$8&gt;0,1300000+900000*('發明(新型)案成本估算'!$B$8-1),0)</f>
        <v>3100000</v>
      </c>
      <c r="J20" s="97">
        <f>IF('發明(新型)案成本估算'!$B$8&gt;0,1700000+1300000*('發明(新型)案成本估算'!$B$8-1),0)</f>
        <v>4300000</v>
      </c>
      <c r="K20" s="97">
        <f>IF('發明(新型)案成本估算'!$B$8&gt;0,1700000+1300000*('發明(新型)案成本估算'!$B$8-1),0)</f>
        <v>4300000</v>
      </c>
      <c r="L20" s="97">
        <f>IF('發明(新型)案成本估算'!$B$8&gt;0,2300000+1900000*('發明(新型)案成本估算'!$B$8-1),0)</f>
        <v>6100000</v>
      </c>
      <c r="M20" s="97">
        <f>IF('發明(新型)案成本估算'!$B$8&gt;0,2300000+1900000*('發明(新型)案成本估算'!$B$8-1),0)</f>
        <v>6100000</v>
      </c>
      <c r="N20" s="97">
        <f>IF('發明(新型)案成本估算'!$B$8&gt;0,3000000+2600000*('發明(新型)案成本估算'!$B$8-1),0)</f>
        <v>8200000</v>
      </c>
      <c r="O20" s="97">
        <f>IF('發明(新型)案成本估算'!$B$8&gt;0,3000000+2600000*('發明(新型)案成本估算'!$B$8-1),0)</f>
        <v>8200000</v>
      </c>
      <c r="P20" s="97">
        <f>IF('發明(新型)案成本估算'!$B$8&gt;0,3000000+2600000*('發明(新型)案成本估算'!$B$8-1),0)</f>
        <v>8200000</v>
      </c>
      <c r="Q20" s="97">
        <f>IF('發明(新型)案成本估算'!$B$8&gt;0,3800000+3400000*('發明(新型)案成本估算'!$B$8-1),0)</f>
        <v>10600000</v>
      </c>
      <c r="R20" s="97">
        <f>IF('發明(新型)案成本估算'!$B$8&gt;0,3800000+3400000*('發明(新型)案成本估算'!$B$8-1),0)</f>
        <v>10600000</v>
      </c>
      <c r="S20" s="97">
        <f>IF('發明(新型)案成本估算'!$B$8&gt;0,3800000+3400000*('發明(新型)案成本估算'!$B$8-1),0)</f>
        <v>10600000</v>
      </c>
      <c r="T20" s="97">
        <f>IF('發明(新型)案成本估算'!$B$8&gt;0,4700000+4300000*('發明(新型)案成本估算'!$B$8-1),0)</f>
        <v>13300000</v>
      </c>
      <c r="U20" s="97">
        <f>IF('發明(新型)案成本估算'!$B$8&gt;0,4700000+4300000*('發明(新型)案成本估算'!$B$8-1),0)</f>
        <v>13300000</v>
      </c>
      <c r="V20" s="97">
        <f>IF('發明(新型)案成本估算'!$B$8&gt;0,4700000+4300000*('發明(新型)案成本估算'!$B$8-1),0)</f>
        <v>13300000</v>
      </c>
      <c r="W20" s="97">
        <f>IF('發明(新型)案成本估算'!$B$8&gt;0,4700000+4300000*('發明(新型)案成本估算'!$B$8-1),0)</f>
        <v>13300000</v>
      </c>
      <c r="X20" s="97"/>
      <c r="Y20" s="97"/>
      <c r="Z20" s="97"/>
      <c r="AA20" s="97"/>
      <c r="AB20" s="97"/>
      <c r="AC20" s="75">
        <f t="shared" si="3"/>
        <v>142600000</v>
      </c>
      <c r="AD20" s="11"/>
      <c r="AE20" s="194" t="s">
        <v>9</v>
      </c>
      <c r="AF20" s="11" t="str">
        <f t="shared" si="4"/>
        <v>發明</v>
      </c>
      <c r="AG20" s="14" t="str">
        <f t="shared" si="0"/>
        <v>VND</v>
      </c>
      <c r="AH20" s="11">
        <f t="shared" si="8"/>
        <v>0</v>
      </c>
      <c r="AI20" s="75">
        <f t="shared" si="9"/>
        <v>1600000</v>
      </c>
      <c r="AJ20" s="75">
        <f t="shared" si="10"/>
        <v>3800000</v>
      </c>
      <c r="AK20" s="75">
        <f t="shared" si="11"/>
        <v>6000000</v>
      </c>
      <c r="AL20" s="75">
        <f t="shared" si="12"/>
        <v>9100000</v>
      </c>
      <c r="AM20" s="75">
        <f t="shared" si="13"/>
        <v>12200000</v>
      </c>
      <c r="AN20" s="75">
        <f t="shared" si="14"/>
        <v>16500000</v>
      </c>
      <c r="AO20" s="75">
        <f t="shared" si="15"/>
        <v>20800000</v>
      </c>
      <c r="AP20" s="75">
        <f t="shared" si="16"/>
        <v>26900000</v>
      </c>
      <c r="AQ20" s="75">
        <f t="shared" si="17"/>
        <v>33000000</v>
      </c>
      <c r="AR20" s="75">
        <f t="shared" si="18"/>
        <v>41200000</v>
      </c>
      <c r="AS20" s="75">
        <f t="shared" si="19"/>
        <v>49400000</v>
      </c>
      <c r="AT20" s="75">
        <f t="shared" si="20"/>
        <v>57600000</v>
      </c>
      <c r="AU20" s="75">
        <f t="shared" si="21"/>
        <v>68200000</v>
      </c>
      <c r="AV20" s="75">
        <f t="shared" si="22"/>
        <v>78800000</v>
      </c>
      <c r="AW20" s="75">
        <f t="shared" si="23"/>
        <v>89400000</v>
      </c>
      <c r="AX20" s="75">
        <f t="shared" si="24"/>
        <v>102700000</v>
      </c>
      <c r="AY20" s="75">
        <f t="shared" si="25"/>
        <v>116000000</v>
      </c>
      <c r="AZ20" s="75">
        <f t="shared" si="26"/>
        <v>129300000</v>
      </c>
      <c r="BA20" s="75">
        <f t="shared" si="27"/>
        <v>142600000</v>
      </c>
      <c r="BB20" s="75">
        <f t="shared" si="2"/>
        <v>142600000</v>
      </c>
      <c r="BC20" s="75">
        <f t="shared" si="2"/>
        <v>142600000</v>
      </c>
      <c r="BD20" s="75">
        <f t="shared" si="2"/>
        <v>142600000</v>
      </c>
      <c r="BE20" s="75">
        <f t="shared" si="2"/>
        <v>142600000</v>
      </c>
      <c r="BF20" s="75">
        <f t="shared" si="2"/>
        <v>142600000</v>
      </c>
      <c r="BG20" s="75">
        <f t="shared" si="7"/>
        <v>142600000</v>
      </c>
    </row>
    <row r="21" spans="1:59" x14ac:dyDescent="0.25">
      <c r="A21" s="195"/>
      <c r="B21" s="11" t="str">
        <f>'P(M)'!B35</f>
        <v>新型</v>
      </c>
      <c r="C21" s="3" t="s">
        <v>21</v>
      </c>
      <c r="D21" s="97"/>
      <c r="E21" s="97">
        <f>IF('發明(新型)案成本估算'!$B$8&gt;0,800000+400000*('發明(新型)案成本估算'!$B$8-1),0)</f>
        <v>1600000</v>
      </c>
      <c r="F21" s="97">
        <f>IF('發明(新型)案成本估算'!$B$8&gt;0,1000000+600000*('發明(新型)案成本估算'!$B$8-1),0)</f>
        <v>2200000</v>
      </c>
      <c r="G21" s="97">
        <f>IF('發明(新型)案成本估算'!$B$8&gt;0,1000000+600000*('發明(新型)案成本估算'!$B$8-1),0)</f>
        <v>2200000</v>
      </c>
      <c r="H21" s="97">
        <f>IF('發明(新型)案成本估算'!$B$8&gt;0,1300000+900000*('發明(新型)案成本估算'!$B$8-1),0)</f>
        <v>3100000</v>
      </c>
      <c r="I21" s="97">
        <f>IF('發明(新型)案成本估算'!$B$8&gt;0,1300000+900000*('發明(新型)案成本估算'!$B$8-1),0)</f>
        <v>3100000</v>
      </c>
      <c r="J21" s="97">
        <f>IF('發明(新型)案成本估算'!$B$8&gt;0,1700000+1300000*('發明(新型)案成本估算'!$B$8-1),0)</f>
        <v>4300000</v>
      </c>
      <c r="K21" s="97">
        <f>IF('發明(新型)案成本估算'!$B$8&gt;0,1700000+1300000*('發明(新型)案成本估算'!$B$8-1),0)</f>
        <v>4300000</v>
      </c>
      <c r="L21" s="97">
        <f>IF('發明(新型)案成本估算'!$B$8&gt;0,2300000+1900000*('發明(新型)案成本估算'!$B$8-1),0)</f>
        <v>6100000</v>
      </c>
      <c r="M21" s="97">
        <f>IF('發明(新型)案成本估算'!$B$8&gt;0,2300000+1900000*('發明(新型)案成本估算'!$B$8-1),0)</f>
        <v>6100000</v>
      </c>
      <c r="N21" s="97"/>
      <c r="O21" s="97"/>
      <c r="P21" s="97"/>
      <c r="Q21" s="97"/>
      <c r="R21" s="97"/>
      <c r="S21" s="97"/>
      <c r="T21" s="97"/>
      <c r="U21" s="97"/>
      <c r="V21" s="97"/>
      <c r="W21" s="97"/>
      <c r="X21" s="97"/>
      <c r="Y21" s="97"/>
      <c r="Z21" s="97"/>
      <c r="AA21" s="97"/>
      <c r="AB21" s="97"/>
      <c r="AC21" s="75">
        <f t="shared" si="3"/>
        <v>33000000</v>
      </c>
      <c r="AD21" s="11"/>
      <c r="AE21" s="195"/>
      <c r="AF21" s="11" t="str">
        <f t="shared" si="4"/>
        <v>新型</v>
      </c>
      <c r="AG21" s="14" t="str">
        <f t="shared" si="0"/>
        <v>VND</v>
      </c>
      <c r="AH21" s="11">
        <f t="shared" si="8"/>
        <v>0</v>
      </c>
      <c r="AI21" s="75">
        <f t="shared" si="9"/>
        <v>1600000</v>
      </c>
      <c r="AJ21" s="75">
        <f t="shared" si="10"/>
        <v>3800000</v>
      </c>
      <c r="AK21" s="75">
        <f t="shared" si="11"/>
        <v>6000000</v>
      </c>
      <c r="AL21" s="75">
        <f t="shared" si="12"/>
        <v>9100000</v>
      </c>
      <c r="AM21" s="75">
        <f t="shared" si="13"/>
        <v>12200000</v>
      </c>
      <c r="AN21" s="75">
        <f t="shared" si="14"/>
        <v>16500000</v>
      </c>
      <c r="AO21" s="75">
        <f t="shared" si="15"/>
        <v>20800000</v>
      </c>
      <c r="AP21" s="75">
        <f t="shared" si="16"/>
        <v>26900000</v>
      </c>
      <c r="AQ21" s="75">
        <f t="shared" si="17"/>
        <v>33000000</v>
      </c>
      <c r="AR21" s="75">
        <f t="shared" si="18"/>
        <v>33000000</v>
      </c>
      <c r="AS21" s="75">
        <f t="shared" si="19"/>
        <v>33000000</v>
      </c>
      <c r="AT21" s="75">
        <f t="shared" si="20"/>
        <v>33000000</v>
      </c>
      <c r="AU21" s="75">
        <f t="shared" si="21"/>
        <v>33000000</v>
      </c>
      <c r="AV21" s="75">
        <f t="shared" si="22"/>
        <v>33000000</v>
      </c>
      <c r="AW21" s="75">
        <f t="shared" si="23"/>
        <v>33000000</v>
      </c>
      <c r="AX21" s="75">
        <f t="shared" si="24"/>
        <v>33000000</v>
      </c>
      <c r="AY21" s="75">
        <f t="shared" si="25"/>
        <v>33000000</v>
      </c>
      <c r="AZ21" s="75">
        <f t="shared" si="26"/>
        <v>33000000</v>
      </c>
      <c r="BA21" s="75">
        <f t="shared" si="27"/>
        <v>33000000</v>
      </c>
      <c r="BB21" s="75">
        <f t="shared" si="2"/>
        <v>33000000</v>
      </c>
      <c r="BC21" s="75">
        <f t="shared" si="2"/>
        <v>33000000</v>
      </c>
      <c r="BD21" s="75">
        <f t="shared" si="2"/>
        <v>33000000</v>
      </c>
      <c r="BE21" s="75">
        <f t="shared" si="2"/>
        <v>33000000</v>
      </c>
      <c r="BF21" s="75">
        <f t="shared" si="2"/>
        <v>33000000</v>
      </c>
      <c r="BG21" s="75">
        <f t="shared" si="7"/>
        <v>33000000</v>
      </c>
    </row>
    <row r="22" spans="1:59" x14ac:dyDescent="0.25">
      <c r="A22" s="194" t="s">
        <v>10</v>
      </c>
      <c r="B22" s="11" t="str">
        <f>'P(M)'!B36</f>
        <v>發明</v>
      </c>
      <c r="C22" s="3" t="s">
        <v>22</v>
      </c>
      <c r="D22" s="97"/>
      <c r="E22" s="97"/>
      <c r="F22" s="97"/>
      <c r="G22" s="97"/>
      <c r="H22" s="97">
        <v>1000</v>
      </c>
      <c r="I22" s="97">
        <v>1200</v>
      </c>
      <c r="J22" s="97">
        <v>1600</v>
      </c>
      <c r="K22" s="97">
        <v>2200</v>
      </c>
      <c r="L22" s="97">
        <v>3000</v>
      </c>
      <c r="M22" s="97">
        <v>4000</v>
      </c>
      <c r="N22" s="97">
        <v>5200</v>
      </c>
      <c r="O22" s="97">
        <v>6600</v>
      </c>
      <c r="P22" s="97">
        <v>8200</v>
      </c>
      <c r="Q22" s="97">
        <v>10000</v>
      </c>
      <c r="R22" s="97">
        <v>12000</v>
      </c>
      <c r="S22" s="97">
        <v>14200</v>
      </c>
      <c r="T22" s="97">
        <v>16600</v>
      </c>
      <c r="U22" s="97">
        <v>19200</v>
      </c>
      <c r="V22" s="97">
        <v>22000</v>
      </c>
      <c r="W22" s="97">
        <v>25000</v>
      </c>
      <c r="X22" s="97"/>
      <c r="Y22" s="97"/>
      <c r="Z22" s="97"/>
      <c r="AA22" s="97"/>
      <c r="AB22" s="97"/>
      <c r="AC22" s="75">
        <f t="shared" si="3"/>
        <v>152000</v>
      </c>
      <c r="AD22" s="11"/>
      <c r="AE22" s="194" t="s">
        <v>10</v>
      </c>
      <c r="AF22" s="11" t="str">
        <f t="shared" si="4"/>
        <v>發明</v>
      </c>
      <c r="AG22" s="14" t="str">
        <f t="shared" si="0"/>
        <v>THB</v>
      </c>
      <c r="AH22" s="11">
        <f t="shared" si="8"/>
        <v>0</v>
      </c>
      <c r="AI22" s="75">
        <f t="shared" si="9"/>
        <v>0</v>
      </c>
      <c r="AJ22" s="75">
        <f t="shared" si="10"/>
        <v>0</v>
      </c>
      <c r="AK22" s="75">
        <f t="shared" si="11"/>
        <v>0</v>
      </c>
      <c r="AL22" s="75">
        <f t="shared" si="12"/>
        <v>1000</v>
      </c>
      <c r="AM22" s="75">
        <f t="shared" si="13"/>
        <v>2200</v>
      </c>
      <c r="AN22" s="75">
        <f t="shared" si="14"/>
        <v>3800</v>
      </c>
      <c r="AO22" s="75">
        <f t="shared" si="15"/>
        <v>6000</v>
      </c>
      <c r="AP22" s="75">
        <f t="shared" si="16"/>
        <v>9000</v>
      </c>
      <c r="AQ22" s="75">
        <f t="shared" si="17"/>
        <v>13000</v>
      </c>
      <c r="AR22" s="75">
        <f t="shared" si="18"/>
        <v>18200</v>
      </c>
      <c r="AS22" s="75">
        <f t="shared" si="19"/>
        <v>24800</v>
      </c>
      <c r="AT22" s="75">
        <f t="shared" si="20"/>
        <v>33000</v>
      </c>
      <c r="AU22" s="75">
        <f t="shared" si="21"/>
        <v>43000</v>
      </c>
      <c r="AV22" s="75">
        <f t="shared" si="22"/>
        <v>55000</v>
      </c>
      <c r="AW22" s="75">
        <f t="shared" si="23"/>
        <v>69200</v>
      </c>
      <c r="AX22" s="75">
        <f t="shared" si="24"/>
        <v>85800</v>
      </c>
      <c r="AY22" s="75">
        <f t="shared" si="25"/>
        <v>105000</v>
      </c>
      <c r="AZ22" s="75">
        <f t="shared" si="26"/>
        <v>127000</v>
      </c>
      <c r="BA22" s="75">
        <f t="shared" si="27"/>
        <v>152000</v>
      </c>
      <c r="BB22" s="75">
        <f t="shared" si="2"/>
        <v>152000</v>
      </c>
      <c r="BC22" s="75">
        <f t="shared" si="2"/>
        <v>152000</v>
      </c>
      <c r="BD22" s="75">
        <f t="shared" si="2"/>
        <v>152000</v>
      </c>
      <c r="BE22" s="75">
        <f t="shared" si="2"/>
        <v>152000</v>
      </c>
      <c r="BF22" s="75">
        <f t="shared" si="2"/>
        <v>152000</v>
      </c>
      <c r="BG22" s="75">
        <f t="shared" si="7"/>
        <v>152000</v>
      </c>
    </row>
    <row r="23" spans="1:59" x14ac:dyDescent="0.25">
      <c r="A23" s="195"/>
      <c r="B23" s="11" t="str">
        <f>'P(M)'!B37</f>
        <v>新型</v>
      </c>
      <c r="C23" s="3" t="s">
        <v>22</v>
      </c>
      <c r="D23" s="97"/>
      <c r="E23" s="97"/>
      <c r="F23" s="97"/>
      <c r="G23" s="97"/>
      <c r="H23" s="97">
        <v>750</v>
      </c>
      <c r="I23" s="97">
        <v>1500</v>
      </c>
      <c r="J23" s="97">
        <v>6000</v>
      </c>
      <c r="K23" s="97"/>
      <c r="L23" s="97">
        <v>9000</v>
      </c>
      <c r="M23" s="97"/>
      <c r="N23" s="97"/>
      <c r="O23" s="97"/>
      <c r="P23" s="97"/>
      <c r="Q23" s="97"/>
      <c r="R23" s="97"/>
      <c r="S23" s="97"/>
      <c r="T23" s="97"/>
      <c r="U23" s="97"/>
      <c r="V23" s="97"/>
      <c r="W23" s="97"/>
      <c r="X23" s="97"/>
      <c r="Y23" s="97"/>
      <c r="Z23" s="97"/>
      <c r="AA23" s="97"/>
      <c r="AB23" s="97"/>
      <c r="AC23" s="75">
        <f t="shared" si="3"/>
        <v>17250</v>
      </c>
      <c r="AD23" s="11"/>
      <c r="AE23" s="195"/>
      <c r="AF23" s="11" t="str">
        <f t="shared" si="4"/>
        <v>新型</v>
      </c>
      <c r="AG23" s="14" t="str">
        <f t="shared" si="0"/>
        <v>THB</v>
      </c>
      <c r="AH23" s="11">
        <f t="shared" si="8"/>
        <v>0</v>
      </c>
      <c r="AI23" s="75">
        <f t="shared" si="9"/>
        <v>0</v>
      </c>
      <c r="AJ23" s="75">
        <f t="shared" si="10"/>
        <v>0</v>
      </c>
      <c r="AK23" s="75">
        <f t="shared" si="11"/>
        <v>0</v>
      </c>
      <c r="AL23" s="75">
        <f t="shared" si="12"/>
        <v>750</v>
      </c>
      <c r="AM23" s="75">
        <f t="shared" si="13"/>
        <v>2250</v>
      </c>
      <c r="AN23" s="75">
        <f t="shared" si="14"/>
        <v>8250</v>
      </c>
      <c r="AO23" s="75">
        <f t="shared" si="15"/>
        <v>8250</v>
      </c>
      <c r="AP23" s="75">
        <f t="shared" si="16"/>
        <v>17250</v>
      </c>
      <c r="AQ23" s="75">
        <f t="shared" si="17"/>
        <v>17250</v>
      </c>
      <c r="AR23" s="75">
        <f t="shared" si="18"/>
        <v>17250</v>
      </c>
      <c r="AS23" s="75">
        <f t="shared" si="19"/>
        <v>17250</v>
      </c>
      <c r="AT23" s="75">
        <f t="shared" si="20"/>
        <v>17250</v>
      </c>
      <c r="AU23" s="75">
        <f t="shared" si="21"/>
        <v>17250</v>
      </c>
      <c r="AV23" s="75">
        <f t="shared" si="22"/>
        <v>17250</v>
      </c>
      <c r="AW23" s="75">
        <f t="shared" si="23"/>
        <v>17250</v>
      </c>
      <c r="AX23" s="75">
        <f t="shared" si="24"/>
        <v>17250</v>
      </c>
      <c r="AY23" s="75">
        <f t="shared" si="25"/>
        <v>17250</v>
      </c>
      <c r="AZ23" s="75">
        <f t="shared" si="26"/>
        <v>17250</v>
      </c>
      <c r="BA23" s="75">
        <f t="shared" si="27"/>
        <v>17250</v>
      </c>
      <c r="BB23" s="75">
        <f t="shared" si="2"/>
        <v>17250</v>
      </c>
      <c r="BC23" s="75">
        <f t="shared" si="2"/>
        <v>17250</v>
      </c>
      <c r="BD23" s="75">
        <f t="shared" si="2"/>
        <v>17250</v>
      </c>
      <c r="BE23" s="75">
        <f t="shared" si="2"/>
        <v>17250</v>
      </c>
      <c r="BF23" s="75">
        <f t="shared" si="2"/>
        <v>17250</v>
      </c>
      <c r="BG23" s="75">
        <f t="shared" si="7"/>
        <v>17250</v>
      </c>
    </row>
    <row r="24" spans="1:59" x14ac:dyDescent="0.25">
      <c r="A24" s="5"/>
      <c r="B24" s="5"/>
      <c r="C24" s="5"/>
      <c r="D24" s="98"/>
      <c r="E24" s="98"/>
      <c r="F24" s="98"/>
      <c r="G24" s="98"/>
      <c r="H24" s="98"/>
      <c r="I24" s="98"/>
      <c r="J24" s="98"/>
      <c r="K24" s="98"/>
      <c r="L24" s="98"/>
      <c r="M24" s="98"/>
      <c r="N24" s="98"/>
      <c r="O24" s="98"/>
      <c r="P24" s="98"/>
      <c r="Q24" s="98"/>
      <c r="R24" s="98"/>
      <c r="S24" s="98"/>
      <c r="T24" s="98"/>
      <c r="U24" s="98"/>
      <c r="V24" s="98"/>
      <c r="W24" s="98"/>
      <c r="X24" s="98"/>
      <c r="Y24" s="98"/>
      <c r="Z24" s="98"/>
      <c r="AA24" s="98"/>
      <c r="AB24" s="98"/>
      <c r="AC24" s="75">
        <f t="shared" si="3"/>
        <v>0</v>
      </c>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row>
    <row r="25" spans="1:59" x14ac:dyDescent="0.25">
      <c r="A25" s="160" t="s">
        <v>342</v>
      </c>
    </row>
    <row r="28" spans="1:59" s="76" customFormat="1" x14ac:dyDescent="0.25">
      <c r="A28" s="191" t="s">
        <v>199</v>
      </c>
      <c r="B28" s="192"/>
      <c r="C28" s="193"/>
      <c r="D28" s="100" t="s">
        <v>197</v>
      </c>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74"/>
      <c r="AD28" s="74"/>
      <c r="AE28" s="191" t="s">
        <v>201</v>
      </c>
      <c r="AF28" s="192"/>
      <c r="AG28" s="193"/>
      <c r="AH28" s="77" t="s">
        <v>195</v>
      </c>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row>
    <row r="29" spans="1:59" x14ac:dyDescent="0.25">
      <c r="A29" s="4" t="s">
        <v>114</v>
      </c>
      <c r="B29" s="4" t="s">
        <v>194</v>
      </c>
      <c r="C29" s="4" t="s">
        <v>13</v>
      </c>
      <c r="D29" s="102">
        <v>1</v>
      </c>
      <c r="E29" s="102">
        <v>2</v>
      </c>
      <c r="F29" s="102">
        <v>3</v>
      </c>
      <c r="G29" s="102">
        <v>4</v>
      </c>
      <c r="H29" s="102">
        <v>5</v>
      </c>
      <c r="I29" s="102">
        <v>6</v>
      </c>
      <c r="J29" s="102">
        <v>7</v>
      </c>
      <c r="K29" s="102">
        <v>8</v>
      </c>
      <c r="L29" s="102">
        <v>9</v>
      </c>
      <c r="M29" s="102">
        <v>10</v>
      </c>
      <c r="N29" s="102">
        <v>11</v>
      </c>
      <c r="O29" s="102">
        <v>12</v>
      </c>
      <c r="P29" s="102">
        <v>13</v>
      </c>
      <c r="Q29" s="102">
        <v>14</v>
      </c>
      <c r="R29" s="102">
        <v>15</v>
      </c>
      <c r="S29" s="102">
        <v>16</v>
      </c>
      <c r="T29" s="102">
        <v>17</v>
      </c>
      <c r="U29" s="102">
        <v>18</v>
      </c>
      <c r="V29" s="102">
        <v>19</v>
      </c>
      <c r="W29" s="102">
        <v>20</v>
      </c>
      <c r="X29" s="102">
        <v>21</v>
      </c>
      <c r="Y29" s="102">
        <v>22</v>
      </c>
      <c r="Z29" s="102">
        <v>23</v>
      </c>
      <c r="AA29" s="102">
        <v>24</v>
      </c>
      <c r="AB29" s="102">
        <v>25</v>
      </c>
      <c r="AC29" s="4" t="s">
        <v>193</v>
      </c>
      <c r="AD29" s="4"/>
      <c r="AE29" s="4" t="s">
        <v>114</v>
      </c>
      <c r="AF29" s="4" t="s">
        <v>194</v>
      </c>
      <c r="AG29" s="4" t="s">
        <v>13</v>
      </c>
      <c r="AH29" s="4">
        <v>1</v>
      </c>
      <c r="AI29" s="4">
        <v>2</v>
      </c>
      <c r="AJ29" s="4">
        <v>3</v>
      </c>
      <c r="AK29" s="4">
        <v>4</v>
      </c>
      <c r="AL29" s="4">
        <v>5</v>
      </c>
      <c r="AM29" s="4">
        <v>6</v>
      </c>
      <c r="AN29" s="4">
        <v>7</v>
      </c>
      <c r="AO29" s="4">
        <v>8</v>
      </c>
      <c r="AP29" s="4">
        <v>9</v>
      </c>
      <c r="AQ29" s="4">
        <v>10</v>
      </c>
      <c r="AR29" s="4">
        <v>11</v>
      </c>
      <c r="AS29" s="4">
        <v>12</v>
      </c>
      <c r="AT29" s="4">
        <v>13</v>
      </c>
      <c r="AU29" s="4">
        <v>14</v>
      </c>
      <c r="AV29" s="4">
        <v>15</v>
      </c>
      <c r="AW29" s="4">
        <v>16</v>
      </c>
      <c r="AX29" s="4">
        <v>17</v>
      </c>
      <c r="AY29" s="4">
        <v>18</v>
      </c>
      <c r="AZ29" s="4">
        <v>19</v>
      </c>
      <c r="BA29" s="4">
        <v>20</v>
      </c>
      <c r="BB29" s="4">
        <v>21</v>
      </c>
      <c r="BC29" s="4">
        <v>22</v>
      </c>
      <c r="BD29" s="4">
        <v>23</v>
      </c>
      <c r="BE29" s="4">
        <v>24</v>
      </c>
      <c r="BF29" s="4">
        <v>25</v>
      </c>
      <c r="BG29" s="4" t="s">
        <v>222</v>
      </c>
    </row>
    <row r="30" spans="1:59" x14ac:dyDescent="0.25">
      <c r="A30" s="194" t="s">
        <v>2</v>
      </c>
      <c r="B30" s="11" t="str">
        <f>'P(M)'!B17</f>
        <v>發明</v>
      </c>
      <c r="C30" s="3" t="s">
        <v>14</v>
      </c>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75">
        <f>SUM(D30:AB30)</f>
        <v>0</v>
      </c>
      <c r="AD30" s="11"/>
      <c r="AE30" s="194" t="s">
        <v>2</v>
      </c>
      <c r="AF30" s="11" t="str">
        <f>B30</f>
        <v>發明</v>
      </c>
      <c r="AG30" s="14" t="str">
        <f t="shared" ref="AG30:AG50" si="34">C30</f>
        <v>NTD</v>
      </c>
      <c r="AH30" s="11">
        <f>D30</f>
        <v>0</v>
      </c>
      <c r="AI30" s="75">
        <f>AH30+E30</f>
        <v>0</v>
      </c>
      <c r="AJ30" s="75">
        <f t="shared" ref="AJ30:AJ50" si="35">AI30+F30</f>
        <v>0</v>
      </c>
      <c r="AK30" s="75">
        <f t="shared" ref="AK30:AK50" si="36">AJ30+G30</f>
        <v>0</v>
      </c>
      <c r="AL30" s="75">
        <f t="shared" ref="AL30:AL50" si="37">AK30+H30</f>
        <v>0</v>
      </c>
      <c r="AM30" s="75">
        <f t="shared" ref="AM30:AM50" si="38">AL30+I30</f>
        <v>0</v>
      </c>
      <c r="AN30" s="75">
        <f t="shared" ref="AN30:AN50" si="39">AM30+J30</f>
        <v>0</v>
      </c>
      <c r="AO30" s="75">
        <f t="shared" ref="AO30:AO50" si="40">AN30+K30</f>
        <v>0</v>
      </c>
      <c r="AP30" s="75">
        <f t="shared" ref="AP30:AP50" si="41">AO30+L30</f>
        <v>0</v>
      </c>
      <c r="AQ30" s="75">
        <f t="shared" ref="AQ30:AQ50" si="42">AP30+M30</f>
        <v>0</v>
      </c>
      <c r="AR30" s="75">
        <f t="shared" ref="AR30:AR50" si="43">AQ30+N30</f>
        <v>0</v>
      </c>
      <c r="AS30" s="75">
        <f t="shared" ref="AS30:AS50" si="44">AR30+O30</f>
        <v>0</v>
      </c>
      <c r="AT30" s="75">
        <f t="shared" ref="AT30:AT50" si="45">AS30+P30</f>
        <v>0</v>
      </c>
      <c r="AU30" s="75">
        <f t="shared" ref="AU30:AU50" si="46">AT30+Q30</f>
        <v>0</v>
      </c>
      <c r="AV30" s="75">
        <f t="shared" ref="AV30:AV50" si="47">AU30+R30</f>
        <v>0</v>
      </c>
      <c r="AW30" s="75">
        <f t="shared" ref="AW30:AW50" si="48">AV30+S30</f>
        <v>0</v>
      </c>
      <c r="AX30" s="75">
        <f t="shared" ref="AX30:AX50" si="49">AW30+T30</f>
        <v>0</v>
      </c>
      <c r="AY30" s="75">
        <f t="shared" ref="AY30:AY50" si="50">AX30+U30</f>
        <v>0</v>
      </c>
      <c r="AZ30" s="75">
        <f t="shared" ref="AZ30:AZ50" si="51">AY30+V30</f>
        <v>0</v>
      </c>
      <c r="BA30" s="75">
        <f t="shared" ref="BA30:BA50" si="52">AZ30+W30</f>
        <v>0</v>
      </c>
      <c r="BB30" s="75">
        <f t="shared" ref="BB30:BB50" si="53">BA30+X30</f>
        <v>0</v>
      </c>
      <c r="BC30" s="75">
        <f t="shared" ref="BC30:BC50" si="54">BB30+Y30</f>
        <v>0</v>
      </c>
      <c r="BD30" s="75">
        <f t="shared" ref="BD30:BD50" si="55">BC30+Z30</f>
        <v>0</v>
      </c>
      <c r="BE30" s="75">
        <f t="shared" ref="BE30:BE50" si="56">BD30+AA30</f>
        <v>0</v>
      </c>
      <c r="BF30" s="75">
        <f t="shared" ref="BF30:BF50" si="57">BE30+AB30</f>
        <v>0</v>
      </c>
      <c r="BG30" s="75">
        <f>BF30</f>
        <v>0</v>
      </c>
    </row>
    <row r="31" spans="1:59" x14ac:dyDescent="0.25">
      <c r="A31" s="195"/>
      <c r="B31" s="11" t="str">
        <f>'P(M)'!B18</f>
        <v>新型</v>
      </c>
      <c r="C31" s="3" t="s">
        <v>14</v>
      </c>
      <c r="D31" s="97"/>
      <c r="E31" s="97"/>
      <c r="F31" s="97"/>
      <c r="G31" s="97"/>
      <c r="H31" s="97"/>
      <c r="I31" s="97"/>
      <c r="J31" s="97"/>
      <c r="K31" s="97"/>
      <c r="L31" s="97"/>
      <c r="M31" s="97"/>
      <c r="N31" s="97"/>
      <c r="O31" s="97"/>
      <c r="P31" s="97"/>
      <c r="Q31" s="97"/>
      <c r="R31" s="97"/>
      <c r="S31" s="97"/>
      <c r="T31" s="97"/>
      <c r="U31" s="97"/>
      <c r="V31" s="97"/>
      <c r="W31" s="97"/>
      <c r="X31" s="97"/>
      <c r="Y31" s="97"/>
      <c r="Z31" s="97"/>
      <c r="AA31" s="97"/>
      <c r="AB31" s="97"/>
      <c r="AC31" s="75">
        <f t="shared" ref="AC31:AC51" si="58">SUM(D31:AB31)</f>
        <v>0</v>
      </c>
      <c r="AD31" s="11"/>
      <c r="AE31" s="195"/>
      <c r="AF31" s="11" t="str">
        <f t="shared" ref="AF31:AF50" si="59">B31</f>
        <v>新型</v>
      </c>
      <c r="AG31" s="14" t="str">
        <f t="shared" si="34"/>
        <v>NTD</v>
      </c>
      <c r="AH31" s="11">
        <f>D31</f>
        <v>0</v>
      </c>
      <c r="AI31" s="75">
        <f>AH31+E31</f>
        <v>0</v>
      </c>
      <c r="AJ31" s="75">
        <f t="shared" si="35"/>
        <v>0</v>
      </c>
      <c r="AK31" s="75">
        <f t="shared" si="36"/>
        <v>0</v>
      </c>
      <c r="AL31" s="75">
        <f t="shared" si="37"/>
        <v>0</v>
      </c>
      <c r="AM31" s="75">
        <f t="shared" si="38"/>
        <v>0</v>
      </c>
      <c r="AN31" s="75">
        <f t="shared" si="39"/>
        <v>0</v>
      </c>
      <c r="AO31" s="75">
        <f t="shared" si="40"/>
        <v>0</v>
      </c>
      <c r="AP31" s="75">
        <f t="shared" si="41"/>
        <v>0</v>
      </c>
      <c r="AQ31" s="75">
        <f t="shared" si="42"/>
        <v>0</v>
      </c>
      <c r="AR31" s="75">
        <f t="shared" si="43"/>
        <v>0</v>
      </c>
      <c r="AS31" s="75">
        <f t="shared" si="44"/>
        <v>0</v>
      </c>
      <c r="AT31" s="75">
        <f t="shared" si="45"/>
        <v>0</v>
      </c>
      <c r="AU31" s="75">
        <f t="shared" si="46"/>
        <v>0</v>
      </c>
      <c r="AV31" s="75">
        <f t="shared" si="47"/>
        <v>0</v>
      </c>
      <c r="AW31" s="75">
        <f t="shared" si="48"/>
        <v>0</v>
      </c>
      <c r="AX31" s="75">
        <f t="shared" si="49"/>
        <v>0</v>
      </c>
      <c r="AY31" s="75">
        <f t="shared" si="50"/>
        <v>0</v>
      </c>
      <c r="AZ31" s="75">
        <f t="shared" si="51"/>
        <v>0</v>
      </c>
      <c r="BA31" s="75">
        <f t="shared" si="52"/>
        <v>0</v>
      </c>
      <c r="BB31" s="75">
        <f t="shared" si="53"/>
        <v>0</v>
      </c>
      <c r="BC31" s="75">
        <f t="shared" si="54"/>
        <v>0</v>
      </c>
      <c r="BD31" s="75">
        <f t="shared" si="55"/>
        <v>0</v>
      </c>
      <c r="BE31" s="75">
        <f t="shared" si="56"/>
        <v>0</v>
      </c>
      <c r="BF31" s="75">
        <f t="shared" si="57"/>
        <v>0</v>
      </c>
      <c r="BG31" s="75">
        <f t="shared" ref="BG31:BG50" si="60">BF31</f>
        <v>0</v>
      </c>
    </row>
    <row r="32" spans="1:59" x14ac:dyDescent="0.25">
      <c r="A32" s="194" t="s">
        <v>3</v>
      </c>
      <c r="B32" s="11" t="str">
        <f>'P(M)'!B19</f>
        <v>發明</v>
      </c>
      <c r="C32" s="3" t="s">
        <v>15</v>
      </c>
      <c r="D32" s="97"/>
      <c r="E32" s="125">
        <v>200</v>
      </c>
      <c r="F32" s="125">
        <v>200</v>
      </c>
      <c r="G32" s="125">
        <v>200</v>
      </c>
      <c r="H32" s="125">
        <v>200</v>
      </c>
      <c r="I32" s="125">
        <v>200</v>
      </c>
      <c r="J32" s="125">
        <v>200</v>
      </c>
      <c r="K32" s="125">
        <v>200</v>
      </c>
      <c r="L32" s="125">
        <v>200</v>
      </c>
      <c r="M32" s="125">
        <v>200</v>
      </c>
      <c r="N32" s="125">
        <v>200</v>
      </c>
      <c r="O32" s="125">
        <v>200</v>
      </c>
      <c r="P32" s="125">
        <v>200</v>
      </c>
      <c r="Q32" s="125">
        <v>200</v>
      </c>
      <c r="R32" s="125">
        <v>200</v>
      </c>
      <c r="S32" s="125">
        <v>200</v>
      </c>
      <c r="T32" s="125">
        <v>200</v>
      </c>
      <c r="U32" s="125">
        <v>200</v>
      </c>
      <c r="V32" s="125">
        <v>200</v>
      </c>
      <c r="W32" s="125">
        <v>200</v>
      </c>
      <c r="X32" s="97"/>
      <c r="Y32" s="97"/>
      <c r="Z32" s="97"/>
      <c r="AA32" s="97"/>
      <c r="AB32" s="97"/>
      <c r="AC32" s="75">
        <f t="shared" si="58"/>
        <v>3800</v>
      </c>
      <c r="AD32" s="11"/>
      <c r="AE32" s="194" t="s">
        <v>3</v>
      </c>
      <c r="AF32" s="11" t="str">
        <f t="shared" si="59"/>
        <v>發明</v>
      </c>
      <c r="AG32" s="14" t="str">
        <f t="shared" si="34"/>
        <v>CNY</v>
      </c>
      <c r="AH32" s="11">
        <f t="shared" ref="AH32:AH50" si="61">D32</f>
        <v>0</v>
      </c>
      <c r="AI32" s="75">
        <f t="shared" ref="AI32:AI50" si="62">AH32+E32</f>
        <v>200</v>
      </c>
      <c r="AJ32" s="75">
        <f t="shared" si="35"/>
        <v>400</v>
      </c>
      <c r="AK32" s="75">
        <f t="shared" si="36"/>
        <v>600</v>
      </c>
      <c r="AL32" s="75">
        <f t="shared" si="37"/>
        <v>800</v>
      </c>
      <c r="AM32" s="75">
        <f t="shared" si="38"/>
        <v>1000</v>
      </c>
      <c r="AN32" s="75">
        <f t="shared" si="39"/>
        <v>1200</v>
      </c>
      <c r="AO32" s="75">
        <f t="shared" si="40"/>
        <v>1400</v>
      </c>
      <c r="AP32" s="75">
        <f t="shared" si="41"/>
        <v>1600</v>
      </c>
      <c r="AQ32" s="75">
        <f t="shared" si="42"/>
        <v>1800</v>
      </c>
      <c r="AR32" s="75">
        <f t="shared" si="43"/>
        <v>2000</v>
      </c>
      <c r="AS32" s="75">
        <f t="shared" si="44"/>
        <v>2200</v>
      </c>
      <c r="AT32" s="75">
        <f t="shared" si="45"/>
        <v>2400</v>
      </c>
      <c r="AU32" s="75">
        <f t="shared" si="46"/>
        <v>2600</v>
      </c>
      <c r="AV32" s="75">
        <f t="shared" si="47"/>
        <v>2800</v>
      </c>
      <c r="AW32" s="75">
        <f t="shared" si="48"/>
        <v>3000</v>
      </c>
      <c r="AX32" s="75">
        <f t="shared" si="49"/>
        <v>3200</v>
      </c>
      <c r="AY32" s="75">
        <f t="shared" si="50"/>
        <v>3400</v>
      </c>
      <c r="AZ32" s="75">
        <f t="shared" si="51"/>
        <v>3600</v>
      </c>
      <c r="BA32" s="75">
        <f t="shared" si="52"/>
        <v>3800</v>
      </c>
      <c r="BB32" s="75">
        <f t="shared" si="53"/>
        <v>3800</v>
      </c>
      <c r="BC32" s="75">
        <f t="shared" si="54"/>
        <v>3800</v>
      </c>
      <c r="BD32" s="75">
        <f t="shared" si="55"/>
        <v>3800</v>
      </c>
      <c r="BE32" s="75">
        <f t="shared" si="56"/>
        <v>3800</v>
      </c>
      <c r="BF32" s="75">
        <f t="shared" si="57"/>
        <v>3800</v>
      </c>
      <c r="BG32" s="75">
        <f t="shared" si="60"/>
        <v>3800</v>
      </c>
    </row>
    <row r="33" spans="1:59" x14ac:dyDescent="0.25">
      <c r="A33" s="195"/>
      <c r="B33" s="11" t="str">
        <f>'P(M)'!B20</f>
        <v>新型</v>
      </c>
      <c r="C33" s="3" t="s">
        <v>15</v>
      </c>
      <c r="D33" s="97"/>
      <c r="E33" s="97">
        <v>200</v>
      </c>
      <c r="F33" s="97">
        <v>200</v>
      </c>
      <c r="G33" s="97">
        <v>200</v>
      </c>
      <c r="H33" s="97">
        <v>200</v>
      </c>
      <c r="I33" s="97">
        <v>200</v>
      </c>
      <c r="J33" s="97">
        <v>200</v>
      </c>
      <c r="K33" s="97">
        <v>200</v>
      </c>
      <c r="L33" s="97">
        <v>200</v>
      </c>
      <c r="M33" s="97">
        <v>200</v>
      </c>
      <c r="N33" s="97"/>
      <c r="O33" s="97"/>
      <c r="P33" s="97"/>
      <c r="Q33" s="97"/>
      <c r="R33" s="97"/>
      <c r="S33" s="97"/>
      <c r="T33" s="97"/>
      <c r="U33" s="97"/>
      <c r="V33" s="97"/>
      <c r="W33" s="97"/>
      <c r="X33" s="97"/>
      <c r="Y33" s="97"/>
      <c r="Z33" s="97"/>
      <c r="AA33" s="97"/>
      <c r="AB33" s="97"/>
      <c r="AC33" s="75">
        <f t="shared" si="58"/>
        <v>1800</v>
      </c>
      <c r="AD33" s="11"/>
      <c r="AE33" s="195"/>
      <c r="AF33" s="11" t="str">
        <f t="shared" si="59"/>
        <v>新型</v>
      </c>
      <c r="AG33" s="14" t="str">
        <f t="shared" si="34"/>
        <v>CNY</v>
      </c>
      <c r="AH33" s="11">
        <f t="shared" si="61"/>
        <v>0</v>
      </c>
      <c r="AI33" s="75">
        <f t="shared" si="62"/>
        <v>200</v>
      </c>
      <c r="AJ33" s="75">
        <f t="shared" si="35"/>
        <v>400</v>
      </c>
      <c r="AK33" s="75">
        <f t="shared" si="36"/>
        <v>600</v>
      </c>
      <c r="AL33" s="75">
        <f t="shared" si="37"/>
        <v>800</v>
      </c>
      <c r="AM33" s="75">
        <f t="shared" si="38"/>
        <v>1000</v>
      </c>
      <c r="AN33" s="75">
        <f t="shared" si="39"/>
        <v>1200</v>
      </c>
      <c r="AO33" s="75">
        <f t="shared" si="40"/>
        <v>1400</v>
      </c>
      <c r="AP33" s="75">
        <f t="shared" si="41"/>
        <v>1600</v>
      </c>
      <c r="AQ33" s="75">
        <f t="shared" si="42"/>
        <v>1800</v>
      </c>
      <c r="AR33" s="75">
        <f t="shared" si="43"/>
        <v>1800</v>
      </c>
      <c r="AS33" s="75">
        <f t="shared" si="44"/>
        <v>1800</v>
      </c>
      <c r="AT33" s="75">
        <f t="shared" si="45"/>
        <v>1800</v>
      </c>
      <c r="AU33" s="75">
        <f t="shared" si="46"/>
        <v>1800</v>
      </c>
      <c r="AV33" s="75">
        <f t="shared" si="47"/>
        <v>1800</v>
      </c>
      <c r="AW33" s="75">
        <f t="shared" si="48"/>
        <v>1800</v>
      </c>
      <c r="AX33" s="75">
        <f t="shared" si="49"/>
        <v>1800</v>
      </c>
      <c r="AY33" s="75">
        <f t="shared" si="50"/>
        <v>1800</v>
      </c>
      <c r="AZ33" s="75">
        <f t="shared" si="51"/>
        <v>1800</v>
      </c>
      <c r="BA33" s="75">
        <f t="shared" si="52"/>
        <v>1800</v>
      </c>
      <c r="BB33" s="75">
        <f t="shared" si="53"/>
        <v>1800</v>
      </c>
      <c r="BC33" s="75">
        <f t="shared" si="54"/>
        <v>1800</v>
      </c>
      <c r="BD33" s="75">
        <f t="shared" si="55"/>
        <v>1800</v>
      </c>
      <c r="BE33" s="75">
        <f t="shared" si="56"/>
        <v>1800</v>
      </c>
      <c r="BF33" s="75">
        <f t="shared" si="57"/>
        <v>1800</v>
      </c>
      <c r="BG33" s="75">
        <f t="shared" si="60"/>
        <v>1800</v>
      </c>
    </row>
    <row r="34" spans="1:59" x14ac:dyDescent="0.25">
      <c r="A34" s="3" t="s">
        <v>4</v>
      </c>
      <c r="B34" s="11" t="str">
        <f>'P(M)'!B21</f>
        <v>發明</v>
      </c>
      <c r="C34" s="3" t="s">
        <v>16</v>
      </c>
      <c r="D34" s="97"/>
      <c r="E34" s="97"/>
      <c r="F34" s="97"/>
      <c r="G34" s="97">
        <v>126</v>
      </c>
      <c r="H34" s="97"/>
      <c r="I34" s="97"/>
      <c r="J34" s="97"/>
      <c r="K34" s="97">
        <v>126</v>
      </c>
      <c r="L34" s="97"/>
      <c r="M34" s="97"/>
      <c r="N34" s="97"/>
      <c r="O34" s="97">
        <v>126</v>
      </c>
      <c r="P34" s="97"/>
      <c r="Q34" s="97"/>
      <c r="R34" s="97"/>
      <c r="S34" s="97"/>
      <c r="T34" s="97"/>
      <c r="U34" s="97"/>
      <c r="V34" s="97"/>
      <c r="W34" s="97"/>
      <c r="X34" s="97"/>
      <c r="Y34" s="97"/>
      <c r="Z34" s="97"/>
      <c r="AA34" s="97"/>
      <c r="AB34" s="97"/>
      <c r="AC34" s="75">
        <f t="shared" si="58"/>
        <v>378</v>
      </c>
      <c r="AD34" s="11"/>
      <c r="AE34" s="3" t="s">
        <v>4</v>
      </c>
      <c r="AF34" s="11" t="str">
        <f t="shared" si="59"/>
        <v>發明</v>
      </c>
      <c r="AG34" s="14" t="str">
        <f t="shared" si="34"/>
        <v>USD</v>
      </c>
      <c r="AH34" s="11">
        <f t="shared" si="61"/>
        <v>0</v>
      </c>
      <c r="AI34" s="75">
        <f t="shared" si="62"/>
        <v>0</v>
      </c>
      <c r="AJ34" s="75">
        <f t="shared" si="35"/>
        <v>0</v>
      </c>
      <c r="AK34" s="75">
        <f t="shared" si="36"/>
        <v>126</v>
      </c>
      <c r="AL34" s="75">
        <f t="shared" si="37"/>
        <v>126</v>
      </c>
      <c r="AM34" s="75">
        <f t="shared" si="38"/>
        <v>126</v>
      </c>
      <c r="AN34" s="75">
        <f t="shared" si="39"/>
        <v>126</v>
      </c>
      <c r="AO34" s="75">
        <f t="shared" si="40"/>
        <v>252</v>
      </c>
      <c r="AP34" s="75">
        <f t="shared" si="41"/>
        <v>252</v>
      </c>
      <c r="AQ34" s="75">
        <f t="shared" si="42"/>
        <v>252</v>
      </c>
      <c r="AR34" s="75">
        <f t="shared" si="43"/>
        <v>252</v>
      </c>
      <c r="AS34" s="75">
        <f t="shared" si="44"/>
        <v>378</v>
      </c>
      <c r="AT34" s="75">
        <f t="shared" si="45"/>
        <v>378</v>
      </c>
      <c r="AU34" s="75">
        <f t="shared" si="46"/>
        <v>378</v>
      </c>
      <c r="AV34" s="75">
        <f t="shared" si="47"/>
        <v>378</v>
      </c>
      <c r="AW34" s="75">
        <f t="shared" si="48"/>
        <v>378</v>
      </c>
      <c r="AX34" s="75">
        <f t="shared" si="49"/>
        <v>378</v>
      </c>
      <c r="AY34" s="75">
        <f t="shared" si="50"/>
        <v>378</v>
      </c>
      <c r="AZ34" s="75">
        <f t="shared" si="51"/>
        <v>378</v>
      </c>
      <c r="BA34" s="75">
        <f t="shared" si="52"/>
        <v>378</v>
      </c>
      <c r="BB34" s="75">
        <f t="shared" si="53"/>
        <v>378</v>
      </c>
      <c r="BC34" s="75">
        <f t="shared" si="54"/>
        <v>378</v>
      </c>
      <c r="BD34" s="75">
        <f t="shared" si="55"/>
        <v>378</v>
      </c>
      <c r="BE34" s="75">
        <f t="shared" si="56"/>
        <v>378</v>
      </c>
      <c r="BF34" s="75">
        <f t="shared" si="57"/>
        <v>378</v>
      </c>
      <c r="BG34" s="75">
        <f t="shared" si="60"/>
        <v>378</v>
      </c>
    </row>
    <row r="35" spans="1:59" x14ac:dyDescent="0.25">
      <c r="A35" s="3" t="s">
        <v>5</v>
      </c>
      <c r="B35" s="11" t="str">
        <f>'P(M)'!B22</f>
        <v>發明</v>
      </c>
      <c r="C35" s="3" t="s">
        <v>16</v>
      </c>
      <c r="D35" s="103"/>
      <c r="E35" s="103">
        <v>157.28</v>
      </c>
      <c r="F35" s="103">
        <v>290.83999999999997</v>
      </c>
      <c r="G35" s="103">
        <v>290.83999999999997</v>
      </c>
      <c r="H35" s="103">
        <v>424.05</v>
      </c>
      <c r="I35" s="103">
        <v>424.05</v>
      </c>
      <c r="J35" s="103">
        <v>424.05</v>
      </c>
      <c r="K35" s="103">
        <v>424.05</v>
      </c>
      <c r="L35" s="103">
        <v>424.05</v>
      </c>
      <c r="M35" s="103">
        <v>424.05</v>
      </c>
      <c r="N35" s="103">
        <v>424.05</v>
      </c>
      <c r="O35" s="103">
        <v>424.05</v>
      </c>
      <c r="P35" s="103">
        <v>424.05</v>
      </c>
      <c r="Q35" s="103">
        <v>424.05</v>
      </c>
      <c r="R35" s="103">
        <v>424.05</v>
      </c>
      <c r="S35" s="103">
        <v>424.05</v>
      </c>
      <c r="T35" s="103">
        <v>424.05</v>
      </c>
      <c r="U35" s="103">
        <v>424.05</v>
      </c>
      <c r="V35" s="103">
        <v>424.05</v>
      </c>
      <c r="W35" s="103">
        <v>424.05</v>
      </c>
      <c r="X35" s="97"/>
      <c r="Y35" s="97"/>
      <c r="Z35" s="97"/>
      <c r="AA35" s="97"/>
      <c r="AB35" s="97"/>
      <c r="AC35" s="75">
        <f t="shared" si="58"/>
        <v>7523.760000000002</v>
      </c>
      <c r="AD35" s="11"/>
      <c r="AE35" s="3" t="s">
        <v>5</v>
      </c>
      <c r="AF35" s="11" t="str">
        <f t="shared" si="59"/>
        <v>發明</v>
      </c>
      <c r="AG35" s="14" t="str">
        <f t="shared" si="34"/>
        <v>USD</v>
      </c>
      <c r="AH35" s="11">
        <f t="shared" si="61"/>
        <v>0</v>
      </c>
      <c r="AI35" s="75">
        <f t="shared" si="62"/>
        <v>157.28</v>
      </c>
      <c r="AJ35" s="75">
        <f t="shared" si="35"/>
        <v>448.12</v>
      </c>
      <c r="AK35" s="75">
        <f t="shared" si="36"/>
        <v>738.96</v>
      </c>
      <c r="AL35" s="75">
        <f t="shared" si="37"/>
        <v>1163.01</v>
      </c>
      <c r="AM35" s="75">
        <f t="shared" si="38"/>
        <v>1587.06</v>
      </c>
      <c r="AN35" s="75">
        <f t="shared" si="39"/>
        <v>2011.11</v>
      </c>
      <c r="AO35" s="75">
        <f t="shared" si="40"/>
        <v>2435.16</v>
      </c>
      <c r="AP35" s="75">
        <f t="shared" si="41"/>
        <v>2859.21</v>
      </c>
      <c r="AQ35" s="75">
        <f t="shared" si="42"/>
        <v>3283.26</v>
      </c>
      <c r="AR35" s="75">
        <f t="shared" si="43"/>
        <v>3707.3100000000004</v>
      </c>
      <c r="AS35" s="75">
        <f t="shared" si="44"/>
        <v>4131.3600000000006</v>
      </c>
      <c r="AT35" s="75">
        <f t="shared" si="45"/>
        <v>4555.4100000000008</v>
      </c>
      <c r="AU35" s="75">
        <f t="shared" si="46"/>
        <v>4979.4600000000009</v>
      </c>
      <c r="AV35" s="75">
        <f t="shared" si="47"/>
        <v>5403.5100000000011</v>
      </c>
      <c r="AW35" s="75">
        <f t="shared" si="48"/>
        <v>5827.5600000000013</v>
      </c>
      <c r="AX35" s="75">
        <f t="shared" si="49"/>
        <v>6251.6100000000015</v>
      </c>
      <c r="AY35" s="75">
        <f t="shared" si="50"/>
        <v>6675.6600000000017</v>
      </c>
      <c r="AZ35" s="75">
        <f t="shared" si="51"/>
        <v>7099.7100000000019</v>
      </c>
      <c r="BA35" s="75">
        <f t="shared" si="52"/>
        <v>7523.760000000002</v>
      </c>
      <c r="BB35" s="75">
        <f t="shared" si="53"/>
        <v>7523.760000000002</v>
      </c>
      <c r="BC35" s="75">
        <f t="shared" si="54"/>
        <v>7523.760000000002</v>
      </c>
      <c r="BD35" s="75">
        <f t="shared" si="55"/>
        <v>7523.760000000002</v>
      </c>
      <c r="BE35" s="75">
        <f t="shared" si="56"/>
        <v>7523.760000000002</v>
      </c>
      <c r="BF35" s="75">
        <f t="shared" si="57"/>
        <v>7523.760000000002</v>
      </c>
      <c r="BG35" s="75">
        <f t="shared" si="60"/>
        <v>7523.760000000002</v>
      </c>
    </row>
    <row r="36" spans="1:59" x14ac:dyDescent="0.25">
      <c r="A36" s="194" t="s">
        <v>6</v>
      </c>
      <c r="B36" s="11" t="str">
        <f>'P(M)'!B23</f>
        <v>發明</v>
      </c>
      <c r="C36" s="3" t="s">
        <v>18</v>
      </c>
      <c r="D36" s="97"/>
      <c r="E36" s="97"/>
      <c r="F36" s="97"/>
      <c r="G36" s="97">
        <v>10000</v>
      </c>
      <c r="H36" s="97">
        <v>10000</v>
      </c>
      <c r="I36" s="97">
        <v>10000</v>
      </c>
      <c r="J36" s="97">
        <v>11000</v>
      </c>
      <c r="K36" s="97">
        <v>11000</v>
      </c>
      <c r="L36" s="97">
        <v>11000</v>
      </c>
      <c r="M36" s="97">
        <v>12000</v>
      </c>
      <c r="N36" s="97">
        <v>12000</v>
      </c>
      <c r="O36" s="97">
        <v>12000</v>
      </c>
      <c r="P36" s="97">
        <v>12000</v>
      </c>
      <c r="Q36" s="97">
        <v>12000</v>
      </c>
      <c r="R36" s="97">
        <v>12000</v>
      </c>
      <c r="S36" s="97">
        <v>12000</v>
      </c>
      <c r="T36" s="97">
        <v>12000</v>
      </c>
      <c r="U36" s="97">
        <v>12000</v>
      </c>
      <c r="V36" s="97">
        <v>12000</v>
      </c>
      <c r="W36" s="97">
        <v>12000</v>
      </c>
      <c r="X36" s="97"/>
      <c r="Y36" s="97"/>
      <c r="Z36" s="97"/>
      <c r="AA36" s="97"/>
      <c r="AB36" s="97"/>
      <c r="AC36" s="75">
        <f t="shared" si="58"/>
        <v>195000</v>
      </c>
      <c r="AD36" s="11"/>
      <c r="AE36" s="194" t="s">
        <v>6</v>
      </c>
      <c r="AF36" s="11" t="str">
        <f t="shared" si="59"/>
        <v>發明</v>
      </c>
      <c r="AG36" s="14" t="str">
        <f t="shared" si="34"/>
        <v>JPY</v>
      </c>
      <c r="AH36" s="11">
        <f t="shared" si="61"/>
        <v>0</v>
      </c>
      <c r="AI36" s="75">
        <f t="shared" si="62"/>
        <v>0</v>
      </c>
      <c r="AJ36" s="75">
        <f t="shared" si="35"/>
        <v>0</v>
      </c>
      <c r="AK36" s="75">
        <f t="shared" si="36"/>
        <v>10000</v>
      </c>
      <c r="AL36" s="75">
        <f t="shared" si="37"/>
        <v>20000</v>
      </c>
      <c r="AM36" s="75">
        <f t="shared" si="38"/>
        <v>30000</v>
      </c>
      <c r="AN36" s="75">
        <f t="shared" si="39"/>
        <v>41000</v>
      </c>
      <c r="AO36" s="75">
        <f t="shared" si="40"/>
        <v>52000</v>
      </c>
      <c r="AP36" s="75">
        <f t="shared" si="41"/>
        <v>63000</v>
      </c>
      <c r="AQ36" s="75">
        <f t="shared" si="42"/>
        <v>75000</v>
      </c>
      <c r="AR36" s="75">
        <f t="shared" si="43"/>
        <v>87000</v>
      </c>
      <c r="AS36" s="75">
        <f t="shared" si="44"/>
        <v>99000</v>
      </c>
      <c r="AT36" s="75">
        <f t="shared" si="45"/>
        <v>111000</v>
      </c>
      <c r="AU36" s="75">
        <f t="shared" si="46"/>
        <v>123000</v>
      </c>
      <c r="AV36" s="75">
        <f t="shared" si="47"/>
        <v>135000</v>
      </c>
      <c r="AW36" s="75">
        <f t="shared" si="48"/>
        <v>147000</v>
      </c>
      <c r="AX36" s="75">
        <f t="shared" si="49"/>
        <v>159000</v>
      </c>
      <c r="AY36" s="75">
        <f t="shared" si="50"/>
        <v>171000</v>
      </c>
      <c r="AZ36" s="75">
        <f t="shared" si="51"/>
        <v>183000</v>
      </c>
      <c r="BA36" s="75">
        <f t="shared" si="52"/>
        <v>195000</v>
      </c>
      <c r="BB36" s="75">
        <f t="shared" si="53"/>
        <v>195000</v>
      </c>
      <c r="BC36" s="75">
        <f t="shared" si="54"/>
        <v>195000</v>
      </c>
      <c r="BD36" s="75">
        <f t="shared" si="55"/>
        <v>195000</v>
      </c>
      <c r="BE36" s="75">
        <f t="shared" si="56"/>
        <v>195000</v>
      </c>
      <c r="BF36" s="75">
        <f t="shared" si="57"/>
        <v>195000</v>
      </c>
      <c r="BG36" s="75">
        <f t="shared" si="60"/>
        <v>195000</v>
      </c>
    </row>
    <row r="37" spans="1:59" x14ac:dyDescent="0.25">
      <c r="A37" s="195"/>
      <c r="B37" s="11" t="str">
        <f>'P(M)'!B24</f>
        <v>新型</v>
      </c>
      <c r="C37" s="3" t="s">
        <v>18</v>
      </c>
      <c r="D37" s="97"/>
      <c r="E37" s="97"/>
      <c r="F37" s="97"/>
      <c r="G37" s="97">
        <v>9000</v>
      </c>
      <c r="H37" s="97">
        <v>9000</v>
      </c>
      <c r="I37" s="97">
        <v>9000</v>
      </c>
      <c r="J37" s="97">
        <v>10000</v>
      </c>
      <c r="K37" s="97">
        <v>10000</v>
      </c>
      <c r="L37" s="97">
        <v>10000</v>
      </c>
      <c r="M37" s="97">
        <v>10000</v>
      </c>
      <c r="N37" s="97"/>
      <c r="O37" s="97"/>
      <c r="P37" s="97"/>
      <c r="Q37" s="97"/>
      <c r="R37" s="97"/>
      <c r="S37" s="97"/>
      <c r="T37" s="97"/>
      <c r="U37" s="97"/>
      <c r="V37" s="97"/>
      <c r="W37" s="97"/>
      <c r="X37" s="97"/>
      <c r="Y37" s="97"/>
      <c r="Z37" s="97"/>
      <c r="AA37" s="97"/>
      <c r="AB37" s="97"/>
      <c r="AC37" s="75">
        <f t="shared" si="58"/>
        <v>67000</v>
      </c>
      <c r="AD37" s="11"/>
      <c r="AE37" s="195"/>
      <c r="AF37" s="11" t="str">
        <f t="shared" si="59"/>
        <v>新型</v>
      </c>
      <c r="AG37" s="14" t="str">
        <f t="shared" si="34"/>
        <v>JPY</v>
      </c>
      <c r="AH37" s="11">
        <f t="shared" si="61"/>
        <v>0</v>
      </c>
      <c r="AI37" s="75">
        <f t="shared" si="62"/>
        <v>0</v>
      </c>
      <c r="AJ37" s="75">
        <f t="shared" si="35"/>
        <v>0</v>
      </c>
      <c r="AK37" s="75">
        <f t="shared" si="36"/>
        <v>9000</v>
      </c>
      <c r="AL37" s="75">
        <f t="shared" si="37"/>
        <v>18000</v>
      </c>
      <c r="AM37" s="75">
        <f t="shared" si="38"/>
        <v>27000</v>
      </c>
      <c r="AN37" s="75">
        <f t="shared" si="39"/>
        <v>37000</v>
      </c>
      <c r="AO37" s="75">
        <f t="shared" si="40"/>
        <v>47000</v>
      </c>
      <c r="AP37" s="75">
        <f t="shared" si="41"/>
        <v>57000</v>
      </c>
      <c r="AQ37" s="75">
        <f t="shared" si="42"/>
        <v>67000</v>
      </c>
      <c r="AR37" s="75">
        <f t="shared" si="43"/>
        <v>67000</v>
      </c>
      <c r="AS37" s="75">
        <f t="shared" si="44"/>
        <v>67000</v>
      </c>
      <c r="AT37" s="75">
        <f t="shared" si="45"/>
        <v>67000</v>
      </c>
      <c r="AU37" s="75">
        <f t="shared" si="46"/>
        <v>67000</v>
      </c>
      <c r="AV37" s="75">
        <f t="shared" si="47"/>
        <v>67000</v>
      </c>
      <c r="AW37" s="75">
        <f t="shared" si="48"/>
        <v>67000</v>
      </c>
      <c r="AX37" s="75">
        <f t="shared" si="49"/>
        <v>67000</v>
      </c>
      <c r="AY37" s="75">
        <f t="shared" si="50"/>
        <v>67000</v>
      </c>
      <c r="AZ37" s="75">
        <f t="shared" si="51"/>
        <v>67000</v>
      </c>
      <c r="BA37" s="75">
        <f t="shared" si="52"/>
        <v>67000</v>
      </c>
      <c r="BB37" s="75">
        <f t="shared" si="53"/>
        <v>67000</v>
      </c>
      <c r="BC37" s="75">
        <f t="shared" si="54"/>
        <v>67000</v>
      </c>
      <c r="BD37" s="75">
        <f t="shared" si="55"/>
        <v>67000</v>
      </c>
      <c r="BE37" s="75">
        <f t="shared" si="56"/>
        <v>67000</v>
      </c>
      <c r="BF37" s="75">
        <f t="shared" si="57"/>
        <v>67000</v>
      </c>
      <c r="BG37" s="75">
        <f t="shared" si="60"/>
        <v>67000</v>
      </c>
    </row>
    <row r="38" spans="1:59" x14ac:dyDescent="0.25">
      <c r="A38" s="194" t="s">
        <v>7</v>
      </c>
      <c r="B38" s="11" t="str">
        <f>'P(M)'!B25</f>
        <v>發明</v>
      </c>
      <c r="C38" s="3" t="s">
        <v>16</v>
      </c>
      <c r="D38" s="97"/>
      <c r="E38" s="97"/>
      <c r="F38" s="97"/>
      <c r="G38" s="97">
        <v>150</v>
      </c>
      <c r="H38" s="97">
        <v>150</v>
      </c>
      <c r="I38" s="97">
        <v>150</v>
      </c>
      <c r="J38" s="97">
        <v>170</v>
      </c>
      <c r="K38" s="97">
        <v>170</v>
      </c>
      <c r="L38" s="97">
        <v>170</v>
      </c>
      <c r="M38" s="97">
        <v>190</v>
      </c>
      <c r="N38" s="97">
        <v>190</v>
      </c>
      <c r="O38" s="97">
        <v>190</v>
      </c>
      <c r="P38" s="97">
        <v>210</v>
      </c>
      <c r="Q38" s="97">
        <v>210</v>
      </c>
      <c r="R38" s="97">
        <v>210</v>
      </c>
      <c r="S38" s="97">
        <v>210</v>
      </c>
      <c r="T38" s="97">
        <v>210</v>
      </c>
      <c r="U38" s="97">
        <v>210</v>
      </c>
      <c r="V38" s="97">
        <v>210</v>
      </c>
      <c r="W38" s="97">
        <v>210</v>
      </c>
      <c r="X38" s="97"/>
      <c r="Y38" s="97"/>
      <c r="Z38" s="97"/>
      <c r="AA38" s="97"/>
      <c r="AB38" s="97"/>
      <c r="AC38" s="75">
        <f t="shared" si="58"/>
        <v>3210</v>
      </c>
      <c r="AD38" s="11"/>
      <c r="AE38" s="194" t="s">
        <v>7</v>
      </c>
      <c r="AF38" s="11" t="str">
        <f t="shared" si="59"/>
        <v>發明</v>
      </c>
      <c r="AG38" s="14" t="str">
        <f t="shared" si="34"/>
        <v>USD</v>
      </c>
      <c r="AH38" s="11">
        <f t="shared" si="61"/>
        <v>0</v>
      </c>
      <c r="AI38" s="75">
        <f t="shared" si="62"/>
        <v>0</v>
      </c>
      <c r="AJ38" s="75">
        <f t="shared" si="35"/>
        <v>0</v>
      </c>
      <c r="AK38" s="75">
        <f t="shared" si="36"/>
        <v>150</v>
      </c>
      <c r="AL38" s="75">
        <f t="shared" si="37"/>
        <v>300</v>
      </c>
      <c r="AM38" s="75">
        <f t="shared" si="38"/>
        <v>450</v>
      </c>
      <c r="AN38" s="75">
        <f t="shared" si="39"/>
        <v>620</v>
      </c>
      <c r="AO38" s="75">
        <f t="shared" si="40"/>
        <v>790</v>
      </c>
      <c r="AP38" s="75">
        <f t="shared" si="41"/>
        <v>960</v>
      </c>
      <c r="AQ38" s="75">
        <f t="shared" si="42"/>
        <v>1150</v>
      </c>
      <c r="AR38" s="75">
        <f t="shared" si="43"/>
        <v>1340</v>
      </c>
      <c r="AS38" s="75">
        <f t="shared" si="44"/>
        <v>1530</v>
      </c>
      <c r="AT38" s="75">
        <f t="shared" si="45"/>
        <v>1740</v>
      </c>
      <c r="AU38" s="75">
        <f t="shared" si="46"/>
        <v>1950</v>
      </c>
      <c r="AV38" s="75">
        <f t="shared" si="47"/>
        <v>2160</v>
      </c>
      <c r="AW38" s="75">
        <f t="shared" si="48"/>
        <v>2370</v>
      </c>
      <c r="AX38" s="75">
        <f t="shared" si="49"/>
        <v>2580</v>
      </c>
      <c r="AY38" s="75">
        <f t="shared" si="50"/>
        <v>2790</v>
      </c>
      <c r="AZ38" s="75">
        <f t="shared" si="51"/>
        <v>3000</v>
      </c>
      <c r="BA38" s="75">
        <f t="shared" si="52"/>
        <v>3210</v>
      </c>
      <c r="BB38" s="75">
        <f t="shared" si="53"/>
        <v>3210</v>
      </c>
      <c r="BC38" s="75">
        <f t="shared" si="54"/>
        <v>3210</v>
      </c>
      <c r="BD38" s="75">
        <f t="shared" si="55"/>
        <v>3210</v>
      </c>
      <c r="BE38" s="75">
        <f t="shared" si="56"/>
        <v>3210</v>
      </c>
      <c r="BF38" s="75">
        <f t="shared" si="57"/>
        <v>3210</v>
      </c>
      <c r="BG38" s="75">
        <f t="shared" si="60"/>
        <v>3210</v>
      </c>
    </row>
    <row r="39" spans="1:59" x14ac:dyDescent="0.25">
      <c r="A39" s="195"/>
      <c r="B39" s="11" t="str">
        <f>'P(M)'!B26</f>
        <v>新型</v>
      </c>
      <c r="C39" s="3" t="s">
        <v>16</v>
      </c>
      <c r="D39" s="97"/>
      <c r="E39" s="97"/>
      <c r="F39" s="97"/>
      <c r="G39" s="97">
        <v>150</v>
      </c>
      <c r="H39" s="97">
        <v>150</v>
      </c>
      <c r="I39" s="97">
        <v>150</v>
      </c>
      <c r="J39" s="97">
        <v>170</v>
      </c>
      <c r="K39" s="97">
        <v>170</v>
      </c>
      <c r="L39" s="97">
        <v>170</v>
      </c>
      <c r="M39" s="97">
        <v>190</v>
      </c>
      <c r="N39" s="97">
        <v>190</v>
      </c>
      <c r="O39" s="97">
        <v>190</v>
      </c>
      <c r="P39" s="97">
        <v>210</v>
      </c>
      <c r="Q39" s="97">
        <v>210</v>
      </c>
      <c r="R39" s="97">
        <v>210</v>
      </c>
      <c r="S39" s="97"/>
      <c r="T39" s="97"/>
      <c r="U39" s="97"/>
      <c r="V39" s="97"/>
      <c r="W39" s="97"/>
      <c r="X39" s="97"/>
      <c r="Y39" s="97"/>
      <c r="Z39" s="97"/>
      <c r="AA39" s="97"/>
      <c r="AB39" s="97"/>
      <c r="AC39" s="75">
        <f t="shared" si="58"/>
        <v>2160</v>
      </c>
      <c r="AD39" s="11"/>
      <c r="AE39" s="195"/>
      <c r="AF39" s="11" t="str">
        <f t="shared" si="59"/>
        <v>新型</v>
      </c>
      <c r="AG39" s="14" t="str">
        <f t="shared" si="34"/>
        <v>USD</v>
      </c>
      <c r="AH39" s="11">
        <f t="shared" si="61"/>
        <v>0</v>
      </c>
      <c r="AI39" s="75">
        <f t="shared" si="62"/>
        <v>0</v>
      </c>
      <c r="AJ39" s="75">
        <f t="shared" si="35"/>
        <v>0</v>
      </c>
      <c r="AK39" s="75">
        <f t="shared" si="36"/>
        <v>150</v>
      </c>
      <c r="AL39" s="75">
        <f t="shared" si="37"/>
        <v>300</v>
      </c>
      <c r="AM39" s="75">
        <f t="shared" si="38"/>
        <v>450</v>
      </c>
      <c r="AN39" s="75">
        <f t="shared" si="39"/>
        <v>620</v>
      </c>
      <c r="AO39" s="75">
        <f t="shared" si="40"/>
        <v>790</v>
      </c>
      <c r="AP39" s="75">
        <f t="shared" si="41"/>
        <v>960</v>
      </c>
      <c r="AQ39" s="75">
        <f t="shared" si="42"/>
        <v>1150</v>
      </c>
      <c r="AR39" s="75">
        <f t="shared" si="43"/>
        <v>1340</v>
      </c>
      <c r="AS39" s="75">
        <f t="shared" si="44"/>
        <v>1530</v>
      </c>
      <c r="AT39" s="75">
        <f t="shared" si="45"/>
        <v>1740</v>
      </c>
      <c r="AU39" s="75">
        <f t="shared" si="46"/>
        <v>1950</v>
      </c>
      <c r="AV39" s="75">
        <f t="shared" si="47"/>
        <v>2160</v>
      </c>
      <c r="AW39" s="75">
        <f t="shared" si="48"/>
        <v>2160</v>
      </c>
      <c r="AX39" s="75">
        <f t="shared" si="49"/>
        <v>2160</v>
      </c>
      <c r="AY39" s="75">
        <f t="shared" si="50"/>
        <v>2160</v>
      </c>
      <c r="AZ39" s="75">
        <f t="shared" si="51"/>
        <v>2160</v>
      </c>
      <c r="BA39" s="75">
        <f t="shared" si="52"/>
        <v>2160</v>
      </c>
      <c r="BB39" s="75">
        <f t="shared" si="53"/>
        <v>2160</v>
      </c>
      <c r="BC39" s="75">
        <f t="shared" si="54"/>
        <v>2160</v>
      </c>
      <c r="BD39" s="75">
        <f t="shared" si="55"/>
        <v>2160</v>
      </c>
      <c r="BE39" s="75">
        <f t="shared" si="56"/>
        <v>2160</v>
      </c>
      <c r="BF39" s="75">
        <f t="shared" si="57"/>
        <v>2160</v>
      </c>
      <c r="BG39" s="75">
        <f t="shared" si="60"/>
        <v>2160</v>
      </c>
    </row>
    <row r="40" spans="1:59" x14ac:dyDescent="0.25">
      <c r="A40" s="3" t="s">
        <v>42</v>
      </c>
      <c r="B40" s="11" t="str">
        <f>'P(M)'!B27</f>
        <v>發明</v>
      </c>
      <c r="C40" s="3" t="s">
        <v>43</v>
      </c>
      <c r="D40" s="97"/>
      <c r="E40" s="97">
        <v>225</v>
      </c>
      <c r="F40" s="97">
        <v>225</v>
      </c>
      <c r="G40" s="97">
        <v>225</v>
      </c>
      <c r="H40" s="97">
        <v>225</v>
      </c>
      <c r="I40" s="97">
        <v>225</v>
      </c>
      <c r="J40" s="97">
        <v>225</v>
      </c>
      <c r="K40" s="97">
        <v>225</v>
      </c>
      <c r="L40" s="97">
        <v>225</v>
      </c>
      <c r="M40" s="97">
        <v>225</v>
      </c>
      <c r="N40" s="97">
        <v>225</v>
      </c>
      <c r="O40" s="97">
        <v>225</v>
      </c>
      <c r="P40" s="97">
        <v>225</v>
      </c>
      <c r="Q40" s="97">
        <v>225</v>
      </c>
      <c r="R40" s="97">
        <v>225</v>
      </c>
      <c r="S40" s="97">
        <v>225</v>
      </c>
      <c r="T40" s="97">
        <v>225</v>
      </c>
      <c r="U40" s="97">
        <v>225</v>
      </c>
      <c r="V40" s="97">
        <v>225</v>
      </c>
      <c r="W40" s="97"/>
      <c r="X40" s="97"/>
      <c r="Y40" s="97"/>
      <c r="Z40" s="97"/>
      <c r="AA40" s="97"/>
      <c r="AB40" s="97"/>
      <c r="AC40" s="75">
        <f>SUM(D40:AB40)</f>
        <v>4050</v>
      </c>
      <c r="AD40" s="11"/>
      <c r="AE40" s="3" t="s">
        <v>42</v>
      </c>
      <c r="AF40" s="11" t="str">
        <f>B40</f>
        <v>發明</v>
      </c>
      <c r="AG40" s="14" t="str">
        <f>C40</f>
        <v>CAD</v>
      </c>
      <c r="AH40" s="11">
        <f>D40</f>
        <v>0</v>
      </c>
      <c r="AI40" s="75">
        <f t="shared" ref="AI40:BF40" si="63">AH40+E40</f>
        <v>225</v>
      </c>
      <c r="AJ40" s="75">
        <f t="shared" si="63"/>
        <v>450</v>
      </c>
      <c r="AK40" s="75">
        <f t="shared" si="63"/>
        <v>675</v>
      </c>
      <c r="AL40" s="75">
        <f t="shared" si="63"/>
        <v>900</v>
      </c>
      <c r="AM40" s="75">
        <f t="shared" si="63"/>
        <v>1125</v>
      </c>
      <c r="AN40" s="75">
        <f t="shared" si="63"/>
        <v>1350</v>
      </c>
      <c r="AO40" s="75">
        <f t="shared" si="63"/>
        <v>1575</v>
      </c>
      <c r="AP40" s="75">
        <f t="shared" si="63"/>
        <v>1800</v>
      </c>
      <c r="AQ40" s="75">
        <f t="shared" si="63"/>
        <v>2025</v>
      </c>
      <c r="AR40" s="75">
        <f t="shared" si="63"/>
        <v>2250</v>
      </c>
      <c r="AS40" s="75">
        <f t="shared" si="63"/>
        <v>2475</v>
      </c>
      <c r="AT40" s="75">
        <f t="shared" si="63"/>
        <v>2700</v>
      </c>
      <c r="AU40" s="75">
        <f t="shared" si="63"/>
        <v>2925</v>
      </c>
      <c r="AV40" s="75">
        <f t="shared" si="63"/>
        <v>3150</v>
      </c>
      <c r="AW40" s="75">
        <f t="shared" si="63"/>
        <v>3375</v>
      </c>
      <c r="AX40" s="75">
        <f t="shared" si="63"/>
        <v>3600</v>
      </c>
      <c r="AY40" s="75">
        <f t="shared" si="63"/>
        <v>3825</v>
      </c>
      <c r="AZ40" s="75">
        <f t="shared" si="63"/>
        <v>4050</v>
      </c>
      <c r="BA40" s="75">
        <f t="shared" si="63"/>
        <v>4050</v>
      </c>
      <c r="BB40" s="75">
        <f t="shared" si="63"/>
        <v>4050</v>
      </c>
      <c r="BC40" s="75">
        <f t="shared" si="63"/>
        <v>4050</v>
      </c>
      <c r="BD40" s="75">
        <f t="shared" si="63"/>
        <v>4050</v>
      </c>
      <c r="BE40" s="75">
        <f t="shared" si="63"/>
        <v>4050</v>
      </c>
      <c r="BF40" s="75">
        <f t="shared" si="63"/>
        <v>4050</v>
      </c>
      <c r="BG40" s="75">
        <f>BF40</f>
        <v>4050</v>
      </c>
    </row>
    <row r="41" spans="1:59" x14ac:dyDescent="0.25">
      <c r="A41" s="3" t="s">
        <v>8</v>
      </c>
      <c r="B41" s="11" t="str">
        <f>'P(M)'!B28</f>
        <v>發明</v>
      </c>
      <c r="C41" s="3" t="s">
        <v>20</v>
      </c>
      <c r="D41" s="97"/>
      <c r="E41" s="97"/>
      <c r="F41" s="97"/>
      <c r="G41" s="97"/>
      <c r="H41" s="97">
        <v>250</v>
      </c>
      <c r="I41" s="97">
        <v>250</v>
      </c>
      <c r="J41" s="97">
        <v>250</v>
      </c>
      <c r="K41" s="97">
        <v>300</v>
      </c>
      <c r="L41" s="97">
        <v>300</v>
      </c>
      <c r="M41" s="97">
        <v>300</v>
      </c>
      <c r="N41" s="97">
        <v>350</v>
      </c>
      <c r="O41" s="97">
        <v>350</v>
      </c>
      <c r="P41" s="97">
        <v>350</v>
      </c>
      <c r="Q41" s="97">
        <v>350</v>
      </c>
      <c r="R41" s="97">
        <v>350</v>
      </c>
      <c r="S41" s="97">
        <v>350</v>
      </c>
      <c r="T41" s="97">
        <v>400</v>
      </c>
      <c r="U41" s="97">
        <v>400</v>
      </c>
      <c r="V41" s="97">
        <v>400</v>
      </c>
      <c r="W41" s="97">
        <v>450</v>
      </c>
      <c r="X41" s="97"/>
      <c r="Y41" s="97"/>
      <c r="Z41" s="97"/>
      <c r="AA41" s="97"/>
      <c r="AB41" s="97"/>
      <c r="AC41" s="75">
        <f t="shared" si="58"/>
        <v>5400</v>
      </c>
      <c r="AD41" s="11"/>
      <c r="AE41" s="3" t="s">
        <v>8</v>
      </c>
      <c r="AF41" s="11" t="str">
        <f t="shared" si="59"/>
        <v>發明</v>
      </c>
      <c r="AG41" s="14" t="str">
        <f t="shared" si="34"/>
        <v>SGD</v>
      </c>
      <c r="AH41" s="11">
        <f t="shared" si="61"/>
        <v>0</v>
      </c>
      <c r="AI41" s="75">
        <f t="shared" si="62"/>
        <v>0</v>
      </c>
      <c r="AJ41" s="75">
        <f t="shared" si="35"/>
        <v>0</v>
      </c>
      <c r="AK41" s="75">
        <f t="shared" si="36"/>
        <v>0</v>
      </c>
      <c r="AL41" s="75">
        <f t="shared" si="37"/>
        <v>250</v>
      </c>
      <c r="AM41" s="75">
        <f t="shared" si="38"/>
        <v>500</v>
      </c>
      <c r="AN41" s="75">
        <f t="shared" si="39"/>
        <v>750</v>
      </c>
      <c r="AO41" s="75">
        <f t="shared" si="40"/>
        <v>1050</v>
      </c>
      <c r="AP41" s="75">
        <f t="shared" si="41"/>
        <v>1350</v>
      </c>
      <c r="AQ41" s="75">
        <f t="shared" si="42"/>
        <v>1650</v>
      </c>
      <c r="AR41" s="75">
        <f t="shared" si="43"/>
        <v>2000</v>
      </c>
      <c r="AS41" s="75">
        <f t="shared" si="44"/>
        <v>2350</v>
      </c>
      <c r="AT41" s="75">
        <f t="shared" si="45"/>
        <v>2700</v>
      </c>
      <c r="AU41" s="75">
        <f t="shared" si="46"/>
        <v>3050</v>
      </c>
      <c r="AV41" s="75">
        <f t="shared" si="47"/>
        <v>3400</v>
      </c>
      <c r="AW41" s="75">
        <f t="shared" si="48"/>
        <v>3750</v>
      </c>
      <c r="AX41" s="75">
        <f t="shared" si="49"/>
        <v>4150</v>
      </c>
      <c r="AY41" s="75">
        <f t="shared" si="50"/>
        <v>4550</v>
      </c>
      <c r="AZ41" s="75">
        <f t="shared" si="51"/>
        <v>4950</v>
      </c>
      <c r="BA41" s="75">
        <f t="shared" si="52"/>
        <v>5400</v>
      </c>
      <c r="BB41" s="75">
        <f t="shared" si="53"/>
        <v>5400</v>
      </c>
      <c r="BC41" s="75">
        <f t="shared" si="54"/>
        <v>5400</v>
      </c>
      <c r="BD41" s="75">
        <f t="shared" si="55"/>
        <v>5400</v>
      </c>
      <c r="BE41" s="75">
        <f t="shared" si="56"/>
        <v>5400</v>
      </c>
      <c r="BF41" s="75">
        <f t="shared" si="57"/>
        <v>5400</v>
      </c>
      <c r="BG41" s="75">
        <f t="shared" si="60"/>
        <v>5400</v>
      </c>
    </row>
    <row r="42" spans="1:59" x14ac:dyDescent="0.25">
      <c r="A42" s="194" t="s">
        <v>11</v>
      </c>
      <c r="B42" s="11" t="str">
        <f>'P(M)'!B29</f>
        <v>發明</v>
      </c>
      <c r="C42" s="3" t="s">
        <v>23</v>
      </c>
      <c r="D42" s="97"/>
      <c r="E42" s="97">
        <v>250</v>
      </c>
      <c r="F42" s="97">
        <v>250</v>
      </c>
      <c r="G42" s="97">
        <v>250</v>
      </c>
      <c r="H42" s="97">
        <v>250</v>
      </c>
      <c r="I42" s="97">
        <v>250</v>
      </c>
      <c r="J42" s="97">
        <v>250</v>
      </c>
      <c r="K42" s="97">
        <v>250</v>
      </c>
      <c r="L42" s="97">
        <v>250</v>
      </c>
      <c r="M42" s="97">
        <v>250</v>
      </c>
      <c r="N42" s="97">
        <v>275</v>
      </c>
      <c r="O42" s="97">
        <v>275</v>
      </c>
      <c r="P42" s="97">
        <v>275</v>
      </c>
      <c r="Q42" s="97">
        <v>275</v>
      </c>
      <c r="R42" s="97">
        <v>275</v>
      </c>
      <c r="S42" s="97">
        <v>300</v>
      </c>
      <c r="T42" s="97">
        <v>300</v>
      </c>
      <c r="U42" s="97">
        <v>300</v>
      </c>
      <c r="V42" s="97">
        <v>300</v>
      </c>
      <c r="W42" s="97">
        <v>300</v>
      </c>
      <c r="X42" s="97"/>
      <c r="Y42" s="97"/>
      <c r="Z42" s="97"/>
      <c r="AA42" s="97"/>
      <c r="AB42" s="97"/>
      <c r="AC42" s="75">
        <f>SUM(D42:AB42)</f>
        <v>5125</v>
      </c>
      <c r="AD42" s="11"/>
      <c r="AE42" s="194" t="s">
        <v>11</v>
      </c>
      <c r="AF42" s="11" t="str">
        <f t="shared" ref="AF42:AH43" si="64">B42</f>
        <v>發明</v>
      </c>
      <c r="AG42" s="14" t="str">
        <f t="shared" si="64"/>
        <v>MYR</v>
      </c>
      <c r="AH42" s="11">
        <f t="shared" si="64"/>
        <v>0</v>
      </c>
      <c r="AI42" s="75">
        <f t="shared" ref="AI42:AR43" si="65">AH42+E42</f>
        <v>250</v>
      </c>
      <c r="AJ42" s="75">
        <f t="shared" si="65"/>
        <v>500</v>
      </c>
      <c r="AK42" s="75">
        <f t="shared" si="65"/>
        <v>750</v>
      </c>
      <c r="AL42" s="75">
        <f t="shared" si="65"/>
        <v>1000</v>
      </c>
      <c r="AM42" s="75">
        <f t="shared" si="65"/>
        <v>1250</v>
      </c>
      <c r="AN42" s="75">
        <f t="shared" si="65"/>
        <v>1500</v>
      </c>
      <c r="AO42" s="75">
        <f t="shared" si="65"/>
        <v>1750</v>
      </c>
      <c r="AP42" s="75">
        <f t="shared" si="65"/>
        <v>2000</v>
      </c>
      <c r="AQ42" s="75">
        <f t="shared" si="65"/>
        <v>2250</v>
      </c>
      <c r="AR42" s="75">
        <f t="shared" si="65"/>
        <v>2525</v>
      </c>
      <c r="AS42" s="75">
        <f t="shared" si="44"/>
        <v>2800</v>
      </c>
      <c r="AT42" s="75">
        <f t="shared" si="45"/>
        <v>3075</v>
      </c>
      <c r="AU42" s="75">
        <f t="shared" si="46"/>
        <v>3350</v>
      </c>
      <c r="AV42" s="75">
        <f t="shared" si="47"/>
        <v>3625</v>
      </c>
      <c r="AW42" s="75">
        <f t="shared" si="48"/>
        <v>3925</v>
      </c>
      <c r="AX42" s="75">
        <f t="shared" si="49"/>
        <v>4225</v>
      </c>
      <c r="AY42" s="75">
        <f t="shared" si="50"/>
        <v>4525</v>
      </c>
      <c r="AZ42" s="75">
        <f t="shared" si="51"/>
        <v>4825</v>
      </c>
      <c r="BA42" s="75">
        <f t="shared" si="52"/>
        <v>5125</v>
      </c>
      <c r="BB42" s="75">
        <f t="shared" si="53"/>
        <v>5125</v>
      </c>
      <c r="BC42" s="75">
        <f t="shared" si="54"/>
        <v>5125</v>
      </c>
      <c r="BD42" s="75">
        <f t="shared" si="55"/>
        <v>5125</v>
      </c>
      <c r="BE42" s="75">
        <f t="shared" si="56"/>
        <v>5125</v>
      </c>
      <c r="BF42" s="75">
        <f t="shared" si="57"/>
        <v>5125</v>
      </c>
      <c r="BG42" s="75">
        <f>BF42</f>
        <v>5125</v>
      </c>
    </row>
    <row r="43" spans="1:59" x14ac:dyDescent="0.25">
      <c r="A43" s="195"/>
      <c r="B43" s="11" t="str">
        <f>'P(M)'!B30</f>
        <v>新型</v>
      </c>
      <c r="C43" s="3" t="s">
        <v>23</v>
      </c>
      <c r="D43" s="97"/>
      <c r="E43" s="97"/>
      <c r="F43" s="97">
        <v>250</v>
      </c>
      <c r="G43" s="97">
        <v>250</v>
      </c>
      <c r="H43" s="97">
        <v>250</v>
      </c>
      <c r="I43" s="97">
        <v>250</v>
      </c>
      <c r="J43" s="97">
        <v>250</v>
      </c>
      <c r="K43" s="97">
        <v>250</v>
      </c>
      <c r="L43" s="97">
        <v>250</v>
      </c>
      <c r="M43" s="97">
        <v>250</v>
      </c>
      <c r="N43" s="97">
        <v>275</v>
      </c>
      <c r="O43" s="97">
        <v>275</v>
      </c>
      <c r="P43" s="97">
        <v>275</v>
      </c>
      <c r="Q43" s="97">
        <v>275</v>
      </c>
      <c r="R43" s="97">
        <v>275</v>
      </c>
      <c r="S43" s="97">
        <v>300</v>
      </c>
      <c r="T43" s="97">
        <v>300</v>
      </c>
      <c r="U43" s="97">
        <v>300</v>
      </c>
      <c r="V43" s="97">
        <v>300</v>
      </c>
      <c r="W43" s="97">
        <v>300</v>
      </c>
      <c r="X43" s="97"/>
      <c r="Y43" s="97"/>
      <c r="Z43" s="97"/>
      <c r="AA43" s="97"/>
      <c r="AB43" s="97"/>
      <c r="AC43" s="75">
        <f>SUM(D43:AB43)</f>
        <v>4875</v>
      </c>
      <c r="AD43" s="11"/>
      <c r="AE43" s="195"/>
      <c r="AF43" s="11" t="str">
        <f t="shared" si="64"/>
        <v>新型</v>
      </c>
      <c r="AG43" s="14" t="str">
        <f t="shared" si="64"/>
        <v>MYR</v>
      </c>
      <c r="AH43" s="11">
        <f t="shared" si="64"/>
        <v>0</v>
      </c>
      <c r="AI43" s="75">
        <f t="shared" si="65"/>
        <v>0</v>
      </c>
      <c r="AJ43" s="75">
        <f t="shared" si="65"/>
        <v>250</v>
      </c>
      <c r="AK43" s="75">
        <f t="shared" si="65"/>
        <v>500</v>
      </c>
      <c r="AL43" s="75">
        <f t="shared" si="65"/>
        <v>750</v>
      </c>
      <c r="AM43" s="75">
        <f t="shared" si="65"/>
        <v>1000</v>
      </c>
      <c r="AN43" s="75">
        <f t="shared" si="65"/>
        <v>1250</v>
      </c>
      <c r="AO43" s="75">
        <f t="shared" si="65"/>
        <v>1500</v>
      </c>
      <c r="AP43" s="75">
        <f t="shared" si="65"/>
        <v>1750</v>
      </c>
      <c r="AQ43" s="75">
        <f t="shared" si="65"/>
        <v>2000</v>
      </c>
      <c r="AR43" s="75">
        <f t="shared" si="65"/>
        <v>2275</v>
      </c>
      <c r="AS43" s="75">
        <f t="shared" si="44"/>
        <v>2550</v>
      </c>
      <c r="AT43" s="75">
        <f t="shared" si="45"/>
        <v>2825</v>
      </c>
      <c r="AU43" s="75">
        <f t="shared" si="46"/>
        <v>3100</v>
      </c>
      <c r="AV43" s="75">
        <f t="shared" si="47"/>
        <v>3375</v>
      </c>
      <c r="AW43" s="75">
        <f t="shared" si="48"/>
        <v>3675</v>
      </c>
      <c r="AX43" s="75">
        <f t="shared" si="49"/>
        <v>3975</v>
      </c>
      <c r="AY43" s="75">
        <f t="shared" si="50"/>
        <v>4275</v>
      </c>
      <c r="AZ43" s="75">
        <f t="shared" si="51"/>
        <v>4575</v>
      </c>
      <c r="BA43" s="75">
        <f t="shared" si="52"/>
        <v>4875</v>
      </c>
      <c r="BB43" s="75">
        <f t="shared" si="53"/>
        <v>4875</v>
      </c>
      <c r="BC43" s="75">
        <f t="shared" si="54"/>
        <v>4875</v>
      </c>
      <c r="BD43" s="75">
        <f t="shared" si="55"/>
        <v>4875</v>
      </c>
      <c r="BE43" s="75">
        <f t="shared" si="56"/>
        <v>4875</v>
      </c>
      <c r="BF43" s="75">
        <f t="shared" si="57"/>
        <v>4875</v>
      </c>
      <c r="BG43" s="75">
        <f>BF43</f>
        <v>4875</v>
      </c>
    </row>
    <row r="44" spans="1:59" x14ac:dyDescent="0.25">
      <c r="A44" s="53" t="s">
        <v>146</v>
      </c>
      <c r="B44" s="11" t="str">
        <f>'P(M)'!B31</f>
        <v>發明</v>
      </c>
      <c r="C44" s="3" t="s">
        <v>16</v>
      </c>
      <c r="D44" s="97"/>
      <c r="E44" s="97"/>
      <c r="F44" s="97"/>
      <c r="G44" s="97"/>
      <c r="H44" s="97">
        <v>80</v>
      </c>
      <c r="I44" s="97">
        <v>80</v>
      </c>
      <c r="J44" s="97">
        <v>80</v>
      </c>
      <c r="K44" s="97">
        <v>80</v>
      </c>
      <c r="L44" s="97">
        <v>80</v>
      </c>
      <c r="M44" s="97">
        <v>80</v>
      </c>
      <c r="N44" s="97">
        <v>80</v>
      </c>
      <c r="O44" s="97">
        <v>80</v>
      </c>
      <c r="P44" s="97">
        <v>80</v>
      </c>
      <c r="Q44" s="97">
        <v>80</v>
      </c>
      <c r="R44" s="97">
        <v>80</v>
      </c>
      <c r="S44" s="97">
        <v>80</v>
      </c>
      <c r="T44" s="97">
        <v>80</v>
      </c>
      <c r="U44" s="97">
        <v>80</v>
      </c>
      <c r="V44" s="97">
        <v>80</v>
      </c>
      <c r="W44" s="97">
        <v>80</v>
      </c>
      <c r="X44" s="97"/>
      <c r="Y44" s="97"/>
      <c r="Z44" s="97"/>
      <c r="AA44" s="97"/>
      <c r="AB44" s="97"/>
      <c r="AC44" s="75">
        <f t="shared" si="58"/>
        <v>1280</v>
      </c>
      <c r="AD44" s="11"/>
      <c r="AE44" s="53" t="s">
        <v>146</v>
      </c>
      <c r="AF44" s="11" t="str">
        <f t="shared" si="59"/>
        <v>發明</v>
      </c>
      <c r="AG44" s="14" t="str">
        <f t="shared" si="34"/>
        <v>USD</v>
      </c>
      <c r="AH44" s="11">
        <f t="shared" si="61"/>
        <v>0</v>
      </c>
      <c r="AI44" s="75">
        <f t="shared" si="62"/>
        <v>0</v>
      </c>
      <c r="AJ44" s="75">
        <f t="shared" si="35"/>
        <v>0</v>
      </c>
      <c r="AK44" s="75">
        <f t="shared" si="36"/>
        <v>0</v>
      </c>
      <c r="AL44" s="75">
        <f t="shared" si="37"/>
        <v>80</v>
      </c>
      <c r="AM44" s="75">
        <f t="shared" si="38"/>
        <v>160</v>
      </c>
      <c r="AN44" s="75">
        <f t="shared" si="39"/>
        <v>240</v>
      </c>
      <c r="AO44" s="75">
        <f t="shared" si="40"/>
        <v>320</v>
      </c>
      <c r="AP44" s="75">
        <f t="shared" si="41"/>
        <v>400</v>
      </c>
      <c r="AQ44" s="75">
        <f t="shared" si="42"/>
        <v>480</v>
      </c>
      <c r="AR44" s="75">
        <f t="shared" si="43"/>
        <v>560</v>
      </c>
      <c r="AS44" s="75">
        <f t="shared" si="44"/>
        <v>640</v>
      </c>
      <c r="AT44" s="75">
        <f t="shared" si="45"/>
        <v>720</v>
      </c>
      <c r="AU44" s="75">
        <f t="shared" si="46"/>
        <v>800</v>
      </c>
      <c r="AV44" s="75">
        <f t="shared" si="47"/>
        <v>880</v>
      </c>
      <c r="AW44" s="75">
        <f t="shared" si="48"/>
        <v>960</v>
      </c>
      <c r="AX44" s="75">
        <f t="shared" si="49"/>
        <v>1040</v>
      </c>
      <c r="AY44" s="75">
        <f t="shared" si="50"/>
        <v>1120</v>
      </c>
      <c r="AZ44" s="75">
        <f t="shared" si="51"/>
        <v>1200</v>
      </c>
      <c r="BA44" s="75">
        <f t="shared" si="52"/>
        <v>1280</v>
      </c>
      <c r="BB44" s="75">
        <f t="shared" si="53"/>
        <v>1280</v>
      </c>
      <c r="BC44" s="75">
        <f t="shared" si="54"/>
        <v>1280</v>
      </c>
      <c r="BD44" s="75">
        <f t="shared" si="55"/>
        <v>1280</v>
      </c>
      <c r="BE44" s="75">
        <f t="shared" si="56"/>
        <v>1280</v>
      </c>
      <c r="BF44" s="75">
        <f t="shared" si="57"/>
        <v>1280</v>
      </c>
      <c r="BG44" s="75">
        <f t="shared" si="60"/>
        <v>1280</v>
      </c>
    </row>
    <row r="45" spans="1:59" x14ac:dyDescent="0.25">
      <c r="A45" s="194" t="s">
        <v>131</v>
      </c>
      <c r="B45" s="11" t="str">
        <f>'P(M)'!B32</f>
        <v>發明</v>
      </c>
      <c r="C45" s="3" t="s">
        <v>16</v>
      </c>
      <c r="D45" s="97"/>
      <c r="E45" s="97">
        <v>170</v>
      </c>
      <c r="F45" s="97">
        <v>170</v>
      </c>
      <c r="G45" s="97">
        <v>170</v>
      </c>
      <c r="H45" s="97">
        <v>170</v>
      </c>
      <c r="I45" s="97">
        <v>170</v>
      </c>
      <c r="J45" s="97">
        <v>170</v>
      </c>
      <c r="K45" s="97">
        <v>170</v>
      </c>
      <c r="L45" s="97">
        <v>170</v>
      </c>
      <c r="M45" s="97">
        <v>170</v>
      </c>
      <c r="N45" s="97">
        <v>170</v>
      </c>
      <c r="O45" s="97">
        <v>170</v>
      </c>
      <c r="P45" s="97">
        <v>170</v>
      </c>
      <c r="Q45" s="97">
        <v>170</v>
      </c>
      <c r="R45" s="97">
        <v>170</v>
      </c>
      <c r="S45" s="97">
        <v>170</v>
      </c>
      <c r="T45" s="97">
        <v>170</v>
      </c>
      <c r="U45" s="97">
        <v>170</v>
      </c>
      <c r="V45" s="97">
        <v>170</v>
      </c>
      <c r="W45" s="97">
        <v>170</v>
      </c>
      <c r="X45" s="97"/>
      <c r="Y45" s="97"/>
      <c r="Z45" s="97"/>
      <c r="AA45" s="97"/>
      <c r="AB45" s="97"/>
      <c r="AC45" s="75">
        <f>SUM(D45:AB45)</f>
        <v>3230</v>
      </c>
      <c r="AD45" s="11"/>
      <c r="AE45" s="194" t="s">
        <v>131</v>
      </c>
      <c r="AF45" s="11" t="str">
        <f t="shared" ref="AF45:AH46" si="66">B45</f>
        <v>發明</v>
      </c>
      <c r="AG45" s="14" t="str">
        <f t="shared" si="66"/>
        <v>USD</v>
      </c>
      <c r="AH45" s="11">
        <f t="shared" si="66"/>
        <v>0</v>
      </c>
      <c r="AI45" s="75">
        <f t="shared" ref="AI45:AR46" si="67">AH45+E45</f>
        <v>170</v>
      </c>
      <c r="AJ45" s="75">
        <f t="shared" si="67"/>
        <v>340</v>
      </c>
      <c r="AK45" s="75">
        <f t="shared" si="67"/>
        <v>510</v>
      </c>
      <c r="AL45" s="75">
        <f t="shared" si="67"/>
        <v>680</v>
      </c>
      <c r="AM45" s="75">
        <f t="shared" si="67"/>
        <v>850</v>
      </c>
      <c r="AN45" s="75">
        <f t="shared" si="67"/>
        <v>1020</v>
      </c>
      <c r="AO45" s="75">
        <f t="shared" si="67"/>
        <v>1190</v>
      </c>
      <c r="AP45" s="75">
        <f t="shared" si="67"/>
        <v>1360</v>
      </c>
      <c r="AQ45" s="75">
        <f t="shared" si="67"/>
        <v>1530</v>
      </c>
      <c r="AR45" s="75">
        <f t="shared" si="67"/>
        <v>1700</v>
      </c>
      <c r="AS45" s="75">
        <f t="shared" si="44"/>
        <v>1870</v>
      </c>
      <c r="AT45" s="75">
        <f t="shared" si="45"/>
        <v>2040</v>
      </c>
      <c r="AU45" s="75">
        <f t="shared" si="46"/>
        <v>2210</v>
      </c>
      <c r="AV45" s="75">
        <f t="shared" si="47"/>
        <v>2380</v>
      </c>
      <c r="AW45" s="75">
        <f t="shared" si="48"/>
        <v>2550</v>
      </c>
      <c r="AX45" s="75">
        <f t="shared" si="49"/>
        <v>2720</v>
      </c>
      <c r="AY45" s="75">
        <f t="shared" si="50"/>
        <v>2890</v>
      </c>
      <c r="AZ45" s="75">
        <f t="shared" si="51"/>
        <v>3060</v>
      </c>
      <c r="BA45" s="75">
        <f t="shared" si="52"/>
        <v>3230</v>
      </c>
      <c r="BB45" s="75">
        <f t="shared" si="53"/>
        <v>3230</v>
      </c>
      <c r="BC45" s="75">
        <f t="shared" si="54"/>
        <v>3230</v>
      </c>
      <c r="BD45" s="75">
        <f t="shared" si="55"/>
        <v>3230</v>
      </c>
      <c r="BE45" s="75">
        <f t="shared" si="56"/>
        <v>3230</v>
      </c>
      <c r="BF45" s="75">
        <f t="shared" si="57"/>
        <v>3230</v>
      </c>
      <c r="BG45" s="75">
        <f>BF45</f>
        <v>3230</v>
      </c>
    </row>
    <row r="46" spans="1:59" x14ac:dyDescent="0.25">
      <c r="A46" s="195"/>
      <c r="B46" s="11" t="str">
        <f>'P(M)'!B33</f>
        <v>新型</v>
      </c>
      <c r="C46" s="3" t="s">
        <v>16</v>
      </c>
      <c r="D46" s="97"/>
      <c r="E46" s="97">
        <v>150</v>
      </c>
      <c r="F46" s="97">
        <v>150</v>
      </c>
      <c r="G46" s="97">
        <v>150</v>
      </c>
      <c r="H46" s="97">
        <v>150</v>
      </c>
      <c r="I46" s="97">
        <v>150</v>
      </c>
      <c r="J46" s="97">
        <v>150</v>
      </c>
      <c r="K46" s="97">
        <v>150</v>
      </c>
      <c r="L46" s="97">
        <v>150</v>
      </c>
      <c r="M46" s="97">
        <v>150</v>
      </c>
      <c r="N46" s="97"/>
      <c r="O46" s="97"/>
      <c r="P46" s="97"/>
      <c r="Q46" s="97"/>
      <c r="R46" s="97"/>
      <c r="S46" s="97"/>
      <c r="T46" s="97"/>
      <c r="U46" s="97"/>
      <c r="V46" s="97"/>
      <c r="W46" s="97"/>
      <c r="X46" s="97"/>
      <c r="Y46" s="97"/>
      <c r="Z46" s="97"/>
      <c r="AA46" s="97"/>
      <c r="AB46" s="97"/>
      <c r="AC46" s="75">
        <f>SUM(D46:AB46)</f>
        <v>1350</v>
      </c>
      <c r="AD46" s="11"/>
      <c r="AE46" s="195"/>
      <c r="AF46" s="11" t="str">
        <f t="shared" si="66"/>
        <v>新型</v>
      </c>
      <c r="AG46" s="14" t="str">
        <f t="shared" si="66"/>
        <v>USD</v>
      </c>
      <c r="AH46" s="11">
        <f t="shared" si="66"/>
        <v>0</v>
      </c>
      <c r="AI46" s="75">
        <f t="shared" si="67"/>
        <v>150</v>
      </c>
      <c r="AJ46" s="75">
        <f t="shared" si="67"/>
        <v>300</v>
      </c>
      <c r="AK46" s="75">
        <f t="shared" si="67"/>
        <v>450</v>
      </c>
      <c r="AL46" s="75">
        <f t="shared" si="67"/>
        <v>600</v>
      </c>
      <c r="AM46" s="75">
        <f t="shared" si="67"/>
        <v>750</v>
      </c>
      <c r="AN46" s="75">
        <f t="shared" si="67"/>
        <v>900</v>
      </c>
      <c r="AO46" s="75">
        <f t="shared" si="67"/>
        <v>1050</v>
      </c>
      <c r="AP46" s="75">
        <f t="shared" si="67"/>
        <v>1200</v>
      </c>
      <c r="AQ46" s="75">
        <f t="shared" si="67"/>
        <v>1350</v>
      </c>
      <c r="AR46" s="75">
        <f t="shared" si="67"/>
        <v>1350</v>
      </c>
      <c r="AS46" s="75">
        <f t="shared" si="44"/>
        <v>1350</v>
      </c>
      <c r="AT46" s="75">
        <f t="shared" si="45"/>
        <v>1350</v>
      </c>
      <c r="AU46" s="75">
        <f t="shared" si="46"/>
        <v>1350</v>
      </c>
      <c r="AV46" s="75">
        <f t="shared" si="47"/>
        <v>1350</v>
      </c>
      <c r="AW46" s="75">
        <f t="shared" si="48"/>
        <v>1350</v>
      </c>
      <c r="AX46" s="75">
        <f t="shared" si="49"/>
        <v>1350</v>
      </c>
      <c r="AY46" s="75">
        <f t="shared" si="50"/>
        <v>1350</v>
      </c>
      <c r="AZ46" s="75">
        <f t="shared" si="51"/>
        <v>1350</v>
      </c>
      <c r="BA46" s="75">
        <f t="shared" si="52"/>
        <v>1350</v>
      </c>
      <c r="BB46" s="75">
        <f t="shared" si="53"/>
        <v>1350</v>
      </c>
      <c r="BC46" s="75">
        <f t="shared" si="54"/>
        <v>1350</v>
      </c>
      <c r="BD46" s="75">
        <f t="shared" si="55"/>
        <v>1350</v>
      </c>
      <c r="BE46" s="75">
        <f t="shared" si="56"/>
        <v>1350</v>
      </c>
      <c r="BF46" s="75">
        <f t="shared" si="57"/>
        <v>1350</v>
      </c>
      <c r="BG46" s="75">
        <f>BF46</f>
        <v>1350</v>
      </c>
    </row>
    <row r="47" spans="1:59" x14ac:dyDescent="0.25">
      <c r="A47" s="194" t="s">
        <v>9</v>
      </c>
      <c r="B47" s="11" t="str">
        <f>'P(M)'!B34</f>
        <v>發明</v>
      </c>
      <c r="C47" s="3" t="s">
        <v>16</v>
      </c>
      <c r="D47" s="97"/>
      <c r="E47" s="97">
        <f>IF('發明(新型)案成本估算'!$B$8&gt;0,65+11*('發明(新型)案成本估算'!$B$8-1),0)</f>
        <v>87</v>
      </c>
      <c r="F47" s="97">
        <f>IF('發明(新型)案成本估算'!$B$8&gt;0,65+11*('發明(新型)案成本估算'!$B$8-1),0)</f>
        <v>87</v>
      </c>
      <c r="G47" s="97">
        <f>IF('發明(新型)案成本估算'!$B$8&gt;0,65+11*('發明(新型)案成本估算'!$B$8-1),0)</f>
        <v>87</v>
      </c>
      <c r="H47" s="97">
        <f>IF('發明(新型)案成本估算'!$B$8&gt;0,65+11*('發明(新型)案成本估算'!$B$8-1),0)</f>
        <v>87</v>
      </c>
      <c r="I47" s="97">
        <f>IF('發明(新型)案成本估算'!$B$8&gt;0,65+11*('發明(新型)案成本估算'!$B$8-1),0)</f>
        <v>87</v>
      </c>
      <c r="J47" s="97">
        <f>IF('發明(新型)案成本估算'!$B$8&gt;0,65+11*('發明(新型)案成本估算'!$B$8-1),0)</f>
        <v>87</v>
      </c>
      <c r="K47" s="97">
        <f>IF('發明(新型)案成本估算'!$B$8&gt;0,65+11*('發明(新型)案成本估算'!$B$8-1),0)</f>
        <v>87</v>
      </c>
      <c r="L47" s="97">
        <f>IF('發明(新型)案成本估算'!$B$8&gt;0,65+11*('發明(新型)案成本估算'!$B$8-1),0)</f>
        <v>87</v>
      </c>
      <c r="M47" s="97">
        <f>IF('發明(新型)案成本估算'!$B$8&gt;0,65+11*('發明(新型)案成本估算'!$B$8-1),0)</f>
        <v>87</v>
      </c>
      <c r="N47" s="97">
        <f>IF('發明(新型)案成本估算'!$B$8&gt;0,65+11*('發明(新型)案成本估算'!$B$8-1),0)</f>
        <v>87</v>
      </c>
      <c r="O47" s="97">
        <f>IF('發明(新型)案成本估算'!$B$8&gt;0,65+11*('發明(新型)案成本估算'!$B$8-1),0)</f>
        <v>87</v>
      </c>
      <c r="P47" s="97">
        <f>IF('發明(新型)案成本估算'!$B$8&gt;0,65+11*('發明(新型)案成本估算'!$B$8-1),0)</f>
        <v>87</v>
      </c>
      <c r="Q47" s="97">
        <f>IF('發明(新型)案成本估算'!$B$8&gt;0,65+11*('發明(新型)案成本估算'!$B$8-1),0)</f>
        <v>87</v>
      </c>
      <c r="R47" s="97">
        <f>IF('發明(新型)案成本估算'!$B$8&gt;0,65+11*('發明(新型)案成本估算'!$B$8-1),0)</f>
        <v>87</v>
      </c>
      <c r="S47" s="97">
        <f>IF('發明(新型)案成本估算'!$B$8&gt;0,65+11*('發明(新型)案成本估算'!$B$8-1),0)</f>
        <v>87</v>
      </c>
      <c r="T47" s="97">
        <f>IF('發明(新型)案成本估算'!$B$8&gt;0,65+11*('發明(新型)案成本估算'!$B$8-1),0)</f>
        <v>87</v>
      </c>
      <c r="U47" s="97">
        <f>IF('發明(新型)案成本估算'!$B$8&gt;0,65+11*('發明(新型)案成本估算'!$B$8-1),0)</f>
        <v>87</v>
      </c>
      <c r="V47" s="97">
        <f>IF('發明(新型)案成本估算'!$B$8&gt;0,65+11*('發明(新型)案成本估算'!$B$8-1),0)</f>
        <v>87</v>
      </c>
      <c r="W47" s="97">
        <f>IF('發明(新型)案成本估算'!$B$8&gt;0,65+11*('發明(新型)案成本估算'!$B$8-1),0)</f>
        <v>87</v>
      </c>
      <c r="X47" s="97"/>
      <c r="Y47" s="97"/>
      <c r="Z47" s="97"/>
      <c r="AA47" s="97"/>
      <c r="AB47" s="97"/>
      <c r="AC47" s="75">
        <f t="shared" si="58"/>
        <v>1653</v>
      </c>
      <c r="AD47" s="11"/>
      <c r="AE47" s="194" t="s">
        <v>9</v>
      </c>
      <c r="AF47" s="11" t="str">
        <f t="shared" si="59"/>
        <v>發明</v>
      </c>
      <c r="AG47" s="14" t="str">
        <f t="shared" si="34"/>
        <v>USD</v>
      </c>
      <c r="AH47" s="11">
        <f t="shared" si="61"/>
        <v>0</v>
      </c>
      <c r="AI47" s="75">
        <f t="shared" si="62"/>
        <v>87</v>
      </c>
      <c r="AJ47" s="75">
        <f t="shared" si="35"/>
        <v>174</v>
      </c>
      <c r="AK47" s="75">
        <f t="shared" si="36"/>
        <v>261</v>
      </c>
      <c r="AL47" s="75">
        <f t="shared" si="37"/>
        <v>348</v>
      </c>
      <c r="AM47" s="75">
        <f t="shared" si="38"/>
        <v>435</v>
      </c>
      <c r="AN47" s="75">
        <f t="shared" si="39"/>
        <v>522</v>
      </c>
      <c r="AO47" s="75">
        <f t="shared" si="40"/>
        <v>609</v>
      </c>
      <c r="AP47" s="75">
        <f t="shared" si="41"/>
        <v>696</v>
      </c>
      <c r="AQ47" s="75">
        <f t="shared" si="42"/>
        <v>783</v>
      </c>
      <c r="AR47" s="75">
        <f t="shared" si="43"/>
        <v>870</v>
      </c>
      <c r="AS47" s="75">
        <f t="shared" si="44"/>
        <v>957</v>
      </c>
      <c r="AT47" s="75">
        <f t="shared" si="45"/>
        <v>1044</v>
      </c>
      <c r="AU47" s="75">
        <f t="shared" si="46"/>
        <v>1131</v>
      </c>
      <c r="AV47" s="75">
        <f t="shared" si="47"/>
        <v>1218</v>
      </c>
      <c r="AW47" s="75">
        <f t="shared" si="48"/>
        <v>1305</v>
      </c>
      <c r="AX47" s="75">
        <f t="shared" si="49"/>
        <v>1392</v>
      </c>
      <c r="AY47" s="75">
        <f t="shared" si="50"/>
        <v>1479</v>
      </c>
      <c r="AZ47" s="75">
        <f t="shared" si="51"/>
        <v>1566</v>
      </c>
      <c r="BA47" s="75">
        <f t="shared" si="52"/>
        <v>1653</v>
      </c>
      <c r="BB47" s="75">
        <f t="shared" si="53"/>
        <v>1653</v>
      </c>
      <c r="BC47" s="75">
        <f t="shared" si="54"/>
        <v>1653</v>
      </c>
      <c r="BD47" s="75">
        <f t="shared" si="55"/>
        <v>1653</v>
      </c>
      <c r="BE47" s="75">
        <f t="shared" si="56"/>
        <v>1653</v>
      </c>
      <c r="BF47" s="75">
        <f t="shared" si="57"/>
        <v>1653</v>
      </c>
      <c r="BG47" s="75">
        <f t="shared" si="60"/>
        <v>1653</v>
      </c>
    </row>
    <row r="48" spans="1:59" x14ac:dyDescent="0.25">
      <c r="A48" s="195"/>
      <c r="B48" s="11" t="str">
        <f>'P(M)'!B35</f>
        <v>新型</v>
      </c>
      <c r="C48" s="3" t="s">
        <v>16</v>
      </c>
      <c r="D48" s="97"/>
      <c r="E48" s="97">
        <f>IF('發明(新型)案成本估算'!$B$8&gt;0,65+11*('發明(新型)案成本估算'!$B$8-1),0)</f>
        <v>87</v>
      </c>
      <c r="F48" s="97">
        <f>IF('發明(新型)案成本估算'!$B$8&gt;0,65+11*('發明(新型)案成本估算'!$B$8-1),0)</f>
        <v>87</v>
      </c>
      <c r="G48" s="97">
        <f>IF('發明(新型)案成本估算'!$B$8&gt;0,65+11*('發明(新型)案成本估算'!$B$8-1),0)</f>
        <v>87</v>
      </c>
      <c r="H48" s="97">
        <f>IF('發明(新型)案成本估算'!$B$8&gt;0,65+11*('發明(新型)案成本估算'!$B$8-1),0)</f>
        <v>87</v>
      </c>
      <c r="I48" s="97">
        <f>IF('發明(新型)案成本估算'!$B$8&gt;0,65+11*('發明(新型)案成本估算'!$B$8-1),0)</f>
        <v>87</v>
      </c>
      <c r="J48" s="97">
        <f>IF('發明(新型)案成本估算'!$B$8&gt;0,65+11*('發明(新型)案成本估算'!$B$8-1),0)</f>
        <v>87</v>
      </c>
      <c r="K48" s="97">
        <f>IF('發明(新型)案成本估算'!$B$8&gt;0,65+11*('發明(新型)案成本估算'!$B$8-1),0)</f>
        <v>87</v>
      </c>
      <c r="L48" s="97">
        <f>IF('發明(新型)案成本估算'!$B$8&gt;0,65+11*('發明(新型)案成本估算'!$B$8-1),0)</f>
        <v>87</v>
      </c>
      <c r="M48" s="97">
        <f>IF('發明(新型)案成本估算'!$B$8&gt;0,65+11*('發明(新型)案成本估算'!$B$8-1),0)</f>
        <v>87</v>
      </c>
      <c r="N48" s="97"/>
      <c r="O48" s="97"/>
      <c r="P48" s="97"/>
      <c r="Q48" s="97"/>
      <c r="R48" s="97"/>
      <c r="S48" s="97"/>
      <c r="T48" s="97"/>
      <c r="U48" s="97"/>
      <c r="V48" s="97"/>
      <c r="W48" s="97"/>
      <c r="X48" s="97"/>
      <c r="Y48" s="97"/>
      <c r="Z48" s="97"/>
      <c r="AA48" s="97"/>
      <c r="AB48" s="97"/>
      <c r="AC48" s="75">
        <f t="shared" si="58"/>
        <v>783</v>
      </c>
      <c r="AD48" s="11"/>
      <c r="AE48" s="195"/>
      <c r="AF48" s="11" t="str">
        <f t="shared" si="59"/>
        <v>新型</v>
      </c>
      <c r="AG48" s="14" t="str">
        <f t="shared" si="34"/>
        <v>USD</v>
      </c>
      <c r="AH48" s="11">
        <f t="shared" si="61"/>
        <v>0</v>
      </c>
      <c r="AI48" s="75">
        <f t="shared" si="62"/>
        <v>87</v>
      </c>
      <c r="AJ48" s="75">
        <f t="shared" si="35"/>
        <v>174</v>
      </c>
      <c r="AK48" s="75">
        <f t="shared" si="36"/>
        <v>261</v>
      </c>
      <c r="AL48" s="75">
        <f t="shared" si="37"/>
        <v>348</v>
      </c>
      <c r="AM48" s="75">
        <f t="shared" si="38"/>
        <v>435</v>
      </c>
      <c r="AN48" s="75">
        <f t="shared" si="39"/>
        <v>522</v>
      </c>
      <c r="AO48" s="75">
        <f t="shared" si="40"/>
        <v>609</v>
      </c>
      <c r="AP48" s="75">
        <f t="shared" si="41"/>
        <v>696</v>
      </c>
      <c r="AQ48" s="75">
        <f t="shared" si="42"/>
        <v>783</v>
      </c>
      <c r="AR48" s="75">
        <f t="shared" si="43"/>
        <v>783</v>
      </c>
      <c r="AS48" s="75">
        <f t="shared" si="44"/>
        <v>783</v>
      </c>
      <c r="AT48" s="75">
        <f t="shared" si="45"/>
        <v>783</v>
      </c>
      <c r="AU48" s="75">
        <f t="shared" si="46"/>
        <v>783</v>
      </c>
      <c r="AV48" s="75">
        <f t="shared" si="47"/>
        <v>783</v>
      </c>
      <c r="AW48" s="75">
        <f t="shared" si="48"/>
        <v>783</v>
      </c>
      <c r="AX48" s="75">
        <f t="shared" si="49"/>
        <v>783</v>
      </c>
      <c r="AY48" s="75">
        <f t="shared" si="50"/>
        <v>783</v>
      </c>
      <c r="AZ48" s="75">
        <f t="shared" si="51"/>
        <v>783</v>
      </c>
      <c r="BA48" s="75">
        <f t="shared" si="52"/>
        <v>783</v>
      </c>
      <c r="BB48" s="75">
        <f t="shared" si="53"/>
        <v>783</v>
      </c>
      <c r="BC48" s="75">
        <f t="shared" si="54"/>
        <v>783</v>
      </c>
      <c r="BD48" s="75">
        <f t="shared" si="55"/>
        <v>783</v>
      </c>
      <c r="BE48" s="75">
        <f t="shared" si="56"/>
        <v>783</v>
      </c>
      <c r="BF48" s="75">
        <f t="shared" si="57"/>
        <v>783</v>
      </c>
      <c r="BG48" s="75">
        <f t="shared" si="60"/>
        <v>783</v>
      </c>
    </row>
    <row r="49" spans="1:59" x14ac:dyDescent="0.25">
      <c r="A49" s="194" t="s">
        <v>10</v>
      </c>
      <c r="B49" s="11" t="str">
        <f>'P(M)'!B36</f>
        <v>發明</v>
      </c>
      <c r="C49" s="3" t="s">
        <v>22</v>
      </c>
      <c r="D49" s="97"/>
      <c r="E49" s="97"/>
      <c r="F49" s="97"/>
      <c r="G49" s="97"/>
      <c r="H49" s="97">
        <v>3200</v>
      </c>
      <c r="I49" s="97">
        <v>3200</v>
      </c>
      <c r="J49" s="97">
        <v>3200</v>
      </c>
      <c r="K49" s="97">
        <v>3200</v>
      </c>
      <c r="L49" s="97">
        <v>3200</v>
      </c>
      <c r="M49" s="97">
        <v>3200</v>
      </c>
      <c r="N49" s="97">
        <v>3200</v>
      </c>
      <c r="O49" s="97">
        <v>3200</v>
      </c>
      <c r="P49" s="97">
        <v>3200</v>
      </c>
      <c r="Q49" s="97">
        <v>3200</v>
      </c>
      <c r="R49" s="97">
        <v>3200</v>
      </c>
      <c r="S49" s="97">
        <v>3200</v>
      </c>
      <c r="T49" s="97">
        <v>3200</v>
      </c>
      <c r="U49" s="97">
        <v>3200</v>
      </c>
      <c r="V49" s="97">
        <v>3200</v>
      </c>
      <c r="W49" s="97">
        <v>3200</v>
      </c>
      <c r="X49" s="97"/>
      <c r="Y49" s="97"/>
      <c r="Z49" s="97"/>
      <c r="AA49" s="97"/>
      <c r="AB49" s="97"/>
      <c r="AC49" s="75">
        <f t="shared" si="58"/>
        <v>51200</v>
      </c>
      <c r="AD49" s="11"/>
      <c r="AE49" s="194" t="s">
        <v>10</v>
      </c>
      <c r="AF49" s="11" t="str">
        <f t="shared" si="59"/>
        <v>發明</v>
      </c>
      <c r="AG49" s="14" t="str">
        <f t="shared" si="34"/>
        <v>THB</v>
      </c>
      <c r="AH49" s="11">
        <f t="shared" si="61"/>
        <v>0</v>
      </c>
      <c r="AI49" s="75">
        <f t="shared" si="62"/>
        <v>0</v>
      </c>
      <c r="AJ49" s="75">
        <f t="shared" si="35"/>
        <v>0</v>
      </c>
      <c r="AK49" s="75">
        <f t="shared" si="36"/>
        <v>0</v>
      </c>
      <c r="AL49" s="75">
        <f t="shared" si="37"/>
        <v>3200</v>
      </c>
      <c r="AM49" s="75">
        <f t="shared" si="38"/>
        <v>6400</v>
      </c>
      <c r="AN49" s="75">
        <f t="shared" si="39"/>
        <v>9600</v>
      </c>
      <c r="AO49" s="75">
        <f t="shared" si="40"/>
        <v>12800</v>
      </c>
      <c r="AP49" s="75">
        <f t="shared" si="41"/>
        <v>16000</v>
      </c>
      <c r="AQ49" s="75">
        <f t="shared" si="42"/>
        <v>19200</v>
      </c>
      <c r="AR49" s="75">
        <f t="shared" si="43"/>
        <v>22400</v>
      </c>
      <c r="AS49" s="75">
        <f t="shared" si="44"/>
        <v>25600</v>
      </c>
      <c r="AT49" s="75">
        <f t="shared" si="45"/>
        <v>28800</v>
      </c>
      <c r="AU49" s="75">
        <f t="shared" si="46"/>
        <v>32000</v>
      </c>
      <c r="AV49" s="75">
        <f t="shared" si="47"/>
        <v>35200</v>
      </c>
      <c r="AW49" s="75">
        <f t="shared" si="48"/>
        <v>38400</v>
      </c>
      <c r="AX49" s="75">
        <f t="shared" si="49"/>
        <v>41600</v>
      </c>
      <c r="AY49" s="75">
        <f t="shared" si="50"/>
        <v>44800</v>
      </c>
      <c r="AZ49" s="75">
        <f t="shared" si="51"/>
        <v>48000</v>
      </c>
      <c r="BA49" s="75">
        <f t="shared" si="52"/>
        <v>51200</v>
      </c>
      <c r="BB49" s="75">
        <f t="shared" si="53"/>
        <v>51200</v>
      </c>
      <c r="BC49" s="75">
        <f t="shared" si="54"/>
        <v>51200</v>
      </c>
      <c r="BD49" s="75">
        <f t="shared" si="55"/>
        <v>51200</v>
      </c>
      <c r="BE49" s="75">
        <f t="shared" si="56"/>
        <v>51200</v>
      </c>
      <c r="BF49" s="75">
        <f t="shared" si="57"/>
        <v>51200</v>
      </c>
      <c r="BG49" s="75">
        <f t="shared" si="60"/>
        <v>51200</v>
      </c>
    </row>
    <row r="50" spans="1:59" x14ac:dyDescent="0.25">
      <c r="A50" s="195"/>
      <c r="B50" s="11" t="str">
        <f>'P(M)'!B37</f>
        <v>新型</v>
      </c>
      <c r="C50" s="3" t="s">
        <v>22</v>
      </c>
      <c r="D50" s="97"/>
      <c r="E50" s="97"/>
      <c r="F50" s="97"/>
      <c r="G50" s="97"/>
      <c r="H50" s="97">
        <v>3200</v>
      </c>
      <c r="I50" s="97">
        <v>3200</v>
      </c>
      <c r="J50" s="97">
        <v>4800</v>
      </c>
      <c r="K50" s="97"/>
      <c r="L50" s="97">
        <v>4800</v>
      </c>
      <c r="M50" s="97"/>
      <c r="N50" s="97"/>
      <c r="O50" s="97"/>
      <c r="P50" s="97"/>
      <c r="Q50" s="97"/>
      <c r="R50" s="97"/>
      <c r="S50" s="97"/>
      <c r="T50" s="97"/>
      <c r="U50" s="97"/>
      <c r="V50" s="97"/>
      <c r="W50" s="97"/>
      <c r="X50" s="97"/>
      <c r="Y50" s="97"/>
      <c r="Z50" s="97"/>
      <c r="AA50" s="97"/>
      <c r="AB50" s="97"/>
      <c r="AC50" s="75">
        <f t="shared" si="58"/>
        <v>16000</v>
      </c>
      <c r="AD50" s="11"/>
      <c r="AE50" s="195"/>
      <c r="AF50" s="11" t="str">
        <f t="shared" si="59"/>
        <v>新型</v>
      </c>
      <c r="AG50" s="14" t="str">
        <f t="shared" si="34"/>
        <v>THB</v>
      </c>
      <c r="AH50" s="11">
        <f t="shared" si="61"/>
        <v>0</v>
      </c>
      <c r="AI50" s="75">
        <f t="shared" si="62"/>
        <v>0</v>
      </c>
      <c r="AJ50" s="75">
        <f t="shared" si="35"/>
        <v>0</v>
      </c>
      <c r="AK50" s="75">
        <f t="shared" si="36"/>
        <v>0</v>
      </c>
      <c r="AL50" s="75">
        <f t="shared" si="37"/>
        <v>3200</v>
      </c>
      <c r="AM50" s="75">
        <f t="shared" si="38"/>
        <v>6400</v>
      </c>
      <c r="AN50" s="75">
        <f t="shared" si="39"/>
        <v>11200</v>
      </c>
      <c r="AO50" s="75">
        <f t="shared" si="40"/>
        <v>11200</v>
      </c>
      <c r="AP50" s="75">
        <f t="shared" si="41"/>
        <v>16000</v>
      </c>
      <c r="AQ50" s="75">
        <f t="shared" si="42"/>
        <v>16000</v>
      </c>
      <c r="AR50" s="75">
        <f t="shared" si="43"/>
        <v>16000</v>
      </c>
      <c r="AS50" s="75">
        <f t="shared" si="44"/>
        <v>16000</v>
      </c>
      <c r="AT50" s="75">
        <f t="shared" si="45"/>
        <v>16000</v>
      </c>
      <c r="AU50" s="75">
        <f t="shared" si="46"/>
        <v>16000</v>
      </c>
      <c r="AV50" s="75">
        <f t="shared" si="47"/>
        <v>16000</v>
      </c>
      <c r="AW50" s="75">
        <f t="shared" si="48"/>
        <v>16000</v>
      </c>
      <c r="AX50" s="75">
        <f t="shared" si="49"/>
        <v>16000</v>
      </c>
      <c r="AY50" s="75">
        <f t="shared" si="50"/>
        <v>16000</v>
      </c>
      <c r="AZ50" s="75">
        <f t="shared" si="51"/>
        <v>16000</v>
      </c>
      <c r="BA50" s="75">
        <f t="shared" si="52"/>
        <v>16000</v>
      </c>
      <c r="BB50" s="75">
        <f t="shared" si="53"/>
        <v>16000</v>
      </c>
      <c r="BC50" s="75">
        <f t="shared" si="54"/>
        <v>16000</v>
      </c>
      <c r="BD50" s="75">
        <f t="shared" si="55"/>
        <v>16000</v>
      </c>
      <c r="BE50" s="75">
        <f t="shared" si="56"/>
        <v>16000</v>
      </c>
      <c r="BF50" s="75">
        <f t="shared" si="57"/>
        <v>16000</v>
      </c>
      <c r="BG50" s="75">
        <f t="shared" si="60"/>
        <v>16000</v>
      </c>
    </row>
    <row r="51" spans="1:59" x14ac:dyDescent="0.25">
      <c r="A51" s="5"/>
      <c r="B51" s="5"/>
      <c r="C51" s="5"/>
      <c r="D51" s="98"/>
      <c r="E51" s="98"/>
      <c r="F51" s="98"/>
      <c r="G51" s="98"/>
      <c r="H51" s="98"/>
      <c r="I51" s="98"/>
      <c r="J51" s="98"/>
      <c r="K51" s="98"/>
      <c r="L51" s="98"/>
      <c r="M51" s="98"/>
      <c r="N51" s="98"/>
      <c r="O51" s="98"/>
      <c r="P51" s="98"/>
      <c r="Q51" s="98"/>
      <c r="R51" s="98"/>
      <c r="S51" s="98"/>
      <c r="T51" s="98"/>
      <c r="U51" s="98"/>
      <c r="V51" s="98"/>
      <c r="W51" s="98"/>
      <c r="X51" s="98"/>
      <c r="Y51" s="98"/>
      <c r="Z51" s="98"/>
      <c r="AA51" s="98"/>
      <c r="AB51" s="98"/>
      <c r="AC51" s="75">
        <f t="shared" si="58"/>
        <v>0</v>
      </c>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row>
    <row r="52" spans="1:59" x14ac:dyDescent="0.25">
      <c r="A52" s="160" t="s">
        <v>342</v>
      </c>
    </row>
    <row r="55" spans="1:59" s="76" customFormat="1" x14ac:dyDescent="0.25">
      <c r="A55" s="191" t="s">
        <v>200</v>
      </c>
      <c r="B55" s="192"/>
      <c r="C55" s="193"/>
      <c r="D55" s="100" t="s">
        <v>197</v>
      </c>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74"/>
      <c r="AD55" s="74"/>
      <c r="AE55" s="191" t="s">
        <v>202</v>
      </c>
      <c r="AF55" s="192"/>
      <c r="AG55" s="193"/>
      <c r="AH55" s="77" t="s">
        <v>195</v>
      </c>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row>
    <row r="56" spans="1:59" x14ac:dyDescent="0.25">
      <c r="A56" s="4" t="s">
        <v>114</v>
      </c>
      <c r="B56" s="4" t="s">
        <v>194</v>
      </c>
      <c r="C56" s="4" t="s">
        <v>13</v>
      </c>
      <c r="D56" s="102">
        <v>1</v>
      </c>
      <c r="E56" s="102">
        <v>2</v>
      </c>
      <c r="F56" s="102">
        <v>3</v>
      </c>
      <c r="G56" s="102">
        <v>4</v>
      </c>
      <c r="H56" s="102">
        <v>5</v>
      </c>
      <c r="I56" s="102">
        <v>6</v>
      </c>
      <c r="J56" s="102">
        <v>7</v>
      </c>
      <c r="K56" s="102">
        <v>8</v>
      </c>
      <c r="L56" s="102">
        <v>9</v>
      </c>
      <c r="M56" s="102">
        <v>10</v>
      </c>
      <c r="N56" s="102">
        <v>11</v>
      </c>
      <c r="O56" s="102">
        <v>12</v>
      </c>
      <c r="P56" s="102">
        <v>13</v>
      </c>
      <c r="Q56" s="102">
        <v>14</v>
      </c>
      <c r="R56" s="102">
        <v>15</v>
      </c>
      <c r="S56" s="102">
        <v>16</v>
      </c>
      <c r="T56" s="102">
        <v>17</v>
      </c>
      <c r="U56" s="102">
        <v>18</v>
      </c>
      <c r="V56" s="102">
        <v>19</v>
      </c>
      <c r="W56" s="102">
        <v>20</v>
      </c>
      <c r="X56" s="102">
        <v>21</v>
      </c>
      <c r="Y56" s="102">
        <v>22</v>
      </c>
      <c r="Z56" s="102">
        <v>23</v>
      </c>
      <c r="AA56" s="102">
        <v>24</v>
      </c>
      <c r="AB56" s="102">
        <v>25</v>
      </c>
      <c r="AC56" s="4" t="s">
        <v>193</v>
      </c>
      <c r="AD56" s="4"/>
      <c r="AE56" s="4" t="s">
        <v>114</v>
      </c>
      <c r="AF56" s="4" t="s">
        <v>194</v>
      </c>
      <c r="AG56" s="4" t="s">
        <v>13</v>
      </c>
      <c r="AH56" s="4">
        <v>1</v>
      </c>
      <c r="AI56" s="4">
        <v>2</v>
      </c>
      <c r="AJ56" s="4">
        <v>3</v>
      </c>
      <c r="AK56" s="4">
        <v>4</v>
      </c>
      <c r="AL56" s="4">
        <v>5</v>
      </c>
      <c r="AM56" s="4">
        <v>6</v>
      </c>
      <c r="AN56" s="4">
        <v>7</v>
      </c>
      <c r="AO56" s="4">
        <v>8</v>
      </c>
      <c r="AP56" s="4">
        <v>9</v>
      </c>
      <c r="AQ56" s="4">
        <v>10</v>
      </c>
      <c r="AR56" s="4">
        <v>11</v>
      </c>
      <c r="AS56" s="4">
        <v>12</v>
      </c>
      <c r="AT56" s="4">
        <v>13</v>
      </c>
      <c r="AU56" s="4">
        <v>14</v>
      </c>
      <c r="AV56" s="4">
        <v>15</v>
      </c>
      <c r="AW56" s="4">
        <v>16</v>
      </c>
      <c r="AX56" s="4">
        <v>17</v>
      </c>
      <c r="AY56" s="4">
        <v>18</v>
      </c>
      <c r="AZ56" s="4">
        <v>19</v>
      </c>
      <c r="BA56" s="4">
        <v>20</v>
      </c>
      <c r="BB56" s="4">
        <v>21</v>
      </c>
      <c r="BC56" s="4">
        <v>22</v>
      </c>
      <c r="BD56" s="4">
        <v>23</v>
      </c>
      <c r="BE56" s="4">
        <v>24</v>
      </c>
      <c r="BF56" s="4">
        <v>25</v>
      </c>
      <c r="BG56" s="4" t="s">
        <v>222</v>
      </c>
    </row>
    <row r="57" spans="1:59" x14ac:dyDescent="0.25">
      <c r="A57" s="194" t="s">
        <v>2</v>
      </c>
      <c r="B57" s="11" t="str">
        <f>'P(M)'!B17</f>
        <v>發明</v>
      </c>
      <c r="C57" s="3" t="s">
        <v>14</v>
      </c>
      <c r="D57" s="97"/>
      <c r="E57" s="97">
        <v>3000</v>
      </c>
      <c r="F57" s="97">
        <v>3000</v>
      </c>
      <c r="G57" s="97">
        <v>3000</v>
      </c>
      <c r="H57" s="97">
        <v>3000</v>
      </c>
      <c r="I57" s="97">
        <v>3000</v>
      </c>
      <c r="J57" s="97">
        <v>3000</v>
      </c>
      <c r="K57" s="97">
        <v>3000</v>
      </c>
      <c r="L57" s="97">
        <v>3000</v>
      </c>
      <c r="M57" s="97">
        <v>3000</v>
      </c>
      <c r="N57" s="97">
        <v>3000</v>
      </c>
      <c r="O57" s="97">
        <v>3000</v>
      </c>
      <c r="P57" s="97">
        <v>3000</v>
      </c>
      <c r="Q57" s="97">
        <v>3000</v>
      </c>
      <c r="R57" s="97">
        <v>3000</v>
      </c>
      <c r="S57" s="97">
        <v>3000</v>
      </c>
      <c r="T57" s="97">
        <v>3000</v>
      </c>
      <c r="U57" s="97">
        <v>3000</v>
      </c>
      <c r="V57" s="97">
        <v>3000</v>
      </c>
      <c r="W57" s="97">
        <v>3000</v>
      </c>
      <c r="X57" s="97"/>
      <c r="Y57" s="97"/>
      <c r="Z57" s="97"/>
      <c r="AA57" s="97"/>
      <c r="AB57" s="97"/>
      <c r="AC57" s="75">
        <f>SUM(D57:AB57)</f>
        <v>57000</v>
      </c>
      <c r="AD57" s="11"/>
      <c r="AE57" s="194" t="s">
        <v>2</v>
      </c>
      <c r="AF57" s="11" t="str">
        <f>B57</f>
        <v>發明</v>
      </c>
      <c r="AG57" s="14" t="str">
        <f>C57</f>
        <v>NTD</v>
      </c>
      <c r="AH57" s="11">
        <f>D57</f>
        <v>0</v>
      </c>
      <c r="AI57" s="75">
        <f>AH57+E57</f>
        <v>3000</v>
      </c>
      <c r="AJ57" s="75">
        <f t="shared" ref="AJ57:AJ77" si="68">AI57+F57</f>
        <v>6000</v>
      </c>
      <c r="AK57" s="75">
        <f t="shared" ref="AK57:AK77" si="69">AJ57+G57</f>
        <v>9000</v>
      </c>
      <c r="AL57" s="75">
        <f t="shared" ref="AL57:AL77" si="70">AK57+H57</f>
        <v>12000</v>
      </c>
      <c r="AM57" s="75">
        <f t="shared" ref="AM57:AM77" si="71">AL57+I57</f>
        <v>15000</v>
      </c>
      <c r="AN57" s="75">
        <f t="shared" ref="AN57:AN77" si="72">AM57+J57</f>
        <v>18000</v>
      </c>
      <c r="AO57" s="75">
        <f t="shared" ref="AO57:AO77" si="73">AN57+K57</f>
        <v>21000</v>
      </c>
      <c r="AP57" s="75">
        <f t="shared" ref="AP57:AP77" si="74">AO57+L57</f>
        <v>24000</v>
      </c>
      <c r="AQ57" s="75">
        <f t="shared" ref="AQ57:AQ77" si="75">AP57+M57</f>
        <v>27000</v>
      </c>
      <c r="AR57" s="75">
        <f t="shared" ref="AR57:AR77" si="76">AQ57+N57</f>
        <v>30000</v>
      </c>
      <c r="AS57" s="75">
        <f t="shared" ref="AS57:AS77" si="77">AR57+O57</f>
        <v>33000</v>
      </c>
      <c r="AT57" s="75">
        <f t="shared" ref="AT57:AT77" si="78">AS57+P57</f>
        <v>36000</v>
      </c>
      <c r="AU57" s="75">
        <f t="shared" ref="AU57:AU77" si="79">AT57+Q57</f>
        <v>39000</v>
      </c>
      <c r="AV57" s="75">
        <f t="shared" ref="AV57:AV77" si="80">AU57+R57</f>
        <v>42000</v>
      </c>
      <c r="AW57" s="75">
        <f t="shared" ref="AW57:AW77" si="81">AV57+S57</f>
        <v>45000</v>
      </c>
      <c r="AX57" s="75">
        <f t="shared" ref="AX57:AX77" si="82">AW57+T57</f>
        <v>48000</v>
      </c>
      <c r="AY57" s="75">
        <f t="shared" ref="AY57:AY77" si="83">AX57+U57</f>
        <v>51000</v>
      </c>
      <c r="AZ57" s="75">
        <f t="shared" ref="AZ57:AZ77" si="84">AY57+V57</f>
        <v>54000</v>
      </c>
      <c r="BA57" s="75">
        <f t="shared" ref="BA57:BA77" si="85">AZ57+W57</f>
        <v>57000</v>
      </c>
      <c r="BB57" s="75">
        <f t="shared" ref="BB57:BB77" si="86">BA57+X57</f>
        <v>57000</v>
      </c>
      <c r="BC57" s="75">
        <f t="shared" ref="BC57:BC77" si="87">BB57+Y57</f>
        <v>57000</v>
      </c>
      <c r="BD57" s="75">
        <f t="shared" ref="BD57:BD77" si="88">BC57+Z57</f>
        <v>57000</v>
      </c>
      <c r="BE57" s="75">
        <f t="shared" ref="BE57:BE77" si="89">BD57+AA57</f>
        <v>57000</v>
      </c>
      <c r="BF57" s="75">
        <f t="shared" ref="BF57:BF77" si="90">BE57+AB57</f>
        <v>57000</v>
      </c>
      <c r="BG57" s="75">
        <f>BF57</f>
        <v>57000</v>
      </c>
    </row>
    <row r="58" spans="1:59" x14ac:dyDescent="0.25">
      <c r="A58" s="195"/>
      <c r="B58" s="11" t="str">
        <f>'P(M)'!B18</f>
        <v>新型</v>
      </c>
      <c r="C58" s="3" t="s">
        <v>14</v>
      </c>
      <c r="D58" s="97"/>
      <c r="E58" s="97">
        <v>3000</v>
      </c>
      <c r="F58" s="97">
        <v>3000</v>
      </c>
      <c r="G58" s="97">
        <v>3000</v>
      </c>
      <c r="H58" s="97">
        <v>3000</v>
      </c>
      <c r="I58" s="97">
        <v>3000</v>
      </c>
      <c r="J58" s="97">
        <v>3000</v>
      </c>
      <c r="K58" s="97">
        <v>3000</v>
      </c>
      <c r="L58" s="97">
        <v>3000</v>
      </c>
      <c r="M58" s="97">
        <v>3000</v>
      </c>
      <c r="N58" s="97"/>
      <c r="O58" s="97"/>
      <c r="P58" s="97"/>
      <c r="Q58" s="97"/>
      <c r="R58" s="97"/>
      <c r="S58" s="97"/>
      <c r="T58" s="97"/>
      <c r="U58" s="97"/>
      <c r="V58" s="97"/>
      <c r="W58" s="97"/>
      <c r="X58" s="97"/>
      <c r="Y58" s="97"/>
      <c r="Z58" s="97"/>
      <c r="AA58" s="97"/>
      <c r="AB58" s="97"/>
      <c r="AC58" s="75">
        <f t="shared" ref="AC58:AC78" si="91">SUM(D58:AB58)</f>
        <v>27000</v>
      </c>
      <c r="AD58" s="11"/>
      <c r="AE58" s="195"/>
      <c r="AF58" s="11" t="str">
        <f t="shared" ref="AF58:AF77" si="92">B58</f>
        <v>新型</v>
      </c>
      <c r="AG58" s="14" t="str">
        <f t="shared" ref="AG58:AG77" si="93">C58</f>
        <v>NTD</v>
      </c>
      <c r="AH58" s="11">
        <f>D58</f>
        <v>0</v>
      </c>
      <c r="AI58" s="75">
        <f>AH58+E58</f>
        <v>3000</v>
      </c>
      <c r="AJ58" s="75">
        <f t="shared" si="68"/>
        <v>6000</v>
      </c>
      <c r="AK58" s="75">
        <f t="shared" si="69"/>
        <v>9000</v>
      </c>
      <c r="AL58" s="75">
        <f t="shared" si="70"/>
        <v>12000</v>
      </c>
      <c r="AM58" s="75">
        <f t="shared" si="71"/>
        <v>15000</v>
      </c>
      <c r="AN58" s="75">
        <f t="shared" si="72"/>
        <v>18000</v>
      </c>
      <c r="AO58" s="75">
        <f t="shared" si="73"/>
        <v>21000</v>
      </c>
      <c r="AP58" s="75">
        <f t="shared" si="74"/>
        <v>24000</v>
      </c>
      <c r="AQ58" s="75">
        <f t="shared" si="75"/>
        <v>27000</v>
      </c>
      <c r="AR58" s="75">
        <f t="shared" si="76"/>
        <v>27000</v>
      </c>
      <c r="AS58" s="75">
        <f t="shared" si="77"/>
        <v>27000</v>
      </c>
      <c r="AT58" s="75">
        <f t="shared" si="78"/>
        <v>27000</v>
      </c>
      <c r="AU58" s="75">
        <f t="shared" si="79"/>
        <v>27000</v>
      </c>
      <c r="AV58" s="75">
        <f t="shared" si="80"/>
        <v>27000</v>
      </c>
      <c r="AW58" s="75">
        <f t="shared" si="81"/>
        <v>27000</v>
      </c>
      <c r="AX58" s="75">
        <f t="shared" si="82"/>
        <v>27000</v>
      </c>
      <c r="AY58" s="75">
        <f t="shared" si="83"/>
        <v>27000</v>
      </c>
      <c r="AZ58" s="75">
        <f t="shared" si="84"/>
        <v>27000</v>
      </c>
      <c r="BA58" s="75">
        <f t="shared" si="85"/>
        <v>27000</v>
      </c>
      <c r="BB58" s="75">
        <f t="shared" si="86"/>
        <v>27000</v>
      </c>
      <c r="BC58" s="75">
        <f t="shared" si="87"/>
        <v>27000</v>
      </c>
      <c r="BD58" s="75">
        <f t="shared" si="88"/>
        <v>27000</v>
      </c>
      <c r="BE58" s="75">
        <f t="shared" si="89"/>
        <v>27000</v>
      </c>
      <c r="BF58" s="75">
        <f t="shared" si="90"/>
        <v>27000</v>
      </c>
      <c r="BG58" s="75">
        <f t="shared" ref="BG58:BG77" si="94">BF58</f>
        <v>27000</v>
      </c>
    </row>
    <row r="59" spans="1:59" x14ac:dyDescent="0.25">
      <c r="A59" s="194" t="s">
        <v>3</v>
      </c>
      <c r="B59" s="11" t="str">
        <f>'P(M)'!B19</f>
        <v>發明</v>
      </c>
      <c r="C59" s="3" t="s">
        <v>14</v>
      </c>
      <c r="D59" s="97"/>
      <c r="E59" s="125">
        <v>3000</v>
      </c>
      <c r="F59" s="125">
        <v>3000</v>
      </c>
      <c r="G59" s="125">
        <v>3000</v>
      </c>
      <c r="H59" s="125">
        <v>3000</v>
      </c>
      <c r="I59" s="125">
        <v>3000</v>
      </c>
      <c r="J59" s="125">
        <v>3000</v>
      </c>
      <c r="K59" s="125">
        <v>3000</v>
      </c>
      <c r="L59" s="125">
        <v>3000</v>
      </c>
      <c r="M59" s="125">
        <v>3000</v>
      </c>
      <c r="N59" s="125">
        <v>3000</v>
      </c>
      <c r="O59" s="125">
        <v>3000</v>
      </c>
      <c r="P59" s="125">
        <v>3000</v>
      </c>
      <c r="Q59" s="125">
        <v>3000</v>
      </c>
      <c r="R59" s="125">
        <v>3000</v>
      </c>
      <c r="S59" s="125">
        <v>3000</v>
      </c>
      <c r="T59" s="125">
        <v>3000</v>
      </c>
      <c r="U59" s="125">
        <v>3000</v>
      </c>
      <c r="V59" s="125">
        <v>3000</v>
      </c>
      <c r="W59" s="125">
        <v>3000</v>
      </c>
      <c r="X59" s="97"/>
      <c r="Y59" s="97"/>
      <c r="Z59" s="97"/>
      <c r="AA59" s="97"/>
      <c r="AB59" s="97"/>
      <c r="AC59" s="75">
        <f t="shared" si="91"/>
        <v>57000</v>
      </c>
      <c r="AD59" s="11"/>
      <c r="AE59" s="194" t="s">
        <v>3</v>
      </c>
      <c r="AF59" s="11" t="str">
        <f t="shared" si="92"/>
        <v>發明</v>
      </c>
      <c r="AG59" s="14" t="str">
        <f t="shared" si="93"/>
        <v>NTD</v>
      </c>
      <c r="AH59" s="11">
        <f t="shared" ref="AH59:AH77" si="95">D59</f>
        <v>0</v>
      </c>
      <c r="AI59" s="75">
        <f t="shared" ref="AI59:AI77" si="96">AH59+E59</f>
        <v>3000</v>
      </c>
      <c r="AJ59" s="75">
        <f t="shared" si="68"/>
        <v>6000</v>
      </c>
      <c r="AK59" s="75">
        <f t="shared" si="69"/>
        <v>9000</v>
      </c>
      <c r="AL59" s="75">
        <f t="shared" si="70"/>
        <v>12000</v>
      </c>
      <c r="AM59" s="75">
        <f t="shared" si="71"/>
        <v>15000</v>
      </c>
      <c r="AN59" s="75">
        <f t="shared" si="72"/>
        <v>18000</v>
      </c>
      <c r="AO59" s="75">
        <f t="shared" si="73"/>
        <v>21000</v>
      </c>
      <c r="AP59" s="75">
        <f t="shared" si="74"/>
        <v>24000</v>
      </c>
      <c r="AQ59" s="75">
        <f t="shared" si="75"/>
        <v>27000</v>
      </c>
      <c r="AR59" s="75">
        <f t="shared" si="76"/>
        <v>30000</v>
      </c>
      <c r="AS59" s="75">
        <f t="shared" si="77"/>
        <v>33000</v>
      </c>
      <c r="AT59" s="75">
        <f t="shared" si="78"/>
        <v>36000</v>
      </c>
      <c r="AU59" s="75">
        <f t="shared" si="79"/>
        <v>39000</v>
      </c>
      <c r="AV59" s="75">
        <f t="shared" si="80"/>
        <v>42000</v>
      </c>
      <c r="AW59" s="75">
        <f t="shared" si="81"/>
        <v>45000</v>
      </c>
      <c r="AX59" s="75">
        <f t="shared" si="82"/>
        <v>48000</v>
      </c>
      <c r="AY59" s="75">
        <f t="shared" si="83"/>
        <v>51000</v>
      </c>
      <c r="AZ59" s="75">
        <f t="shared" si="84"/>
        <v>54000</v>
      </c>
      <c r="BA59" s="75">
        <f t="shared" si="85"/>
        <v>57000</v>
      </c>
      <c r="BB59" s="75">
        <f t="shared" si="86"/>
        <v>57000</v>
      </c>
      <c r="BC59" s="75">
        <f t="shared" si="87"/>
        <v>57000</v>
      </c>
      <c r="BD59" s="75">
        <f t="shared" si="88"/>
        <v>57000</v>
      </c>
      <c r="BE59" s="75">
        <f t="shared" si="89"/>
        <v>57000</v>
      </c>
      <c r="BF59" s="75">
        <f t="shared" si="90"/>
        <v>57000</v>
      </c>
      <c r="BG59" s="75">
        <f t="shared" si="94"/>
        <v>57000</v>
      </c>
    </row>
    <row r="60" spans="1:59" x14ac:dyDescent="0.25">
      <c r="A60" s="195"/>
      <c r="B60" s="11" t="str">
        <f>'P(M)'!B20</f>
        <v>新型</v>
      </c>
      <c r="C60" s="3" t="s">
        <v>14</v>
      </c>
      <c r="D60" s="97"/>
      <c r="E60" s="97">
        <v>3000</v>
      </c>
      <c r="F60" s="97">
        <v>3000</v>
      </c>
      <c r="G60" s="97">
        <v>3000</v>
      </c>
      <c r="H60" s="97">
        <v>3000</v>
      </c>
      <c r="I60" s="97">
        <v>3000</v>
      </c>
      <c r="J60" s="97">
        <v>3000</v>
      </c>
      <c r="K60" s="97">
        <v>3000</v>
      </c>
      <c r="L60" s="97">
        <v>3000</v>
      </c>
      <c r="M60" s="97">
        <v>3000</v>
      </c>
      <c r="N60" s="97"/>
      <c r="O60" s="97"/>
      <c r="P60" s="97"/>
      <c r="Q60" s="97"/>
      <c r="R60" s="97"/>
      <c r="S60" s="97"/>
      <c r="T60" s="97"/>
      <c r="U60" s="97"/>
      <c r="V60" s="97"/>
      <c r="W60" s="97"/>
      <c r="X60" s="97"/>
      <c r="Y60" s="97"/>
      <c r="Z60" s="97"/>
      <c r="AA60" s="97"/>
      <c r="AB60" s="97"/>
      <c r="AC60" s="75">
        <f t="shared" si="91"/>
        <v>27000</v>
      </c>
      <c r="AD60" s="11"/>
      <c r="AE60" s="195"/>
      <c r="AF60" s="11" t="str">
        <f t="shared" si="92"/>
        <v>新型</v>
      </c>
      <c r="AG60" s="14" t="str">
        <f t="shared" si="93"/>
        <v>NTD</v>
      </c>
      <c r="AH60" s="11">
        <f t="shared" si="95"/>
        <v>0</v>
      </c>
      <c r="AI60" s="75">
        <f t="shared" si="96"/>
        <v>3000</v>
      </c>
      <c r="AJ60" s="75">
        <f t="shared" si="68"/>
        <v>6000</v>
      </c>
      <c r="AK60" s="75">
        <f t="shared" si="69"/>
        <v>9000</v>
      </c>
      <c r="AL60" s="75">
        <f t="shared" si="70"/>
        <v>12000</v>
      </c>
      <c r="AM60" s="75">
        <f t="shared" si="71"/>
        <v>15000</v>
      </c>
      <c r="AN60" s="75">
        <f t="shared" si="72"/>
        <v>18000</v>
      </c>
      <c r="AO60" s="75">
        <f t="shared" si="73"/>
        <v>21000</v>
      </c>
      <c r="AP60" s="75">
        <f t="shared" si="74"/>
        <v>24000</v>
      </c>
      <c r="AQ60" s="75">
        <f t="shared" si="75"/>
        <v>27000</v>
      </c>
      <c r="AR60" s="75">
        <f t="shared" si="76"/>
        <v>27000</v>
      </c>
      <c r="AS60" s="75">
        <f t="shared" si="77"/>
        <v>27000</v>
      </c>
      <c r="AT60" s="75">
        <f t="shared" si="78"/>
        <v>27000</v>
      </c>
      <c r="AU60" s="75">
        <f t="shared" si="79"/>
        <v>27000</v>
      </c>
      <c r="AV60" s="75">
        <f t="shared" si="80"/>
        <v>27000</v>
      </c>
      <c r="AW60" s="75">
        <f t="shared" si="81"/>
        <v>27000</v>
      </c>
      <c r="AX60" s="75">
        <f t="shared" si="82"/>
        <v>27000</v>
      </c>
      <c r="AY60" s="75">
        <f t="shared" si="83"/>
        <v>27000</v>
      </c>
      <c r="AZ60" s="75">
        <f t="shared" si="84"/>
        <v>27000</v>
      </c>
      <c r="BA60" s="75">
        <f t="shared" si="85"/>
        <v>27000</v>
      </c>
      <c r="BB60" s="75">
        <f t="shared" si="86"/>
        <v>27000</v>
      </c>
      <c r="BC60" s="75">
        <f t="shared" si="87"/>
        <v>27000</v>
      </c>
      <c r="BD60" s="75">
        <f t="shared" si="88"/>
        <v>27000</v>
      </c>
      <c r="BE60" s="75">
        <f t="shared" si="89"/>
        <v>27000</v>
      </c>
      <c r="BF60" s="75">
        <f t="shared" si="90"/>
        <v>27000</v>
      </c>
      <c r="BG60" s="75">
        <f t="shared" si="94"/>
        <v>27000</v>
      </c>
    </row>
    <row r="61" spans="1:59" x14ac:dyDescent="0.25">
      <c r="A61" s="3" t="s">
        <v>4</v>
      </c>
      <c r="B61" s="11" t="str">
        <f>'P(M)'!B21</f>
        <v>發明</v>
      </c>
      <c r="C61" s="3" t="s">
        <v>14</v>
      </c>
      <c r="D61" s="97"/>
      <c r="E61" s="97"/>
      <c r="F61" s="97"/>
      <c r="G61" s="97">
        <v>5000</v>
      </c>
      <c r="H61" s="97"/>
      <c r="I61" s="97"/>
      <c r="J61" s="97"/>
      <c r="K61" s="97">
        <v>5000</v>
      </c>
      <c r="L61" s="97"/>
      <c r="M61" s="97"/>
      <c r="N61" s="97"/>
      <c r="O61" s="97">
        <v>5000</v>
      </c>
      <c r="P61" s="97"/>
      <c r="Q61" s="97"/>
      <c r="R61" s="97"/>
      <c r="S61" s="97"/>
      <c r="T61" s="97"/>
      <c r="U61" s="97"/>
      <c r="V61" s="97"/>
      <c r="W61" s="97"/>
      <c r="X61" s="97"/>
      <c r="Y61" s="97"/>
      <c r="Z61" s="97"/>
      <c r="AA61" s="97"/>
      <c r="AB61" s="97"/>
      <c r="AC61" s="75">
        <f t="shared" si="91"/>
        <v>15000</v>
      </c>
      <c r="AD61" s="11"/>
      <c r="AE61" s="3" t="s">
        <v>4</v>
      </c>
      <c r="AF61" s="11" t="str">
        <f t="shared" si="92"/>
        <v>發明</v>
      </c>
      <c r="AG61" s="14" t="str">
        <f t="shared" si="93"/>
        <v>NTD</v>
      </c>
      <c r="AH61" s="11">
        <f t="shared" si="95"/>
        <v>0</v>
      </c>
      <c r="AI61" s="75">
        <f t="shared" si="96"/>
        <v>0</v>
      </c>
      <c r="AJ61" s="75">
        <f t="shared" si="68"/>
        <v>0</v>
      </c>
      <c r="AK61" s="75">
        <f t="shared" ref="AK61:AT61" si="97">AJ61+G61</f>
        <v>5000</v>
      </c>
      <c r="AL61" s="75">
        <f t="shared" si="97"/>
        <v>5000</v>
      </c>
      <c r="AM61" s="75">
        <f t="shared" si="97"/>
        <v>5000</v>
      </c>
      <c r="AN61" s="75">
        <f t="shared" si="97"/>
        <v>5000</v>
      </c>
      <c r="AO61" s="75">
        <f t="shared" si="97"/>
        <v>10000</v>
      </c>
      <c r="AP61" s="75">
        <f t="shared" si="97"/>
        <v>10000</v>
      </c>
      <c r="AQ61" s="75">
        <f t="shared" si="97"/>
        <v>10000</v>
      </c>
      <c r="AR61" s="75">
        <f t="shared" si="97"/>
        <v>10000</v>
      </c>
      <c r="AS61" s="75">
        <f t="shared" si="97"/>
        <v>15000</v>
      </c>
      <c r="AT61" s="75">
        <f t="shared" si="97"/>
        <v>15000</v>
      </c>
      <c r="AU61" s="75">
        <f t="shared" si="79"/>
        <v>15000</v>
      </c>
      <c r="AV61" s="75">
        <f t="shared" si="80"/>
        <v>15000</v>
      </c>
      <c r="AW61" s="75">
        <f t="shared" si="81"/>
        <v>15000</v>
      </c>
      <c r="AX61" s="75">
        <f t="shared" si="82"/>
        <v>15000</v>
      </c>
      <c r="AY61" s="75">
        <f t="shared" si="83"/>
        <v>15000</v>
      </c>
      <c r="AZ61" s="75">
        <f t="shared" si="84"/>
        <v>15000</v>
      </c>
      <c r="BA61" s="75">
        <f t="shared" si="85"/>
        <v>15000</v>
      </c>
      <c r="BB61" s="75">
        <f t="shared" si="86"/>
        <v>15000</v>
      </c>
      <c r="BC61" s="75">
        <f t="shared" si="87"/>
        <v>15000</v>
      </c>
      <c r="BD61" s="75">
        <f t="shared" si="88"/>
        <v>15000</v>
      </c>
      <c r="BE61" s="75">
        <f t="shared" si="89"/>
        <v>15000</v>
      </c>
      <c r="BF61" s="75">
        <f t="shared" si="90"/>
        <v>15000</v>
      </c>
      <c r="BG61" s="75">
        <f t="shared" si="94"/>
        <v>15000</v>
      </c>
    </row>
    <row r="62" spans="1:59" x14ac:dyDescent="0.25">
      <c r="A62" s="3" t="s">
        <v>5</v>
      </c>
      <c r="B62" s="11" t="str">
        <f>'P(M)'!B22</f>
        <v>發明</v>
      </c>
      <c r="C62" s="3" t="s">
        <v>14</v>
      </c>
      <c r="D62" s="97"/>
      <c r="E62" s="103"/>
      <c r="F62" s="103"/>
      <c r="G62" s="103">
        <f>5000*3</f>
        <v>15000</v>
      </c>
      <c r="H62" s="103">
        <f t="shared" ref="H62:W62" si="98">5000*3</f>
        <v>15000</v>
      </c>
      <c r="I62" s="103">
        <f t="shared" si="98"/>
        <v>15000</v>
      </c>
      <c r="J62" s="103">
        <f t="shared" si="98"/>
        <v>15000</v>
      </c>
      <c r="K62" s="103">
        <f t="shared" si="98"/>
        <v>15000</v>
      </c>
      <c r="L62" s="103">
        <f t="shared" si="98"/>
        <v>15000</v>
      </c>
      <c r="M62" s="103">
        <f t="shared" si="98"/>
        <v>15000</v>
      </c>
      <c r="N62" s="103">
        <f t="shared" si="98"/>
        <v>15000</v>
      </c>
      <c r="O62" s="103">
        <f t="shared" si="98"/>
        <v>15000</v>
      </c>
      <c r="P62" s="103">
        <f t="shared" si="98"/>
        <v>15000</v>
      </c>
      <c r="Q62" s="103">
        <f t="shared" si="98"/>
        <v>15000</v>
      </c>
      <c r="R62" s="103">
        <f t="shared" si="98"/>
        <v>15000</v>
      </c>
      <c r="S62" s="103">
        <f t="shared" si="98"/>
        <v>15000</v>
      </c>
      <c r="T62" s="103">
        <f t="shared" si="98"/>
        <v>15000</v>
      </c>
      <c r="U62" s="103">
        <f t="shared" si="98"/>
        <v>15000</v>
      </c>
      <c r="V62" s="103">
        <f t="shared" si="98"/>
        <v>15000</v>
      </c>
      <c r="W62" s="103">
        <f t="shared" si="98"/>
        <v>15000</v>
      </c>
      <c r="X62" s="97"/>
      <c r="Y62" s="97"/>
      <c r="Z62" s="97"/>
      <c r="AA62" s="97"/>
      <c r="AB62" s="97"/>
      <c r="AC62" s="75">
        <f t="shared" si="91"/>
        <v>255000</v>
      </c>
      <c r="AD62" s="11"/>
      <c r="AE62" s="3" t="s">
        <v>5</v>
      </c>
      <c r="AF62" s="11" t="str">
        <f t="shared" si="92"/>
        <v>發明</v>
      </c>
      <c r="AG62" s="14" t="str">
        <f t="shared" si="93"/>
        <v>NTD</v>
      </c>
      <c r="AH62" s="11">
        <f t="shared" si="95"/>
        <v>0</v>
      </c>
      <c r="AI62" s="75">
        <f t="shared" si="96"/>
        <v>0</v>
      </c>
      <c r="AJ62" s="75">
        <f t="shared" si="68"/>
        <v>0</v>
      </c>
      <c r="AK62" s="75">
        <f t="shared" si="69"/>
        <v>15000</v>
      </c>
      <c r="AL62" s="75">
        <f t="shared" si="70"/>
        <v>30000</v>
      </c>
      <c r="AM62" s="75">
        <f t="shared" si="71"/>
        <v>45000</v>
      </c>
      <c r="AN62" s="75">
        <f t="shared" si="72"/>
        <v>60000</v>
      </c>
      <c r="AO62" s="75">
        <f t="shared" si="73"/>
        <v>75000</v>
      </c>
      <c r="AP62" s="75">
        <f t="shared" si="74"/>
        <v>90000</v>
      </c>
      <c r="AQ62" s="75">
        <f t="shared" si="75"/>
        <v>105000</v>
      </c>
      <c r="AR62" s="75">
        <f t="shared" si="76"/>
        <v>120000</v>
      </c>
      <c r="AS62" s="75">
        <f t="shared" si="77"/>
        <v>135000</v>
      </c>
      <c r="AT62" s="75">
        <f t="shared" si="78"/>
        <v>150000</v>
      </c>
      <c r="AU62" s="75">
        <f t="shared" si="79"/>
        <v>165000</v>
      </c>
      <c r="AV62" s="75">
        <f t="shared" si="80"/>
        <v>180000</v>
      </c>
      <c r="AW62" s="75">
        <f t="shared" si="81"/>
        <v>195000</v>
      </c>
      <c r="AX62" s="75">
        <f t="shared" si="82"/>
        <v>210000</v>
      </c>
      <c r="AY62" s="75">
        <f t="shared" si="83"/>
        <v>225000</v>
      </c>
      <c r="AZ62" s="75">
        <f t="shared" si="84"/>
        <v>240000</v>
      </c>
      <c r="BA62" s="75">
        <f t="shared" si="85"/>
        <v>255000</v>
      </c>
      <c r="BB62" s="75">
        <f t="shared" si="86"/>
        <v>255000</v>
      </c>
      <c r="BC62" s="75">
        <f t="shared" si="87"/>
        <v>255000</v>
      </c>
      <c r="BD62" s="75">
        <f t="shared" si="88"/>
        <v>255000</v>
      </c>
      <c r="BE62" s="75">
        <f t="shared" si="89"/>
        <v>255000</v>
      </c>
      <c r="BF62" s="75">
        <f t="shared" si="90"/>
        <v>255000</v>
      </c>
      <c r="BG62" s="75">
        <f t="shared" si="94"/>
        <v>255000</v>
      </c>
    </row>
    <row r="63" spans="1:59" x14ac:dyDescent="0.25">
      <c r="A63" s="194" t="s">
        <v>6</v>
      </c>
      <c r="B63" s="11" t="str">
        <f>'P(M)'!B23</f>
        <v>發明</v>
      </c>
      <c r="C63" s="3" t="s">
        <v>14</v>
      </c>
      <c r="D63" s="97"/>
      <c r="E63" s="97"/>
      <c r="F63" s="97"/>
      <c r="G63" s="97">
        <v>5000</v>
      </c>
      <c r="H63" s="97">
        <v>5000</v>
      </c>
      <c r="I63" s="97">
        <v>5000</v>
      </c>
      <c r="J63" s="97">
        <v>5000</v>
      </c>
      <c r="K63" s="97">
        <v>5000</v>
      </c>
      <c r="L63" s="97">
        <v>5000</v>
      </c>
      <c r="M63" s="97">
        <v>5000</v>
      </c>
      <c r="N63" s="97">
        <v>5000</v>
      </c>
      <c r="O63" s="97">
        <v>5000</v>
      </c>
      <c r="P63" s="97">
        <v>5000</v>
      </c>
      <c r="Q63" s="97">
        <v>5000</v>
      </c>
      <c r="R63" s="97">
        <v>5000</v>
      </c>
      <c r="S63" s="97">
        <v>5000</v>
      </c>
      <c r="T63" s="97">
        <v>5000</v>
      </c>
      <c r="U63" s="97">
        <v>5000</v>
      </c>
      <c r="V63" s="97">
        <v>5000</v>
      </c>
      <c r="W63" s="97">
        <v>5000</v>
      </c>
      <c r="X63" s="97"/>
      <c r="Y63" s="97"/>
      <c r="Z63" s="97"/>
      <c r="AA63" s="97"/>
      <c r="AB63" s="97"/>
      <c r="AC63" s="75">
        <f t="shared" si="91"/>
        <v>85000</v>
      </c>
      <c r="AD63" s="11"/>
      <c r="AE63" s="194" t="s">
        <v>6</v>
      </c>
      <c r="AF63" s="11" t="str">
        <f t="shared" si="92"/>
        <v>發明</v>
      </c>
      <c r="AG63" s="14" t="str">
        <f t="shared" si="93"/>
        <v>NTD</v>
      </c>
      <c r="AH63" s="11">
        <f t="shared" si="95"/>
        <v>0</v>
      </c>
      <c r="AI63" s="75">
        <f t="shared" si="96"/>
        <v>0</v>
      </c>
      <c r="AJ63" s="75">
        <f t="shared" si="68"/>
        <v>0</v>
      </c>
      <c r="AK63" s="75">
        <f t="shared" si="69"/>
        <v>5000</v>
      </c>
      <c r="AL63" s="75">
        <f t="shared" si="70"/>
        <v>10000</v>
      </c>
      <c r="AM63" s="75">
        <f t="shared" si="71"/>
        <v>15000</v>
      </c>
      <c r="AN63" s="75">
        <f t="shared" si="72"/>
        <v>20000</v>
      </c>
      <c r="AO63" s="75">
        <f t="shared" si="73"/>
        <v>25000</v>
      </c>
      <c r="AP63" s="75">
        <f t="shared" si="74"/>
        <v>30000</v>
      </c>
      <c r="AQ63" s="75">
        <f t="shared" si="75"/>
        <v>35000</v>
      </c>
      <c r="AR63" s="75">
        <f t="shared" si="76"/>
        <v>40000</v>
      </c>
      <c r="AS63" s="75">
        <f t="shared" si="77"/>
        <v>45000</v>
      </c>
      <c r="AT63" s="75">
        <f t="shared" si="78"/>
        <v>50000</v>
      </c>
      <c r="AU63" s="75">
        <f t="shared" si="79"/>
        <v>55000</v>
      </c>
      <c r="AV63" s="75">
        <f t="shared" si="80"/>
        <v>60000</v>
      </c>
      <c r="AW63" s="75">
        <f t="shared" si="81"/>
        <v>65000</v>
      </c>
      <c r="AX63" s="75">
        <f t="shared" si="82"/>
        <v>70000</v>
      </c>
      <c r="AY63" s="75">
        <f t="shared" si="83"/>
        <v>75000</v>
      </c>
      <c r="AZ63" s="75">
        <f t="shared" si="84"/>
        <v>80000</v>
      </c>
      <c r="BA63" s="75">
        <f t="shared" si="85"/>
        <v>85000</v>
      </c>
      <c r="BB63" s="75">
        <f t="shared" si="86"/>
        <v>85000</v>
      </c>
      <c r="BC63" s="75">
        <f t="shared" si="87"/>
        <v>85000</v>
      </c>
      <c r="BD63" s="75">
        <f t="shared" si="88"/>
        <v>85000</v>
      </c>
      <c r="BE63" s="75">
        <f t="shared" si="89"/>
        <v>85000</v>
      </c>
      <c r="BF63" s="75">
        <f t="shared" si="90"/>
        <v>85000</v>
      </c>
      <c r="BG63" s="75">
        <f t="shared" si="94"/>
        <v>85000</v>
      </c>
    </row>
    <row r="64" spans="1:59" x14ac:dyDescent="0.25">
      <c r="A64" s="195"/>
      <c r="B64" s="11" t="str">
        <f>'P(M)'!B24</f>
        <v>新型</v>
      </c>
      <c r="C64" s="3" t="s">
        <v>14</v>
      </c>
      <c r="D64" s="97"/>
      <c r="E64" s="97"/>
      <c r="F64" s="97"/>
      <c r="G64" s="97">
        <v>5000</v>
      </c>
      <c r="H64" s="97">
        <v>5000</v>
      </c>
      <c r="I64" s="97">
        <v>5000</v>
      </c>
      <c r="J64" s="97">
        <v>5000</v>
      </c>
      <c r="K64" s="97">
        <v>5000</v>
      </c>
      <c r="L64" s="97">
        <v>5000</v>
      </c>
      <c r="M64" s="97">
        <v>5000</v>
      </c>
      <c r="N64" s="97"/>
      <c r="O64" s="97"/>
      <c r="P64" s="97"/>
      <c r="Q64" s="97"/>
      <c r="R64" s="97"/>
      <c r="S64" s="97"/>
      <c r="T64" s="97"/>
      <c r="U64" s="97"/>
      <c r="V64" s="97"/>
      <c r="W64" s="97"/>
      <c r="X64" s="97"/>
      <c r="Y64" s="97"/>
      <c r="Z64" s="97"/>
      <c r="AA64" s="97"/>
      <c r="AB64" s="97"/>
      <c r="AC64" s="75">
        <f t="shared" si="91"/>
        <v>35000</v>
      </c>
      <c r="AD64" s="11"/>
      <c r="AE64" s="195"/>
      <c r="AF64" s="11" t="str">
        <f t="shared" si="92"/>
        <v>新型</v>
      </c>
      <c r="AG64" s="14" t="str">
        <f t="shared" si="93"/>
        <v>NTD</v>
      </c>
      <c r="AH64" s="11">
        <f t="shared" si="95"/>
        <v>0</v>
      </c>
      <c r="AI64" s="75">
        <f t="shared" si="96"/>
        <v>0</v>
      </c>
      <c r="AJ64" s="75">
        <f t="shared" si="68"/>
        <v>0</v>
      </c>
      <c r="AK64" s="75">
        <f t="shared" si="69"/>
        <v>5000</v>
      </c>
      <c r="AL64" s="75">
        <f t="shared" si="70"/>
        <v>10000</v>
      </c>
      <c r="AM64" s="75">
        <f t="shared" si="71"/>
        <v>15000</v>
      </c>
      <c r="AN64" s="75">
        <f t="shared" si="72"/>
        <v>20000</v>
      </c>
      <c r="AO64" s="75">
        <f t="shared" si="73"/>
        <v>25000</v>
      </c>
      <c r="AP64" s="75">
        <f t="shared" si="74"/>
        <v>30000</v>
      </c>
      <c r="AQ64" s="75">
        <f t="shared" si="75"/>
        <v>35000</v>
      </c>
      <c r="AR64" s="75">
        <f t="shared" si="76"/>
        <v>35000</v>
      </c>
      <c r="AS64" s="75">
        <f t="shared" si="77"/>
        <v>35000</v>
      </c>
      <c r="AT64" s="75">
        <f t="shared" si="78"/>
        <v>35000</v>
      </c>
      <c r="AU64" s="75">
        <f t="shared" si="79"/>
        <v>35000</v>
      </c>
      <c r="AV64" s="75">
        <f t="shared" si="80"/>
        <v>35000</v>
      </c>
      <c r="AW64" s="75">
        <f t="shared" si="81"/>
        <v>35000</v>
      </c>
      <c r="AX64" s="75">
        <f t="shared" si="82"/>
        <v>35000</v>
      </c>
      <c r="AY64" s="75">
        <f t="shared" si="83"/>
        <v>35000</v>
      </c>
      <c r="AZ64" s="75">
        <f t="shared" si="84"/>
        <v>35000</v>
      </c>
      <c r="BA64" s="75">
        <f t="shared" si="85"/>
        <v>35000</v>
      </c>
      <c r="BB64" s="75">
        <f t="shared" si="86"/>
        <v>35000</v>
      </c>
      <c r="BC64" s="75">
        <f t="shared" si="87"/>
        <v>35000</v>
      </c>
      <c r="BD64" s="75">
        <f t="shared" si="88"/>
        <v>35000</v>
      </c>
      <c r="BE64" s="75">
        <f t="shared" si="89"/>
        <v>35000</v>
      </c>
      <c r="BF64" s="75">
        <f t="shared" si="90"/>
        <v>35000</v>
      </c>
      <c r="BG64" s="75">
        <f t="shared" si="94"/>
        <v>35000</v>
      </c>
    </row>
    <row r="65" spans="1:59" x14ac:dyDescent="0.25">
      <c r="A65" s="194" t="s">
        <v>7</v>
      </c>
      <c r="B65" s="11" t="str">
        <f>'P(M)'!B25</f>
        <v>發明</v>
      </c>
      <c r="C65" s="3" t="s">
        <v>14</v>
      </c>
      <c r="D65" s="97"/>
      <c r="E65" s="97"/>
      <c r="F65" s="97"/>
      <c r="G65" s="97">
        <v>5000</v>
      </c>
      <c r="H65" s="97">
        <v>5000</v>
      </c>
      <c r="I65" s="97">
        <v>5000</v>
      </c>
      <c r="J65" s="97">
        <v>5000</v>
      </c>
      <c r="K65" s="97">
        <v>5000</v>
      </c>
      <c r="L65" s="97">
        <v>5000</v>
      </c>
      <c r="M65" s="97">
        <v>5000</v>
      </c>
      <c r="N65" s="97">
        <v>5000</v>
      </c>
      <c r="O65" s="97">
        <v>5000</v>
      </c>
      <c r="P65" s="97">
        <v>5000</v>
      </c>
      <c r="Q65" s="97">
        <v>5000</v>
      </c>
      <c r="R65" s="97">
        <v>5000</v>
      </c>
      <c r="S65" s="97">
        <v>5000</v>
      </c>
      <c r="T65" s="97">
        <v>5000</v>
      </c>
      <c r="U65" s="97">
        <v>5000</v>
      </c>
      <c r="V65" s="97">
        <v>5000</v>
      </c>
      <c r="W65" s="97">
        <v>5000</v>
      </c>
      <c r="X65" s="97"/>
      <c r="Y65" s="97"/>
      <c r="Z65" s="97"/>
      <c r="AA65" s="97"/>
      <c r="AB65" s="97"/>
      <c r="AC65" s="75">
        <f t="shared" si="91"/>
        <v>85000</v>
      </c>
      <c r="AD65" s="11"/>
      <c r="AE65" s="194" t="s">
        <v>7</v>
      </c>
      <c r="AF65" s="11" t="str">
        <f t="shared" si="92"/>
        <v>發明</v>
      </c>
      <c r="AG65" s="14" t="str">
        <f t="shared" si="93"/>
        <v>NTD</v>
      </c>
      <c r="AH65" s="11">
        <f t="shared" si="95"/>
        <v>0</v>
      </c>
      <c r="AI65" s="75">
        <f t="shared" si="96"/>
        <v>0</v>
      </c>
      <c r="AJ65" s="75">
        <f t="shared" si="68"/>
        <v>0</v>
      </c>
      <c r="AK65" s="75">
        <f t="shared" si="69"/>
        <v>5000</v>
      </c>
      <c r="AL65" s="75">
        <f t="shared" si="70"/>
        <v>10000</v>
      </c>
      <c r="AM65" s="75">
        <f t="shared" si="71"/>
        <v>15000</v>
      </c>
      <c r="AN65" s="75">
        <f t="shared" si="72"/>
        <v>20000</v>
      </c>
      <c r="AO65" s="75">
        <f t="shared" si="73"/>
        <v>25000</v>
      </c>
      <c r="AP65" s="75">
        <f t="shared" si="74"/>
        <v>30000</v>
      </c>
      <c r="AQ65" s="75">
        <f t="shared" si="75"/>
        <v>35000</v>
      </c>
      <c r="AR65" s="75">
        <f t="shared" si="76"/>
        <v>40000</v>
      </c>
      <c r="AS65" s="75">
        <f t="shared" si="77"/>
        <v>45000</v>
      </c>
      <c r="AT65" s="75">
        <f t="shared" si="78"/>
        <v>50000</v>
      </c>
      <c r="AU65" s="75">
        <f t="shared" si="79"/>
        <v>55000</v>
      </c>
      <c r="AV65" s="75">
        <f t="shared" si="80"/>
        <v>60000</v>
      </c>
      <c r="AW65" s="75">
        <f t="shared" si="81"/>
        <v>65000</v>
      </c>
      <c r="AX65" s="75">
        <f t="shared" si="82"/>
        <v>70000</v>
      </c>
      <c r="AY65" s="75">
        <f t="shared" si="83"/>
        <v>75000</v>
      </c>
      <c r="AZ65" s="75">
        <f t="shared" si="84"/>
        <v>80000</v>
      </c>
      <c r="BA65" s="75">
        <f t="shared" si="85"/>
        <v>85000</v>
      </c>
      <c r="BB65" s="75">
        <f t="shared" si="86"/>
        <v>85000</v>
      </c>
      <c r="BC65" s="75">
        <f t="shared" si="87"/>
        <v>85000</v>
      </c>
      <c r="BD65" s="75">
        <f t="shared" si="88"/>
        <v>85000</v>
      </c>
      <c r="BE65" s="75">
        <f t="shared" si="89"/>
        <v>85000</v>
      </c>
      <c r="BF65" s="75">
        <f t="shared" si="90"/>
        <v>85000</v>
      </c>
      <c r="BG65" s="75">
        <f t="shared" si="94"/>
        <v>85000</v>
      </c>
    </row>
    <row r="66" spans="1:59" x14ac:dyDescent="0.25">
      <c r="A66" s="195"/>
      <c r="B66" s="11" t="str">
        <f>'P(M)'!B26</f>
        <v>新型</v>
      </c>
      <c r="C66" s="3" t="s">
        <v>14</v>
      </c>
      <c r="D66" s="97"/>
      <c r="E66" s="97"/>
      <c r="F66" s="97"/>
      <c r="G66" s="97">
        <v>5000</v>
      </c>
      <c r="H66" s="97">
        <v>5000</v>
      </c>
      <c r="I66" s="97">
        <v>5000</v>
      </c>
      <c r="J66" s="97">
        <v>5000</v>
      </c>
      <c r="K66" s="97">
        <v>5000</v>
      </c>
      <c r="L66" s="97">
        <v>5000</v>
      </c>
      <c r="M66" s="97">
        <v>5000</v>
      </c>
      <c r="N66" s="97">
        <v>5000</v>
      </c>
      <c r="O66" s="97">
        <v>5000</v>
      </c>
      <c r="P66" s="97">
        <v>5000</v>
      </c>
      <c r="Q66" s="97">
        <v>5000</v>
      </c>
      <c r="R66" s="97">
        <v>5000</v>
      </c>
      <c r="S66" s="97"/>
      <c r="T66" s="97"/>
      <c r="U66" s="97"/>
      <c r="V66" s="97"/>
      <c r="W66" s="97"/>
      <c r="X66" s="97"/>
      <c r="Y66" s="97"/>
      <c r="Z66" s="97"/>
      <c r="AA66" s="97"/>
      <c r="AB66" s="97"/>
      <c r="AC66" s="75">
        <f t="shared" si="91"/>
        <v>60000</v>
      </c>
      <c r="AD66" s="11"/>
      <c r="AE66" s="195"/>
      <c r="AF66" s="11" t="str">
        <f t="shared" si="92"/>
        <v>新型</v>
      </c>
      <c r="AG66" s="14" t="str">
        <f t="shared" si="93"/>
        <v>NTD</v>
      </c>
      <c r="AH66" s="11">
        <f t="shared" si="95"/>
        <v>0</v>
      </c>
      <c r="AI66" s="75">
        <f t="shared" si="96"/>
        <v>0</v>
      </c>
      <c r="AJ66" s="75">
        <f t="shared" si="68"/>
        <v>0</v>
      </c>
      <c r="AK66" s="75">
        <f t="shared" si="69"/>
        <v>5000</v>
      </c>
      <c r="AL66" s="75">
        <f t="shared" si="70"/>
        <v>10000</v>
      </c>
      <c r="AM66" s="75">
        <f t="shared" si="71"/>
        <v>15000</v>
      </c>
      <c r="AN66" s="75">
        <f t="shared" si="72"/>
        <v>20000</v>
      </c>
      <c r="AO66" s="75">
        <f t="shared" si="73"/>
        <v>25000</v>
      </c>
      <c r="AP66" s="75">
        <f t="shared" si="74"/>
        <v>30000</v>
      </c>
      <c r="AQ66" s="75">
        <f t="shared" si="75"/>
        <v>35000</v>
      </c>
      <c r="AR66" s="75">
        <f t="shared" si="76"/>
        <v>40000</v>
      </c>
      <c r="AS66" s="75">
        <f t="shared" si="77"/>
        <v>45000</v>
      </c>
      <c r="AT66" s="75">
        <f t="shared" si="78"/>
        <v>50000</v>
      </c>
      <c r="AU66" s="75">
        <f t="shared" si="79"/>
        <v>55000</v>
      </c>
      <c r="AV66" s="75">
        <f t="shared" si="80"/>
        <v>60000</v>
      </c>
      <c r="AW66" s="75">
        <f t="shared" si="81"/>
        <v>60000</v>
      </c>
      <c r="AX66" s="75">
        <f t="shared" si="82"/>
        <v>60000</v>
      </c>
      <c r="AY66" s="75">
        <f t="shared" si="83"/>
        <v>60000</v>
      </c>
      <c r="AZ66" s="75">
        <f t="shared" si="84"/>
        <v>60000</v>
      </c>
      <c r="BA66" s="75">
        <f t="shared" si="85"/>
        <v>60000</v>
      </c>
      <c r="BB66" s="75">
        <f t="shared" si="86"/>
        <v>60000</v>
      </c>
      <c r="BC66" s="75">
        <f t="shared" si="87"/>
        <v>60000</v>
      </c>
      <c r="BD66" s="75">
        <f t="shared" si="88"/>
        <v>60000</v>
      </c>
      <c r="BE66" s="75">
        <f t="shared" si="89"/>
        <v>60000</v>
      </c>
      <c r="BF66" s="75">
        <f t="shared" si="90"/>
        <v>60000</v>
      </c>
      <c r="BG66" s="75">
        <f t="shared" si="94"/>
        <v>60000</v>
      </c>
    </row>
    <row r="67" spans="1:59" x14ac:dyDescent="0.25">
      <c r="A67" s="3" t="s">
        <v>42</v>
      </c>
      <c r="B67" s="11" t="str">
        <f>'P(M)'!B27</f>
        <v>發明</v>
      </c>
      <c r="C67" s="3" t="s">
        <v>14</v>
      </c>
      <c r="D67" s="97"/>
      <c r="E67" s="97">
        <v>5000</v>
      </c>
      <c r="F67" s="97">
        <v>5000</v>
      </c>
      <c r="G67" s="97">
        <v>5000</v>
      </c>
      <c r="H67" s="97">
        <v>5000</v>
      </c>
      <c r="I67" s="97">
        <v>5000</v>
      </c>
      <c r="J67" s="97">
        <v>5000</v>
      </c>
      <c r="K67" s="97">
        <v>5000</v>
      </c>
      <c r="L67" s="97">
        <v>5000</v>
      </c>
      <c r="M67" s="97">
        <v>5000</v>
      </c>
      <c r="N67" s="97">
        <v>5000</v>
      </c>
      <c r="O67" s="97">
        <v>5000</v>
      </c>
      <c r="P67" s="97">
        <v>5000</v>
      </c>
      <c r="Q67" s="97">
        <v>5000</v>
      </c>
      <c r="R67" s="97">
        <v>5000</v>
      </c>
      <c r="S67" s="97">
        <v>5000</v>
      </c>
      <c r="T67" s="97">
        <v>5000</v>
      </c>
      <c r="U67" s="97">
        <v>5000</v>
      </c>
      <c r="V67" s="97">
        <v>5000</v>
      </c>
      <c r="W67" s="97"/>
      <c r="X67" s="97"/>
      <c r="Y67" s="97"/>
      <c r="Z67" s="97"/>
      <c r="AA67" s="97"/>
      <c r="AB67" s="97"/>
      <c r="AC67" s="75">
        <f>SUM(D67:AB67)</f>
        <v>90000</v>
      </c>
      <c r="AD67" s="11"/>
      <c r="AE67" s="3" t="s">
        <v>42</v>
      </c>
      <c r="AF67" s="11" t="str">
        <f>B67</f>
        <v>發明</v>
      </c>
      <c r="AG67" s="14" t="str">
        <f>C67</f>
        <v>NTD</v>
      </c>
      <c r="AH67" s="11">
        <f>D67</f>
        <v>0</v>
      </c>
      <c r="AI67" s="75">
        <f t="shared" ref="AI67:BF67" si="99">AH67+E67</f>
        <v>5000</v>
      </c>
      <c r="AJ67" s="75">
        <f t="shared" si="99"/>
        <v>10000</v>
      </c>
      <c r="AK67" s="75">
        <f t="shared" si="99"/>
        <v>15000</v>
      </c>
      <c r="AL67" s="75">
        <f t="shared" si="99"/>
        <v>20000</v>
      </c>
      <c r="AM67" s="75">
        <f t="shared" si="99"/>
        <v>25000</v>
      </c>
      <c r="AN67" s="75">
        <f t="shared" si="99"/>
        <v>30000</v>
      </c>
      <c r="AO67" s="75">
        <f t="shared" si="99"/>
        <v>35000</v>
      </c>
      <c r="AP67" s="75">
        <f t="shared" si="99"/>
        <v>40000</v>
      </c>
      <c r="AQ67" s="75">
        <f t="shared" si="99"/>
        <v>45000</v>
      </c>
      <c r="AR67" s="75">
        <f t="shared" si="99"/>
        <v>50000</v>
      </c>
      <c r="AS67" s="75">
        <f t="shared" si="99"/>
        <v>55000</v>
      </c>
      <c r="AT67" s="75">
        <f t="shared" si="99"/>
        <v>60000</v>
      </c>
      <c r="AU67" s="75">
        <f t="shared" si="99"/>
        <v>65000</v>
      </c>
      <c r="AV67" s="75">
        <f t="shared" si="99"/>
        <v>70000</v>
      </c>
      <c r="AW67" s="75">
        <f t="shared" si="99"/>
        <v>75000</v>
      </c>
      <c r="AX67" s="75">
        <f t="shared" si="99"/>
        <v>80000</v>
      </c>
      <c r="AY67" s="75">
        <f t="shared" si="99"/>
        <v>85000</v>
      </c>
      <c r="AZ67" s="75">
        <f t="shared" si="99"/>
        <v>90000</v>
      </c>
      <c r="BA67" s="75">
        <f t="shared" si="99"/>
        <v>90000</v>
      </c>
      <c r="BB67" s="75">
        <f t="shared" si="99"/>
        <v>90000</v>
      </c>
      <c r="BC67" s="75">
        <f t="shared" si="99"/>
        <v>90000</v>
      </c>
      <c r="BD67" s="75">
        <f t="shared" si="99"/>
        <v>90000</v>
      </c>
      <c r="BE67" s="75">
        <f t="shared" si="99"/>
        <v>90000</v>
      </c>
      <c r="BF67" s="75">
        <f t="shared" si="99"/>
        <v>90000</v>
      </c>
      <c r="BG67" s="75">
        <f>BF67</f>
        <v>90000</v>
      </c>
    </row>
    <row r="68" spans="1:59" x14ac:dyDescent="0.25">
      <c r="A68" s="3" t="s">
        <v>8</v>
      </c>
      <c r="B68" s="11" t="str">
        <f>'P(M)'!B28</f>
        <v>發明</v>
      </c>
      <c r="C68" s="3" t="s">
        <v>14</v>
      </c>
      <c r="D68" s="97"/>
      <c r="E68" s="97"/>
      <c r="F68" s="97"/>
      <c r="G68" s="97"/>
      <c r="H68" s="97">
        <v>5000</v>
      </c>
      <c r="I68" s="97">
        <v>5000</v>
      </c>
      <c r="J68" s="97">
        <v>5000</v>
      </c>
      <c r="K68" s="97">
        <v>5000</v>
      </c>
      <c r="L68" s="97">
        <v>5000</v>
      </c>
      <c r="M68" s="97">
        <v>5000</v>
      </c>
      <c r="N68" s="97">
        <v>5000</v>
      </c>
      <c r="O68" s="97">
        <v>5000</v>
      </c>
      <c r="P68" s="97">
        <v>5000</v>
      </c>
      <c r="Q68" s="97">
        <v>5000</v>
      </c>
      <c r="R68" s="97">
        <v>5000</v>
      </c>
      <c r="S68" s="97">
        <v>5000</v>
      </c>
      <c r="T68" s="97">
        <v>5000</v>
      </c>
      <c r="U68" s="97">
        <v>5000</v>
      </c>
      <c r="V68" s="97">
        <v>5000</v>
      </c>
      <c r="W68" s="97">
        <v>5000</v>
      </c>
      <c r="X68" s="97"/>
      <c r="Y68" s="97"/>
      <c r="Z68" s="97"/>
      <c r="AA68" s="97"/>
      <c r="AB68" s="97"/>
      <c r="AC68" s="75">
        <f t="shared" si="91"/>
        <v>80000</v>
      </c>
      <c r="AD68" s="11"/>
      <c r="AE68" s="3" t="s">
        <v>8</v>
      </c>
      <c r="AF68" s="11" t="str">
        <f t="shared" si="92"/>
        <v>發明</v>
      </c>
      <c r="AG68" s="14" t="str">
        <f t="shared" si="93"/>
        <v>NTD</v>
      </c>
      <c r="AH68" s="11">
        <f t="shared" si="95"/>
        <v>0</v>
      </c>
      <c r="AI68" s="75">
        <f t="shared" si="96"/>
        <v>0</v>
      </c>
      <c r="AJ68" s="75">
        <f t="shared" si="68"/>
        <v>0</v>
      </c>
      <c r="AK68" s="75">
        <f t="shared" si="69"/>
        <v>0</v>
      </c>
      <c r="AL68" s="75">
        <f t="shared" si="70"/>
        <v>5000</v>
      </c>
      <c r="AM68" s="75">
        <f t="shared" si="71"/>
        <v>10000</v>
      </c>
      <c r="AN68" s="75">
        <f t="shared" si="72"/>
        <v>15000</v>
      </c>
      <c r="AO68" s="75">
        <f t="shared" si="73"/>
        <v>20000</v>
      </c>
      <c r="AP68" s="75">
        <f t="shared" si="74"/>
        <v>25000</v>
      </c>
      <c r="AQ68" s="75">
        <f t="shared" si="75"/>
        <v>30000</v>
      </c>
      <c r="AR68" s="75">
        <f t="shared" si="76"/>
        <v>35000</v>
      </c>
      <c r="AS68" s="75">
        <f t="shared" si="77"/>
        <v>40000</v>
      </c>
      <c r="AT68" s="75">
        <f t="shared" si="78"/>
        <v>45000</v>
      </c>
      <c r="AU68" s="75">
        <f t="shared" si="79"/>
        <v>50000</v>
      </c>
      <c r="AV68" s="75">
        <f t="shared" si="80"/>
        <v>55000</v>
      </c>
      <c r="AW68" s="75">
        <f t="shared" si="81"/>
        <v>60000</v>
      </c>
      <c r="AX68" s="75">
        <f t="shared" si="82"/>
        <v>65000</v>
      </c>
      <c r="AY68" s="75">
        <f t="shared" si="83"/>
        <v>70000</v>
      </c>
      <c r="AZ68" s="75">
        <f t="shared" si="84"/>
        <v>75000</v>
      </c>
      <c r="BA68" s="75">
        <f t="shared" si="85"/>
        <v>80000</v>
      </c>
      <c r="BB68" s="75">
        <f t="shared" si="86"/>
        <v>80000</v>
      </c>
      <c r="BC68" s="75">
        <f t="shared" si="87"/>
        <v>80000</v>
      </c>
      <c r="BD68" s="75">
        <f t="shared" si="88"/>
        <v>80000</v>
      </c>
      <c r="BE68" s="75">
        <f t="shared" si="89"/>
        <v>80000</v>
      </c>
      <c r="BF68" s="75">
        <f t="shared" si="90"/>
        <v>80000</v>
      </c>
      <c r="BG68" s="75">
        <f t="shared" si="94"/>
        <v>80000</v>
      </c>
    </row>
    <row r="69" spans="1:59" x14ac:dyDescent="0.25">
      <c r="A69" s="194" t="s">
        <v>11</v>
      </c>
      <c r="B69" s="11" t="str">
        <f>'P(M)'!B29</f>
        <v>發明</v>
      </c>
      <c r="C69" s="3" t="s">
        <v>14</v>
      </c>
      <c r="D69" s="97"/>
      <c r="E69" s="97">
        <v>5000</v>
      </c>
      <c r="F69" s="97">
        <v>5000</v>
      </c>
      <c r="G69" s="97">
        <v>5000</v>
      </c>
      <c r="H69" s="97">
        <v>5000</v>
      </c>
      <c r="I69" s="97">
        <v>5000</v>
      </c>
      <c r="J69" s="97">
        <v>5000</v>
      </c>
      <c r="K69" s="97">
        <v>5000</v>
      </c>
      <c r="L69" s="97">
        <v>5000</v>
      </c>
      <c r="M69" s="97">
        <v>5000</v>
      </c>
      <c r="N69" s="97">
        <v>5000</v>
      </c>
      <c r="O69" s="97">
        <v>5000</v>
      </c>
      <c r="P69" s="97">
        <v>5000</v>
      </c>
      <c r="Q69" s="97">
        <v>5000</v>
      </c>
      <c r="R69" s="97">
        <v>5000</v>
      </c>
      <c r="S69" s="97">
        <v>5000</v>
      </c>
      <c r="T69" s="97">
        <v>5000</v>
      </c>
      <c r="U69" s="97">
        <v>5000</v>
      </c>
      <c r="V69" s="97">
        <v>5000</v>
      </c>
      <c r="W69" s="97">
        <v>5000</v>
      </c>
      <c r="X69" s="97"/>
      <c r="Y69" s="97"/>
      <c r="Z69" s="97"/>
      <c r="AA69" s="97"/>
      <c r="AB69" s="97"/>
      <c r="AC69" s="75">
        <f>SUM(D69:AB69)</f>
        <v>95000</v>
      </c>
      <c r="AD69" s="11"/>
      <c r="AE69" s="194" t="s">
        <v>11</v>
      </c>
      <c r="AF69" s="11" t="str">
        <f t="shared" ref="AF69:AH70" si="100">B69</f>
        <v>發明</v>
      </c>
      <c r="AG69" s="14" t="str">
        <f t="shared" si="100"/>
        <v>NTD</v>
      </c>
      <c r="AH69" s="11">
        <f t="shared" si="100"/>
        <v>0</v>
      </c>
      <c r="AI69" s="75">
        <f t="shared" ref="AI69:AR70" si="101">AH69+E69</f>
        <v>5000</v>
      </c>
      <c r="AJ69" s="75">
        <f t="shared" si="101"/>
        <v>10000</v>
      </c>
      <c r="AK69" s="75">
        <f t="shared" si="101"/>
        <v>15000</v>
      </c>
      <c r="AL69" s="75">
        <f t="shared" si="101"/>
        <v>20000</v>
      </c>
      <c r="AM69" s="75">
        <f t="shared" si="101"/>
        <v>25000</v>
      </c>
      <c r="AN69" s="75">
        <f t="shared" si="101"/>
        <v>30000</v>
      </c>
      <c r="AO69" s="75">
        <f t="shared" si="101"/>
        <v>35000</v>
      </c>
      <c r="AP69" s="75">
        <f t="shared" si="101"/>
        <v>40000</v>
      </c>
      <c r="AQ69" s="75">
        <f t="shared" si="101"/>
        <v>45000</v>
      </c>
      <c r="AR69" s="75">
        <f t="shared" si="101"/>
        <v>50000</v>
      </c>
      <c r="AS69" s="75">
        <f t="shared" si="77"/>
        <v>55000</v>
      </c>
      <c r="AT69" s="75">
        <f t="shared" si="78"/>
        <v>60000</v>
      </c>
      <c r="AU69" s="75">
        <f t="shared" si="79"/>
        <v>65000</v>
      </c>
      <c r="AV69" s="75">
        <f t="shared" si="80"/>
        <v>70000</v>
      </c>
      <c r="AW69" s="75">
        <f t="shared" si="81"/>
        <v>75000</v>
      </c>
      <c r="AX69" s="75">
        <f t="shared" si="82"/>
        <v>80000</v>
      </c>
      <c r="AY69" s="75">
        <f t="shared" si="83"/>
        <v>85000</v>
      </c>
      <c r="AZ69" s="75">
        <f t="shared" si="84"/>
        <v>90000</v>
      </c>
      <c r="BA69" s="75">
        <f t="shared" si="85"/>
        <v>95000</v>
      </c>
      <c r="BB69" s="75">
        <f t="shared" si="86"/>
        <v>95000</v>
      </c>
      <c r="BC69" s="75">
        <f t="shared" si="87"/>
        <v>95000</v>
      </c>
      <c r="BD69" s="75">
        <f t="shared" si="88"/>
        <v>95000</v>
      </c>
      <c r="BE69" s="75">
        <f t="shared" si="89"/>
        <v>95000</v>
      </c>
      <c r="BF69" s="75">
        <f t="shared" si="90"/>
        <v>95000</v>
      </c>
      <c r="BG69" s="75">
        <f>BF69</f>
        <v>95000</v>
      </c>
    </row>
    <row r="70" spans="1:59" x14ac:dyDescent="0.25">
      <c r="A70" s="195"/>
      <c r="B70" s="11" t="str">
        <f>'P(M)'!B30</f>
        <v>新型</v>
      </c>
      <c r="C70" s="3" t="s">
        <v>14</v>
      </c>
      <c r="D70" s="97"/>
      <c r="E70" s="97"/>
      <c r="F70" s="97">
        <v>5000</v>
      </c>
      <c r="G70" s="97">
        <v>5000</v>
      </c>
      <c r="H70" s="97">
        <v>5000</v>
      </c>
      <c r="I70" s="97">
        <v>5000</v>
      </c>
      <c r="J70" s="97">
        <v>5000</v>
      </c>
      <c r="K70" s="97">
        <v>5000</v>
      </c>
      <c r="L70" s="97">
        <v>5000</v>
      </c>
      <c r="M70" s="97">
        <v>5000</v>
      </c>
      <c r="N70" s="97">
        <v>5000</v>
      </c>
      <c r="O70" s="97">
        <v>5000</v>
      </c>
      <c r="P70" s="97">
        <v>5000</v>
      </c>
      <c r="Q70" s="97">
        <v>5000</v>
      </c>
      <c r="R70" s="97">
        <v>5000</v>
      </c>
      <c r="S70" s="97">
        <v>5000</v>
      </c>
      <c r="T70" s="97">
        <v>5000</v>
      </c>
      <c r="U70" s="97">
        <v>5000</v>
      </c>
      <c r="V70" s="97">
        <v>5000</v>
      </c>
      <c r="W70" s="97">
        <v>5000</v>
      </c>
      <c r="X70" s="97"/>
      <c r="Y70" s="97"/>
      <c r="Z70" s="97"/>
      <c r="AA70" s="97"/>
      <c r="AB70" s="97"/>
      <c r="AC70" s="75">
        <f>SUM(D70:AB70)</f>
        <v>90000</v>
      </c>
      <c r="AD70" s="11"/>
      <c r="AE70" s="195"/>
      <c r="AF70" s="11" t="str">
        <f t="shared" si="100"/>
        <v>新型</v>
      </c>
      <c r="AG70" s="14" t="str">
        <f t="shared" si="100"/>
        <v>NTD</v>
      </c>
      <c r="AH70" s="11">
        <f t="shared" si="100"/>
        <v>0</v>
      </c>
      <c r="AI70" s="75">
        <f t="shared" si="101"/>
        <v>0</v>
      </c>
      <c r="AJ70" s="75">
        <f t="shared" si="101"/>
        <v>5000</v>
      </c>
      <c r="AK70" s="75">
        <f t="shared" si="101"/>
        <v>10000</v>
      </c>
      <c r="AL70" s="75">
        <f t="shared" si="101"/>
        <v>15000</v>
      </c>
      <c r="AM70" s="75">
        <f t="shared" si="101"/>
        <v>20000</v>
      </c>
      <c r="AN70" s="75">
        <f t="shared" si="101"/>
        <v>25000</v>
      </c>
      <c r="AO70" s="75">
        <f t="shared" si="101"/>
        <v>30000</v>
      </c>
      <c r="AP70" s="75">
        <f t="shared" si="101"/>
        <v>35000</v>
      </c>
      <c r="AQ70" s="75">
        <f t="shared" si="101"/>
        <v>40000</v>
      </c>
      <c r="AR70" s="75">
        <f t="shared" si="101"/>
        <v>45000</v>
      </c>
      <c r="AS70" s="75">
        <f t="shared" si="77"/>
        <v>50000</v>
      </c>
      <c r="AT70" s="75">
        <f t="shared" si="78"/>
        <v>55000</v>
      </c>
      <c r="AU70" s="75">
        <f t="shared" si="79"/>
        <v>60000</v>
      </c>
      <c r="AV70" s="75">
        <f t="shared" si="80"/>
        <v>65000</v>
      </c>
      <c r="AW70" s="75">
        <f t="shared" si="81"/>
        <v>70000</v>
      </c>
      <c r="AX70" s="75">
        <f t="shared" si="82"/>
        <v>75000</v>
      </c>
      <c r="AY70" s="75">
        <f t="shared" si="83"/>
        <v>80000</v>
      </c>
      <c r="AZ70" s="75">
        <f t="shared" si="84"/>
        <v>85000</v>
      </c>
      <c r="BA70" s="75">
        <f t="shared" si="85"/>
        <v>90000</v>
      </c>
      <c r="BB70" s="75">
        <f t="shared" si="86"/>
        <v>90000</v>
      </c>
      <c r="BC70" s="75">
        <f t="shared" si="87"/>
        <v>90000</v>
      </c>
      <c r="BD70" s="75">
        <f t="shared" si="88"/>
        <v>90000</v>
      </c>
      <c r="BE70" s="75">
        <f t="shared" si="89"/>
        <v>90000</v>
      </c>
      <c r="BF70" s="75">
        <f t="shared" si="90"/>
        <v>90000</v>
      </c>
      <c r="BG70" s="75">
        <f>BF70</f>
        <v>90000</v>
      </c>
    </row>
    <row r="71" spans="1:59" x14ac:dyDescent="0.25">
      <c r="A71" s="53" t="s">
        <v>146</v>
      </c>
      <c r="B71" s="11" t="str">
        <f>'P(M)'!B31</f>
        <v>發明</v>
      </c>
      <c r="C71" s="3" t="s">
        <v>14</v>
      </c>
      <c r="D71" s="97"/>
      <c r="E71" s="97"/>
      <c r="F71" s="97"/>
      <c r="G71" s="97"/>
      <c r="H71" s="97">
        <v>5000</v>
      </c>
      <c r="I71" s="97">
        <v>5000</v>
      </c>
      <c r="J71" s="97">
        <v>5000</v>
      </c>
      <c r="K71" s="97">
        <v>5000</v>
      </c>
      <c r="L71" s="97">
        <v>5000</v>
      </c>
      <c r="M71" s="97">
        <v>5000</v>
      </c>
      <c r="N71" s="97">
        <v>5000</v>
      </c>
      <c r="O71" s="97">
        <v>5000</v>
      </c>
      <c r="P71" s="97">
        <v>5000</v>
      </c>
      <c r="Q71" s="97">
        <v>5000</v>
      </c>
      <c r="R71" s="97">
        <v>5000</v>
      </c>
      <c r="S71" s="97">
        <v>5000</v>
      </c>
      <c r="T71" s="97">
        <v>5000</v>
      </c>
      <c r="U71" s="97">
        <v>5000</v>
      </c>
      <c r="V71" s="97">
        <v>5000</v>
      </c>
      <c r="W71" s="97">
        <v>5000</v>
      </c>
      <c r="X71" s="97"/>
      <c r="Y71" s="97"/>
      <c r="Z71" s="97"/>
      <c r="AA71" s="97"/>
      <c r="AB71" s="97"/>
      <c r="AC71" s="75">
        <f t="shared" si="91"/>
        <v>80000</v>
      </c>
      <c r="AD71" s="11"/>
      <c r="AE71" s="53" t="s">
        <v>146</v>
      </c>
      <c r="AF71" s="11" t="str">
        <f t="shared" si="92"/>
        <v>發明</v>
      </c>
      <c r="AG71" s="14" t="str">
        <f t="shared" si="93"/>
        <v>NTD</v>
      </c>
      <c r="AH71" s="11">
        <f t="shared" si="95"/>
        <v>0</v>
      </c>
      <c r="AI71" s="75">
        <f t="shared" si="96"/>
        <v>0</v>
      </c>
      <c r="AJ71" s="75">
        <f t="shared" si="68"/>
        <v>0</v>
      </c>
      <c r="AK71" s="75">
        <f t="shared" si="69"/>
        <v>0</v>
      </c>
      <c r="AL71" s="75">
        <f t="shared" si="70"/>
        <v>5000</v>
      </c>
      <c r="AM71" s="75">
        <f t="shared" si="71"/>
        <v>10000</v>
      </c>
      <c r="AN71" s="75">
        <f t="shared" si="72"/>
        <v>15000</v>
      </c>
      <c r="AO71" s="75">
        <f t="shared" si="73"/>
        <v>20000</v>
      </c>
      <c r="AP71" s="75">
        <f t="shared" si="74"/>
        <v>25000</v>
      </c>
      <c r="AQ71" s="75">
        <f t="shared" si="75"/>
        <v>30000</v>
      </c>
      <c r="AR71" s="75">
        <f t="shared" si="76"/>
        <v>35000</v>
      </c>
      <c r="AS71" s="75">
        <f t="shared" si="77"/>
        <v>40000</v>
      </c>
      <c r="AT71" s="75">
        <f t="shared" si="78"/>
        <v>45000</v>
      </c>
      <c r="AU71" s="75">
        <f t="shared" si="79"/>
        <v>50000</v>
      </c>
      <c r="AV71" s="75">
        <f t="shared" si="80"/>
        <v>55000</v>
      </c>
      <c r="AW71" s="75">
        <f t="shared" si="81"/>
        <v>60000</v>
      </c>
      <c r="AX71" s="75">
        <f t="shared" si="82"/>
        <v>65000</v>
      </c>
      <c r="AY71" s="75">
        <f t="shared" si="83"/>
        <v>70000</v>
      </c>
      <c r="AZ71" s="75">
        <f t="shared" si="84"/>
        <v>75000</v>
      </c>
      <c r="BA71" s="75">
        <f t="shared" si="85"/>
        <v>80000</v>
      </c>
      <c r="BB71" s="75">
        <f t="shared" si="86"/>
        <v>80000</v>
      </c>
      <c r="BC71" s="75">
        <f t="shared" si="87"/>
        <v>80000</v>
      </c>
      <c r="BD71" s="75">
        <f t="shared" si="88"/>
        <v>80000</v>
      </c>
      <c r="BE71" s="75">
        <f t="shared" si="89"/>
        <v>80000</v>
      </c>
      <c r="BF71" s="75">
        <f t="shared" si="90"/>
        <v>80000</v>
      </c>
      <c r="BG71" s="75">
        <f t="shared" si="94"/>
        <v>80000</v>
      </c>
    </row>
    <row r="72" spans="1:59" x14ac:dyDescent="0.25">
      <c r="A72" s="194" t="s">
        <v>131</v>
      </c>
      <c r="B72" s="11" t="str">
        <f>'P(M)'!B32</f>
        <v>發明</v>
      </c>
      <c r="C72" s="3" t="s">
        <v>14</v>
      </c>
      <c r="D72" s="97"/>
      <c r="E72" s="97">
        <v>5000</v>
      </c>
      <c r="F72" s="97">
        <v>5000</v>
      </c>
      <c r="G72" s="97">
        <v>5000</v>
      </c>
      <c r="H72" s="97">
        <v>5000</v>
      </c>
      <c r="I72" s="97">
        <v>5000</v>
      </c>
      <c r="J72" s="97">
        <v>5000</v>
      </c>
      <c r="K72" s="97">
        <v>5000</v>
      </c>
      <c r="L72" s="97">
        <v>5000</v>
      </c>
      <c r="M72" s="97">
        <v>5000</v>
      </c>
      <c r="N72" s="97">
        <v>5000</v>
      </c>
      <c r="O72" s="97">
        <v>5000</v>
      </c>
      <c r="P72" s="97">
        <v>5000</v>
      </c>
      <c r="Q72" s="97">
        <v>5000</v>
      </c>
      <c r="R72" s="97">
        <v>5000</v>
      </c>
      <c r="S72" s="97">
        <v>5000</v>
      </c>
      <c r="T72" s="97">
        <v>5000</v>
      </c>
      <c r="U72" s="97">
        <v>5000</v>
      </c>
      <c r="V72" s="97">
        <v>5000</v>
      </c>
      <c r="W72" s="97">
        <v>5000</v>
      </c>
      <c r="X72" s="97"/>
      <c r="Y72" s="97"/>
      <c r="Z72" s="97"/>
      <c r="AA72" s="97"/>
      <c r="AB72" s="97"/>
      <c r="AC72" s="75">
        <f>SUM(D72:AB72)</f>
        <v>95000</v>
      </c>
      <c r="AD72" s="11"/>
      <c r="AE72" s="194" t="s">
        <v>131</v>
      </c>
      <c r="AF72" s="11" t="str">
        <f t="shared" ref="AF72:AH73" si="102">B72</f>
        <v>發明</v>
      </c>
      <c r="AG72" s="14" t="str">
        <f t="shared" si="102"/>
        <v>NTD</v>
      </c>
      <c r="AH72" s="11">
        <f t="shared" si="102"/>
        <v>0</v>
      </c>
      <c r="AI72" s="75">
        <f t="shared" ref="AI72:AR73" si="103">AH72+E72</f>
        <v>5000</v>
      </c>
      <c r="AJ72" s="75">
        <f t="shared" si="103"/>
        <v>10000</v>
      </c>
      <c r="AK72" s="75">
        <f t="shared" si="103"/>
        <v>15000</v>
      </c>
      <c r="AL72" s="75">
        <f t="shared" si="103"/>
        <v>20000</v>
      </c>
      <c r="AM72" s="75">
        <f t="shared" si="103"/>
        <v>25000</v>
      </c>
      <c r="AN72" s="75">
        <f t="shared" si="103"/>
        <v>30000</v>
      </c>
      <c r="AO72" s="75">
        <f t="shared" si="103"/>
        <v>35000</v>
      </c>
      <c r="AP72" s="75">
        <f t="shared" si="103"/>
        <v>40000</v>
      </c>
      <c r="AQ72" s="75">
        <f t="shared" si="103"/>
        <v>45000</v>
      </c>
      <c r="AR72" s="75">
        <f t="shared" si="103"/>
        <v>50000</v>
      </c>
      <c r="AS72" s="75">
        <f t="shared" si="77"/>
        <v>55000</v>
      </c>
      <c r="AT72" s="75">
        <f t="shared" si="78"/>
        <v>60000</v>
      </c>
      <c r="AU72" s="75">
        <f t="shared" si="79"/>
        <v>65000</v>
      </c>
      <c r="AV72" s="75">
        <f t="shared" si="80"/>
        <v>70000</v>
      </c>
      <c r="AW72" s="75">
        <f t="shared" si="81"/>
        <v>75000</v>
      </c>
      <c r="AX72" s="75">
        <f t="shared" si="82"/>
        <v>80000</v>
      </c>
      <c r="AY72" s="75">
        <f t="shared" si="83"/>
        <v>85000</v>
      </c>
      <c r="AZ72" s="75">
        <f t="shared" si="84"/>
        <v>90000</v>
      </c>
      <c r="BA72" s="75">
        <f t="shared" si="85"/>
        <v>95000</v>
      </c>
      <c r="BB72" s="75">
        <f t="shared" si="86"/>
        <v>95000</v>
      </c>
      <c r="BC72" s="75">
        <f t="shared" si="87"/>
        <v>95000</v>
      </c>
      <c r="BD72" s="75">
        <f t="shared" si="88"/>
        <v>95000</v>
      </c>
      <c r="BE72" s="75">
        <f t="shared" si="89"/>
        <v>95000</v>
      </c>
      <c r="BF72" s="75">
        <f t="shared" si="90"/>
        <v>95000</v>
      </c>
      <c r="BG72" s="75">
        <f>BF72</f>
        <v>95000</v>
      </c>
    </row>
    <row r="73" spans="1:59" x14ac:dyDescent="0.25">
      <c r="A73" s="195"/>
      <c r="B73" s="11" t="str">
        <f>'P(M)'!B33</f>
        <v>新型</v>
      </c>
      <c r="C73" s="3" t="s">
        <v>14</v>
      </c>
      <c r="D73" s="97"/>
      <c r="E73" s="97">
        <v>5000</v>
      </c>
      <c r="F73" s="97">
        <v>5000</v>
      </c>
      <c r="G73" s="97">
        <v>5000</v>
      </c>
      <c r="H73" s="97">
        <v>5000</v>
      </c>
      <c r="I73" s="97">
        <v>5000</v>
      </c>
      <c r="J73" s="97">
        <v>5000</v>
      </c>
      <c r="K73" s="97">
        <v>5000</v>
      </c>
      <c r="L73" s="97">
        <v>5000</v>
      </c>
      <c r="M73" s="97">
        <v>5000</v>
      </c>
      <c r="N73" s="97"/>
      <c r="O73" s="97"/>
      <c r="P73" s="97"/>
      <c r="Q73" s="97"/>
      <c r="R73" s="97"/>
      <c r="S73" s="97"/>
      <c r="T73" s="97"/>
      <c r="U73" s="97"/>
      <c r="V73" s="97"/>
      <c r="W73" s="97"/>
      <c r="X73" s="97"/>
      <c r="Y73" s="97"/>
      <c r="Z73" s="97"/>
      <c r="AA73" s="97"/>
      <c r="AB73" s="97"/>
      <c r="AC73" s="75">
        <f>SUM(D73:AB73)</f>
        <v>45000</v>
      </c>
      <c r="AD73" s="11"/>
      <c r="AE73" s="195"/>
      <c r="AF73" s="11" t="str">
        <f t="shared" si="102"/>
        <v>新型</v>
      </c>
      <c r="AG73" s="14" t="str">
        <f t="shared" si="102"/>
        <v>NTD</v>
      </c>
      <c r="AH73" s="11">
        <f t="shared" si="102"/>
        <v>0</v>
      </c>
      <c r="AI73" s="75">
        <f t="shared" si="103"/>
        <v>5000</v>
      </c>
      <c r="AJ73" s="75">
        <f t="shared" si="103"/>
        <v>10000</v>
      </c>
      <c r="AK73" s="75">
        <f t="shared" si="103"/>
        <v>15000</v>
      </c>
      <c r="AL73" s="75">
        <f t="shared" si="103"/>
        <v>20000</v>
      </c>
      <c r="AM73" s="75">
        <f t="shared" si="103"/>
        <v>25000</v>
      </c>
      <c r="AN73" s="75">
        <f t="shared" si="103"/>
        <v>30000</v>
      </c>
      <c r="AO73" s="75">
        <f t="shared" si="103"/>
        <v>35000</v>
      </c>
      <c r="AP73" s="75">
        <f t="shared" si="103"/>
        <v>40000</v>
      </c>
      <c r="AQ73" s="75">
        <f t="shared" si="103"/>
        <v>45000</v>
      </c>
      <c r="AR73" s="75">
        <f t="shared" si="103"/>
        <v>45000</v>
      </c>
      <c r="AS73" s="75">
        <f t="shared" si="77"/>
        <v>45000</v>
      </c>
      <c r="AT73" s="75">
        <f t="shared" si="78"/>
        <v>45000</v>
      </c>
      <c r="AU73" s="75">
        <f t="shared" si="79"/>
        <v>45000</v>
      </c>
      <c r="AV73" s="75">
        <f t="shared" si="80"/>
        <v>45000</v>
      </c>
      <c r="AW73" s="75">
        <f t="shared" si="81"/>
        <v>45000</v>
      </c>
      <c r="AX73" s="75">
        <f t="shared" si="82"/>
        <v>45000</v>
      </c>
      <c r="AY73" s="75">
        <f t="shared" si="83"/>
        <v>45000</v>
      </c>
      <c r="AZ73" s="75">
        <f t="shared" si="84"/>
        <v>45000</v>
      </c>
      <c r="BA73" s="75">
        <f t="shared" si="85"/>
        <v>45000</v>
      </c>
      <c r="BB73" s="75">
        <f t="shared" si="86"/>
        <v>45000</v>
      </c>
      <c r="BC73" s="75">
        <f t="shared" si="87"/>
        <v>45000</v>
      </c>
      <c r="BD73" s="75">
        <f t="shared" si="88"/>
        <v>45000</v>
      </c>
      <c r="BE73" s="75">
        <f t="shared" si="89"/>
        <v>45000</v>
      </c>
      <c r="BF73" s="75">
        <f t="shared" si="90"/>
        <v>45000</v>
      </c>
      <c r="BG73" s="75">
        <f>BF73</f>
        <v>45000</v>
      </c>
    </row>
    <row r="74" spans="1:59" x14ac:dyDescent="0.25">
      <c r="A74" s="194" t="s">
        <v>9</v>
      </c>
      <c r="B74" s="11" t="str">
        <f>'P(M)'!B34</f>
        <v>發明</v>
      </c>
      <c r="C74" s="3" t="s">
        <v>14</v>
      </c>
      <c r="D74" s="97"/>
      <c r="E74" s="97">
        <v>5000</v>
      </c>
      <c r="F74" s="97">
        <v>5000</v>
      </c>
      <c r="G74" s="97">
        <v>5000</v>
      </c>
      <c r="H74" s="97">
        <v>5000</v>
      </c>
      <c r="I74" s="97">
        <v>5000</v>
      </c>
      <c r="J74" s="97">
        <v>5000</v>
      </c>
      <c r="K74" s="97">
        <v>5000</v>
      </c>
      <c r="L74" s="97">
        <v>5000</v>
      </c>
      <c r="M74" s="97">
        <v>5000</v>
      </c>
      <c r="N74" s="97">
        <v>5000</v>
      </c>
      <c r="O74" s="97">
        <v>5000</v>
      </c>
      <c r="P74" s="97">
        <v>5000</v>
      </c>
      <c r="Q74" s="97">
        <v>5000</v>
      </c>
      <c r="R74" s="97">
        <v>5000</v>
      </c>
      <c r="S74" s="97">
        <v>5000</v>
      </c>
      <c r="T74" s="97">
        <v>5000</v>
      </c>
      <c r="U74" s="97">
        <v>5000</v>
      </c>
      <c r="V74" s="97">
        <v>5000</v>
      </c>
      <c r="W74" s="97">
        <v>5000</v>
      </c>
      <c r="X74" s="97"/>
      <c r="Y74" s="97"/>
      <c r="Z74" s="97"/>
      <c r="AA74" s="97"/>
      <c r="AB74" s="97"/>
      <c r="AC74" s="75">
        <f t="shared" si="91"/>
        <v>95000</v>
      </c>
      <c r="AD74" s="11"/>
      <c r="AE74" s="194" t="s">
        <v>9</v>
      </c>
      <c r="AF74" s="11" t="str">
        <f t="shared" si="92"/>
        <v>發明</v>
      </c>
      <c r="AG74" s="14" t="str">
        <f t="shared" si="93"/>
        <v>NTD</v>
      </c>
      <c r="AH74" s="11">
        <f t="shared" si="95"/>
        <v>0</v>
      </c>
      <c r="AI74" s="75">
        <f t="shared" si="96"/>
        <v>5000</v>
      </c>
      <c r="AJ74" s="75">
        <f t="shared" si="68"/>
        <v>10000</v>
      </c>
      <c r="AK74" s="75">
        <f t="shared" si="69"/>
        <v>15000</v>
      </c>
      <c r="AL74" s="75">
        <f t="shared" si="70"/>
        <v>20000</v>
      </c>
      <c r="AM74" s="75">
        <f t="shared" si="71"/>
        <v>25000</v>
      </c>
      <c r="AN74" s="75">
        <f t="shared" si="72"/>
        <v>30000</v>
      </c>
      <c r="AO74" s="75">
        <f t="shared" si="73"/>
        <v>35000</v>
      </c>
      <c r="AP74" s="75">
        <f t="shared" si="74"/>
        <v>40000</v>
      </c>
      <c r="AQ74" s="75">
        <f t="shared" si="75"/>
        <v>45000</v>
      </c>
      <c r="AR74" s="75">
        <f t="shared" si="76"/>
        <v>50000</v>
      </c>
      <c r="AS74" s="75">
        <f t="shared" si="77"/>
        <v>55000</v>
      </c>
      <c r="AT74" s="75">
        <f t="shared" si="78"/>
        <v>60000</v>
      </c>
      <c r="AU74" s="75">
        <f t="shared" si="79"/>
        <v>65000</v>
      </c>
      <c r="AV74" s="75">
        <f t="shared" si="80"/>
        <v>70000</v>
      </c>
      <c r="AW74" s="75">
        <f t="shared" si="81"/>
        <v>75000</v>
      </c>
      <c r="AX74" s="75">
        <f t="shared" si="82"/>
        <v>80000</v>
      </c>
      <c r="AY74" s="75">
        <f t="shared" si="83"/>
        <v>85000</v>
      </c>
      <c r="AZ74" s="75">
        <f t="shared" si="84"/>
        <v>90000</v>
      </c>
      <c r="BA74" s="75">
        <f t="shared" si="85"/>
        <v>95000</v>
      </c>
      <c r="BB74" s="75">
        <f t="shared" si="86"/>
        <v>95000</v>
      </c>
      <c r="BC74" s="75">
        <f t="shared" si="87"/>
        <v>95000</v>
      </c>
      <c r="BD74" s="75">
        <f t="shared" si="88"/>
        <v>95000</v>
      </c>
      <c r="BE74" s="75">
        <f t="shared" si="89"/>
        <v>95000</v>
      </c>
      <c r="BF74" s="75">
        <f t="shared" si="90"/>
        <v>95000</v>
      </c>
      <c r="BG74" s="75">
        <f t="shared" si="94"/>
        <v>95000</v>
      </c>
    </row>
    <row r="75" spans="1:59" x14ac:dyDescent="0.25">
      <c r="A75" s="195"/>
      <c r="B75" s="11" t="str">
        <f>'P(M)'!B35</f>
        <v>新型</v>
      </c>
      <c r="C75" s="3" t="s">
        <v>14</v>
      </c>
      <c r="D75" s="97"/>
      <c r="E75" s="97">
        <v>5000</v>
      </c>
      <c r="F75" s="97">
        <v>5000</v>
      </c>
      <c r="G75" s="97">
        <v>5000</v>
      </c>
      <c r="H75" s="97">
        <v>5000</v>
      </c>
      <c r="I75" s="97">
        <v>5000</v>
      </c>
      <c r="J75" s="97">
        <v>5000</v>
      </c>
      <c r="K75" s="97">
        <v>5000</v>
      </c>
      <c r="L75" s="97">
        <v>5000</v>
      </c>
      <c r="M75" s="97">
        <v>5000</v>
      </c>
      <c r="N75" s="97"/>
      <c r="O75" s="97"/>
      <c r="P75" s="97"/>
      <c r="Q75" s="97"/>
      <c r="R75" s="97"/>
      <c r="S75" s="97"/>
      <c r="T75" s="97"/>
      <c r="U75" s="97"/>
      <c r="V75" s="97"/>
      <c r="W75" s="97"/>
      <c r="X75" s="97"/>
      <c r="Y75" s="97"/>
      <c r="Z75" s="97"/>
      <c r="AA75" s="97"/>
      <c r="AB75" s="97"/>
      <c r="AC75" s="75">
        <f t="shared" si="91"/>
        <v>45000</v>
      </c>
      <c r="AD75" s="11"/>
      <c r="AE75" s="195"/>
      <c r="AF75" s="11" t="str">
        <f t="shared" si="92"/>
        <v>新型</v>
      </c>
      <c r="AG75" s="14" t="str">
        <f t="shared" si="93"/>
        <v>NTD</v>
      </c>
      <c r="AH75" s="11">
        <f t="shared" si="95"/>
        <v>0</v>
      </c>
      <c r="AI75" s="75">
        <f t="shared" si="96"/>
        <v>5000</v>
      </c>
      <c r="AJ75" s="75">
        <f t="shared" si="68"/>
        <v>10000</v>
      </c>
      <c r="AK75" s="75">
        <f t="shared" si="69"/>
        <v>15000</v>
      </c>
      <c r="AL75" s="75">
        <f t="shared" si="70"/>
        <v>20000</v>
      </c>
      <c r="AM75" s="75">
        <f t="shared" si="71"/>
        <v>25000</v>
      </c>
      <c r="AN75" s="75">
        <f t="shared" si="72"/>
        <v>30000</v>
      </c>
      <c r="AO75" s="75">
        <f t="shared" si="73"/>
        <v>35000</v>
      </c>
      <c r="AP75" s="75">
        <f t="shared" si="74"/>
        <v>40000</v>
      </c>
      <c r="AQ75" s="75">
        <f t="shared" si="75"/>
        <v>45000</v>
      </c>
      <c r="AR75" s="75">
        <f t="shared" si="76"/>
        <v>45000</v>
      </c>
      <c r="AS75" s="75">
        <f t="shared" si="77"/>
        <v>45000</v>
      </c>
      <c r="AT75" s="75">
        <f t="shared" si="78"/>
        <v>45000</v>
      </c>
      <c r="AU75" s="75">
        <f t="shared" si="79"/>
        <v>45000</v>
      </c>
      <c r="AV75" s="75">
        <f t="shared" si="80"/>
        <v>45000</v>
      </c>
      <c r="AW75" s="75">
        <f t="shared" si="81"/>
        <v>45000</v>
      </c>
      <c r="AX75" s="75">
        <f t="shared" si="82"/>
        <v>45000</v>
      </c>
      <c r="AY75" s="75">
        <f t="shared" si="83"/>
        <v>45000</v>
      </c>
      <c r="AZ75" s="75">
        <f t="shared" si="84"/>
        <v>45000</v>
      </c>
      <c r="BA75" s="75">
        <f t="shared" si="85"/>
        <v>45000</v>
      </c>
      <c r="BB75" s="75">
        <f t="shared" si="86"/>
        <v>45000</v>
      </c>
      <c r="BC75" s="75">
        <f t="shared" si="87"/>
        <v>45000</v>
      </c>
      <c r="BD75" s="75">
        <f t="shared" si="88"/>
        <v>45000</v>
      </c>
      <c r="BE75" s="75">
        <f t="shared" si="89"/>
        <v>45000</v>
      </c>
      <c r="BF75" s="75">
        <f t="shared" si="90"/>
        <v>45000</v>
      </c>
      <c r="BG75" s="75">
        <f t="shared" si="94"/>
        <v>45000</v>
      </c>
    </row>
    <row r="76" spans="1:59" x14ac:dyDescent="0.25">
      <c r="A76" s="194" t="s">
        <v>10</v>
      </c>
      <c r="B76" s="11" t="str">
        <f>'P(M)'!B36</f>
        <v>發明</v>
      </c>
      <c r="C76" s="3" t="s">
        <v>14</v>
      </c>
      <c r="D76" s="97"/>
      <c r="E76" s="97"/>
      <c r="F76" s="97"/>
      <c r="G76" s="97"/>
      <c r="H76" s="97">
        <v>5000</v>
      </c>
      <c r="I76" s="97">
        <v>5000</v>
      </c>
      <c r="J76" s="97">
        <v>5000</v>
      </c>
      <c r="K76" s="97">
        <v>5000</v>
      </c>
      <c r="L76" s="97">
        <v>5000</v>
      </c>
      <c r="M76" s="97">
        <v>5000</v>
      </c>
      <c r="N76" s="97">
        <v>5000</v>
      </c>
      <c r="O76" s="97">
        <v>5000</v>
      </c>
      <c r="P76" s="97">
        <v>5000</v>
      </c>
      <c r="Q76" s="97">
        <v>5000</v>
      </c>
      <c r="R76" s="97">
        <v>5000</v>
      </c>
      <c r="S76" s="97">
        <v>5000</v>
      </c>
      <c r="T76" s="97">
        <v>5000</v>
      </c>
      <c r="U76" s="97">
        <v>5000</v>
      </c>
      <c r="V76" s="97">
        <v>5000</v>
      </c>
      <c r="W76" s="97">
        <v>5000</v>
      </c>
      <c r="X76" s="97"/>
      <c r="Y76" s="97"/>
      <c r="Z76" s="97"/>
      <c r="AA76" s="97"/>
      <c r="AB76" s="97"/>
      <c r="AC76" s="75">
        <f t="shared" si="91"/>
        <v>80000</v>
      </c>
      <c r="AD76" s="11"/>
      <c r="AE76" s="194" t="s">
        <v>10</v>
      </c>
      <c r="AF76" s="11" t="str">
        <f t="shared" si="92"/>
        <v>發明</v>
      </c>
      <c r="AG76" s="14" t="str">
        <f t="shared" si="93"/>
        <v>NTD</v>
      </c>
      <c r="AH76" s="11">
        <f t="shared" si="95"/>
        <v>0</v>
      </c>
      <c r="AI76" s="75">
        <f t="shared" si="96"/>
        <v>0</v>
      </c>
      <c r="AJ76" s="75">
        <f t="shared" si="68"/>
        <v>0</v>
      </c>
      <c r="AK76" s="75">
        <f t="shared" si="69"/>
        <v>0</v>
      </c>
      <c r="AL76" s="75">
        <f t="shared" si="70"/>
        <v>5000</v>
      </c>
      <c r="AM76" s="75">
        <f t="shared" si="71"/>
        <v>10000</v>
      </c>
      <c r="AN76" s="75">
        <f t="shared" si="72"/>
        <v>15000</v>
      </c>
      <c r="AO76" s="75">
        <f t="shared" si="73"/>
        <v>20000</v>
      </c>
      <c r="AP76" s="75">
        <f t="shared" si="74"/>
        <v>25000</v>
      </c>
      <c r="AQ76" s="75">
        <f t="shared" si="75"/>
        <v>30000</v>
      </c>
      <c r="AR76" s="75">
        <f t="shared" si="76"/>
        <v>35000</v>
      </c>
      <c r="AS76" s="75">
        <f t="shared" si="77"/>
        <v>40000</v>
      </c>
      <c r="AT76" s="75">
        <f t="shared" si="78"/>
        <v>45000</v>
      </c>
      <c r="AU76" s="75">
        <f t="shared" si="79"/>
        <v>50000</v>
      </c>
      <c r="AV76" s="75">
        <f t="shared" si="80"/>
        <v>55000</v>
      </c>
      <c r="AW76" s="75">
        <f t="shared" si="81"/>
        <v>60000</v>
      </c>
      <c r="AX76" s="75">
        <f t="shared" si="82"/>
        <v>65000</v>
      </c>
      <c r="AY76" s="75">
        <f t="shared" si="83"/>
        <v>70000</v>
      </c>
      <c r="AZ76" s="75">
        <f t="shared" si="84"/>
        <v>75000</v>
      </c>
      <c r="BA76" s="75">
        <f t="shared" si="85"/>
        <v>80000</v>
      </c>
      <c r="BB76" s="75">
        <f t="shared" si="86"/>
        <v>80000</v>
      </c>
      <c r="BC76" s="75">
        <f t="shared" si="87"/>
        <v>80000</v>
      </c>
      <c r="BD76" s="75">
        <f t="shared" si="88"/>
        <v>80000</v>
      </c>
      <c r="BE76" s="75">
        <f t="shared" si="89"/>
        <v>80000</v>
      </c>
      <c r="BF76" s="75">
        <f t="shared" si="90"/>
        <v>80000</v>
      </c>
      <c r="BG76" s="75">
        <f t="shared" si="94"/>
        <v>80000</v>
      </c>
    </row>
    <row r="77" spans="1:59" x14ac:dyDescent="0.25">
      <c r="A77" s="195"/>
      <c r="B77" s="11" t="str">
        <f>'P(M)'!B37</f>
        <v>新型</v>
      </c>
      <c r="C77" s="3" t="s">
        <v>14</v>
      </c>
      <c r="D77" s="97"/>
      <c r="E77" s="97"/>
      <c r="F77" s="97"/>
      <c r="G77" s="97"/>
      <c r="H77" s="97">
        <v>5000</v>
      </c>
      <c r="I77" s="97">
        <v>5000</v>
      </c>
      <c r="J77" s="97">
        <v>5000</v>
      </c>
      <c r="K77" s="97"/>
      <c r="L77" s="97">
        <v>5000</v>
      </c>
      <c r="M77" s="97"/>
      <c r="N77" s="97"/>
      <c r="O77" s="97"/>
      <c r="P77" s="97"/>
      <c r="Q77" s="97"/>
      <c r="R77" s="97"/>
      <c r="S77" s="97"/>
      <c r="T77" s="97"/>
      <c r="U77" s="97"/>
      <c r="V77" s="97"/>
      <c r="W77" s="97"/>
      <c r="X77" s="97"/>
      <c r="Y77" s="97"/>
      <c r="Z77" s="97"/>
      <c r="AA77" s="97"/>
      <c r="AB77" s="97"/>
      <c r="AC77" s="75">
        <f t="shared" si="91"/>
        <v>20000</v>
      </c>
      <c r="AD77" s="11"/>
      <c r="AE77" s="195"/>
      <c r="AF77" s="11" t="str">
        <f t="shared" si="92"/>
        <v>新型</v>
      </c>
      <c r="AG77" s="14" t="str">
        <f t="shared" si="93"/>
        <v>NTD</v>
      </c>
      <c r="AH77" s="11">
        <f t="shared" si="95"/>
        <v>0</v>
      </c>
      <c r="AI77" s="75">
        <f t="shared" si="96"/>
        <v>0</v>
      </c>
      <c r="AJ77" s="75">
        <f t="shared" si="68"/>
        <v>0</v>
      </c>
      <c r="AK77" s="75">
        <f t="shared" si="69"/>
        <v>0</v>
      </c>
      <c r="AL77" s="75">
        <f t="shared" si="70"/>
        <v>5000</v>
      </c>
      <c r="AM77" s="75">
        <f t="shared" si="71"/>
        <v>10000</v>
      </c>
      <c r="AN77" s="75">
        <f t="shared" si="72"/>
        <v>15000</v>
      </c>
      <c r="AO77" s="75">
        <f t="shared" si="73"/>
        <v>15000</v>
      </c>
      <c r="AP77" s="75">
        <f t="shared" si="74"/>
        <v>20000</v>
      </c>
      <c r="AQ77" s="75">
        <f t="shared" si="75"/>
        <v>20000</v>
      </c>
      <c r="AR77" s="75">
        <f t="shared" si="76"/>
        <v>20000</v>
      </c>
      <c r="AS77" s="75">
        <f t="shared" si="77"/>
        <v>20000</v>
      </c>
      <c r="AT77" s="75">
        <f t="shared" si="78"/>
        <v>20000</v>
      </c>
      <c r="AU77" s="75">
        <f t="shared" si="79"/>
        <v>20000</v>
      </c>
      <c r="AV77" s="75">
        <f t="shared" si="80"/>
        <v>20000</v>
      </c>
      <c r="AW77" s="75">
        <f t="shared" si="81"/>
        <v>20000</v>
      </c>
      <c r="AX77" s="75">
        <f t="shared" si="82"/>
        <v>20000</v>
      </c>
      <c r="AY77" s="75">
        <f t="shared" si="83"/>
        <v>20000</v>
      </c>
      <c r="AZ77" s="75">
        <f t="shared" si="84"/>
        <v>20000</v>
      </c>
      <c r="BA77" s="75">
        <f t="shared" si="85"/>
        <v>20000</v>
      </c>
      <c r="BB77" s="75">
        <f t="shared" si="86"/>
        <v>20000</v>
      </c>
      <c r="BC77" s="75">
        <f t="shared" si="87"/>
        <v>20000</v>
      </c>
      <c r="BD77" s="75">
        <f t="shared" si="88"/>
        <v>20000</v>
      </c>
      <c r="BE77" s="75">
        <f t="shared" si="89"/>
        <v>20000</v>
      </c>
      <c r="BF77" s="75">
        <f t="shared" si="90"/>
        <v>20000</v>
      </c>
      <c r="BG77" s="75">
        <f t="shared" si="94"/>
        <v>20000</v>
      </c>
    </row>
    <row r="78" spans="1:59" x14ac:dyDescent="0.25">
      <c r="A78" s="5"/>
      <c r="B78" s="5"/>
      <c r="C78" s="5"/>
      <c r="D78" s="98"/>
      <c r="E78" s="98"/>
      <c r="F78" s="98"/>
      <c r="G78" s="98"/>
      <c r="H78" s="98"/>
      <c r="I78" s="98"/>
      <c r="J78" s="98"/>
      <c r="K78" s="98"/>
      <c r="L78" s="98"/>
      <c r="M78" s="98"/>
      <c r="N78" s="98"/>
      <c r="O78" s="98"/>
      <c r="P78" s="98"/>
      <c r="Q78" s="98"/>
      <c r="R78" s="98"/>
      <c r="S78" s="98"/>
      <c r="T78" s="98"/>
      <c r="U78" s="98"/>
      <c r="V78" s="98"/>
      <c r="W78" s="98"/>
      <c r="X78" s="98"/>
      <c r="Y78" s="98"/>
      <c r="Z78" s="98"/>
      <c r="AA78" s="98"/>
      <c r="AB78" s="98"/>
      <c r="AC78" s="75">
        <f t="shared" si="91"/>
        <v>0</v>
      </c>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row>
    <row r="79" spans="1:59" x14ac:dyDescent="0.25">
      <c r="A79" s="128" t="s">
        <v>292</v>
      </c>
    </row>
  </sheetData>
  <mergeCells count="54">
    <mergeCell ref="A74:A75"/>
    <mergeCell ref="AE74:AE75"/>
    <mergeCell ref="A76:A77"/>
    <mergeCell ref="AE76:AE77"/>
    <mergeCell ref="A69:A70"/>
    <mergeCell ref="AE69:AE70"/>
    <mergeCell ref="A63:A64"/>
    <mergeCell ref="AE63:AE64"/>
    <mergeCell ref="A65:A66"/>
    <mergeCell ref="AE65:AE66"/>
    <mergeCell ref="A72:A73"/>
    <mergeCell ref="AE72:AE73"/>
    <mergeCell ref="A55:C55"/>
    <mergeCell ref="AE55:AG55"/>
    <mergeCell ref="A57:A58"/>
    <mergeCell ref="AE57:AE58"/>
    <mergeCell ref="A59:A60"/>
    <mergeCell ref="AE59:AE60"/>
    <mergeCell ref="A47:A48"/>
    <mergeCell ref="AE47:AE48"/>
    <mergeCell ref="A49:A50"/>
    <mergeCell ref="AE49:AE50"/>
    <mergeCell ref="A42:A43"/>
    <mergeCell ref="AE42:AE43"/>
    <mergeCell ref="A45:A46"/>
    <mergeCell ref="AE45:AE46"/>
    <mergeCell ref="A32:A33"/>
    <mergeCell ref="AE32:AE33"/>
    <mergeCell ref="A36:A37"/>
    <mergeCell ref="AE36:AE37"/>
    <mergeCell ref="A38:A39"/>
    <mergeCell ref="AE38:AE39"/>
    <mergeCell ref="AE18:AE19"/>
    <mergeCell ref="A1:C1"/>
    <mergeCell ref="AE1:AG1"/>
    <mergeCell ref="A28:C28"/>
    <mergeCell ref="AE28:AG28"/>
    <mergeCell ref="A3:A4"/>
    <mergeCell ref="A30:A31"/>
    <mergeCell ref="AE30:AE31"/>
    <mergeCell ref="A18:A19"/>
    <mergeCell ref="AE3:AE4"/>
    <mergeCell ref="AE5:AE6"/>
    <mergeCell ref="AE9:AE10"/>
    <mergeCell ref="AE11:AE12"/>
    <mergeCell ref="AE20:AE21"/>
    <mergeCell ref="AE22:AE23"/>
    <mergeCell ref="A22:A23"/>
    <mergeCell ref="A15:A16"/>
    <mergeCell ref="AE15:AE16"/>
    <mergeCell ref="A11:A12"/>
    <mergeCell ref="A20:A21"/>
    <mergeCell ref="A5:A6"/>
    <mergeCell ref="A9:A10"/>
  </mergeCells>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6"/>
  <dimension ref="A1:O28"/>
  <sheetViews>
    <sheetView topLeftCell="C1" workbookViewId="0">
      <selection activeCell="K2" sqref="K2"/>
    </sheetView>
  </sheetViews>
  <sheetFormatPr defaultRowHeight="16.5" x14ac:dyDescent="0.25"/>
  <cols>
    <col min="1" max="1" width="13.875" bestFit="1" customWidth="1"/>
    <col min="2" max="2" width="27.25" bestFit="1" customWidth="1"/>
    <col min="3" max="3" width="13.875" bestFit="1" customWidth="1"/>
    <col min="4" max="4" width="18.375" bestFit="1" customWidth="1"/>
    <col min="5" max="5" width="27.25" bestFit="1" customWidth="1"/>
    <col min="6" max="6" width="18.375" customWidth="1"/>
    <col min="7" max="8" width="11.625" customWidth="1"/>
    <col min="10" max="10" width="11.625" customWidth="1"/>
    <col min="11" max="11" width="13.875" bestFit="1" customWidth="1"/>
    <col min="12" max="12" width="23.875" bestFit="1" customWidth="1"/>
    <col min="13" max="13" width="23.875" customWidth="1"/>
    <col min="14" max="14" width="23.875" style="1" bestFit="1" customWidth="1"/>
    <col min="15" max="15" width="16.125" style="1" bestFit="1" customWidth="1"/>
  </cols>
  <sheetData>
    <row r="1" spans="1:15" x14ac:dyDescent="0.25">
      <c r="A1" s="2" t="s">
        <v>70</v>
      </c>
      <c r="B1" s="2" t="s">
        <v>74</v>
      </c>
      <c r="C1" s="2" t="s">
        <v>72</v>
      </c>
      <c r="D1" s="2" t="s">
        <v>73</v>
      </c>
      <c r="E1" s="2" t="s">
        <v>113</v>
      </c>
      <c r="F1" s="2" t="s">
        <v>78</v>
      </c>
      <c r="G1" s="2" t="s">
        <v>38</v>
      </c>
      <c r="H1" s="2" t="s">
        <v>69</v>
      </c>
      <c r="I1" s="28" t="s">
        <v>57</v>
      </c>
      <c r="J1" s="29" t="s">
        <v>55</v>
      </c>
      <c r="K1" s="2" t="s">
        <v>147</v>
      </c>
      <c r="L1" s="2" t="s">
        <v>297</v>
      </c>
      <c r="M1" s="2" t="s">
        <v>300</v>
      </c>
      <c r="N1" s="2" t="s">
        <v>299</v>
      </c>
      <c r="O1" s="2"/>
    </row>
    <row r="2" spans="1:15" x14ac:dyDescent="0.25">
      <c r="A2" s="2" t="s">
        <v>71</v>
      </c>
      <c r="B2" s="2" t="s">
        <v>71</v>
      </c>
      <c r="C2" s="2" t="s">
        <v>71</v>
      </c>
      <c r="D2" s="2" t="s">
        <v>71</v>
      </c>
      <c r="E2" s="2" t="s">
        <v>71</v>
      </c>
      <c r="F2" s="2" t="s">
        <v>71</v>
      </c>
      <c r="G2" s="2" t="s">
        <v>39</v>
      </c>
      <c r="H2" s="2" t="s">
        <v>63</v>
      </c>
      <c r="I2" s="28" t="s">
        <v>52</v>
      </c>
      <c r="J2" s="29" t="s">
        <v>12</v>
      </c>
      <c r="K2" s="71">
        <v>2</v>
      </c>
      <c r="L2" s="1" t="s">
        <v>222</v>
      </c>
      <c r="M2" s="1">
        <v>26</v>
      </c>
      <c r="N2" s="1">
        <v>26</v>
      </c>
    </row>
    <row r="3" spans="1:15" x14ac:dyDescent="0.25">
      <c r="A3" s="2" t="s">
        <v>51</v>
      </c>
      <c r="B3" s="2" t="s">
        <v>51</v>
      </c>
      <c r="C3" s="2" t="s">
        <v>40</v>
      </c>
      <c r="D3" s="2" t="s">
        <v>40</v>
      </c>
      <c r="E3" s="2" t="s">
        <v>54</v>
      </c>
      <c r="F3" s="2" t="s">
        <v>79</v>
      </c>
      <c r="G3" s="2" t="s">
        <v>339</v>
      </c>
      <c r="H3" s="2" t="s">
        <v>61</v>
      </c>
      <c r="I3" s="28" t="s">
        <v>53</v>
      </c>
      <c r="J3" s="29" t="s">
        <v>49</v>
      </c>
      <c r="L3" s="1">
        <v>1</v>
      </c>
      <c r="M3" s="1"/>
    </row>
    <row r="4" spans="1:15" x14ac:dyDescent="0.25">
      <c r="A4" s="2" t="s">
        <v>40</v>
      </c>
      <c r="B4" s="2" t="s">
        <v>40</v>
      </c>
      <c r="C4" s="2" t="s">
        <v>54</v>
      </c>
      <c r="D4" s="2"/>
      <c r="E4" s="2"/>
      <c r="F4" s="2"/>
      <c r="G4" s="2" t="s">
        <v>341</v>
      </c>
      <c r="H4" s="2" t="s">
        <v>64</v>
      </c>
      <c r="I4" s="16"/>
      <c r="J4" s="28"/>
      <c r="L4" s="1">
        <v>2</v>
      </c>
      <c r="M4" s="1"/>
    </row>
    <row r="5" spans="1:15" x14ac:dyDescent="0.25">
      <c r="A5" s="2" t="s">
        <v>54</v>
      </c>
      <c r="B5" s="2" t="s">
        <v>54</v>
      </c>
      <c r="C5" s="2"/>
      <c r="D5" s="2"/>
      <c r="E5" s="2"/>
      <c r="F5" s="2"/>
      <c r="H5" s="2" t="s">
        <v>65</v>
      </c>
      <c r="J5" s="2"/>
      <c r="K5" s="67" t="s">
        <v>148</v>
      </c>
      <c r="L5" s="1">
        <v>3</v>
      </c>
      <c r="M5" s="1"/>
    </row>
    <row r="6" spans="1:15" x14ac:dyDescent="0.25">
      <c r="A6" s="2" t="s">
        <v>41</v>
      </c>
      <c r="K6" s="67" t="s">
        <v>149</v>
      </c>
      <c r="L6" s="1">
        <v>4</v>
      </c>
      <c r="M6" s="1"/>
    </row>
    <row r="7" spans="1:15" x14ac:dyDescent="0.25">
      <c r="L7" s="1">
        <v>5</v>
      </c>
      <c r="M7" s="1"/>
    </row>
    <row r="8" spans="1:15" x14ac:dyDescent="0.25">
      <c r="L8" s="1">
        <v>6</v>
      </c>
      <c r="M8" s="1"/>
    </row>
    <row r="9" spans="1:15" x14ac:dyDescent="0.25">
      <c r="L9" s="1">
        <v>7</v>
      </c>
      <c r="M9" s="1"/>
    </row>
    <row r="10" spans="1:15" x14ac:dyDescent="0.25">
      <c r="L10" s="1">
        <v>8</v>
      </c>
      <c r="M10" s="1"/>
    </row>
    <row r="11" spans="1:15" x14ac:dyDescent="0.25">
      <c r="L11" s="1">
        <v>9</v>
      </c>
      <c r="M11" s="1"/>
    </row>
    <row r="12" spans="1:15" x14ac:dyDescent="0.25">
      <c r="L12" s="1">
        <v>10</v>
      </c>
      <c r="M12" s="1"/>
    </row>
    <row r="13" spans="1:15" x14ac:dyDescent="0.25">
      <c r="L13" s="1">
        <v>11</v>
      </c>
      <c r="M13" s="1"/>
    </row>
    <row r="14" spans="1:15" x14ac:dyDescent="0.25">
      <c r="L14" s="1">
        <v>12</v>
      </c>
      <c r="M14" s="1"/>
    </row>
    <row r="15" spans="1:15" x14ac:dyDescent="0.25">
      <c r="L15" s="1">
        <v>13</v>
      </c>
      <c r="M15" s="1"/>
    </row>
    <row r="16" spans="1:15" x14ac:dyDescent="0.25">
      <c r="L16" s="1">
        <v>14</v>
      </c>
      <c r="M16" s="1"/>
    </row>
    <row r="17" spans="12:13" x14ac:dyDescent="0.25">
      <c r="L17" s="1">
        <v>15</v>
      </c>
      <c r="M17" s="1"/>
    </row>
    <row r="18" spans="12:13" x14ac:dyDescent="0.25">
      <c r="L18" s="1">
        <v>16</v>
      </c>
      <c r="M18" s="1"/>
    </row>
    <row r="19" spans="12:13" x14ac:dyDescent="0.25">
      <c r="L19" s="1">
        <v>17</v>
      </c>
      <c r="M19" s="1"/>
    </row>
    <row r="20" spans="12:13" x14ac:dyDescent="0.25">
      <c r="L20" s="1">
        <v>18</v>
      </c>
      <c r="M20" s="1"/>
    </row>
    <row r="21" spans="12:13" x14ac:dyDescent="0.25">
      <c r="L21" s="1">
        <v>19</v>
      </c>
      <c r="M21" s="1"/>
    </row>
    <row r="22" spans="12:13" x14ac:dyDescent="0.25">
      <c r="L22" s="1">
        <v>20</v>
      </c>
      <c r="M22" s="1"/>
    </row>
    <row r="23" spans="12:13" x14ac:dyDescent="0.25">
      <c r="L23" s="1">
        <v>21</v>
      </c>
      <c r="M23" s="1"/>
    </row>
    <row r="24" spans="12:13" x14ac:dyDescent="0.25">
      <c r="L24" s="1">
        <v>22</v>
      </c>
      <c r="M24" s="1"/>
    </row>
    <row r="25" spans="12:13" x14ac:dyDescent="0.25">
      <c r="L25" s="1">
        <v>23</v>
      </c>
      <c r="M25" s="1"/>
    </row>
    <row r="26" spans="12:13" x14ac:dyDescent="0.25">
      <c r="L26" s="1">
        <v>24</v>
      </c>
      <c r="M26" s="1"/>
    </row>
    <row r="27" spans="12:13" x14ac:dyDescent="0.25">
      <c r="L27" s="1">
        <v>25</v>
      </c>
      <c r="M27" s="1"/>
    </row>
    <row r="28" spans="12:13" x14ac:dyDescent="0.25">
      <c r="L28" s="1" t="s">
        <v>222</v>
      </c>
      <c r="M28" s="1"/>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具名範圍</vt:lpstr>
      </vt:variant>
      <vt:variant>
        <vt:i4>6</vt:i4>
      </vt:variant>
    </vt:vector>
  </HeadingPairs>
  <TitlesOfParts>
    <vt:vector size="10" baseType="lpstr">
      <vt:lpstr>發明(新型)案成本估算</vt:lpstr>
      <vt:lpstr>P(M)</vt:lpstr>
      <vt:lpstr>P(M)年費表</vt:lpstr>
      <vt:lpstr>選項</vt:lpstr>
      <vt:lpstr>'發明(新型)案成本估算'!Print_Area</vt:lpstr>
      <vt:lpstr>計費類型_一案兩請之新型</vt:lpstr>
      <vt:lpstr>計費類型_日韓泰</vt:lpstr>
      <vt:lpstr>計費類型_台中美歐新馬加</vt:lpstr>
      <vt:lpstr>計費類型_設計</vt:lpstr>
      <vt:lpstr>計費類型_越</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專利佈局成本估算表</dc:title>
  <dc:creator/>
  <cp:lastModifiedBy/>
  <dcterms:created xsi:type="dcterms:W3CDTF">2006-09-16T00:00:00Z</dcterms:created>
  <dcterms:modified xsi:type="dcterms:W3CDTF">2026-01-07T07:30:24Z</dcterms:modified>
</cp:coreProperties>
</file>