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showInkAnnotation="0" defaultThemeVersion="124226"/>
  <xr:revisionPtr revIDLastSave="0" documentId="13_ncr:1_{69B9CB9B-E011-4507-8CBF-0BE4C2A28531}" xr6:coauthVersionLast="47" xr6:coauthVersionMax="47" xr10:uidLastSave="{00000000-0000-0000-0000-000000000000}"/>
  <workbookProtection workbookAlgorithmName="SHA-512" workbookHashValue="ZYXCWAWccABPTZe6C7ZoVbfRplbykwAKW4addlbj01Fw4ZbRcHs1mzMRIWX1PvvyMfSh7PCmPFuR686MBCPu5g==" workbookSaltValue="A1bO86mAzCtQFBJTxR/bmQ==" workbookSpinCount="100000" lockStructure="1"/>
  <bookViews>
    <workbookView xWindow="-120" yWindow="-120" windowWidth="29040" windowHeight="15720" tabRatio="576" xr2:uid="{00000000-000D-0000-FFFF-FFFF00000000}"/>
  </bookViews>
  <sheets>
    <sheet name="設計案成本估算" sheetId="10" r:id="rId1"/>
    <sheet name="D" sheetId="12" state="hidden" r:id="rId2"/>
    <sheet name="D年費表" sheetId="15" state="hidden" r:id="rId3"/>
    <sheet name="選項" sheetId="2" state="hidden" r:id="rId4"/>
  </sheets>
  <definedNames>
    <definedName name="_xlnm.Print_Area" localSheetId="0">設計案成本估算!$A$1:$M$244</definedName>
    <definedName name="是否選項">#REF!</definedName>
    <definedName name="計費類型_一案兩請之新型">選項!$E$2:$E$3</definedName>
    <definedName name="計費類型_日韓泰">選項!$D$2:$D$3</definedName>
    <definedName name="計費類型_台中美歐新馬加">選項!$B$2:$B$5</definedName>
    <definedName name="計費類型_設計">選項!$F$2:$F$3</definedName>
    <definedName name="計費類型_越">選項!$C$2:$C$4</definedName>
  </definedNames>
  <calcPr calcId="191029"/>
</workbook>
</file>

<file path=xl/calcChain.xml><?xml version="1.0" encoding="utf-8"?>
<calcChain xmlns="http://schemas.openxmlformats.org/spreadsheetml/2006/main">
  <c r="BF19" i="12" l="1"/>
  <c r="BF20" i="12"/>
  <c r="BF25" i="12"/>
  <c r="BF27" i="12"/>
  <c r="AJ52" i="12"/>
  <c r="L10" i="12" l="1"/>
  <c r="N117" i="10" l="1"/>
  <c r="N123" i="10"/>
  <c r="N122" i="10"/>
  <c r="N119" i="10"/>
  <c r="N89" i="10"/>
  <c r="N95" i="10"/>
  <c r="N94" i="10"/>
  <c r="N91" i="10"/>
  <c r="N64" i="10"/>
  <c r="N70" i="10"/>
  <c r="N69" i="10"/>
  <c r="N66" i="10"/>
  <c r="N24" i="10"/>
  <c r="N30" i="10"/>
  <c r="N29" i="10"/>
  <c r="N26" i="10"/>
  <c r="I55" i="15" l="1"/>
  <c r="I11" i="15"/>
  <c r="I33" i="15"/>
  <c r="M124" i="10"/>
  <c r="M96" i="10"/>
  <c r="M71" i="10"/>
  <c r="M31" i="10"/>
  <c r="BD31" i="12"/>
  <c r="AY31" i="12"/>
  <c r="AM31" i="12"/>
  <c r="E71" i="10" s="1"/>
  <c r="F71" i="10" s="1"/>
  <c r="AG31" i="12"/>
  <c r="AB31" i="12"/>
  <c r="AY55" i="12"/>
  <c r="AG55" i="12"/>
  <c r="AB55" i="12"/>
  <c r="I55" i="12"/>
  <c r="C55" i="12"/>
  <c r="AH18" i="15"/>
  <c r="AI18" i="15" s="1"/>
  <c r="AJ18" i="15" s="1"/>
  <c r="AK18" i="15" s="1"/>
  <c r="AL18" i="15" s="1"/>
  <c r="AM18" i="15" s="1"/>
  <c r="AN18" i="15" s="1"/>
  <c r="AO18" i="15" s="1"/>
  <c r="AP18" i="15" s="1"/>
  <c r="AQ18" i="15" s="1"/>
  <c r="AG18" i="15"/>
  <c r="AF18" i="15"/>
  <c r="N18" i="15"/>
  <c r="AC18" i="15" s="1"/>
  <c r="AH40" i="15"/>
  <c r="AI40" i="15" s="1"/>
  <c r="AJ40" i="15" s="1"/>
  <c r="AK40" i="15" s="1"/>
  <c r="AL40" i="15" s="1"/>
  <c r="AM40" i="15" s="1"/>
  <c r="AN40" i="15" s="1"/>
  <c r="AO40" i="15" s="1"/>
  <c r="AP40" i="15" s="1"/>
  <c r="AQ40" i="15" s="1"/>
  <c r="AG40" i="15"/>
  <c r="AF40" i="15"/>
  <c r="N40" i="15"/>
  <c r="AC40" i="15" s="1"/>
  <c r="AH62" i="15"/>
  <c r="AI62" i="15" s="1"/>
  <c r="AJ62" i="15" s="1"/>
  <c r="AK62" i="15" s="1"/>
  <c r="AL62" i="15" s="1"/>
  <c r="AM62" i="15" s="1"/>
  <c r="AN62" i="15" s="1"/>
  <c r="AO62" i="15" s="1"/>
  <c r="AP62" i="15" s="1"/>
  <c r="AQ62" i="15" s="1"/>
  <c r="AG62" i="15"/>
  <c r="AF62" i="15"/>
  <c r="N62" i="15"/>
  <c r="AC62" i="15" s="1"/>
  <c r="X35" i="15"/>
  <c r="S35" i="15"/>
  <c r="N35" i="15"/>
  <c r="I35" i="15"/>
  <c r="AR40" i="15" l="1"/>
  <c r="AS40" i="15" s="1"/>
  <c r="AT40" i="15" s="1"/>
  <c r="AU40" i="15" s="1"/>
  <c r="AV40" i="15" s="1"/>
  <c r="AW40" i="15" s="1"/>
  <c r="AX40" i="15" s="1"/>
  <c r="AY40" i="15" s="1"/>
  <c r="AZ40" i="15" s="1"/>
  <c r="BA40" i="15" s="1"/>
  <c r="BB40" i="15" s="1"/>
  <c r="BC40" i="15" s="1"/>
  <c r="BD40" i="15" s="1"/>
  <c r="BE40" i="15" s="1"/>
  <c r="BF40" i="15" s="1"/>
  <c r="AR62" i="15"/>
  <c r="AS62" i="15" s="1"/>
  <c r="AT62" i="15" s="1"/>
  <c r="AU62" i="15" s="1"/>
  <c r="AV62" i="15" s="1"/>
  <c r="AW62" i="15" s="1"/>
  <c r="AX62" i="15" s="1"/>
  <c r="AY62" i="15" s="1"/>
  <c r="AZ62" i="15" s="1"/>
  <c r="BA62" i="15" s="1"/>
  <c r="BB62" i="15" s="1"/>
  <c r="BC62" i="15" s="1"/>
  <c r="BD62" i="15" s="1"/>
  <c r="BE62" i="15" s="1"/>
  <c r="BF62" i="15" s="1"/>
  <c r="AR18" i="15"/>
  <c r="AS18" i="15" s="1"/>
  <c r="AT18" i="15" s="1"/>
  <c r="AU18" i="15" s="1"/>
  <c r="AV18" i="15" s="1"/>
  <c r="AW18" i="15" s="1"/>
  <c r="AX18" i="15" s="1"/>
  <c r="AY18" i="15" s="1"/>
  <c r="AZ18" i="15" s="1"/>
  <c r="BA18" i="15" s="1"/>
  <c r="BB18" i="15" s="1"/>
  <c r="BC18" i="15" s="1"/>
  <c r="BD18" i="15" s="1"/>
  <c r="BE18" i="15" s="1"/>
  <c r="BF18" i="15" s="1"/>
  <c r="E96" i="10"/>
  <c r="F96" i="10" s="1"/>
  <c r="BG18" i="15" l="1"/>
  <c r="AJ55" i="12"/>
  <c r="BG62" i="15"/>
  <c r="AV55" i="12"/>
  <c r="BG40" i="15"/>
  <c r="AP55" i="12"/>
  <c r="X28" i="15" l="1"/>
  <c r="S28" i="15"/>
  <c r="N28" i="15"/>
  <c r="I28" i="15"/>
  <c r="X6" i="15"/>
  <c r="S6" i="15"/>
  <c r="N6" i="15"/>
  <c r="I6" i="15"/>
  <c r="W31" i="15" l="1"/>
  <c r="V31" i="15"/>
  <c r="U31" i="15"/>
  <c r="T31" i="15"/>
  <c r="S31" i="15"/>
  <c r="R31" i="15"/>
  <c r="Q31" i="15"/>
  <c r="P31" i="15"/>
  <c r="O31" i="15"/>
  <c r="N31" i="15"/>
  <c r="M31" i="15"/>
  <c r="L31" i="15"/>
  <c r="K31" i="15"/>
  <c r="J31" i="15"/>
  <c r="I31" i="15"/>
  <c r="H31" i="15"/>
  <c r="G31" i="15"/>
  <c r="X29" i="15"/>
  <c r="S29" i="15"/>
  <c r="N29" i="15"/>
  <c r="I29" i="15"/>
  <c r="X7" i="15"/>
  <c r="S7" i="15"/>
  <c r="N7" i="15"/>
  <c r="I7" i="15"/>
  <c r="N56" i="15" l="1"/>
  <c r="I56" i="15"/>
  <c r="X51" i="15"/>
  <c r="S51" i="15"/>
  <c r="N51" i="15"/>
  <c r="I51" i="15"/>
  <c r="I10" i="15" l="1"/>
  <c r="A240" i="10"/>
  <c r="M123" i="10"/>
  <c r="M95" i="10"/>
  <c r="M70" i="10"/>
  <c r="M30" i="10"/>
  <c r="AG55" i="15"/>
  <c r="AC55" i="15"/>
  <c r="AY54" i="12"/>
  <c r="AG54" i="12"/>
  <c r="AB54" i="12"/>
  <c r="C54" i="12"/>
  <c r="BD30" i="12"/>
  <c r="AY30" i="12"/>
  <c r="AG30" i="12"/>
  <c r="AB30" i="12"/>
  <c r="AH55" i="15"/>
  <c r="AI55" i="15" s="1"/>
  <c r="AJ55" i="15" s="1"/>
  <c r="AK55" i="15" s="1"/>
  <c r="AL55" i="15" s="1"/>
  <c r="AM55" i="15" s="1"/>
  <c r="AN55" i="15" s="1"/>
  <c r="AO55" i="15" s="1"/>
  <c r="AP55" i="15" s="1"/>
  <c r="AQ55" i="15" s="1"/>
  <c r="AF55" i="15"/>
  <c r="AH33" i="15"/>
  <c r="AG33" i="15"/>
  <c r="AF33" i="15"/>
  <c r="AH11" i="15"/>
  <c r="AG11" i="15"/>
  <c r="AF11" i="15"/>
  <c r="N38" i="15"/>
  <c r="I38" i="15"/>
  <c r="AR55" i="15" l="1"/>
  <c r="AS55" i="15" s="1"/>
  <c r="AT55" i="15" s="1"/>
  <c r="AU55" i="15" s="1"/>
  <c r="AV55" i="15" s="1"/>
  <c r="AW55" i="15" s="1"/>
  <c r="AX55" i="15" s="1"/>
  <c r="AY55" i="15" s="1"/>
  <c r="AZ55" i="15" s="1"/>
  <c r="BA55" i="15" s="1"/>
  <c r="BB55" i="15" s="1"/>
  <c r="BC55" i="15" s="1"/>
  <c r="BD55" i="15" s="1"/>
  <c r="BE55" i="15" s="1"/>
  <c r="BF55" i="15" s="1"/>
  <c r="AV48" i="12" s="1"/>
  <c r="AC11" i="15"/>
  <c r="AC33" i="15"/>
  <c r="AI33" i="15"/>
  <c r="AJ33" i="15" s="1"/>
  <c r="AK33" i="15" s="1"/>
  <c r="AL33" i="15" s="1"/>
  <c r="AM33" i="15" s="1"/>
  <c r="AN33" i="15" s="1"/>
  <c r="AO33" i="15" s="1"/>
  <c r="AP33" i="15" s="1"/>
  <c r="AQ33" i="15" s="1"/>
  <c r="AR33" i="15" s="1"/>
  <c r="AS33" i="15" s="1"/>
  <c r="AT33" i="15" s="1"/>
  <c r="AU33" i="15" s="1"/>
  <c r="AV33" i="15" s="1"/>
  <c r="AW33" i="15" s="1"/>
  <c r="AX33" i="15" s="1"/>
  <c r="AY33" i="15" s="1"/>
  <c r="AZ33" i="15" s="1"/>
  <c r="BA33" i="15" s="1"/>
  <c r="BB33" i="15" s="1"/>
  <c r="BC33" i="15" s="1"/>
  <c r="BD33" i="15" s="1"/>
  <c r="BE33" i="15" s="1"/>
  <c r="BF33" i="15" s="1"/>
  <c r="AP48" i="12" s="1"/>
  <c r="AI11" i="15"/>
  <c r="AJ11" i="15" s="1"/>
  <c r="AK11" i="15" s="1"/>
  <c r="AL11" i="15" s="1"/>
  <c r="AM11" i="15" s="1"/>
  <c r="AN11" i="15" s="1"/>
  <c r="AO11" i="15" s="1"/>
  <c r="AP11" i="15" s="1"/>
  <c r="AQ11" i="15" s="1"/>
  <c r="AR11" i="15" s="1"/>
  <c r="AS11" i="15" s="1"/>
  <c r="AT11" i="15" s="1"/>
  <c r="AU11" i="15" s="1"/>
  <c r="AV11" i="15" s="1"/>
  <c r="AW11" i="15" s="1"/>
  <c r="AX11" i="15" s="1"/>
  <c r="AY11" i="15" s="1"/>
  <c r="AZ11" i="15" s="1"/>
  <c r="BA11" i="15" s="1"/>
  <c r="BB11" i="15" s="1"/>
  <c r="BC11" i="15" s="1"/>
  <c r="BD11" i="15" s="1"/>
  <c r="BE11" i="15" s="1"/>
  <c r="BF11" i="15" s="1"/>
  <c r="AJ48" i="12" s="1"/>
  <c r="BG11" i="15" l="1"/>
  <c r="BG33" i="15"/>
  <c r="BG55" i="15"/>
  <c r="B5" i="12"/>
  <c r="X22" i="12" l="1"/>
  <c r="X21" i="12"/>
  <c r="X20" i="12"/>
  <c r="X30" i="12"/>
  <c r="X27" i="12"/>
  <c r="X29" i="12"/>
  <c r="X24" i="12"/>
  <c r="X23" i="12"/>
  <c r="X31" i="12"/>
  <c r="X28" i="12"/>
  <c r="X26" i="12"/>
  <c r="X25" i="12"/>
  <c r="X19" i="12"/>
  <c r="X18" i="12"/>
  <c r="U18" i="12"/>
  <c r="U27" i="12"/>
  <c r="AV31" i="12"/>
  <c r="AW31" i="12" s="1"/>
  <c r="AQ26" i="12"/>
  <c r="AK21" i="12"/>
  <c r="G24" i="12"/>
  <c r="AP28" i="12"/>
  <c r="AK24" i="12"/>
  <c r="AV28" i="12"/>
  <c r="AQ28" i="12"/>
  <c r="AQ24" i="12"/>
  <c r="AV26" i="12"/>
  <c r="AP30" i="12"/>
  <c r="AP24" i="12"/>
  <c r="AJ22" i="12"/>
  <c r="AV30" i="12"/>
  <c r="AW30" i="12" s="1"/>
  <c r="AV22" i="12"/>
  <c r="AQ30" i="12"/>
  <c r="AJ24" i="12"/>
  <c r="AV21" i="12"/>
  <c r="AP31" i="12"/>
  <c r="E16" i="12"/>
  <c r="G16" i="12" s="1"/>
  <c r="AK30" i="12"/>
  <c r="AV24" i="12"/>
  <c r="AQ31" i="12"/>
  <c r="AP21" i="12"/>
  <c r="AJ30" i="12"/>
  <c r="AQ21" i="12"/>
  <c r="AP22" i="12"/>
  <c r="U24" i="12"/>
  <c r="AQ22" i="12"/>
  <c r="AK22" i="12"/>
  <c r="L24" i="12"/>
  <c r="O24" i="12"/>
  <c r="AP26" i="12"/>
  <c r="AJ21" i="12"/>
  <c r="E24" i="12"/>
  <c r="AV29" i="12"/>
  <c r="AH31" i="12"/>
  <c r="B71" i="10" s="1"/>
  <c r="L55" i="12"/>
  <c r="O31" i="12"/>
  <c r="E31" i="12"/>
  <c r="U31" i="12"/>
  <c r="L31" i="12"/>
  <c r="G31" i="12"/>
  <c r="U55" i="12"/>
  <c r="Z55" i="12" s="1"/>
  <c r="P55" i="12"/>
  <c r="M55" i="12"/>
  <c r="O26" i="12"/>
  <c r="L26" i="12"/>
  <c r="AV19" i="12"/>
  <c r="AV27" i="12"/>
  <c r="AV23" i="12"/>
  <c r="AV25" i="12"/>
  <c r="AV20" i="12"/>
  <c r="L23" i="12"/>
  <c r="AP23" i="12"/>
  <c r="AV17" i="12"/>
  <c r="AV18" i="12"/>
  <c r="AV16" i="12"/>
  <c r="E19" i="12"/>
  <c r="G19" i="12"/>
  <c r="O19" i="12"/>
  <c r="O22" i="12"/>
  <c r="L22" i="12"/>
  <c r="U54" i="12"/>
  <c r="Z54" i="12" s="1"/>
  <c r="M54" i="12"/>
  <c r="P54" i="12"/>
  <c r="E54" i="12"/>
  <c r="G54" i="12"/>
  <c r="Q30" i="12"/>
  <c r="O30" i="12"/>
  <c r="G30" i="12"/>
  <c r="E30" i="12"/>
  <c r="U30" i="12"/>
  <c r="AH30" i="12"/>
  <c r="B70" i="10" s="1"/>
  <c r="L30" i="12"/>
  <c r="AQ29" i="12"/>
  <c r="AP25" i="12"/>
  <c r="N29" i="12"/>
  <c r="X17" i="12"/>
  <c r="L27" i="12"/>
  <c r="AP29" i="12"/>
  <c r="P18" i="12"/>
  <c r="AQ25" i="12"/>
  <c r="L25" i="12"/>
  <c r="O29" i="12"/>
  <c r="O25" i="12"/>
  <c r="AP18" i="12"/>
  <c r="X16" i="12"/>
  <c r="L18" i="12"/>
  <c r="R31" i="12" l="1"/>
  <c r="H31" i="10" s="1"/>
  <c r="I31" i="10" s="1"/>
  <c r="AM30" i="12"/>
  <c r="E70" i="10" s="1"/>
  <c r="F70" i="10" s="1"/>
  <c r="AS31" i="12"/>
  <c r="H71" i="10" s="1"/>
  <c r="I71" i="10" s="1"/>
  <c r="J71" i="10" s="1"/>
  <c r="AS30" i="12"/>
  <c r="H70" i="10" s="1"/>
  <c r="I70" i="10" s="1"/>
  <c r="AE55" i="12"/>
  <c r="K96" i="10"/>
  <c r="I31" i="12"/>
  <c r="R55" i="12"/>
  <c r="BB31" i="12"/>
  <c r="K71" i="10"/>
  <c r="R30" i="12"/>
  <c r="H30" i="10" s="1"/>
  <c r="I30" i="10" s="1"/>
  <c r="AE54" i="12"/>
  <c r="K95" i="10"/>
  <c r="BB30" i="12"/>
  <c r="K70" i="10"/>
  <c r="I30" i="12"/>
  <c r="E30" i="10" s="1"/>
  <c r="F30" i="10" s="1"/>
  <c r="I54" i="12"/>
  <c r="E95" i="10" s="1"/>
  <c r="F95" i="10" s="1"/>
  <c r="R54" i="12"/>
  <c r="H95" i="10" s="1"/>
  <c r="I95" i="10" s="1"/>
  <c r="Z30" i="12"/>
  <c r="AH20" i="12"/>
  <c r="J70" i="10" l="1"/>
  <c r="L70" i="10" s="1"/>
  <c r="E31" i="10"/>
  <c r="F31" i="10" s="1"/>
  <c r="J31" i="10" s="1"/>
  <c r="H96" i="10"/>
  <c r="I96" i="10" s="1"/>
  <c r="J96" i="10" s="1"/>
  <c r="L96" i="10" s="1"/>
  <c r="L71" i="10"/>
  <c r="J30" i="10"/>
  <c r="J95" i="10"/>
  <c r="L95" i="10" s="1"/>
  <c r="AE30" i="12"/>
  <c r="BT30" i="12" s="1"/>
  <c r="K30" i="10"/>
  <c r="O20" i="12"/>
  <c r="L20" i="12"/>
  <c r="G20" i="12"/>
  <c r="R4" i="15"/>
  <c r="Q4" i="15"/>
  <c r="P4" i="15"/>
  <c r="O4" i="15"/>
  <c r="N4" i="15"/>
  <c r="L30" i="10" l="1"/>
  <c r="R48" i="15" l="1"/>
  <c r="Q48" i="15"/>
  <c r="P48" i="15"/>
  <c r="O48" i="15"/>
  <c r="N48" i="15"/>
  <c r="M48" i="15"/>
  <c r="L48" i="15"/>
  <c r="K48" i="15"/>
  <c r="J48" i="15"/>
  <c r="I48" i="15"/>
  <c r="H48" i="15"/>
  <c r="G48" i="15"/>
  <c r="F48" i="15"/>
  <c r="E48" i="15"/>
  <c r="R26" i="15"/>
  <c r="Q26" i="15"/>
  <c r="P26" i="15"/>
  <c r="O26" i="15"/>
  <c r="N26" i="15"/>
  <c r="M26" i="15"/>
  <c r="L26" i="15"/>
  <c r="K26" i="15"/>
  <c r="J26" i="15"/>
  <c r="I26" i="15"/>
  <c r="H26" i="15"/>
  <c r="G26" i="15"/>
  <c r="F26" i="15"/>
  <c r="E26" i="15"/>
  <c r="M4" i="15"/>
  <c r="L4" i="15"/>
  <c r="K4" i="15"/>
  <c r="J4" i="15"/>
  <c r="I4" i="15"/>
  <c r="H4" i="15"/>
  <c r="B6" i="12"/>
  <c r="G4" i="15"/>
  <c r="F4" i="15"/>
  <c r="E4" i="15"/>
  <c r="W28" i="12" l="1"/>
  <c r="W17" i="12"/>
  <c r="W23" i="12"/>
  <c r="W20" i="12"/>
  <c r="W25" i="12"/>
  <c r="W21" i="12"/>
  <c r="W24" i="12"/>
  <c r="W31" i="12"/>
  <c r="Z31" i="12" s="1"/>
  <c r="W26" i="12"/>
  <c r="W16" i="12"/>
  <c r="W29" i="12"/>
  <c r="W22" i="12"/>
  <c r="W18" i="12"/>
  <c r="W27" i="12"/>
  <c r="E26" i="12"/>
  <c r="E29" i="12"/>
  <c r="E23" i="12"/>
  <c r="L29" i="12"/>
  <c r="AR29" i="12"/>
  <c r="AQ19" i="12"/>
  <c r="L19" i="12"/>
  <c r="AP19" i="12"/>
  <c r="E20" i="12"/>
  <c r="E25" i="12"/>
  <c r="O28" i="12"/>
  <c r="E28" i="12"/>
  <c r="L28" i="12"/>
  <c r="G28" i="12"/>
  <c r="G25" i="12"/>
  <c r="B60" i="10"/>
  <c r="AH29" i="12"/>
  <c r="B69" i="10" s="1"/>
  <c r="U20" i="12"/>
  <c r="AH28" i="12"/>
  <c r="B68" i="10" s="1"/>
  <c r="AH25" i="12"/>
  <c r="B65" i="10" s="1"/>
  <c r="AH19" i="12"/>
  <c r="B59" i="10" s="1"/>
  <c r="AH22" i="12"/>
  <c r="B62" i="10" s="1"/>
  <c r="AH26" i="12"/>
  <c r="B66" i="10" s="1"/>
  <c r="AH18" i="12"/>
  <c r="B58" i="10" s="1"/>
  <c r="AH23" i="12"/>
  <c r="B63" i="10" s="1"/>
  <c r="AH16" i="12"/>
  <c r="B56" i="10" s="1"/>
  <c r="AH24" i="12"/>
  <c r="B64" i="10" s="1"/>
  <c r="AH21" i="12"/>
  <c r="B61" i="10" s="1"/>
  <c r="AH17" i="12"/>
  <c r="B57" i="10" s="1"/>
  <c r="AH27" i="12"/>
  <c r="B67" i="10" s="1"/>
  <c r="AP17" i="12"/>
  <c r="L17" i="12"/>
  <c r="U17" i="12"/>
  <c r="E17" i="12"/>
  <c r="AJ17" i="12"/>
  <c r="O4" i="12"/>
  <c r="O21" i="12"/>
  <c r="K31" i="10" l="1"/>
  <c r="L31" i="10" s="1"/>
  <c r="AE31" i="12"/>
  <c r="BT31" i="12" s="1"/>
  <c r="B72" i="10"/>
  <c r="X57" i="15"/>
  <c r="S57" i="15"/>
  <c r="N57" i="15"/>
  <c r="I57" i="15"/>
  <c r="W53" i="15"/>
  <c r="V53" i="15"/>
  <c r="U53" i="15"/>
  <c r="T53" i="15"/>
  <c r="S53" i="15"/>
  <c r="R53" i="15"/>
  <c r="Q53" i="15"/>
  <c r="P53" i="15"/>
  <c r="O53" i="15"/>
  <c r="N53" i="15"/>
  <c r="M53" i="15"/>
  <c r="L53" i="15"/>
  <c r="K53" i="15"/>
  <c r="J53" i="15"/>
  <c r="I53" i="15"/>
  <c r="H53" i="15"/>
  <c r="G53" i="15"/>
  <c r="G30" i="15"/>
  <c r="W9" i="15"/>
  <c r="V9" i="15"/>
  <c r="U9" i="15"/>
  <c r="T9" i="15"/>
  <c r="S9" i="15"/>
  <c r="R9" i="15"/>
  <c r="Q9" i="15"/>
  <c r="O9" i="15"/>
  <c r="N9" i="15"/>
  <c r="P9" i="15"/>
  <c r="M9" i="15"/>
  <c r="L9" i="15"/>
  <c r="K9" i="15"/>
  <c r="J9" i="15"/>
  <c r="I9" i="15"/>
  <c r="H9" i="15"/>
  <c r="G9" i="15"/>
  <c r="G8" i="15"/>
  <c r="B125" i="10" l="1"/>
  <c r="B97" i="10"/>
  <c r="B11" i="10"/>
  <c r="B32" i="10"/>
  <c r="AC63" i="15"/>
  <c r="AH54" i="15"/>
  <c r="AI54" i="15" s="1"/>
  <c r="AJ54" i="15" s="1"/>
  <c r="AK54" i="15" s="1"/>
  <c r="AL54" i="15" s="1"/>
  <c r="AG54" i="15"/>
  <c r="AF54" i="15"/>
  <c r="I54" i="15"/>
  <c r="AH59" i="15"/>
  <c r="AI59" i="15" s="1"/>
  <c r="AJ59" i="15" s="1"/>
  <c r="AK59" i="15" s="1"/>
  <c r="AL59" i="15" s="1"/>
  <c r="AM59" i="15" s="1"/>
  <c r="AN59" i="15" s="1"/>
  <c r="AO59" i="15" s="1"/>
  <c r="AP59" i="15" s="1"/>
  <c r="AQ59" i="15" s="1"/>
  <c r="AR59" i="15" s="1"/>
  <c r="AS59" i="15" s="1"/>
  <c r="AT59" i="15" s="1"/>
  <c r="AU59" i="15" s="1"/>
  <c r="AV59" i="15" s="1"/>
  <c r="AW59" i="15" s="1"/>
  <c r="AX59" i="15" s="1"/>
  <c r="AY59" i="15" s="1"/>
  <c r="AZ59" i="15" s="1"/>
  <c r="BA59" i="15" s="1"/>
  <c r="BB59" i="15" s="1"/>
  <c r="BC59" i="15" s="1"/>
  <c r="BD59" i="15" s="1"/>
  <c r="BE59" i="15" s="1"/>
  <c r="BF59" i="15" s="1"/>
  <c r="AV52" i="12" s="1"/>
  <c r="AG59" i="15"/>
  <c r="AF59" i="15"/>
  <c r="AC59" i="15"/>
  <c r="AH57" i="15"/>
  <c r="AI57" i="15" s="1"/>
  <c r="AJ57" i="15" s="1"/>
  <c r="AK57" i="15" s="1"/>
  <c r="AL57" i="15" s="1"/>
  <c r="AG57" i="15"/>
  <c r="AF57" i="15"/>
  <c r="AH61" i="15"/>
  <c r="AI61" i="15" s="1"/>
  <c r="AJ61" i="15" s="1"/>
  <c r="AK61" i="15" s="1"/>
  <c r="AG61" i="15"/>
  <c r="AF61" i="15"/>
  <c r="M61" i="15"/>
  <c r="L61" i="15"/>
  <c r="K61" i="15"/>
  <c r="J61" i="15"/>
  <c r="I61" i="15"/>
  <c r="H61" i="15"/>
  <c r="AH60" i="15"/>
  <c r="AI60" i="15" s="1"/>
  <c r="AJ60" i="15" s="1"/>
  <c r="AK60" i="15" s="1"/>
  <c r="AL60" i="15" s="1"/>
  <c r="AG60" i="15"/>
  <c r="AF60" i="15"/>
  <c r="N60" i="15"/>
  <c r="I60" i="15"/>
  <c r="AH58" i="15"/>
  <c r="AI58" i="15" s="1"/>
  <c r="AJ58" i="15" s="1"/>
  <c r="AK58" i="15" s="1"/>
  <c r="AL58" i="15" s="1"/>
  <c r="AG58" i="15"/>
  <c r="AF58" i="15"/>
  <c r="N58" i="15"/>
  <c r="I58" i="15"/>
  <c r="AH56" i="15"/>
  <c r="AI56" i="15" s="1"/>
  <c r="AJ56" i="15" s="1"/>
  <c r="AK56" i="15" s="1"/>
  <c r="AL56" i="15" s="1"/>
  <c r="AG56" i="15"/>
  <c r="AF56" i="15"/>
  <c r="AH53" i="15"/>
  <c r="AI53" i="15" s="1"/>
  <c r="AJ53" i="15" s="1"/>
  <c r="AK53" i="15" s="1"/>
  <c r="AG53" i="15"/>
  <c r="AF53" i="15"/>
  <c r="AH52" i="15"/>
  <c r="AI52" i="15" s="1"/>
  <c r="AJ52" i="15" s="1"/>
  <c r="AG52" i="15"/>
  <c r="AF52" i="15"/>
  <c r="AB52" i="15"/>
  <c r="AA52" i="15"/>
  <c r="Z52" i="15"/>
  <c r="Y52" i="15"/>
  <c r="X52" i="15"/>
  <c r="W52" i="15"/>
  <c r="V52" i="15"/>
  <c r="U52" i="15"/>
  <c r="T52" i="15"/>
  <c r="S52" i="15"/>
  <c r="R52" i="15"/>
  <c r="Q52" i="15"/>
  <c r="P52" i="15"/>
  <c r="O52" i="15"/>
  <c r="N52" i="15"/>
  <c r="M52" i="15"/>
  <c r="L52" i="15"/>
  <c r="K52" i="15"/>
  <c r="J52" i="15"/>
  <c r="I52" i="15"/>
  <c r="H52" i="15"/>
  <c r="G52" i="15"/>
  <c r="AH51" i="15"/>
  <c r="AI51" i="15" s="1"/>
  <c r="AJ51" i="15" s="1"/>
  <c r="AK51" i="15" s="1"/>
  <c r="AL51" i="15" s="1"/>
  <c r="AG51" i="15"/>
  <c r="AF51" i="15"/>
  <c r="AH50" i="15"/>
  <c r="AI50" i="15" s="1"/>
  <c r="AJ50" i="15" s="1"/>
  <c r="AK50" i="15" s="1"/>
  <c r="AL50" i="15" s="1"/>
  <c r="AG50" i="15"/>
  <c r="AF50" i="15"/>
  <c r="X50" i="15"/>
  <c r="S50" i="15"/>
  <c r="N50" i="15"/>
  <c r="I50" i="15"/>
  <c r="AH49" i="15"/>
  <c r="AI49" i="15" s="1"/>
  <c r="AJ49" i="15" s="1"/>
  <c r="AK49" i="15" s="1"/>
  <c r="AL49" i="15" s="1"/>
  <c r="AM49" i="15" s="1"/>
  <c r="AN49" i="15" s="1"/>
  <c r="AO49" i="15" s="1"/>
  <c r="AP49" i="15" s="1"/>
  <c r="AQ49" i="15" s="1"/>
  <c r="AR49" i="15" s="1"/>
  <c r="AS49" i="15" s="1"/>
  <c r="AT49" i="15" s="1"/>
  <c r="AU49" i="15" s="1"/>
  <c r="AV49" i="15" s="1"/>
  <c r="AW49" i="15" s="1"/>
  <c r="AX49" i="15" s="1"/>
  <c r="AY49" i="15" s="1"/>
  <c r="AZ49" i="15" s="1"/>
  <c r="BA49" i="15" s="1"/>
  <c r="BB49" i="15" s="1"/>
  <c r="BC49" i="15" s="1"/>
  <c r="BD49" i="15" s="1"/>
  <c r="BE49" i="15" s="1"/>
  <c r="BF49" i="15" s="1"/>
  <c r="AG49" i="15"/>
  <c r="AF49" i="15"/>
  <c r="AC49" i="15"/>
  <c r="AH48" i="15"/>
  <c r="AI48" i="15" s="1"/>
  <c r="AG48" i="15"/>
  <c r="AF48" i="15"/>
  <c r="AH47" i="15"/>
  <c r="AG47" i="15"/>
  <c r="AF47" i="15"/>
  <c r="R47" i="15"/>
  <c r="Q47" i="15"/>
  <c r="P47" i="15"/>
  <c r="O47" i="15"/>
  <c r="N47" i="15"/>
  <c r="M47" i="15"/>
  <c r="L47" i="15"/>
  <c r="K47" i="15"/>
  <c r="J47" i="15"/>
  <c r="I47" i="15"/>
  <c r="H47" i="15"/>
  <c r="G47" i="15"/>
  <c r="F47" i="15"/>
  <c r="E47" i="15"/>
  <c r="AC41" i="15"/>
  <c r="AH32" i="15"/>
  <c r="AI32" i="15" s="1"/>
  <c r="AJ32" i="15" s="1"/>
  <c r="AK32" i="15" s="1"/>
  <c r="AL32" i="15" s="1"/>
  <c r="AG32" i="15"/>
  <c r="AF32" i="15"/>
  <c r="AH37" i="15"/>
  <c r="AI37" i="15" s="1"/>
  <c r="AJ37" i="15" s="1"/>
  <c r="AK37" i="15" s="1"/>
  <c r="AL37" i="15" s="1"/>
  <c r="AM37" i="15" s="1"/>
  <c r="AN37" i="15" s="1"/>
  <c r="AO37" i="15" s="1"/>
  <c r="AP37" i="15" s="1"/>
  <c r="AQ37" i="15" s="1"/>
  <c r="AR37" i="15" s="1"/>
  <c r="AS37" i="15" s="1"/>
  <c r="AT37" i="15" s="1"/>
  <c r="AU37" i="15" s="1"/>
  <c r="AV37" i="15" s="1"/>
  <c r="AW37" i="15" s="1"/>
  <c r="AX37" i="15" s="1"/>
  <c r="AY37" i="15" s="1"/>
  <c r="AZ37" i="15" s="1"/>
  <c r="BA37" i="15" s="1"/>
  <c r="BB37" i="15" s="1"/>
  <c r="BC37" i="15" s="1"/>
  <c r="BD37" i="15" s="1"/>
  <c r="BE37" i="15" s="1"/>
  <c r="BF37" i="15" s="1"/>
  <c r="AP52" i="12" s="1"/>
  <c r="AG37" i="15"/>
  <c r="AF37" i="15"/>
  <c r="AC37" i="15"/>
  <c r="AH35" i="15"/>
  <c r="AI35" i="15" s="1"/>
  <c r="AJ35" i="15" s="1"/>
  <c r="AK35" i="15" s="1"/>
  <c r="AL35" i="15" s="1"/>
  <c r="AG35" i="15"/>
  <c r="AF35" i="15"/>
  <c r="AH39" i="15"/>
  <c r="AI39" i="15" s="1"/>
  <c r="AJ39" i="15" s="1"/>
  <c r="AK39" i="15" s="1"/>
  <c r="AG39" i="15"/>
  <c r="AF39" i="15"/>
  <c r="M39" i="15"/>
  <c r="L39" i="15"/>
  <c r="K39" i="15"/>
  <c r="J39" i="15"/>
  <c r="I39" i="15"/>
  <c r="H39" i="15"/>
  <c r="AH38" i="15"/>
  <c r="AI38" i="15" s="1"/>
  <c r="AJ38" i="15" s="1"/>
  <c r="AK38" i="15" s="1"/>
  <c r="AL38" i="15" s="1"/>
  <c r="AG38" i="15"/>
  <c r="AF38" i="15"/>
  <c r="AH36" i="15"/>
  <c r="AI36" i="15" s="1"/>
  <c r="AJ36" i="15" s="1"/>
  <c r="AK36" i="15" s="1"/>
  <c r="AL36" i="15" s="1"/>
  <c r="AG36" i="15"/>
  <c r="AF36" i="15"/>
  <c r="N36" i="15"/>
  <c r="I36" i="15"/>
  <c r="AH34" i="15"/>
  <c r="AI34" i="15" s="1"/>
  <c r="AJ34" i="15" s="1"/>
  <c r="AK34" i="15" s="1"/>
  <c r="AL34" i="15" s="1"/>
  <c r="AG34" i="15"/>
  <c r="AF34" i="15"/>
  <c r="N34" i="15"/>
  <c r="I34" i="15"/>
  <c r="AH31" i="15"/>
  <c r="AI31" i="15" s="1"/>
  <c r="AJ31" i="15" s="1"/>
  <c r="AK31" i="15" s="1"/>
  <c r="AG31" i="15"/>
  <c r="AF31" i="15"/>
  <c r="AH30" i="15"/>
  <c r="AI30" i="15" s="1"/>
  <c r="AJ30" i="15" s="1"/>
  <c r="AK30" i="15" s="1"/>
  <c r="AG30" i="15"/>
  <c r="AF30" i="15"/>
  <c r="AB30" i="15"/>
  <c r="AA30" i="15"/>
  <c r="Z30" i="15"/>
  <c r="Y30" i="15"/>
  <c r="X30" i="15"/>
  <c r="W30" i="15"/>
  <c r="V30" i="15"/>
  <c r="U30" i="15"/>
  <c r="T30" i="15"/>
  <c r="S30" i="15"/>
  <c r="R30" i="15"/>
  <c r="Q30" i="15"/>
  <c r="P30" i="15"/>
  <c r="O30" i="15"/>
  <c r="N30" i="15"/>
  <c r="M30" i="15"/>
  <c r="L30" i="15"/>
  <c r="K30" i="15"/>
  <c r="J30" i="15"/>
  <c r="I30" i="15"/>
  <c r="H30" i="15"/>
  <c r="AH29" i="15"/>
  <c r="AI29" i="15" s="1"/>
  <c r="AJ29" i="15" s="1"/>
  <c r="AK29" i="15" s="1"/>
  <c r="AL29" i="15" s="1"/>
  <c r="AG29" i="15"/>
  <c r="AF29" i="15"/>
  <c r="AH28" i="15"/>
  <c r="AI28" i="15" s="1"/>
  <c r="AJ28" i="15" s="1"/>
  <c r="AK28" i="15" s="1"/>
  <c r="AL28" i="15" s="1"/>
  <c r="AG28" i="15"/>
  <c r="AF28" i="15"/>
  <c r="AH27" i="15"/>
  <c r="AI27" i="15" s="1"/>
  <c r="AJ27" i="15" s="1"/>
  <c r="AK27" i="15" s="1"/>
  <c r="AL27" i="15" s="1"/>
  <c r="AM27" i="15" s="1"/>
  <c r="AN27" i="15" s="1"/>
  <c r="AO27" i="15" s="1"/>
  <c r="AP27" i="15" s="1"/>
  <c r="AQ27" i="15" s="1"/>
  <c r="AR27" i="15" s="1"/>
  <c r="AS27" i="15" s="1"/>
  <c r="AT27" i="15" s="1"/>
  <c r="AU27" i="15" s="1"/>
  <c r="AV27" i="15" s="1"/>
  <c r="AW27" i="15" s="1"/>
  <c r="AX27" i="15" s="1"/>
  <c r="AY27" i="15" s="1"/>
  <c r="AZ27" i="15" s="1"/>
  <c r="BA27" i="15" s="1"/>
  <c r="BB27" i="15" s="1"/>
  <c r="BC27" i="15" s="1"/>
  <c r="BD27" i="15" s="1"/>
  <c r="BE27" i="15" s="1"/>
  <c r="BF27" i="15" s="1"/>
  <c r="BG27" i="15" s="1"/>
  <c r="AG27" i="15"/>
  <c r="AF27" i="15"/>
  <c r="AC27" i="15"/>
  <c r="AH26" i="15"/>
  <c r="AI26" i="15" s="1"/>
  <c r="AG26" i="15"/>
  <c r="AF26" i="15"/>
  <c r="AH25" i="15"/>
  <c r="AI25" i="15" s="1"/>
  <c r="AJ25" i="15" s="1"/>
  <c r="AK25" i="15" s="1"/>
  <c r="AL25" i="15" s="1"/>
  <c r="AM25" i="15" s="1"/>
  <c r="AN25" i="15" s="1"/>
  <c r="AO25" i="15" s="1"/>
  <c r="AP25" i="15" s="1"/>
  <c r="AQ25" i="15" s="1"/>
  <c r="AR25" i="15" s="1"/>
  <c r="AS25" i="15" s="1"/>
  <c r="AT25" i="15" s="1"/>
  <c r="AU25" i="15" s="1"/>
  <c r="AV25" i="15" s="1"/>
  <c r="AW25" i="15" s="1"/>
  <c r="AX25" i="15" s="1"/>
  <c r="AY25" i="15" s="1"/>
  <c r="AZ25" i="15" s="1"/>
  <c r="BA25" i="15" s="1"/>
  <c r="BB25" i="15" s="1"/>
  <c r="BC25" i="15" s="1"/>
  <c r="BD25" i="15" s="1"/>
  <c r="BE25" i="15" s="1"/>
  <c r="BF25" i="15" s="1"/>
  <c r="BG25" i="15" s="1"/>
  <c r="AG25" i="15"/>
  <c r="AF25" i="15"/>
  <c r="AC25" i="15"/>
  <c r="AC19" i="15"/>
  <c r="AH10" i="15"/>
  <c r="AI10" i="15" s="1"/>
  <c r="AJ10" i="15" s="1"/>
  <c r="AK10" i="15" s="1"/>
  <c r="AL10" i="15" s="1"/>
  <c r="AG10" i="15"/>
  <c r="AF10" i="15"/>
  <c r="AH15" i="15"/>
  <c r="AI15" i="15" s="1"/>
  <c r="AJ15" i="15" s="1"/>
  <c r="AK15" i="15" s="1"/>
  <c r="AL15" i="15" s="1"/>
  <c r="AM15" i="15" s="1"/>
  <c r="AN15" i="15" s="1"/>
  <c r="AO15" i="15" s="1"/>
  <c r="AP15" i="15" s="1"/>
  <c r="AQ15" i="15" s="1"/>
  <c r="AR15" i="15" s="1"/>
  <c r="AS15" i="15" s="1"/>
  <c r="AT15" i="15" s="1"/>
  <c r="AU15" i="15" s="1"/>
  <c r="AV15" i="15" s="1"/>
  <c r="AG15" i="15"/>
  <c r="AF15" i="15"/>
  <c r="AC15" i="15"/>
  <c r="AH13" i="15"/>
  <c r="AI13" i="15" s="1"/>
  <c r="AJ13" i="15" s="1"/>
  <c r="AK13" i="15" s="1"/>
  <c r="AL13" i="15" s="1"/>
  <c r="AG13" i="15"/>
  <c r="AF13" i="15"/>
  <c r="X13" i="15"/>
  <c r="S13" i="15"/>
  <c r="N13" i="15"/>
  <c r="I13" i="15"/>
  <c r="AH17" i="15"/>
  <c r="AI17" i="15" s="1"/>
  <c r="AJ17" i="15" s="1"/>
  <c r="AK17" i="15" s="1"/>
  <c r="AG17" i="15"/>
  <c r="AF17" i="15"/>
  <c r="M17" i="15"/>
  <c r="L17" i="15"/>
  <c r="K17" i="15"/>
  <c r="J17" i="15"/>
  <c r="I17" i="15"/>
  <c r="H17" i="15"/>
  <c r="AH16" i="15"/>
  <c r="AI16" i="15" s="1"/>
  <c r="AJ16" i="15" s="1"/>
  <c r="AK16" i="15" s="1"/>
  <c r="AL16" i="15" s="1"/>
  <c r="AG16" i="15"/>
  <c r="AF16" i="15"/>
  <c r="AC16" i="15"/>
  <c r="N16" i="15"/>
  <c r="I16" i="15"/>
  <c r="AH14" i="15"/>
  <c r="AI14" i="15" s="1"/>
  <c r="AJ14" i="15" s="1"/>
  <c r="AK14" i="15" s="1"/>
  <c r="AL14" i="15" s="1"/>
  <c r="AG14" i="15"/>
  <c r="AF14" i="15"/>
  <c r="N14" i="15"/>
  <c r="I14" i="15"/>
  <c r="AH12" i="15"/>
  <c r="AI12" i="15" s="1"/>
  <c r="AJ12" i="15" s="1"/>
  <c r="AK12" i="15" s="1"/>
  <c r="AL12" i="15" s="1"/>
  <c r="AG12" i="15"/>
  <c r="AF12" i="15"/>
  <c r="N12" i="15"/>
  <c r="I12" i="15"/>
  <c r="AH9" i="15"/>
  <c r="AI9" i="15" s="1"/>
  <c r="AJ9" i="15" s="1"/>
  <c r="AK9" i="15" s="1"/>
  <c r="AG9" i="15"/>
  <c r="AF9" i="15"/>
  <c r="AH8" i="15"/>
  <c r="AI8" i="15" s="1"/>
  <c r="AJ8" i="15" s="1"/>
  <c r="AG8" i="15"/>
  <c r="AF8" i="15"/>
  <c r="AB8" i="15"/>
  <c r="AA8" i="15"/>
  <c r="Z8" i="15"/>
  <c r="Y8" i="15"/>
  <c r="X8" i="15"/>
  <c r="W8" i="15"/>
  <c r="V8" i="15"/>
  <c r="U8" i="15"/>
  <c r="T8" i="15"/>
  <c r="S8" i="15"/>
  <c r="R8" i="15"/>
  <c r="Q8" i="15"/>
  <c r="P8" i="15"/>
  <c r="O8" i="15"/>
  <c r="N8" i="15"/>
  <c r="M8" i="15"/>
  <c r="L8" i="15"/>
  <c r="K8" i="15"/>
  <c r="J8" i="15"/>
  <c r="I8" i="15"/>
  <c r="H8" i="15"/>
  <c r="AH7" i="15"/>
  <c r="AI7" i="15" s="1"/>
  <c r="AJ7" i="15" s="1"/>
  <c r="AK7" i="15" s="1"/>
  <c r="AL7" i="15" s="1"/>
  <c r="AG7" i="15"/>
  <c r="AF7" i="15"/>
  <c r="AH6" i="15"/>
  <c r="AI6" i="15" s="1"/>
  <c r="AJ6" i="15" s="1"/>
  <c r="AK6" i="15" s="1"/>
  <c r="AL6" i="15" s="1"/>
  <c r="AG6" i="15"/>
  <c r="AF6" i="15"/>
  <c r="AH5" i="15"/>
  <c r="AI5" i="15" s="1"/>
  <c r="AJ5" i="15" s="1"/>
  <c r="AK5" i="15" s="1"/>
  <c r="AL5" i="15" s="1"/>
  <c r="AM5" i="15" s="1"/>
  <c r="AN5" i="15" s="1"/>
  <c r="AO5" i="15" s="1"/>
  <c r="AP5" i="15" s="1"/>
  <c r="AQ5" i="15" s="1"/>
  <c r="AR5" i="15" s="1"/>
  <c r="AS5" i="15" s="1"/>
  <c r="AT5" i="15" s="1"/>
  <c r="AU5" i="15" s="1"/>
  <c r="AV5" i="15" s="1"/>
  <c r="AW5" i="15" s="1"/>
  <c r="AX5" i="15" s="1"/>
  <c r="AY5" i="15" s="1"/>
  <c r="AZ5" i="15" s="1"/>
  <c r="BA5" i="15" s="1"/>
  <c r="BB5" i="15" s="1"/>
  <c r="BC5" i="15" s="1"/>
  <c r="BD5" i="15" s="1"/>
  <c r="BE5" i="15" s="1"/>
  <c r="BF5" i="15" s="1"/>
  <c r="BG5" i="15" s="1"/>
  <c r="AG5" i="15"/>
  <c r="AF5" i="15"/>
  <c r="AC5" i="15"/>
  <c r="AH4" i="15"/>
  <c r="AI4" i="15" s="1"/>
  <c r="AG4" i="15"/>
  <c r="AF4" i="15"/>
  <c r="AH3" i="15"/>
  <c r="AG3" i="15"/>
  <c r="AF3" i="15"/>
  <c r="R3" i="15"/>
  <c r="Q3" i="15"/>
  <c r="P3" i="15"/>
  <c r="O3" i="15"/>
  <c r="N3" i="15"/>
  <c r="M3" i="15"/>
  <c r="L3" i="15"/>
  <c r="K3" i="15"/>
  <c r="J3" i="15"/>
  <c r="I3" i="15"/>
  <c r="H3" i="15"/>
  <c r="G3" i="15"/>
  <c r="F3" i="15"/>
  <c r="E3" i="15"/>
  <c r="AY47" i="12"/>
  <c r="AG47" i="12"/>
  <c r="AB47" i="12"/>
  <c r="I47" i="12"/>
  <c r="E88" i="10" s="1"/>
  <c r="F88" i="10" s="1"/>
  <c r="C47" i="12"/>
  <c r="M47" i="12" s="1"/>
  <c r="AY52" i="12"/>
  <c r="AG52" i="12"/>
  <c r="AB52" i="12"/>
  <c r="C52" i="12"/>
  <c r="AY50" i="12"/>
  <c r="AG50" i="12"/>
  <c r="AB50" i="12"/>
  <c r="I50" i="12"/>
  <c r="E91" i="10" s="1"/>
  <c r="F91" i="10" s="1"/>
  <c r="C50" i="12"/>
  <c r="AY48" i="12"/>
  <c r="AG48" i="12"/>
  <c r="AB48" i="12"/>
  <c r="C48" i="12"/>
  <c r="AY53" i="12"/>
  <c r="AG53" i="12"/>
  <c r="AB53" i="12"/>
  <c r="C53" i="12"/>
  <c r="AY51" i="12"/>
  <c r="AG51" i="12"/>
  <c r="AB51" i="12"/>
  <c r="Z51" i="12"/>
  <c r="AE51" i="12" s="1"/>
  <c r="R51" i="12"/>
  <c r="H92" i="10" s="1"/>
  <c r="I92" i="10" s="1"/>
  <c r="I51" i="12"/>
  <c r="E92" i="10" s="1"/>
  <c r="F92" i="10" s="1"/>
  <c r="C51" i="12"/>
  <c r="AY49" i="12"/>
  <c r="AG49" i="12"/>
  <c r="AB49" i="12"/>
  <c r="Z49" i="12"/>
  <c r="K90" i="10" s="1"/>
  <c r="R49" i="12"/>
  <c r="H90" i="10" s="1"/>
  <c r="I90" i="10" s="1"/>
  <c r="I49" i="12"/>
  <c r="E90" i="10" s="1"/>
  <c r="F90" i="10" s="1"/>
  <c r="C49" i="12"/>
  <c r="AY46" i="12"/>
  <c r="AG46" i="12"/>
  <c r="AB46" i="12"/>
  <c r="I46" i="12"/>
  <c r="E87" i="10" s="1"/>
  <c r="F87" i="10" s="1"/>
  <c r="C46" i="12"/>
  <c r="AY45" i="12"/>
  <c r="AG45" i="12"/>
  <c r="AB45" i="12"/>
  <c r="I45" i="12"/>
  <c r="E86" i="10" s="1"/>
  <c r="F86" i="10" s="1"/>
  <c r="C45" i="12"/>
  <c r="M45" i="12" s="1"/>
  <c r="AY44" i="12"/>
  <c r="AG44" i="12"/>
  <c r="AB44" i="12"/>
  <c r="Z44" i="12"/>
  <c r="R44" i="12"/>
  <c r="H85" i="10" s="1"/>
  <c r="I85" i="10" s="1"/>
  <c r="I44" i="12"/>
  <c r="E85" i="10" s="1"/>
  <c r="F85" i="10" s="1"/>
  <c r="C44" i="12"/>
  <c r="AY43" i="12"/>
  <c r="AG43" i="12"/>
  <c r="AB43" i="12"/>
  <c r="Z43" i="12"/>
  <c r="R43" i="12"/>
  <c r="H84" i="10" s="1"/>
  <c r="I84" i="10" s="1"/>
  <c r="I43" i="12"/>
  <c r="E84" i="10" s="1"/>
  <c r="F84" i="10" s="1"/>
  <c r="C43" i="12"/>
  <c r="AY42" i="12"/>
  <c r="AG42" i="12"/>
  <c r="AB42" i="12"/>
  <c r="I42" i="12"/>
  <c r="E83" i="10" s="1"/>
  <c r="F83" i="10" s="1"/>
  <c r="C42" i="12"/>
  <c r="AY41" i="12"/>
  <c r="AG41" i="12"/>
  <c r="AB41" i="12"/>
  <c r="Z41" i="12"/>
  <c r="K82" i="10" s="1"/>
  <c r="R41" i="12"/>
  <c r="H82" i="10" s="1"/>
  <c r="I82" i="10" s="1"/>
  <c r="I41" i="12"/>
  <c r="E82" i="10" s="1"/>
  <c r="F82" i="10" s="1"/>
  <c r="C41" i="12"/>
  <c r="AY40" i="12"/>
  <c r="AG40" i="12"/>
  <c r="AB40" i="12"/>
  <c r="R40" i="12"/>
  <c r="H81" i="10" s="1"/>
  <c r="I81" i="10" s="1"/>
  <c r="I40" i="12"/>
  <c r="J40" i="12" s="1"/>
  <c r="C40" i="12"/>
  <c r="BD23" i="12"/>
  <c r="AY23" i="12"/>
  <c r="AG23" i="12"/>
  <c r="AB23" i="12"/>
  <c r="BD28" i="12"/>
  <c r="AY28" i="12"/>
  <c r="AM28" i="12"/>
  <c r="E68" i="10" s="1"/>
  <c r="F68" i="10" s="1"/>
  <c r="AG28" i="12"/>
  <c r="AB28" i="12"/>
  <c r="BD26" i="12"/>
  <c r="AY26" i="12"/>
  <c r="AG26" i="12"/>
  <c r="AB26" i="12"/>
  <c r="BD24" i="12"/>
  <c r="AY24" i="12"/>
  <c r="AG24" i="12"/>
  <c r="AB24" i="12"/>
  <c r="BD29" i="12"/>
  <c r="AY29" i="12"/>
  <c r="AG29" i="12"/>
  <c r="AB29" i="12"/>
  <c r="BD27" i="12"/>
  <c r="AY27" i="12"/>
  <c r="AG27" i="12"/>
  <c r="AB27" i="12"/>
  <c r="BD25" i="12"/>
  <c r="AY25" i="12"/>
  <c r="AG25" i="12"/>
  <c r="AB25" i="12"/>
  <c r="BD22" i="12"/>
  <c r="AY22" i="12"/>
  <c r="AG22" i="12"/>
  <c r="AB22" i="12"/>
  <c r="BD21" i="12"/>
  <c r="AY21" i="12"/>
  <c r="AG21" i="12"/>
  <c r="AB21" i="12"/>
  <c r="BD20" i="12"/>
  <c r="AY20" i="12"/>
  <c r="AS20" i="12"/>
  <c r="AM20" i="12"/>
  <c r="E60" i="10" s="1"/>
  <c r="F60" i="10" s="1"/>
  <c r="AG20" i="12"/>
  <c r="AB20" i="12"/>
  <c r="BD19" i="12"/>
  <c r="AY19" i="12"/>
  <c r="AG19" i="12"/>
  <c r="AB19" i="12"/>
  <c r="BD18" i="12"/>
  <c r="AY18" i="12"/>
  <c r="AG18" i="12"/>
  <c r="AB18" i="12"/>
  <c r="BD17" i="12"/>
  <c r="AY17" i="12"/>
  <c r="AG17" i="12"/>
  <c r="AB17" i="12"/>
  <c r="BD16" i="12"/>
  <c r="AY16" i="12"/>
  <c r="AS16" i="12"/>
  <c r="AT16" i="12" s="1"/>
  <c r="BA16" i="12" s="1"/>
  <c r="AG16" i="12"/>
  <c r="AB16" i="12"/>
  <c r="R16" i="12"/>
  <c r="H16" i="10" s="1"/>
  <c r="I16" i="10" s="1"/>
  <c r="J10" i="12"/>
  <c r="B10" i="12"/>
  <c r="L9" i="12"/>
  <c r="J9" i="12"/>
  <c r="B9" i="12"/>
  <c r="L8" i="12"/>
  <c r="J8" i="12"/>
  <c r="L7" i="12"/>
  <c r="J7" i="12"/>
  <c r="L6" i="12"/>
  <c r="J6" i="12"/>
  <c r="L5" i="12"/>
  <c r="J5" i="12"/>
  <c r="A239" i="10"/>
  <c r="M116" i="10"/>
  <c r="M121" i="10"/>
  <c r="M119" i="10"/>
  <c r="M117" i="10"/>
  <c r="M122" i="10"/>
  <c r="M120" i="10"/>
  <c r="M118" i="10"/>
  <c r="M115" i="10"/>
  <c r="M114" i="10"/>
  <c r="M113" i="10"/>
  <c r="M112" i="10"/>
  <c r="M111" i="10"/>
  <c r="M110" i="10"/>
  <c r="M109" i="10"/>
  <c r="M88" i="10"/>
  <c r="M93" i="10"/>
  <c r="M91" i="10"/>
  <c r="M89" i="10"/>
  <c r="M94" i="10"/>
  <c r="M92" i="10"/>
  <c r="M90" i="10"/>
  <c r="M87" i="10"/>
  <c r="M86" i="10"/>
  <c r="M85" i="10"/>
  <c r="M84" i="10"/>
  <c r="M83" i="10"/>
  <c r="M82" i="10"/>
  <c r="M81" i="10"/>
  <c r="M63" i="10"/>
  <c r="M68" i="10"/>
  <c r="M66" i="10"/>
  <c r="M64" i="10"/>
  <c r="M69" i="10"/>
  <c r="M67" i="10"/>
  <c r="M65" i="10"/>
  <c r="M62" i="10"/>
  <c r="M61" i="10"/>
  <c r="M60" i="10"/>
  <c r="H60" i="10"/>
  <c r="I60" i="10" s="1"/>
  <c r="M59" i="10"/>
  <c r="M58" i="10"/>
  <c r="M57" i="10"/>
  <c r="M56" i="10"/>
  <c r="M23" i="10"/>
  <c r="M28" i="10"/>
  <c r="M26" i="10"/>
  <c r="M24" i="10"/>
  <c r="M29" i="10"/>
  <c r="M27" i="10"/>
  <c r="M25" i="10"/>
  <c r="M22" i="10"/>
  <c r="M21" i="10"/>
  <c r="M20" i="10"/>
  <c r="M19" i="10"/>
  <c r="M18" i="10"/>
  <c r="M17" i="10"/>
  <c r="M16" i="10"/>
  <c r="M52" i="12" l="1"/>
  <c r="G52" i="12"/>
  <c r="E52" i="12"/>
  <c r="E48" i="12"/>
  <c r="U48" i="12"/>
  <c r="Z48" i="12" s="1"/>
  <c r="M48" i="12"/>
  <c r="P48" i="12"/>
  <c r="L48" i="12"/>
  <c r="AK16" i="12"/>
  <c r="AJ16" i="12"/>
  <c r="J55" i="12"/>
  <c r="AN31" i="12"/>
  <c r="S31" i="12"/>
  <c r="AD31" i="12" s="1"/>
  <c r="BS31" i="12" s="1"/>
  <c r="AT31" i="12"/>
  <c r="BA31" i="12" s="1"/>
  <c r="J31" i="12"/>
  <c r="S55" i="12"/>
  <c r="AD55" i="12" s="1"/>
  <c r="AE43" i="12"/>
  <c r="K84" i="10"/>
  <c r="AE44" i="12"/>
  <c r="K85" i="10"/>
  <c r="U50" i="12"/>
  <c r="Z50" i="12" s="1"/>
  <c r="M50" i="12"/>
  <c r="AJ18" i="12"/>
  <c r="AM18" i="12" s="1"/>
  <c r="E18" i="12"/>
  <c r="I18" i="12" s="1"/>
  <c r="J54" i="12"/>
  <c r="S54" i="12"/>
  <c r="AD54" i="12" s="1"/>
  <c r="J30" i="12"/>
  <c r="AN30" i="12"/>
  <c r="AT30" i="12"/>
  <c r="BA30" i="12" s="1"/>
  <c r="S30" i="12"/>
  <c r="AD30" i="12" s="1"/>
  <c r="BS30" i="12" s="1"/>
  <c r="P45" i="12"/>
  <c r="U45" i="12"/>
  <c r="Z45" i="12" s="1"/>
  <c r="U47" i="12"/>
  <c r="Z47" i="12" s="1"/>
  <c r="M53" i="12"/>
  <c r="R53" i="12" s="1"/>
  <c r="U53" i="12"/>
  <c r="Z53" i="12" s="1"/>
  <c r="M42" i="12"/>
  <c r="U42" i="12"/>
  <c r="Z42" i="12" s="1"/>
  <c r="L42" i="12"/>
  <c r="P46" i="12"/>
  <c r="U46" i="12"/>
  <c r="Z46" i="12" s="1"/>
  <c r="M46" i="12"/>
  <c r="P52" i="12"/>
  <c r="U52" i="12"/>
  <c r="Z52" i="12" s="1"/>
  <c r="BG37" i="15"/>
  <c r="AT20" i="12"/>
  <c r="BA20" i="12" s="1"/>
  <c r="AN20" i="12"/>
  <c r="AZ20" i="12" s="1"/>
  <c r="S44" i="12"/>
  <c r="AD44" i="12" s="1"/>
  <c r="J44" i="12"/>
  <c r="BG59" i="15"/>
  <c r="AI47" i="15"/>
  <c r="AJ47" i="15" s="1"/>
  <c r="AK47" i="15" s="1"/>
  <c r="AL47" i="15" s="1"/>
  <c r="AM47" i="15" s="1"/>
  <c r="AN47" i="15" s="1"/>
  <c r="AO47" i="15" s="1"/>
  <c r="AP47" i="15" s="1"/>
  <c r="AQ47" i="15" s="1"/>
  <c r="AR47" i="15" s="1"/>
  <c r="AS47" i="15" s="1"/>
  <c r="AT47" i="15" s="1"/>
  <c r="AU47" i="15" s="1"/>
  <c r="AV47" i="15" s="1"/>
  <c r="AW47" i="15" s="1"/>
  <c r="AX47" i="15" s="1"/>
  <c r="AY47" i="15" s="1"/>
  <c r="AZ47" i="15" s="1"/>
  <c r="BA47" i="15" s="1"/>
  <c r="BB47" i="15" s="1"/>
  <c r="BC47" i="15" s="1"/>
  <c r="BD47" i="15" s="1"/>
  <c r="BE47" i="15" s="1"/>
  <c r="BF47" i="15" s="1"/>
  <c r="AV40" i="12" s="1"/>
  <c r="AP42" i="12"/>
  <c r="AS42" i="12" s="1"/>
  <c r="H111" i="10" s="1"/>
  <c r="I111" i="10" s="1"/>
  <c r="K92" i="10"/>
  <c r="J51" i="12"/>
  <c r="AC51" i="12" s="1"/>
  <c r="J46" i="12"/>
  <c r="AC46" i="12" s="1"/>
  <c r="AW15" i="15"/>
  <c r="AX15" i="15" s="1"/>
  <c r="AY15" i="15" s="1"/>
  <c r="AZ15" i="15" s="1"/>
  <c r="BA15" i="15" s="1"/>
  <c r="BB15" i="15" s="1"/>
  <c r="BC15" i="15" s="1"/>
  <c r="BD15" i="15" s="1"/>
  <c r="BE15" i="15" s="1"/>
  <c r="BF15" i="15" s="1"/>
  <c r="BG15" i="15" s="1"/>
  <c r="AM32" i="15"/>
  <c r="AN32" i="15" s="1"/>
  <c r="AO32" i="15" s="1"/>
  <c r="AP32" i="15" s="1"/>
  <c r="AQ32" i="15" s="1"/>
  <c r="AR32" i="15" s="1"/>
  <c r="AS32" i="15" s="1"/>
  <c r="AT32" i="15" s="1"/>
  <c r="AU32" i="15" s="1"/>
  <c r="AV32" i="15" s="1"/>
  <c r="AW32" i="15" s="1"/>
  <c r="AX32" i="15" s="1"/>
  <c r="AY32" i="15" s="1"/>
  <c r="AZ32" i="15" s="1"/>
  <c r="BA32" i="15" s="1"/>
  <c r="BB32" i="15" s="1"/>
  <c r="BC32" i="15" s="1"/>
  <c r="BD32" i="15" s="1"/>
  <c r="BE32" i="15" s="1"/>
  <c r="BF32" i="15" s="1"/>
  <c r="AP47" i="12" s="1"/>
  <c r="AM16" i="15"/>
  <c r="AN16" i="15" s="1"/>
  <c r="AO16" i="15" s="1"/>
  <c r="AP16" i="15" s="1"/>
  <c r="AQ16" i="15" s="1"/>
  <c r="AR16" i="15" s="1"/>
  <c r="AS16" i="15" s="1"/>
  <c r="AT16" i="15" s="1"/>
  <c r="AU16" i="15" s="1"/>
  <c r="AV16" i="15" s="1"/>
  <c r="AM10" i="15"/>
  <c r="AN10" i="15" s="1"/>
  <c r="AO10" i="15" s="1"/>
  <c r="AP10" i="15" s="1"/>
  <c r="AQ10" i="15" s="1"/>
  <c r="AR10" i="15" s="1"/>
  <c r="AS10" i="15" s="1"/>
  <c r="AT10" i="15" s="1"/>
  <c r="AU10" i="15" s="1"/>
  <c r="AV10" i="15" s="1"/>
  <c r="AW10" i="15" s="1"/>
  <c r="AX10" i="15" s="1"/>
  <c r="AY10" i="15" s="1"/>
  <c r="AZ10" i="15" s="1"/>
  <c r="BA10" i="15" s="1"/>
  <c r="BB10" i="15" s="1"/>
  <c r="BC10" i="15" s="1"/>
  <c r="BD10" i="15" s="1"/>
  <c r="BE10" i="15" s="1"/>
  <c r="BF10" i="15" s="1"/>
  <c r="AJ47" i="12" s="1"/>
  <c r="AI3" i="15"/>
  <c r="AJ3" i="15" s="1"/>
  <c r="AK3" i="15" s="1"/>
  <c r="AL3" i="15" s="1"/>
  <c r="AM3" i="15" s="1"/>
  <c r="AN3" i="15" s="1"/>
  <c r="AO3" i="15" s="1"/>
  <c r="AP3" i="15" s="1"/>
  <c r="AQ3" i="15" s="1"/>
  <c r="AR3" i="15" s="1"/>
  <c r="AS3" i="15" s="1"/>
  <c r="AT3" i="15" s="1"/>
  <c r="AU3" i="15" s="1"/>
  <c r="AV3" i="15" s="1"/>
  <c r="AW3" i="15" s="1"/>
  <c r="AX3" i="15" s="1"/>
  <c r="AY3" i="15" s="1"/>
  <c r="AZ3" i="15" s="1"/>
  <c r="BA3" i="15" s="1"/>
  <c r="BB3" i="15" s="1"/>
  <c r="BC3" i="15" s="1"/>
  <c r="BD3" i="15" s="1"/>
  <c r="BE3" i="15" s="1"/>
  <c r="BF3" i="15" s="1"/>
  <c r="AM14" i="15"/>
  <c r="AN14" i="15" s="1"/>
  <c r="AO14" i="15" s="1"/>
  <c r="AP14" i="15" s="1"/>
  <c r="AQ14" i="15" s="1"/>
  <c r="AR14" i="15" s="1"/>
  <c r="AS14" i="15" s="1"/>
  <c r="AT14" i="15" s="1"/>
  <c r="AU14" i="15" s="1"/>
  <c r="AV14" i="15" s="1"/>
  <c r="AW14" i="15" s="1"/>
  <c r="AX14" i="15" s="1"/>
  <c r="AY14" i="15" s="1"/>
  <c r="AZ14" i="15" s="1"/>
  <c r="BA14" i="15" s="1"/>
  <c r="BB14" i="15" s="1"/>
  <c r="BC14" i="15" s="1"/>
  <c r="BD14" i="15" s="1"/>
  <c r="BE14" i="15" s="1"/>
  <c r="BF14" i="15" s="1"/>
  <c r="AJ51" i="12" s="1"/>
  <c r="AL61" i="15"/>
  <c r="AM61" i="15" s="1"/>
  <c r="AN61" i="15" s="1"/>
  <c r="AO61" i="15" s="1"/>
  <c r="AP61" i="15" s="1"/>
  <c r="AQ61" i="15" s="1"/>
  <c r="AR61" i="15" s="1"/>
  <c r="AS61" i="15" s="1"/>
  <c r="AT61" i="15" s="1"/>
  <c r="AU61" i="15" s="1"/>
  <c r="AV61" i="15" s="1"/>
  <c r="AW61" i="15" s="1"/>
  <c r="AX61" i="15" s="1"/>
  <c r="AY61" i="15" s="1"/>
  <c r="AZ61" i="15" s="1"/>
  <c r="BA61" i="15" s="1"/>
  <c r="BB61" i="15" s="1"/>
  <c r="BC61" i="15" s="1"/>
  <c r="BD61" i="15" s="1"/>
  <c r="BE61" i="15" s="1"/>
  <c r="BF61" i="15" s="1"/>
  <c r="AV54" i="12" s="1"/>
  <c r="AM6" i="15"/>
  <c r="AN6" i="15" s="1"/>
  <c r="AO6" i="15" s="1"/>
  <c r="AP6" i="15" s="1"/>
  <c r="AQ6" i="15" s="1"/>
  <c r="AR6" i="15" s="1"/>
  <c r="AS6" i="15" s="1"/>
  <c r="AT6" i="15" s="1"/>
  <c r="AU6" i="15" s="1"/>
  <c r="AV6" i="15" s="1"/>
  <c r="AW6" i="15" s="1"/>
  <c r="AX6" i="15" s="1"/>
  <c r="AY6" i="15" s="1"/>
  <c r="AZ6" i="15" s="1"/>
  <c r="BA6" i="15" s="1"/>
  <c r="BB6" i="15" s="1"/>
  <c r="BC6" i="15" s="1"/>
  <c r="BD6" i="15" s="1"/>
  <c r="BE6" i="15" s="1"/>
  <c r="BF6" i="15" s="1"/>
  <c r="AM36" i="15"/>
  <c r="AN36" i="15" s="1"/>
  <c r="AO36" i="15" s="1"/>
  <c r="AP36" i="15" s="1"/>
  <c r="AQ36" i="15" s="1"/>
  <c r="AR36" i="15" s="1"/>
  <c r="AS36" i="15" s="1"/>
  <c r="AT36" i="15" s="1"/>
  <c r="AU36" i="15" s="1"/>
  <c r="AV36" i="15" s="1"/>
  <c r="AW36" i="15" s="1"/>
  <c r="AX36" i="15" s="1"/>
  <c r="AY36" i="15" s="1"/>
  <c r="AZ36" i="15" s="1"/>
  <c r="BA36" i="15" s="1"/>
  <c r="BB36" i="15" s="1"/>
  <c r="BC36" i="15" s="1"/>
  <c r="BD36" i="15" s="1"/>
  <c r="BE36" i="15" s="1"/>
  <c r="BF36" i="15" s="1"/>
  <c r="AP51" i="12" s="1"/>
  <c r="AM54" i="15"/>
  <c r="AN54" i="15" s="1"/>
  <c r="AO54" i="15" s="1"/>
  <c r="AP54" i="15" s="1"/>
  <c r="AQ54" i="15" s="1"/>
  <c r="AR54" i="15" s="1"/>
  <c r="AS54" i="15" s="1"/>
  <c r="AT54" i="15" s="1"/>
  <c r="AU54" i="15" s="1"/>
  <c r="AV54" i="15" s="1"/>
  <c r="AW54" i="15" s="1"/>
  <c r="AX54" i="15" s="1"/>
  <c r="AY54" i="15" s="1"/>
  <c r="AZ54" i="15" s="1"/>
  <c r="BA54" i="15" s="1"/>
  <c r="BB54" i="15" s="1"/>
  <c r="BC54" i="15" s="1"/>
  <c r="BD54" i="15" s="1"/>
  <c r="BE54" i="15" s="1"/>
  <c r="BF54" i="15" s="1"/>
  <c r="AV47" i="12" s="1"/>
  <c r="AM12" i="15"/>
  <c r="AN12" i="15" s="1"/>
  <c r="AO12" i="15" s="1"/>
  <c r="AP12" i="15" s="1"/>
  <c r="AQ12" i="15" s="1"/>
  <c r="AR12" i="15" s="1"/>
  <c r="AS12" i="15" s="1"/>
  <c r="AT12" i="15" s="1"/>
  <c r="AU12" i="15" s="1"/>
  <c r="AV12" i="15" s="1"/>
  <c r="AW12" i="15" s="1"/>
  <c r="AX12" i="15" s="1"/>
  <c r="AY12" i="15" s="1"/>
  <c r="AZ12" i="15" s="1"/>
  <c r="BA12" i="15" s="1"/>
  <c r="BB12" i="15" s="1"/>
  <c r="BC12" i="15" s="1"/>
  <c r="BD12" i="15" s="1"/>
  <c r="BE12" i="15" s="1"/>
  <c r="BF12" i="15" s="1"/>
  <c r="AJ49" i="12" s="1"/>
  <c r="AL39" i="15"/>
  <c r="AM39" i="15" s="1"/>
  <c r="AN39" i="15" s="1"/>
  <c r="AO39" i="15" s="1"/>
  <c r="AP39" i="15" s="1"/>
  <c r="AQ39" i="15" s="1"/>
  <c r="AR39" i="15" s="1"/>
  <c r="AS39" i="15" s="1"/>
  <c r="AT39" i="15" s="1"/>
  <c r="AU39" i="15" s="1"/>
  <c r="AV39" i="15" s="1"/>
  <c r="AW39" i="15" s="1"/>
  <c r="AX39" i="15" s="1"/>
  <c r="AY39" i="15" s="1"/>
  <c r="AZ39" i="15" s="1"/>
  <c r="BA39" i="15" s="1"/>
  <c r="BB39" i="15" s="1"/>
  <c r="BC39" i="15" s="1"/>
  <c r="BD39" i="15" s="1"/>
  <c r="BE39" i="15" s="1"/>
  <c r="BF39" i="15" s="1"/>
  <c r="AP54" i="12" s="1"/>
  <c r="AM35" i="15"/>
  <c r="AN35" i="15" s="1"/>
  <c r="AO35" i="15" s="1"/>
  <c r="AP35" i="15" s="1"/>
  <c r="AQ35" i="15" s="1"/>
  <c r="AR35" i="15" s="1"/>
  <c r="AS35" i="15" s="1"/>
  <c r="AT35" i="15" s="1"/>
  <c r="AU35" i="15" s="1"/>
  <c r="AV35" i="15" s="1"/>
  <c r="AW35" i="15" s="1"/>
  <c r="AX35" i="15" s="1"/>
  <c r="AY35" i="15" s="1"/>
  <c r="AZ35" i="15" s="1"/>
  <c r="BA35" i="15" s="1"/>
  <c r="BB35" i="15" s="1"/>
  <c r="BC35" i="15" s="1"/>
  <c r="BD35" i="15" s="1"/>
  <c r="BE35" i="15" s="1"/>
  <c r="BF35" i="15" s="1"/>
  <c r="AP50" i="12" s="1"/>
  <c r="AM58" i="15"/>
  <c r="AN58" i="15" s="1"/>
  <c r="AO58" i="15" s="1"/>
  <c r="AP58" i="15" s="1"/>
  <c r="AQ58" i="15" s="1"/>
  <c r="AR58" i="15" s="1"/>
  <c r="AS58" i="15" s="1"/>
  <c r="AT58" i="15" s="1"/>
  <c r="AU58" i="15" s="1"/>
  <c r="AV58" i="15" s="1"/>
  <c r="AW58" i="15" s="1"/>
  <c r="AX58" i="15" s="1"/>
  <c r="AY58" i="15" s="1"/>
  <c r="AZ58" i="15" s="1"/>
  <c r="BA58" i="15" s="1"/>
  <c r="BB58" i="15" s="1"/>
  <c r="BC58" i="15" s="1"/>
  <c r="BD58" i="15" s="1"/>
  <c r="BE58" i="15" s="1"/>
  <c r="BF58" i="15" s="1"/>
  <c r="AV51" i="12" s="1"/>
  <c r="AM29" i="15"/>
  <c r="AN29" i="15" s="1"/>
  <c r="AO29" i="15" s="1"/>
  <c r="AP29" i="15" s="1"/>
  <c r="AQ29" i="15" s="1"/>
  <c r="AR29" i="15" s="1"/>
  <c r="AS29" i="15" s="1"/>
  <c r="AT29" i="15" s="1"/>
  <c r="AU29" i="15" s="1"/>
  <c r="AV29" i="15" s="1"/>
  <c r="AW29" i="15" s="1"/>
  <c r="AX29" i="15" s="1"/>
  <c r="AY29" i="15" s="1"/>
  <c r="AZ29" i="15" s="1"/>
  <c r="BA29" i="15" s="1"/>
  <c r="BB29" i="15" s="1"/>
  <c r="BC29" i="15" s="1"/>
  <c r="BD29" i="15" s="1"/>
  <c r="BE29" i="15" s="1"/>
  <c r="BF29" i="15" s="1"/>
  <c r="AL17" i="15"/>
  <c r="AM17" i="15" s="1"/>
  <c r="AN17" i="15" s="1"/>
  <c r="AO17" i="15" s="1"/>
  <c r="AP17" i="15" s="1"/>
  <c r="AQ17" i="15" s="1"/>
  <c r="AR17" i="15" s="1"/>
  <c r="AS17" i="15" s="1"/>
  <c r="AT17" i="15" s="1"/>
  <c r="AU17" i="15" s="1"/>
  <c r="AV17" i="15" s="1"/>
  <c r="AW17" i="15" s="1"/>
  <c r="AX17" i="15" s="1"/>
  <c r="AY17" i="15" s="1"/>
  <c r="AZ17" i="15" s="1"/>
  <c r="BA17" i="15" s="1"/>
  <c r="BB17" i="15" s="1"/>
  <c r="BC17" i="15" s="1"/>
  <c r="BD17" i="15" s="1"/>
  <c r="BE17" i="15" s="1"/>
  <c r="BF17" i="15" s="1"/>
  <c r="AJ54" i="12" s="1"/>
  <c r="AM13" i="15"/>
  <c r="AN13" i="15" s="1"/>
  <c r="AO13" i="15" s="1"/>
  <c r="AP13" i="15" s="1"/>
  <c r="AQ13" i="15" s="1"/>
  <c r="AR13" i="15" s="1"/>
  <c r="AS13" i="15" s="1"/>
  <c r="AT13" i="15" s="1"/>
  <c r="AU13" i="15" s="1"/>
  <c r="AV13" i="15" s="1"/>
  <c r="AW13" i="15" s="1"/>
  <c r="AX13" i="15" s="1"/>
  <c r="AY13" i="15" s="1"/>
  <c r="AZ13" i="15" s="1"/>
  <c r="BA13" i="15" s="1"/>
  <c r="BB13" i="15" s="1"/>
  <c r="BC13" i="15" s="1"/>
  <c r="BD13" i="15" s="1"/>
  <c r="BE13" i="15" s="1"/>
  <c r="BF13" i="15" s="1"/>
  <c r="AJ50" i="12" s="1"/>
  <c r="AM38" i="15"/>
  <c r="AN38" i="15" s="1"/>
  <c r="AO38" i="15" s="1"/>
  <c r="AP38" i="15" s="1"/>
  <c r="AQ38" i="15" s="1"/>
  <c r="AR38" i="15" s="1"/>
  <c r="AS38" i="15" s="1"/>
  <c r="AT38" i="15" s="1"/>
  <c r="AU38" i="15" s="1"/>
  <c r="AV38" i="15" s="1"/>
  <c r="AM56" i="15"/>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AV49" i="12" s="1"/>
  <c r="AE41" i="12"/>
  <c r="AL29" i="12"/>
  <c r="AK29" i="12"/>
  <c r="U29" i="12"/>
  <c r="AJ29" i="12"/>
  <c r="E53" i="12"/>
  <c r="I53" i="12" s="1"/>
  <c r="F29" i="12"/>
  <c r="AV42" i="12"/>
  <c r="AW42" i="12" s="1"/>
  <c r="BB42" i="12" s="1"/>
  <c r="AS28" i="12"/>
  <c r="H68" i="10" s="1"/>
  <c r="I68" i="10" s="1"/>
  <c r="J68" i="10" s="1"/>
  <c r="L21" i="12"/>
  <c r="R21" i="12" s="1"/>
  <c r="AS22" i="12"/>
  <c r="U28" i="12"/>
  <c r="E21" i="12"/>
  <c r="G21" i="12"/>
  <c r="AM22" i="12"/>
  <c r="E22" i="12"/>
  <c r="U21" i="12"/>
  <c r="U26" i="12"/>
  <c r="U16" i="12"/>
  <c r="AJ26" i="15"/>
  <c r="AK26" i="15" s="1"/>
  <c r="AL26" i="15" s="1"/>
  <c r="AM26" i="15" s="1"/>
  <c r="AN26" i="15" s="1"/>
  <c r="AO26" i="15" s="1"/>
  <c r="AP26" i="15" s="1"/>
  <c r="AQ26" i="15" s="1"/>
  <c r="AR26" i="15" s="1"/>
  <c r="AS26" i="15" s="1"/>
  <c r="AT26" i="15" s="1"/>
  <c r="AU26" i="15" s="1"/>
  <c r="AV26" i="15" s="1"/>
  <c r="AW26" i="15" s="1"/>
  <c r="AX26" i="15" s="1"/>
  <c r="AY26" i="15" s="1"/>
  <c r="AZ26" i="15" s="1"/>
  <c r="BA26" i="15" s="1"/>
  <c r="BB26" i="15" s="1"/>
  <c r="BC26" i="15" s="1"/>
  <c r="BD26" i="15" s="1"/>
  <c r="BE26" i="15" s="1"/>
  <c r="BF26" i="15" s="1"/>
  <c r="AP40" i="12"/>
  <c r="AS40" i="12" s="1"/>
  <c r="H109" i="10" s="1"/>
  <c r="I109" i="10" s="1"/>
  <c r="S43" i="12"/>
  <c r="AD43" i="12" s="1"/>
  <c r="AE49" i="12"/>
  <c r="E81" i="10"/>
  <c r="F81" i="10" s="1"/>
  <c r="J81" i="10" s="1"/>
  <c r="AC40" i="12"/>
  <c r="J47" i="12"/>
  <c r="AC47" i="12" s="1"/>
  <c r="S41" i="12"/>
  <c r="AD41" i="12" s="1"/>
  <c r="J45" i="12"/>
  <c r="AC45" i="12" s="1"/>
  <c r="S40" i="12"/>
  <c r="AD40" i="12" s="1"/>
  <c r="J50" i="12"/>
  <c r="AC50" i="12" s="1"/>
  <c r="H56" i="10"/>
  <c r="I56" i="10" s="1"/>
  <c r="S16" i="12"/>
  <c r="AD16" i="12" s="1"/>
  <c r="BS16" i="12" s="1"/>
  <c r="AC58" i="15"/>
  <c r="AJ42" i="12"/>
  <c r="AM42" i="12" s="1"/>
  <c r="E111" i="10" s="1"/>
  <c r="F111" i="10" s="1"/>
  <c r="AM51" i="15"/>
  <c r="AN51" i="15" s="1"/>
  <c r="AO51" i="15" s="1"/>
  <c r="AP51" i="15" s="1"/>
  <c r="AQ51" i="15" s="1"/>
  <c r="AR51" i="15" s="1"/>
  <c r="AS51" i="15" s="1"/>
  <c r="AT51" i="15" s="1"/>
  <c r="AU51" i="15" s="1"/>
  <c r="AV51" i="15" s="1"/>
  <c r="AW51" i="15" s="1"/>
  <c r="AX51" i="15" s="1"/>
  <c r="AY51" i="15" s="1"/>
  <c r="AZ51" i="15" s="1"/>
  <c r="BA51" i="15" s="1"/>
  <c r="BB51" i="15" s="1"/>
  <c r="BC51" i="15" s="1"/>
  <c r="BD51" i="15" s="1"/>
  <c r="BE51" i="15" s="1"/>
  <c r="BF51" i="15" s="1"/>
  <c r="AV44" i="12" s="1"/>
  <c r="AC56" i="15"/>
  <c r="AL53" i="15"/>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AV46" i="12" s="1"/>
  <c r="AL31" i="15"/>
  <c r="AM31" i="15" s="1"/>
  <c r="AN31" i="15" s="1"/>
  <c r="AO31" i="15" s="1"/>
  <c r="AP31" i="15" s="1"/>
  <c r="AQ31" i="15" s="1"/>
  <c r="AR31" i="15" s="1"/>
  <c r="AS31" i="15" s="1"/>
  <c r="AT31" i="15" s="1"/>
  <c r="AU31" i="15" s="1"/>
  <c r="AV31" i="15" s="1"/>
  <c r="AW31" i="15" s="1"/>
  <c r="AX31" i="15" s="1"/>
  <c r="AY31" i="15" s="1"/>
  <c r="AZ31" i="15" s="1"/>
  <c r="BA31" i="15" s="1"/>
  <c r="BB31" i="15" s="1"/>
  <c r="BC31" i="15" s="1"/>
  <c r="BD31" i="15" s="1"/>
  <c r="BE31" i="15" s="1"/>
  <c r="BF31" i="15" s="1"/>
  <c r="AP46" i="12" s="1"/>
  <c r="J92" i="10"/>
  <c r="J82" i="10"/>
  <c r="L82" i="10" s="1"/>
  <c r="AC60" i="15"/>
  <c r="AK27" i="12"/>
  <c r="R17" i="12"/>
  <c r="S17" i="12" s="1"/>
  <c r="AD17" i="12" s="1"/>
  <c r="BS17" i="12" s="1"/>
  <c r="AL9" i="15"/>
  <c r="AM9" i="15" s="1"/>
  <c r="AN9" i="15" s="1"/>
  <c r="AO9" i="15" s="1"/>
  <c r="AP9" i="15" s="1"/>
  <c r="AQ9" i="15" s="1"/>
  <c r="AR9" i="15" s="1"/>
  <c r="AS9" i="15" s="1"/>
  <c r="AT9" i="15" s="1"/>
  <c r="AU9" i="15" s="1"/>
  <c r="AV9" i="15" s="1"/>
  <c r="AW9" i="15" s="1"/>
  <c r="AX9" i="15" s="1"/>
  <c r="AY9" i="15" s="1"/>
  <c r="AZ9" i="15" s="1"/>
  <c r="BA9" i="15" s="1"/>
  <c r="BB9" i="15" s="1"/>
  <c r="BC9" i="15" s="1"/>
  <c r="BD9" i="15" s="1"/>
  <c r="BE9" i="15" s="1"/>
  <c r="BF9" i="15" s="1"/>
  <c r="J90" i="10"/>
  <c r="L90" i="10" s="1"/>
  <c r="AM50" i="15"/>
  <c r="AN50" i="15" s="1"/>
  <c r="AO50" i="15" s="1"/>
  <c r="AP50" i="15" s="1"/>
  <c r="AQ50" i="15" s="1"/>
  <c r="AR50" i="15" s="1"/>
  <c r="AS50" i="15" s="1"/>
  <c r="AT50" i="15" s="1"/>
  <c r="AU50" i="15" s="1"/>
  <c r="AV50" i="15" s="1"/>
  <c r="AW50" i="15" s="1"/>
  <c r="AX50" i="15" s="1"/>
  <c r="AY50" i="15" s="1"/>
  <c r="AZ50" i="15" s="1"/>
  <c r="BA50" i="15" s="1"/>
  <c r="BB50" i="15" s="1"/>
  <c r="BC50" i="15" s="1"/>
  <c r="BD50" i="15" s="1"/>
  <c r="BE50" i="15" s="1"/>
  <c r="BF50" i="15" s="1"/>
  <c r="AC39" i="15"/>
  <c r="AC51" i="15"/>
  <c r="AM60" i="15"/>
  <c r="AN60" i="15" s="1"/>
  <c r="AO60" i="15" s="1"/>
  <c r="AP60" i="15" s="1"/>
  <c r="AQ60" i="15" s="1"/>
  <c r="AR60" i="15" s="1"/>
  <c r="AS60" i="15" s="1"/>
  <c r="AT60" i="15" s="1"/>
  <c r="AU60" i="15" s="1"/>
  <c r="AV60" i="15" s="1"/>
  <c r="AM24" i="12"/>
  <c r="AN24" i="12" s="1"/>
  <c r="AC29" i="15"/>
  <c r="J85" i="10"/>
  <c r="AK25" i="12"/>
  <c r="AC32" i="15"/>
  <c r="G27" i="12"/>
  <c r="AC10" i="15"/>
  <c r="AC61" i="15"/>
  <c r="J43" i="12"/>
  <c r="AC43" i="12" s="1"/>
  <c r="AC50" i="15"/>
  <c r="AM7" i="15"/>
  <c r="AN7" i="15" s="1"/>
  <c r="AO7" i="15" s="1"/>
  <c r="AP7" i="15" s="1"/>
  <c r="AQ7" i="15" s="1"/>
  <c r="AR7" i="15" s="1"/>
  <c r="AS7" i="15" s="1"/>
  <c r="AT7" i="15" s="1"/>
  <c r="AU7" i="15" s="1"/>
  <c r="AV7" i="15" s="1"/>
  <c r="AW7" i="15" s="1"/>
  <c r="AX7" i="15" s="1"/>
  <c r="AY7" i="15" s="1"/>
  <c r="AZ7" i="15" s="1"/>
  <c r="BA7" i="15" s="1"/>
  <c r="BB7" i="15" s="1"/>
  <c r="BC7" i="15" s="1"/>
  <c r="BD7" i="15" s="1"/>
  <c r="BE7" i="15" s="1"/>
  <c r="BF7" i="15" s="1"/>
  <c r="BG7" i="15" s="1"/>
  <c r="AC36" i="15"/>
  <c r="AC38" i="15"/>
  <c r="AC26" i="15"/>
  <c r="AC7" i="15"/>
  <c r="AC12" i="15"/>
  <c r="AL30" i="15"/>
  <c r="AM30" i="15" s="1"/>
  <c r="AN30" i="15" s="1"/>
  <c r="AO30" i="15" s="1"/>
  <c r="AP30" i="15" s="1"/>
  <c r="AQ30" i="15" s="1"/>
  <c r="AR30" i="15" s="1"/>
  <c r="AS30" i="15" s="1"/>
  <c r="AT30" i="15" s="1"/>
  <c r="AU30" i="15" s="1"/>
  <c r="AV30" i="15" s="1"/>
  <c r="AW30" i="15" s="1"/>
  <c r="AX30" i="15" s="1"/>
  <c r="AY30" i="15" s="1"/>
  <c r="AZ30" i="15" s="1"/>
  <c r="BA30" i="15" s="1"/>
  <c r="BB30" i="15" s="1"/>
  <c r="BC30" i="15" s="1"/>
  <c r="BD30" i="15" s="1"/>
  <c r="BE30" i="15" s="1"/>
  <c r="BF30" i="15" s="1"/>
  <c r="J60" i="10"/>
  <c r="AC17" i="15"/>
  <c r="AC13" i="15"/>
  <c r="AC35" i="15"/>
  <c r="AJ48" i="15"/>
  <c r="AK48" i="15" s="1"/>
  <c r="AL48" i="15" s="1"/>
  <c r="AM48" i="15" s="1"/>
  <c r="AN48" i="15" s="1"/>
  <c r="AO48" i="15" s="1"/>
  <c r="AP48" i="15" s="1"/>
  <c r="AQ48" i="15" s="1"/>
  <c r="AR48" i="15" s="1"/>
  <c r="AS48" i="15" s="1"/>
  <c r="AT48" i="15" s="1"/>
  <c r="AU48" i="15" s="1"/>
  <c r="AV48" i="15" s="1"/>
  <c r="AW48" i="15" s="1"/>
  <c r="AX48" i="15" s="1"/>
  <c r="AY48" i="15" s="1"/>
  <c r="AZ48" i="15" s="1"/>
  <c r="BA48" i="15" s="1"/>
  <c r="BB48" i="15" s="1"/>
  <c r="BC48" i="15" s="1"/>
  <c r="BD48" i="15" s="1"/>
  <c r="BE48" i="15" s="1"/>
  <c r="BF48" i="15" s="1"/>
  <c r="AV41" i="12" s="1"/>
  <c r="AC54" i="15"/>
  <c r="J49" i="12"/>
  <c r="S49" i="12"/>
  <c r="AD49" i="12" s="1"/>
  <c r="J84" i="10"/>
  <c r="BG49" i="15"/>
  <c r="S51" i="12"/>
  <c r="AD51" i="12" s="1"/>
  <c r="J42" i="12"/>
  <c r="AN28" i="12"/>
  <c r="I17" i="12"/>
  <c r="AK26" i="12"/>
  <c r="AC9" i="15"/>
  <c r="L45" i="12"/>
  <c r="R47" i="12"/>
  <c r="AJ26" i="12"/>
  <c r="E27" i="12"/>
  <c r="AW21" i="12"/>
  <c r="AW19" i="12"/>
  <c r="AM17" i="12"/>
  <c r="AS18" i="12"/>
  <c r="AS23" i="12"/>
  <c r="U23" i="12"/>
  <c r="G26" i="12"/>
  <c r="AS24" i="12"/>
  <c r="AT24" i="12" s="1"/>
  <c r="AJ27" i="12"/>
  <c r="AW22" i="12"/>
  <c r="AW17" i="12"/>
  <c r="U19" i="12"/>
  <c r="AW20" i="12"/>
  <c r="G22" i="12"/>
  <c r="AJ25" i="12"/>
  <c r="Q28" i="12"/>
  <c r="AW23" i="12"/>
  <c r="AS17" i="12"/>
  <c r="AW18" i="12"/>
  <c r="O27" i="12"/>
  <c r="AW28" i="12"/>
  <c r="J41" i="12"/>
  <c r="L50" i="12"/>
  <c r="AC57" i="15"/>
  <c r="AM57" i="15"/>
  <c r="AN57" i="15" s="1"/>
  <c r="AO57" i="15" s="1"/>
  <c r="AP57" i="15" s="1"/>
  <c r="AQ57" i="15" s="1"/>
  <c r="AR57" i="15" s="1"/>
  <c r="AS57" i="15" s="1"/>
  <c r="AT57" i="15" s="1"/>
  <c r="AU57" i="15" s="1"/>
  <c r="AV57" i="15" s="1"/>
  <c r="AW57" i="15" s="1"/>
  <c r="AX57" i="15" s="1"/>
  <c r="AY57" i="15" s="1"/>
  <c r="AZ57" i="15" s="1"/>
  <c r="BA57" i="15" s="1"/>
  <c r="BB57" i="15" s="1"/>
  <c r="BC57" i="15" s="1"/>
  <c r="BD57" i="15" s="1"/>
  <c r="BE57" i="15" s="1"/>
  <c r="BF57" i="15" s="1"/>
  <c r="AV50" i="12" s="1"/>
  <c r="I16" i="12"/>
  <c r="AM21" i="12"/>
  <c r="Q27" i="12"/>
  <c r="AP27" i="12"/>
  <c r="AS27" i="12" s="1"/>
  <c r="U40" i="12"/>
  <c r="Z40" i="12" s="1"/>
  <c r="AK8" i="15"/>
  <c r="AL8" i="15" s="1"/>
  <c r="AM8" i="15" s="1"/>
  <c r="AN8" i="15" s="1"/>
  <c r="AO8" i="15" s="1"/>
  <c r="AP8" i="15" s="1"/>
  <c r="AQ8" i="15" s="1"/>
  <c r="AR8" i="15" s="1"/>
  <c r="AS8" i="15" s="1"/>
  <c r="AT8" i="15" s="1"/>
  <c r="AU8" i="15" s="1"/>
  <c r="AV8" i="15" s="1"/>
  <c r="AW8" i="15" s="1"/>
  <c r="AX8" i="15" s="1"/>
  <c r="AY8" i="15" s="1"/>
  <c r="AZ8" i="15" s="1"/>
  <c r="BA8" i="15" s="1"/>
  <c r="BB8" i="15" s="1"/>
  <c r="BC8" i="15" s="1"/>
  <c r="BD8" i="15" s="1"/>
  <c r="BE8" i="15" s="1"/>
  <c r="BF8" i="15" s="1"/>
  <c r="AC8" i="15"/>
  <c r="U25" i="12"/>
  <c r="AC31" i="15"/>
  <c r="AS21" i="12"/>
  <c r="U22" i="12"/>
  <c r="AW27" i="12"/>
  <c r="AW24" i="12"/>
  <c r="AW26" i="12"/>
  <c r="AC3" i="15"/>
  <c r="AW25" i="12"/>
  <c r="AJ23" i="12"/>
  <c r="AM23" i="12" s="1"/>
  <c r="AC34" i="15"/>
  <c r="AC47" i="15"/>
  <c r="AW29" i="12"/>
  <c r="I28" i="12"/>
  <c r="AJ4" i="15"/>
  <c r="AK4" i="15" s="1"/>
  <c r="AL4" i="15" s="1"/>
  <c r="AM4" i="15" s="1"/>
  <c r="AN4" i="15" s="1"/>
  <c r="AO4" i="15" s="1"/>
  <c r="AP4" i="15" s="1"/>
  <c r="AQ4" i="15" s="1"/>
  <c r="AR4" i="15" s="1"/>
  <c r="AS4" i="15" s="1"/>
  <c r="AT4" i="15" s="1"/>
  <c r="AU4" i="15" s="1"/>
  <c r="AV4" i="15" s="1"/>
  <c r="AW4" i="15" s="1"/>
  <c r="AX4" i="15" s="1"/>
  <c r="AY4" i="15" s="1"/>
  <c r="AZ4" i="15" s="1"/>
  <c r="BA4" i="15" s="1"/>
  <c r="BB4" i="15" s="1"/>
  <c r="BC4" i="15" s="1"/>
  <c r="BD4" i="15" s="1"/>
  <c r="BE4" i="15" s="1"/>
  <c r="BF4" i="15" s="1"/>
  <c r="AC28" i="15"/>
  <c r="AC30" i="15"/>
  <c r="AC48" i="15"/>
  <c r="AK52" i="15"/>
  <c r="AL52" i="15" s="1"/>
  <c r="AM52" i="15" s="1"/>
  <c r="AN52" i="15" s="1"/>
  <c r="AO52" i="15" s="1"/>
  <c r="AP52" i="15" s="1"/>
  <c r="AQ52" i="15" s="1"/>
  <c r="AR52" i="15" s="1"/>
  <c r="AS52" i="15" s="1"/>
  <c r="AT52" i="15" s="1"/>
  <c r="AU52" i="15" s="1"/>
  <c r="AV52" i="15" s="1"/>
  <c r="AW52" i="15" s="1"/>
  <c r="AX52" i="15" s="1"/>
  <c r="AY52" i="15" s="1"/>
  <c r="AZ52" i="15" s="1"/>
  <c r="BA52" i="15" s="1"/>
  <c r="BB52" i="15" s="1"/>
  <c r="BC52" i="15" s="1"/>
  <c r="BD52" i="15" s="1"/>
  <c r="BE52" i="15" s="1"/>
  <c r="BF52" i="15" s="1"/>
  <c r="AV45" i="12" s="1"/>
  <c r="AC52" i="15"/>
  <c r="AC53" i="15"/>
  <c r="AC14" i="15"/>
  <c r="AC4" i="15"/>
  <c r="AC6" i="15"/>
  <c r="AM28" i="15"/>
  <c r="AN28" i="15" s="1"/>
  <c r="AO28" i="15" s="1"/>
  <c r="AP28" i="15" s="1"/>
  <c r="AQ28" i="15" s="1"/>
  <c r="AR28" i="15" s="1"/>
  <c r="AS28" i="15" s="1"/>
  <c r="AT28" i="15" s="1"/>
  <c r="AU28" i="15" s="1"/>
  <c r="AV28" i="15" s="1"/>
  <c r="AW28" i="15" s="1"/>
  <c r="AX28" i="15" s="1"/>
  <c r="AY28" i="15" s="1"/>
  <c r="AZ28" i="15" s="1"/>
  <c r="BA28" i="15" s="1"/>
  <c r="BB28" i="15" s="1"/>
  <c r="BC28" i="15" s="1"/>
  <c r="BD28" i="15" s="1"/>
  <c r="BE28" i="15" s="1"/>
  <c r="BF28" i="15" s="1"/>
  <c r="AP43" i="12" s="1"/>
  <c r="AM34" i="15"/>
  <c r="AN34" i="15" s="1"/>
  <c r="AO34" i="15" s="1"/>
  <c r="AP34" i="15" s="1"/>
  <c r="AQ34" i="15" s="1"/>
  <c r="AR34" i="15" s="1"/>
  <c r="AS34" i="15" s="1"/>
  <c r="AT34" i="15" s="1"/>
  <c r="AU34" i="15" s="1"/>
  <c r="AV34" i="15" s="1"/>
  <c r="AW34" i="15" s="1"/>
  <c r="AX34" i="15" s="1"/>
  <c r="AY34" i="15" s="1"/>
  <c r="AZ34" i="15" s="1"/>
  <c r="BA34" i="15" s="1"/>
  <c r="BB34" i="15" s="1"/>
  <c r="BC34" i="15" s="1"/>
  <c r="BD34" i="15" s="1"/>
  <c r="BE34" i="15" s="1"/>
  <c r="BF34" i="15" s="1"/>
  <c r="AP49" i="12" s="1"/>
  <c r="I52" i="12" l="1"/>
  <c r="AM16" i="12"/>
  <c r="AN16" i="12" s="1"/>
  <c r="AS51" i="12"/>
  <c r="AT51" i="12" s="1"/>
  <c r="BA51" i="12" s="1"/>
  <c r="AW55" i="12"/>
  <c r="AW51" i="12"/>
  <c r="AM51" i="12"/>
  <c r="AS50" i="12"/>
  <c r="AS55" i="12"/>
  <c r="AM55" i="12"/>
  <c r="AU24" i="12"/>
  <c r="AC31" i="12"/>
  <c r="BR31" i="12" s="1"/>
  <c r="T31" i="12"/>
  <c r="AA31" i="12" s="1"/>
  <c r="AZ31" i="12"/>
  <c r="AU31" i="12"/>
  <c r="AX31" i="12" s="1"/>
  <c r="AC55" i="12"/>
  <c r="T55" i="12"/>
  <c r="AA55" i="12" s="1"/>
  <c r="BF31" i="12" s="1"/>
  <c r="BB20" i="12"/>
  <c r="K60" i="10"/>
  <c r="L60" i="10" s="1"/>
  <c r="T54" i="12"/>
  <c r="AA54" i="12" s="1"/>
  <c r="BF30" i="12" s="1"/>
  <c r="AC54" i="12"/>
  <c r="AZ24" i="12"/>
  <c r="AU30" i="12"/>
  <c r="AX30" i="12" s="1"/>
  <c r="AZ30" i="12"/>
  <c r="T30" i="12"/>
  <c r="AA30" i="12" s="1"/>
  <c r="AC30" i="12"/>
  <c r="BR30" i="12" s="1"/>
  <c r="BG12" i="15"/>
  <c r="AM49" i="12"/>
  <c r="E118" i="10" s="1"/>
  <c r="F118" i="10" s="1"/>
  <c r="AW47" i="12"/>
  <c r="BB47" i="12" s="1"/>
  <c r="AS47" i="12"/>
  <c r="H116" i="10" s="1"/>
  <c r="I116" i="10" s="1"/>
  <c r="AM47" i="12"/>
  <c r="E116" i="10" s="1"/>
  <c r="F116" i="10" s="1"/>
  <c r="BG10" i="15"/>
  <c r="L92" i="10"/>
  <c r="BG32" i="15"/>
  <c r="BG54" i="15"/>
  <c r="AT28" i="12"/>
  <c r="BA28" i="12" s="1"/>
  <c r="L85" i="10"/>
  <c r="L84" i="10"/>
  <c r="I24" i="12"/>
  <c r="J24" i="12" s="1"/>
  <c r="AW60" i="15"/>
  <c r="AX60" i="15" s="1"/>
  <c r="AY60" i="15" s="1"/>
  <c r="AZ60" i="15" s="1"/>
  <c r="BA60" i="15" s="1"/>
  <c r="BB60" i="15" s="1"/>
  <c r="BC60" i="15" s="1"/>
  <c r="BD60" i="15" s="1"/>
  <c r="BE60" i="15" s="1"/>
  <c r="BF60" i="15" s="1"/>
  <c r="R22" i="12"/>
  <c r="S22" i="12" s="1"/>
  <c r="AD22" i="12" s="1"/>
  <c r="BS22" i="12" s="1"/>
  <c r="AW16" i="15"/>
  <c r="AX16" i="15" s="1"/>
  <c r="AY16" i="15" s="1"/>
  <c r="AZ16" i="15" s="1"/>
  <c r="BA16" i="15" s="1"/>
  <c r="BB16" i="15" s="1"/>
  <c r="BC16" i="15" s="1"/>
  <c r="BD16" i="15" s="1"/>
  <c r="BE16" i="15" s="1"/>
  <c r="BF16" i="15" s="1"/>
  <c r="AW38" i="15"/>
  <c r="AX38" i="15" s="1"/>
  <c r="AY38" i="15" s="1"/>
  <c r="AZ38" i="15" s="1"/>
  <c r="BA38" i="15" s="1"/>
  <c r="BB38" i="15" s="1"/>
  <c r="BC38" i="15" s="1"/>
  <c r="BD38" i="15" s="1"/>
  <c r="BE38" i="15" s="1"/>
  <c r="BF38" i="15" s="1"/>
  <c r="R46" i="12"/>
  <c r="H87" i="10" s="1"/>
  <c r="I87" i="10" s="1"/>
  <c r="J87" i="10" s="1"/>
  <c r="I48" i="12"/>
  <c r="J48" i="12" s="1"/>
  <c r="I21" i="12"/>
  <c r="J21" i="12" s="1"/>
  <c r="AC21" i="12" s="1"/>
  <c r="BR21" i="12" s="1"/>
  <c r="R52" i="12"/>
  <c r="H93" i="10" s="1"/>
  <c r="I93" i="10" s="1"/>
  <c r="R48" i="12"/>
  <c r="S48" i="12" s="1"/>
  <c r="AT42" i="12"/>
  <c r="BA42" i="12" s="1"/>
  <c r="BG36" i="15"/>
  <c r="BG50" i="15"/>
  <c r="AV43" i="12"/>
  <c r="AW43" i="12" s="1"/>
  <c r="BB43" i="12" s="1"/>
  <c r="BG26" i="15"/>
  <c r="AP41" i="12"/>
  <c r="AS41" i="12" s="1"/>
  <c r="H110" i="10" s="1"/>
  <c r="I110" i="10" s="1"/>
  <c r="BG56" i="15"/>
  <c r="AW49" i="12"/>
  <c r="BB49" i="12" s="1"/>
  <c r="BG30" i="15"/>
  <c r="AP45" i="12"/>
  <c r="AS45" i="12" s="1"/>
  <c r="AT45" i="12" s="1"/>
  <c r="BA45" i="12" s="1"/>
  <c r="AT40" i="12"/>
  <c r="BA40" i="12" s="1"/>
  <c r="AP44" i="12"/>
  <c r="AS44" i="12" s="1"/>
  <c r="T40" i="12"/>
  <c r="AA40" i="12" s="1"/>
  <c r="AN42" i="12"/>
  <c r="AZ42" i="12" s="1"/>
  <c r="BG51" i="15"/>
  <c r="AW44" i="12"/>
  <c r="I27" i="12"/>
  <c r="E27" i="10" s="1"/>
  <c r="F27" i="10" s="1"/>
  <c r="AU20" i="12"/>
  <c r="AX20" i="12" s="1"/>
  <c r="T43" i="12"/>
  <c r="AA43" i="12" s="1"/>
  <c r="R42" i="12"/>
  <c r="S42" i="12" s="1"/>
  <c r="T42" i="12" s="1"/>
  <c r="AA42" i="12" s="1"/>
  <c r="BF18" i="12" s="1"/>
  <c r="BG58" i="15"/>
  <c r="BG61" i="15"/>
  <c r="AM27" i="12"/>
  <c r="E67" i="10" s="1"/>
  <c r="F67" i="10" s="1"/>
  <c r="Z19" i="12"/>
  <c r="AE19" i="12" s="1"/>
  <c r="BT19" i="12" s="1"/>
  <c r="Z17" i="12"/>
  <c r="AE17" i="12" s="1"/>
  <c r="BT17" i="12" s="1"/>
  <c r="AS26" i="12"/>
  <c r="AT26" i="12" s="1"/>
  <c r="BA26" i="12" s="1"/>
  <c r="R26" i="12"/>
  <c r="H26" i="10" s="1"/>
  <c r="I26" i="10" s="1"/>
  <c r="E64" i="10"/>
  <c r="F64" i="10" s="1"/>
  <c r="BG35" i="15"/>
  <c r="H17" i="10"/>
  <c r="I17" i="10" s="1"/>
  <c r="Z23" i="12"/>
  <c r="K23" i="10" s="1"/>
  <c r="Z29" i="12"/>
  <c r="K29" i="10" s="1"/>
  <c r="BG13" i="15"/>
  <c r="AM25" i="12"/>
  <c r="AN25" i="12" s="1"/>
  <c r="BG29" i="15"/>
  <c r="I19" i="12"/>
  <c r="J19" i="12" s="1"/>
  <c r="Z26" i="12"/>
  <c r="K26" i="10" s="1"/>
  <c r="R25" i="12"/>
  <c r="S25" i="12" s="1"/>
  <c r="AD25" i="12" s="1"/>
  <c r="BS25" i="12" s="1"/>
  <c r="I25" i="12"/>
  <c r="E25" i="10" s="1"/>
  <c r="F25" i="10" s="1"/>
  <c r="Z20" i="12"/>
  <c r="K20" i="10" s="1"/>
  <c r="Z24" i="12"/>
  <c r="K24" i="10" s="1"/>
  <c r="I29" i="12"/>
  <c r="E29" i="10" s="1"/>
  <c r="F29" i="10" s="1"/>
  <c r="R23" i="12"/>
  <c r="H23" i="10" s="1"/>
  <c r="I23" i="10" s="1"/>
  <c r="AM29" i="12"/>
  <c r="E69" i="10" s="1"/>
  <c r="F69" i="10" s="1"/>
  <c r="AJ44" i="12"/>
  <c r="AM44" i="12" s="1"/>
  <c r="K111" i="10"/>
  <c r="R19" i="12"/>
  <c r="S19" i="12" s="1"/>
  <c r="AD19" i="12" s="1"/>
  <c r="BS19" i="12" s="1"/>
  <c r="Z28" i="12"/>
  <c r="AE28" i="12" s="1"/>
  <c r="BT28" i="12" s="1"/>
  <c r="R27" i="12"/>
  <c r="S27" i="12" s="1"/>
  <c r="AD27" i="12" s="1"/>
  <c r="BS27" i="12" s="1"/>
  <c r="Z22" i="12"/>
  <c r="K22" i="10" s="1"/>
  <c r="I20" i="12"/>
  <c r="J20" i="12" s="1"/>
  <c r="AJ41" i="12"/>
  <c r="AM41" i="12" s="1"/>
  <c r="BG4" i="15"/>
  <c r="Z21" i="12"/>
  <c r="BG48" i="15"/>
  <c r="AW41" i="12"/>
  <c r="AS25" i="12"/>
  <c r="R45" i="12"/>
  <c r="R20" i="12"/>
  <c r="S20" i="12" s="1"/>
  <c r="AM19" i="12"/>
  <c r="AS46" i="12"/>
  <c r="BG31" i="15"/>
  <c r="AT22" i="12"/>
  <c r="BA22" i="12" s="1"/>
  <c r="H62" i="10"/>
  <c r="I62" i="10" s="1"/>
  <c r="R24" i="12"/>
  <c r="S24" i="12" s="1"/>
  <c r="BG47" i="15"/>
  <c r="Z27" i="12"/>
  <c r="AE46" i="12"/>
  <c r="K87" i="10"/>
  <c r="BG53" i="15"/>
  <c r="AW46" i="12"/>
  <c r="BG39" i="15"/>
  <c r="BG17" i="15"/>
  <c r="AN21" i="12"/>
  <c r="E61" i="10"/>
  <c r="F61" i="10" s="1"/>
  <c r="AJ45" i="12"/>
  <c r="AM45" i="12" s="1"/>
  <c r="BG8" i="15"/>
  <c r="BB23" i="12"/>
  <c r="K63" i="10"/>
  <c r="H64" i="10"/>
  <c r="I64" i="10" s="1"/>
  <c r="AS29" i="12"/>
  <c r="AM26" i="12"/>
  <c r="AE47" i="12"/>
  <c r="K88" i="10"/>
  <c r="R18" i="12"/>
  <c r="BB27" i="12"/>
  <c r="K67" i="10"/>
  <c r="BG14" i="15"/>
  <c r="AE50" i="12"/>
  <c r="K91" i="10"/>
  <c r="BB17" i="12"/>
  <c r="K57" i="10"/>
  <c r="BB26" i="12"/>
  <c r="K66" i="10"/>
  <c r="I23" i="12"/>
  <c r="E18" i="10"/>
  <c r="F18" i="10" s="1"/>
  <c r="J18" i="12"/>
  <c r="J16" i="12"/>
  <c r="E16" i="10"/>
  <c r="F16" i="10" s="1"/>
  <c r="J28" i="12"/>
  <c r="E28" i="10"/>
  <c r="F28" i="10" s="1"/>
  <c r="E58" i="10"/>
  <c r="F58" i="10" s="1"/>
  <c r="AN18" i="12"/>
  <c r="AE48" i="12"/>
  <c r="K89" i="10"/>
  <c r="AC49" i="12"/>
  <c r="T49" i="12"/>
  <c r="AA49" i="12" s="1"/>
  <c r="I26" i="12"/>
  <c r="K64" i="10"/>
  <c r="BB24" i="12"/>
  <c r="AT21" i="12"/>
  <c r="BA21" i="12" s="1"/>
  <c r="H61" i="10"/>
  <c r="I61" i="10" s="1"/>
  <c r="BG57" i="15"/>
  <c r="BB18" i="12"/>
  <c r="K58" i="10"/>
  <c r="AN17" i="12"/>
  <c r="E57" i="10"/>
  <c r="F57" i="10" s="1"/>
  <c r="AZ28" i="12"/>
  <c r="S53" i="12"/>
  <c r="AD53" i="12" s="1"/>
  <c r="H94" i="10"/>
  <c r="I94" i="10" s="1"/>
  <c r="J17" i="12"/>
  <c r="E17" i="10"/>
  <c r="F17" i="10" s="1"/>
  <c r="AV32" i="12"/>
  <c r="AW16" i="12"/>
  <c r="Z56" i="12"/>
  <c r="AE40" i="12"/>
  <c r="K81" i="10"/>
  <c r="L81" i="10" s="1"/>
  <c r="R28" i="12"/>
  <c r="BG52" i="15"/>
  <c r="AW45" i="12"/>
  <c r="BB29" i="12"/>
  <c r="K69" i="10"/>
  <c r="AT17" i="12"/>
  <c r="H57" i="10"/>
  <c r="I57" i="10" s="1"/>
  <c r="R29" i="12"/>
  <c r="AS19" i="12"/>
  <c r="AT23" i="12"/>
  <c r="BA23" i="12" s="1"/>
  <c r="H63" i="10"/>
  <c r="I63" i="10" s="1"/>
  <c r="BB19" i="12"/>
  <c r="K59" i="10"/>
  <c r="AE53" i="12"/>
  <c r="K94" i="10"/>
  <c r="AC42" i="12"/>
  <c r="AE45" i="12"/>
  <c r="K86" i="10"/>
  <c r="S47" i="12"/>
  <c r="H88" i="10"/>
  <c r="I88" i="10" s="1"/>
  <c r="J88" i="10" s="1"/>
  <c r="AN23" i="12"/>
  <c r="E63" i="10"/>
  <c r="F63" i="10" s="1"/>
  <c r="R50" i="12"/>
  <c r="AC44" i="12"/>
  <c r="T44" i="12"/>
  <c r="AA44" i="12" s="1"/>
  <c r="I22" i="12"/>
  <c r="Z16" i="12"/>
  <c r="K61" i="10"/>
  <c r="BB21" i="12"/>
  <c r="AE42" i="12"/>
  <c r="K83" i="10"/>
  <c r="AE52" i="12"/>
  <c r="K93" i="10"/>
  <c r="AS49" i="12"/>
  <c r="BG34" i="15"/>
  <c r="BG6" i="15"/>
  <c r="AJ43" i="12"/>
  <c r="AM43" i="12" s="1"/>
  <c r="AN43" i="12" s="1"/>
  <c r="Z25" i="12"/>
  <c r="H67" i="10"/>
  <c r="I67" i="10" s="1"/>
  <c r="AT27" i="12"/>
  <c r="BA27" i="12" s="1"/>
  <c r="AC41" i="12"/>
  <c r="T41" i="12"/>
  <c r="BB22" i="12"/>
  <c r="K62" i="10"/>
  <c r="Z18" i="12"/>
  <c r="AN22" i="12"/>
  <c r="E62" i="10"/>
  <c r="F62" i="10" s="1"/>
  <c r="J53" i="12"/>
  <c r="E94" i="10"/>
  <c r="F94" i="10" s="1"/>
  <c r="AS43" i="12"/>
  <c r="AT43" i="12" s="1"/>
  <c r="BG28" i="15"/>
  <c r="AJ46" i="12"/>
  <c r="AM46" i="12" s="1"/>
  <c r="BG9" i="15"/>
  <c r="BB25" i="12"/>
  <c r="K65" i="10"/>
  <c r="S21" i="12"/>
  <c r="H21" i="10"/>
  <c r="I21" i="10" s="1"/>
  <c r="BB28" i="12"/>
  <c r="K68" i="10"/>
  <c r="L68" i="10" s="1"/>
  <c r="AT18" i="12"/>
  <c r="BA18" i="12" s="1"/>
  <c r="H58" i="10"/>
  <c r="I58" i="10" s="1"/>
  <c r="J52" i="12"/>
  <c r="E93" i="10"/>
  <c r="F93" i="10" s="1"/>
  <c r="AJ40" i="12"/>
  <c r="AM40" i="12" s="1"/>
  <c r="BG3" i="15"/>
  <c r="T51" i="12"/>
  <c r="AA51" i="12" s="1"/>
  <c r="J111" i="10"/>
  <c r="BG30" i="12" l="1"/>
  <c r="BP30" i="12"/>
  <c r="BE31" i="12"/>
  <c r="BO31" i="12"/>
  <c r="BP20" i="12"/>
  <c r="BG20" i="12"/>
  <c r="BE30" i="12"/>
  <c r="BO30" i="12"/>
  <c r="BP31" i="12"/>
  <c r="BG31" i="12"/>
  <c r="E56" i="10"/>
  <c r="F56" i="10" s="1"/>
  <c r="AS54" i="12"/>
  <c r="AT54" i="12" s="1"/>
  <c r="BA54" i="12" s="1"/>
  <c r="AP53" i="12"/>
  <c r="AS53" i="12" s="1"/>
  <c r="H122" i="10" s="1"/>
  <c r="I122" i="10" s="1"/>
  <c r="BG16" i="15"/>
  <c r="AJ53" i="12"/>
  <c r="AW54" i="12"/>
  <c r="BB54" i="12" s="1"/>
  <c r="AV53" i="12"/>
  <c r="AW53" i="12" s="1"/>
  <c r="K122" i="10" s="1"/>
  <c r="K123" i="10"/>
  <c r="BB55" i="12"/>
  <c r="K124" i="10"/>
  <c r="H124" i="10"/>
  <c r="I124" i="10" s="1"/>
  <c r="AT55" i="12"/>
  <c r="BA55" i="12" s="1"/>
  <c r="E124" i="10"/>
  <c r="F124" i="10" s="1"/>
  <c r="AN55" i="12"/>
  <c r="AM54" i="12"/>
  <c r="E24" i="10"/>
  <c r="F24" i="10" s="1"/>
  <c r="AC24" i="12"/>
  <c r="BR24" i="12" s="1"/>
  <c r="AD48" i="12"/>
  <c r="BG38" i="15"/>
  <c r="BG60" i="15"/>
  <c r="AM53" i="12"/>
  <c r="E122" i="10" s="1"/>
  <c r="F122" i="10" s="1"/>
  <c r="AM48" i="12"/>
  <c r="AN48" i="12" s="1"/>
  <c r="AT47" i="12"/>
  <c r="BA47" i="12" s="1"/>
  <c r="AN47" i="12"/>
  <c r="AZ47" i="12" s="1"/>
  <c r="J116" i="10"/>
  <c r="AW52" i="12"/>
  <c r="K116" i="10"/>
  <c r="AW50" i="12"/>
  <c r="K119" i="10" s="1"/>
  <c r="AW48" i="12"/>
  <c r="K117" i="10" s="1"/>
  <c r="AS52" i="12"/>
  <c r="AS48" i="12"/>
  <c r="AT48" i="12" s="1"/>
  <c r="AM52" i="12"/>
  <c r="AM50" i="12"/>
  <c r="AN49" i="12"/>
  <c r="AZ49" i="12" s="1"/>
  <c r="AU28" i="12"/>
  <c r="AX28" i="12" s="1"/>
  <c r="H22" i="10"/>
  <c r="I22" i="10" s="1"/>
  <c r="E89" i="10"/>
  <c r="F89" i="10" s="1"/>
  <c r="S46" i="12"/>
  <c r="T46" i="12" s="1"/>
  <c r="AA46" i="12" s="1"/>
  <c r="BF22" i="12" s="1"/>
  <c r="E21" i="10"/>
  <c r="F21" i="10" s="1"/>
  <c r="J21" i="10" s="1"/>
  <c r="S52" i="12"/>
  <c r="AD52" i="12" s="1"/>
  <c r="K118" i="10"/>
  <c r="H89" i="10"/>
  <c r="I89" i="10" s="1"/>
  <c r="AT50" i="12"/>
  <c r="BA50" i="12" s="1"/>
  <c r="H119" i="10"/>
  <c r="I119" i="10" s="1"/>
  <c r="K120" i="10"/>
  <c r="BB51" i="12"/>
  <c r="H113" i="10"/>
  <c r="I113" i="10" s="1"/>
  <c r="AT44" i="12"/>
  <c r="BA44" i="12" s="1"/>
  <c r="AU42" i="12"/>
  <c r="AX42" i="12" s="1"/>
  <c r="BH18" i="12" s="1"/>
  <c r="E19" i="10"/>
  <c r="F19" i="10" s="1"/>
  <c r="K28" i="10"/>
  <c r="AN27" i="12"/>
  <c r="AZ27" i="12" s="1"/>
  <c r="H120" i="10"/>
  <c r="I120" i="10" s="1"/>
  <c r="S23" i="12"/>
  <c r="AD23" i="12" s="1"/>
  <c r="BS23" i="12" s="1"/>
  <c r="S26" i="12"/>
  <c r="AD26" i="12" s="1"/>
  <c r="BS26" i="12" s="1"/>
  <c r="AE26" i="12"/>
  <c r="BT26" i="12" s="1"/>
  <c r="H66" i="10"/>
  <c r="I66" i="10" s="1"/>
  <c r="J27" i="12"/>
  <c r="AC27" i="12" s="1"/>
  <c r="BR27" i="12" s="1"/>
  <c r="H19" i="10"/>
  <c r="I19" i="10" s="1"/>
  <c r="AE29" i="12"/>
  <c r="BT29" i="12" s="1"/>
  <c r="K112" i="10"/>
  <c r="K113" i="10"/>
  <c r="BB44" i="12"/>
  <c r="K19" i="10"/>
  <c r="K17" i="10"/>
  <c r="H83" i="10"/>
  <c r="I83" i="10" s="1"/>
  <c r="J83" i="10" s="1"/>
  <c r="H114" i="10"/>
  <c r="I114" i="10" s="1"/>
  <c r="AT41" i="12"/>
  <c r="BA41" i="12" s="1"/>
  <c r="AE20" i="12"/>
  <c r="BT20" i="12" s="1"/>
  <c r="J17" i="10"/>
  <c r="J64" i="10"/>
  <c r="L64" i="10" s="1"/>
  <c r="AN29" i="12"/>
  <c r="AZ29" i="12" s="1"/>
  <c r="E65" i="10"/>
  <c r="F65" i="10" s="1"/>
  <c r="L111" i="10"/>
  <c r="AE23" i="12"/>
  <c r="BT23" i="12" s="1"/>
  <c r="J29" i="12"/>
  <c r="AC29" i="12" s="1"/>
  <c r="BR29" i="12" s="1"/>
  <c r="AE24" i="12"/>
  <c r="BT24" i="12" s="1"/>
  <c r="J62" i="10"/>
  <c r="L62" i="10" s="1"/>
  <c r="AE22" i="12"/>
  <c r="BT22" i="12" s="1"/>
  <c r="H27" i="10"/>
  <c r="I27" i="10" s="1"/>
  <c r="J27" i="10" s="1"/>
  <c r="E20" i="10"/>
  <c r="F20" i="10" s="1"/>
  <c r="J25" i="12"/>
  <c r="T25" i="12" s="1"/>
  <c r="AA25" i="12" s="1"/>
  <c r="AN44" i="12"/>
  <c r="E113" i="10"/>
  <c r="F113" i="10" s="1"/>
  <c r="J63" i="10"/>
  <c r="L63" i="10" s="1"/>
  <c r="J93" i="10"/>
  <c r="L93" i="10" s="1"/>
  <c r="H25" i="10"/>
  <c r="I25" i="10" s="1"/>
  <c r="J25" i="10" s="1"/>
  <c r="S28" i="12"/>
  <c r="AD28" i="12" s="1"/>
  <c r="BS28" i="12" s="1"/>
  <c r="H28" i="10"/>
  <c r="I28" i="10" s="1"/>
  <c r="J28" i="10" s="1"/>
  <c r="J56" i="10"/>
  <c r="AD21" i="12"/>
  <c r="BS21" i="12" s="1"/>
  <c r="T21" i="12"/>
  <c r="AA21" i="12" s="1"/>
  <c r="J57" i="10"/>
  <c r="L57" i="10" s="1"/>
  <c r="J58" i="10"/>
  <c r="L58" i="10" s="1"/>
  <c r="AU16" i="12"/>
  <c r="AZ16" i="12"/>
  <c r="AD20" i="12"/>
  <c r="BS20" i="12" s="1"/>
  <c r="H20" i="10"/>
  <c r="I20" i="10" s="1"/>
  <c r="AU22" i="12"/>
  <c r="AX22" i="12" s="1"/>
  <c r="AZ22" i="12"/>
  <c r="J22" i="12"/>
  <c r="E22" i="10"/>
  <c r="F22" i="10" s="1"/>
  <c r="AZ17" i="12"/>
  <c r="AU17" i="12"/>
  <c r="AX17" i="12" s="1"/>
  <c r="AD42" i="12"/>
  <c r="S45" i="12"/>
  <c r="H86" i="10"/>
  <c r="I86" i="10" s="1"/>
  <c r="J86" i="10" s="1"/>
  <c r="L86" i="10" s="1"/>
  <c r="K21" i="10"/>
  <c r="AE21" i="12"/>
  <c r="BT21" i="12" s="1"/>
  <c r="AC53" i="12"/>
  <c r="T53" i="12"/>
  <c r="AA53" i="12" s="1"/>
  <c r="BF29" i="12" s="1"/>
  <c r="J23" i="12"/>
  <c r="E23" i="10"/>
  <c r="F23" i="10" s="1"/>
  <c r="J23" i="10" s="1"/>
  <c r="L23" i="10" s="1"/>
  <c r="AU21" i="12"/>
  <c r="AX21" i="12" s="1"/>
  <c r="AZ21" i="12"/>
  <c r="AN19" i="12"/>
  <c r="E59" i="10"/>
  <c r="F59" i="10" s="1"/>
  <c r="E109" i="10"/>
  <c r="F109" i="10" s="1"/>
  <c r="AN40" i="12"/>
  <c r="AE18" i="12"/>
  <c r="BT18" i="12" s="1"/>
  <c r="K18" i="10"/>
  <c r="AT49" i="12"/>
  <c r="BA49" i="12" s="1"/>
  <c r="H118" i="10"/>
  <c r="I118" i="10" s="1"/>
  <c r="J118" i="10" s="1"/>
  <c r="AZ25" i="12"/>
  <c r="K97" i="10"/>
  <c r="J26" i="12"/>
  <c r="E26" i="10"/>
  <c r="F26" i="10" s="1"/>
  <c r="J26" i="10" s="1"/>
  <c r="L26" i="10" s="1"/>
  <c r="AT25" i="12"/>
  <c r="BA25" i="12" s="1"/>
  <c r="H65" i="10"/>
  <c r="I65" i="10" s="1"/>
  <c r="E112" i="10"/>
  <c r="F112" i="10" s="1"/>
  <c r="Z32" i="12"/>
  <c r="AE16" i="12"/>
  <c r="K16" i="10"/>
  <c r="AT19" i="12"/>
  <c r="BA19" i="12" s="1"/>
  <c r="H59" i="10"/>
  <c r="I59" i="10" s="1"/>
  <c r="BF16" i="12"/>
  <c r="AE27" i="12"/>
  <c r="BT27" i="12" s="1"/>
  <c r="K27" i="10"/>
  <c r="J67" i="10"/>
  <c r="L67" i="10" s="1"/>
  <c r="AN41" i="12"/>
  <c r="E110" i="10"/>
  <c r="F110" i="10" s="1"/>
  <c r="J110" i="10" s="1"/>
  <c r="AE56" i="12"/>
  <c r="AC28" i="12"/>
  <c r="BR28" i="12" s="1"/>
  <c r="H18" i="10"/>
  <c r="I18" i="10" s="1"/>
  <c r="J18" i="10" s="1"/>
  <c r="S18" i="12"/>
  <c r="T18" i="12" s="1"/>
  <c r="AA18" i="12" s="1"/>
  <c r="AN45" i="12"/>
  <c r="E114" i="10"/>
  <c r="F114" i="10" s="1"/>
  <c r="AW40" i="12"/>
  <c r="AZ18" i="12"/>
  <c r="AU18" i="12"/>
  <c r="AX18" i="12" s="1"/>
  <c r="S50" i="12"/>
  <c r="H91" i="10"/>
  <c r="I91" i="10" s="1"/>
  <c r="J91" i="10" s="1"/>
  <c r="L91" i="10" s="1"/>
  <c r="AA41" i="12"/>
  <c r="BF17" i="12" s="1"/>
  <c r="E115" i="10"/>
  <c r="F115" i="10" s="1"/>
  <c r="AN46" i="12"/>
  <c r="AU23" i="12"/>
  <c r="AX23" i="12" s="1"/>
  <c r="AZ23" i="12"/>
  <c r="BA17" i="12"/>
  <c r="BB16" i="12"/>
  <c r="BB32" i="12" s="1"/>
  <c r="AW32" i="12"/>
  <c r="K56" i="10"/>
  <c r="K72" i="10" s="1"/>
  <c r="T16" i="12"/>
  <c r="AC16" i="12"/>
  <c r="AD24" i="12"/>
  <c r="BS24" i="12" s="1"/>
  <c r="H24" i="10"/>
  <c r="I24" i="10" s="1"/>
  <c r="S29" i="12"/>
  <c r="AD29" i="12" s="1"/>
  <c r="BS29" i="12" s="1"/>
  <c r="H29" i="10"/>
  <c r="I29" i="10" s="1"/>
  <c r="J29" i="10" s="1"/>
  <c r="L29" i="10" s="1"/>
  <c r="J56" i="12"/>
  <c r="L88" i="10"/>
  <c r="AC18" i="12"/>
  <c r="BR18" i="12" s="1"/>
  <c r="AN26" i="12"/>
  <c r="E66" i="10"/>
  <c r="F66" i="10" s="1"/>
  <c r="K110" i="10"/>
  <c r="BB41" i="12"/>
  <c r="H112" i="10"/>
  <c r="I112" i="10" s="1"/>
  <c r="AD47" i="12"/>
  <c r="T47" i="12"/>
  <c r="AA47" i="12" s="1"/>
  <c r="BF23" i="12" s="1"/>
  <c r="AT29" i="12"/>
  <c r="BA29" i="12" s="1"/>
  <c r="H69" i="10"/>
  <c r="I69" i="10" s="1"/>
  <c r="J69" i="10" s="1"/>
  <c r="L69" i="10" s="1"/>
  <c r="K115" i="10"/>
  <c r="BB46" i="12"/>
  <c r="AC52" i="12"/>
  <c r="AC20" i="12"/>
  <c r="BR20" i="12" s="1"/>
  <c r="J16" i="10"/>
  <c r="BB45" i="12"/>
  <c r="K114" i="10"/>
  <c r="AC17" i="12"/>
  <c r="BR17" i="12" s="1"/>
  <c r="T17" i="12"/>
  <c r="AA17" i="12" s="1"/>
  <c r="AN51" i="12"/>
  <c r="E120" i="10"/>
  <c r="F120" i="10" s="1"/>
  <c r="AC19" i="12"/>
  <c r="BR19" i="12" s="1"/>
  <c r="T19" i="12"/>
  <c r="AA19" i="12" s="1"/>
  <c r="J94" i="10"/>
  <c r="L94" i="10" s="1"/>
  <c r="K25" i="10"/>
  <c r="AE25" i="12"/>
  <c r="BT25" i="12" s="1"/>
  <c r="L87" i="10"/>
  <c r="AC48" i="12"/>
  <c r="BA24" i="12"/>
  <c r="AX24" i="12"/>
  <c r="J61" i="10"/>
  <c r="L61" i="10" s="1"/>
  <c r="AT46" i="12"/>
  <c r="BA46" i="12" s="1"/>
  <c r="H115" i="10"/>
  <c r="I115" i="10" s="1"/>
  <c r="BP23" i="12" l="1"/>
  <c r="BG23" i="12"/>
  <c r="BJ30" i="12"/>
  <c r="BI30" i="12"/>
  <c r="BK30" i="12"/>
  <c r="BE25" i="12"/>
  <c r="BO25" i="12"/>
  <c r="BP28" i="12"/>
  <c r="BG28" i="12"/>
  <c r="BU20" i="12"/>
  <c r="BL20" i="12"/>
  <c r="BG17" i="12"/>
  <c r="BP17" i="12"/>
  <c r="BE17" i="12"/>
  <c r="BO17" i="12"/>
  <c r="BP24" i="12"/>
  <c r="BG24" i="12"/>
  <c r="BI31" i="12"/>
  <c r="BK31" i="12"/>
  <c r="BG18" i="12"/>
  <c r="BU18" i="12" s="1"/>
  <c r="BP18" i="12"/>
  <c r="BG21" i="12"/>
  <c r="BP21" i="12"/>
  <c r="BE18" i="12"/>
  <c r="BO18" i="12"/>
  <c r="BO19" i="12"/>
  <c r="BE19" i="12"/>
  <c r="BE21" i="12"/>
  <c r="BO21" i="12"/>
  <c r="BP22" i="12"/>
  <c r="BG22" i="12"/>
  <c r="BJ31" i="12"/>
  <c r="BL31" i="12"/>
  <c r="H123" i="10"/>
  <c r="I123" i="10" s="1"/>
  <c r="J124" i="10"/>
  <c r="L124" i="10" s="1"/>
  <c r="AN54" i="12"/>
  <c r="E123" i="10"/>
  <c r="F123" i="10" s="1"/>
  <c r="J123" i="10" s="1"/>
  <c r="L123" i="10" s="1"/>
  <c r="AU55" i="12"/>
  <c r="AX55" i="12" s="1"/>
  <c r="BH31" i="12" s="1"/>
  <c r="BU31" i="12" s="1"/>
  <c r="AZ55" i="12"/>
  <c r="AU48" i="12"/>
  <c r="F97" i="10"/>
  <c r="J24" i="10"/>
  <c r="L24" i="10" s="1"/>
  <c r="H117" i="10"/>
  <c r="I117" i="10" s="1"/>
  <c r="BA48" i="12"/>
  <c r="E117" i="10"/>
  <c r="F117" i="10" s="1"/>
  <c r="AZ48" i="12"/>
  <c r="T48" i="12"/>
  <c r="AA48" i="12" s="1"/>
  <c r="BF24" i="12" s="1"/>
  <c r="AT53" i="12"/>
  <c r="BA53" i="12" s="1"/>
  <c r="BB53" i="12"/>
  <c r="AN53" i="12"/>
  <c r="AZ53" i="12" s="1"/>
  <c r="J122" i="10"/>
  <c r="L122" i="10" s="1"/>
  <c r="BB50" i="12"/>
  <c r="AU47" i="12"/>
  <c r="AX47" i="12" s="1"/>
  <c r="BH23" i="12" s="1"/>
  <c r="BU23" i="12" s="1"/>
  <c r="L116" i="10"/>
  <c r="BB52" i="12"/>
  <c r="K121" i="10"/>
  <c r="BB48" i="12"/>
  <c r="AV56" i="12"/>
  <c r="H121" i="10"/>
  <c r="I121" i="10" s="1"/>
  <c r="AT52" i="12"/>
  <c r="BA52" i="12" s="1"/>
  <c r="AN52" i="12"/>
  <c r="E121" i="10"/>
  <c r="F121" i="10" s="1"/>
  <c r="AN50" i="12"/>
  <c r="AZ50" i="12" s="1"/>
  <c r="E119" i="10"/>
  <c r="F119" i="10" s="1"/>
  <c r="J119" i="10" s="1"/>
  <c r="L119" i="10" s="1"/>
  <c r="T52" i="12"/>
  <c r="AA52" i="12" s="1"/>
  <c r="BF28" i="12" s="1"/>
  <c r="AD46" i="12"/>
  <c r="L118" i="10"/>
  <c r="J22" i="10"/>
  <c r="L22" i="10" s="1"/>
  <c r="L17" i="10"/>
  <c r="T27" i="12"/>
  <c r="AA27" i="12" s="1"/>
  <c r="J113" i="10"/>
  <c r="L113" i="10" s="1"/>
  <c r="J120" i="10"/>
  <c r="L120" i="10" s="1"/>
  <c r="T20" i="12"/>
  <c r="AA20" i="12" s="1"/>
  <c r="L28" i="10"/>
  <c r="J19" i="10"/>
  <c r="L19" i="10" s="1"/>
  <c r="AU27" i="12"/>
  <c r="AX27" i="12" s="1"/>
  <c r="J66" i="10"/>
  <c r="L66" i="10" s="1"/>
  <c r="J114" i="10"/>
  <c r="L114" i="10" s="1"/>
  <c r="AC25" i="12"/>
  <c r="BR25" i="12" s="1"/>
  <c r="L21" i="10"/>
  <c r="S56" i="12"/>
  <c r="J115" i="10"/>
  <c r="L115" i="10" s="1"/>
  <c r="J65" i="10"/>
  <c r="L65" i="10" s="1"/>
  <c r="L25" i="10"/>
  <c r="J32" i="12"/>
  <c r="L27" i="10"/>
  <c r="AC56" i="12"/>
  <c r="J20" i="10"/>
  <c r="L20" i="10" s="1"/>
  <c r="F72" i="10"/>
  <c r="AN32" i="12"/>
  <c r="F32" i="10"/>
  <c r="I72" i="10"/>
  <c r="T28" i="12"/>
  <c r="AA28" i="12" s="1"/>
  <c r="AU49" i="12"/>
  <c r="AX49" i="12" s="1"/>
  <c r="BH25" i="12" s="1"/>
  <c r="BA32" i="12"/>
  <c r="AZ44" i="12"/>
  <c r="AU44" i="12"/>
  <c r="AX44" i="12" s="1"/>
  <c r="BH20" i="12" s="1"/>
  <c r="AC23" i="12"/>
  <c r="BR23" i="12" s="1"/>
  <c r="T23" i="12"/>
  <c r="AA23" i="12" s="1"/>
  <c r="AU29" i="12"/>
  <c r="AX29" i="12" s="1"/>
  <c r="AD50" i="12"/>
  <c r="T50" i="12"/>
  <c r="AA50" i="12" s="1"/>
  <c r="BF26" i="12" s="1"/>
  <c r="AD18" i="12"/>
  <c r="BS18" i="12" s="1"/>
  <c r="S32" i="12"/>
  <c r="AX16" i="12"/>
  <c r="AZ45" i="12"/>
  <c r="AU45" i="12"/>
  <c r="AX45" i="12" s="1"/>
  <c r="BH21" i="12" s="1"/>
  <c r="AU40" i="12"/>
  <c r="AZ40" i="12"/>
  <c r="L16" i="10"/>
  <c r="L18" i="10"/>
  <c r="AT32" i="12"/>
  <c r="J109" i="10"/>
  <c r="AZ51" i="12"/>
  <c r="AU51" i="12"/>
  <c r="AX51" i="12" s="1"/>
  <c r="BH27" i="12" s="1"/>
  <c r="T29" i="12"/>
  <c r="AA29" i="12" s="1"/>
  <c r="T24" i="12"/>
  <c r="AA24" i="12" s="1"/>
  <c r="AC26" i="12"/>
  <c r="BR26" i="12" s="1"/>
  <c r="T26" i="12"/>
  <c r="AA26" i="12" s="1"/>
  <c r="T22" i="12"/>
  <c r="AA22" i="12" s="1"/>
  <c r="AC22" i="12"/>
  <c r="BR22" i="12" s="1"/>
  <c r="AZ26" i="12"/>
  <c r="AU26" i="12"/>
  <c r="AX26" i="12" s="1"/>
  <c r="K32" i="10"/>
  <c r="J59" i="10"/>
  <c r="L59" i="10" s="1"/>
  <c r="L56" i="10"/>
  <c r="BA43" i="12"/>
  <c r="AZ46" i="12"/>
  <c r="AU46" i="12"/>
  <c r="AX46" i="12" s="1"/>
  <c r="BH22" i="12" s="1"/>
  <c r="BB40" i="12"/>
  <c r="AW56" i="12"/>
  <c r="K109" i="10"/>
  <c r="L110" i="10"/>
  <c r="BT16" i="12"/>
  <c r="BT32" i="12" s="1"/>
  <c r="AE32" i="12"/>
  <c r="AZ19" i="12"/>
  <c r="AU19" i="12"/>
  <c r="AX19" i="12" s="1"/>
  <c r="AD45" i="12"/>
  <c r="T45" i="12"/>
  <c r="BR16" i="12"/>
  <c r="AZ41" i="12"/>
  <c r="AU41" i="12"/>
  <c r="AX41" i="12" s="1"/>
  <c r="BH17" i="12" s="1"/>
  <c r="BL17" i="12" s="1"/>
  <c r="AU25" i="12"/>
  <c r="AX25" i="12" s="1"/>
  <c r="I97" i="10"/>
  <c r="AZ43" i="12"/>
  <c r="AU43" i="12"/>
  <c r="AX43" i="12" s="1"/>
  <c r="BH19" i="12" s="1"/>
  <c r="L83" i="10"/>
  <c r="AA16" i="12"/>
  <c r="J112" i="10"/>
  <c r="L112" i="10" s="1"/>
  <c r="BG19" i="12" l="1"/>
  <c r="BP19" i="12"/>
  <c r="BM31" i="12"/>
  <c r="BL21" i="12"/>
  <c r="BJ17" i="12"/>
  <c r="BU17" i="12"/>
  <c r="BO27" i="12"/>
  <c r="BE27" i="12"/>
  <c r="BL18" i="12"/>
  <c r="BE22" i="12"/>
  <c r="BO22" i="12"/>
  <c r="BP27" i="12"/>
  <c r="BG27" i="12"/>
  <c r="BP26" i="12"/>
  <c r="BG26" i="12"/>
  <c r="BU22" i="12"/>
  <c r="BL22" i="12"/>
  <c r="BI19" i="12"/>
  <c r="BG29" i="12"/>
  <c r="BP29" i="12"/>
  <c r="BO23" i="12"/>
  <c r="BE23" i="12"/>
  <c r="BJ21" i="12"/>
  <c r="BI25" i="12"/>
  <c r="BJ25" i="12"/>
  <c r="BK25" i="12"/>
  <c r="BO24" i="12"/>
  <c r="BE24" i="12"/>
  <c r="BE28" i="12"/>
  <c r="BO28" i="12"/>
  <c r="BE20" i="12"/>
  <c r="BO20" i="12"/>
  <c r="BI28" i="12"/>
  <c r="BG25" i="12"/>
  <c r="BP25" i="12"/>
  <c r="BE26" i="12"/>
  <c r="BO26" i="12"/>
  <c r="BE29" i="12"/>
  <c r="BO29" i="12"/>
  <c r="BJ18" i="12"/>
  <c r="BI18" i="12"/>
  <c r="BM18" i="12" s="1"/>
  <c r="BK18" i="12"/>
  <c r="BK17" i="12"/>
  <c r="BI17" i="12"/>
  <c r="BM17" i="12" s="1"/>
  <c r="BL23" i="12"/>
  <c r="AZ54" i="12"/>
  <c r="AU54" i="12"/>
  <c r="AX54" i="12" s="1"/>
  <c r="BH30" i="12" s="1"/>
  <c r="I32" i="10"/>
  <c r="I125" i="10"/>
  <c r="J89" i="10"/>
  <c r="L89" i="10" s="1"/>
  <c r="L97" i="10" s="1"/>
  <c r="J117" i="10"/>
  <c r="L117" i="10" s="1"/>
  <c r="AU53" i="12"/>
  <c r="AX53" i="12" s="1"/>
  <c r="BH29" i="12" s="1"/>
  <c r="AT56" i="12"/>
  <c r="AX48" i="12"/>
  <c r="BH24" i="12" s="1"/>
  <c r="BU24" i="12" s="1"/>
  <c r="K125" i="10"/>
  <c r="BA56" i="12"/>
  <c r="BB56" i="12"/>
  <c r="J121" i="10"/>
  <c r="L121" i="10" s="1"/>
  <c r="AU50" i="12"/>
  <c r="AX50" i="12" s="1"/>
  <c r="BH26" i="12" s="1"/>
  <c r="BU26" i="12" s="1"/>
  <c r="AN56" i="12"/>
  <c r="AZ52" i="12"/>
  <c r="AU52" i="12"/>
  <c r="AX52" i="12" s="1"/>
  <c r="BH28" i="12" s="1"/>
  <c r="BU28" i="12" s="1"/>
  <c r="L72" i="10"/>
  <c r="J32" i="10"/>
  <c r="J72" i="10"/>
  <c r="AU32" i="12"/>
  <c r="BR32" i="12"/>
  <c r="AD56" i="12"/>
  <c r="AZ32" i="12"/>
  <c r="AA45" i="12"/>
  <c r="BF21" i="12" s="1"/>
  <c r="T56" i="12"/>
  <c r="AX40" i="12"/>
  <c r="BS32" i="12"/>
  <c r="AD32" i="12"/>
  <c r="L32" i="10"/>
  <c r="L109" i="10"/>
  <c r="AA32" i="12"/>
  <c r="BO16" i="12"/>
  <c r="BE16" i="12"/>
  <c r="T32" i="12"/>
  <c r="AC32" i="12"/>
  <c r="AX32" i="12"/>
  <c r="BP16" i="12"/>
  <c r="BG16" i="12"/>
  <c r="BL24" i="12" l="1"/>
  <c r="BU19" i="12"/>
  <c r="BL19" i="12"/>
  <c r="BJ20" i="12"/>
  <c r="BI20" i="12"/>
  <c r="BM20" i="12" s="1"/>
  <c r="BK20" i="12"/>
  <c r="BK23" i="12"/>
  <c r="BI23" i="12"/>
  <c r="BM23" i="12" s="1"/>
  <c r="BJ23" i="12"/>
  <c r="BI29" i="12"/>
  <c r="BK29" i="12"/>
  <c r="BJ19" i="12"/>
  <c r="BJ29" i="12"/>
  <c r="BL29" i="12"/>
  <c r="BU29" i="12"/>
  <c r="BJ26" i="12"/>
  <c r="BI26" i="12"/>
  <c r="BM26" i="12" s="1"/>
  <c r="BK26" i="12"/>
  <c r="BM19" i="12"/>
  <c r="BJ28" i="12"/>
  <c r="BK28" i="12"/>
  <c r="BK19" i="12"/>
  <c r="BU25" i="12"/>
  <c r="BL25" i="12"/>
  <c r="BM25" i="12"/>
  <c r="BL27" i="12"/>
  <c r="BU27" i="12"/>
  <c r="BI22" i="12"/>
  <c r="BJ22" i="12"/>
  <c r="BK22" i="12"/>
  <c r="BL28" i="12"/>
  <c r="BM28" i="12" s="1"/>
  <c r="BJ24" i="12"/>
  <c r="BK24" i="12"/>
  <c r="BI24" i="12"/>
  <c r="BM24" i="12" s="1"/>
  <c r="BL30" i="12"/>
  <c r="BM30" i="12" s="1"/>
  <c r="BU30" i="12"/>
  <c r="BJ27" i="12"/>
  <c r="BI27" i="12"/>
  <c r="BM27" i="12" s="1"/>
  <c r="BK27" i="12"/>
  <c r="BM22" i="12"/>
  <c r="BL26" i="12"/>
  <c r="BK21" i="12"/>
  <c r="BU21" i="12"/>
  <c r="BI21" i="12"/>
  <c r="BM21" i="12" s="1"/>
  <c r="AZ56" i="12"/>
  <c r="J97" i="10"/>
  <c r="F125" i="10"/>
  <c r="J125" i="10"/>
  <c r="L125" i="10"/>
  <c r="AU56" i="12"/>
  <c r="BP32" i="12"/>
  <c r="BH16" i="12"/>
  <c r="AX56" i="12"/>
  <c r="BI16" i="12"/>
  <c r="BK16" i="12"/>
  <c r="BE32" i="12"/>
  <c r="BJ16" i="12"/>
  <c r="BO32" i="12"/>
  <c r="AA56" i="12"/>
  <c r="BG32" i="12"/>
  <c r="BM29" i="12" l="1"/>
  <c r="BH32" i="12"/>
  <c r="BL16" i="12"/>
  <c r="BM16" i="12" s="1"/>
  <c r="BU16" i="12"/>
  <c r="BF32" i="12"/>
  <c r="BK32" i="12"/>
  <c r="BJ32" i="12"/>
  <c r="BI32" i="12" l="1"/>
  <c r="BM32" i="12"/>
  <c r="BL32" i="12"/>
  <c r="BU32" i="12"/>
</calcChain>
</file>

<file path=xl/sharedStrings.xml><?xml version="1.0" encoding="utf-8"?>
<sst xmlns="http://schemas.openxmlformats.org/spreadsheetml/2006/main" count="1079" uniqueCount="321">
  <si>
    <t>專利類型</t>
    <phoneticPr fontId="1" type="noConversion"/>
  </si>
  <si>
    <t>申請費</t>
    <phoneticPr fontId="1" type="noConversion"/>
  </si>
  <si>
    <t>台灣</t>
    <phoneticPr fontId="1" type="noConversion"/>
  </si>
  <si>
    <t>大陸</t>
    <phoneticPr fontId="1" type="noConversion"/>
  </si>
  <si>
    <t>美國</t>
    <phoneticPr fontId="1" type="noConversion"/>
  </si>
  <si>
    <t>日本</t>
    <phoneticPr fontId="1" type="noConversion"/>
  </si>
  <si>
    <t>韓國</t>
    <phoneticPr fontId="1" type="noConversion"/>
  </si>
  <si>
    <t>新加坡</t>
    <phoneticPr fontId="1" type="noConversion"/>
  </si>
  <si>
    <t>越南</t>
    <phoneticPr fontId="1" type="noConversion"/>
  </si>
  <si>
    <t>泰國</t>
    <phoneticPr fontId="1" type="noConversion"/>
  </si>
  <si>
    <t>馬來西亞</t>
    <phoneticPr fontId="1" type="noConversion"/>
  </si>
  <si>
    <t>發明</t>
    <phoneticPr fontId="1" type="noConversion"/>
  </si>
  <si>
    <t>幣別</t>
    <phoneticPr fontId="1" type="noConversion"/>
  </si>
  <si>
    <t>NTD</t>
    <phoneticPr fontId="1" type="noConversion"/>
  </si>
  <si>
    <t>CNY</t>
    <phoneticPr fontId="1" type="noConversion"/>
  </si>
  <si>
    <t>USD</t>
    <phoneticPr fontId="1" type="noConversion"/>
  </si>
  <si>
    <t>EUR</t>
    <phoneticPr fontId="1" type="noConversion"/>
  </si>
  <si>
    <t>JPY</t>
    <phoneticPr fontId="1" type="noConversion"/>
  </si>
  <si>
    <t>KRW</t>
    <phoneticPr fontId="1" type="noConversion"/>
  </si>
  <si>
    <t>SGD</t>
    <phoneticPr fontId="1" type="noConversion"/>
  </si>
  <si>
    <t>VND</t>
    <phoneticPr fontId="1" type="noConversion"/>
  </si>
  <si>
    <t>THB</t>
    <phoneticPr fontId="1" type="noConversion"/>
  </si>
  <si>
    <t>MYR</t>
    <phoneticPr fontId="1" type="noConversion"/>
  </si>
  <si>
    <t>基本費</t>
    <phoneticPr fontId="1" type="noConversion"/>
  </si>
  <si>
    <t>案件基本參數</t>
    <phoneticPr fontId="1" type="noConversion"/>
  </si>
  <si>
    <t>超字費</t>
    <phoneticPr fontId="1" type="noConversion"/>
  </si>
  <si>
    <t>超圖費</t>
    <phoneticPr fontId="1" type="noConversion"/>
  </si>
  <si>
    <t>慧盈服務費細項</t>
    <phoneticPr fontId="1" type="noConversion"/>
  </si>
  <si>
    <t>翻譯費</t>
    <phoneticPr fontId="1" type="noConversion"/>
  </si>
  <si>
    <t>外國代理人費用
(A2)</t>
    <phoneticPr fontId="1" type="noConversion"/>
  </si>
  <si>
    <t>申請人規模</t>
    <phoneticPr fontId="1" type="noConversion"/>
  </si>
  <si>
    <t>申請人規模</t>
    <phoneticPr fontId="1" type="noConversion"/>
  </si>
  <si>
    <t>500人以上</t>
    <phoneticPr fontId="1" type="noConversion"/>
  </si>
  <si>
    <t>翻譯案</t>
    <phoneticPr fontId="4" type="noConversion"/>
  </si>
  <si>
    <t>單純送件</t>
    <phoneticPr fontId="1" type="noConversion"/>
  </si>
  <si>
    <t>加拿大</t>
    <phoneticPr fontId="1" type="noConversion"/>
  </si>
  <si>
    <t>CAD</t>
    <phoneticPr fontId="1" type="noConversion"/>
  </si>
  <si>
    <t>審查費</t>
    <phoneticPr fontId="1" type="noConversion"/>
  </si>
  <si>
    <t>製圖費</t>
    <phoneticPr fontId="1" type="noConversion"/>
  </si>
  <si>
    <t>特殊程序費</t>
    <phoneticPr fontId="1" type="noConversion"/>
  </si>
  <si>
    <t>官方費用
(A1)</t>
    <phoneticPr fontId="1" type="noConversion"/>
  </si>
  <si>
    <t>折合台幣</t>
    <phoneticPr fontId="1" type="noConversion"/>
  </si>
  <si>
    <t>備註：</t>
    <phoneticPr fontId="1" type="noConversion"/>
  </si>
  <si>
    <t>設計</t>
    <phoneticPr fontId="1" type="noConversion"/>
  </si>
  <si>
    <t>新型</t>
    <phoneticPr fontId="1" type="noConversion"/>
  </si>
  <si>
    <t>合計</t>
    <phoneticPr fontId="1" type="noConversion"/>
  </si>
  <si>
    <t>初稿案</t>
    <phoneticPr fontId="4" type="noConversion"/>
  </si>
  <si>
    <t>是</t>
    <phoneticPr fontId="1" type="noConversion"/>
  </si>
  <si>
    <t>否</t>
    <phoneticPr fontId="1" type="noConversion"/>
  </si>
  <si>
    <t>同語言轉換案</t>
    <phoneticPr fontId="1" type="noConversion"/>
  </si>
  <si>
    <t>專利類型</t>
    <phoneticPr fontId="1" type="noConversion"/>
  </si>
  <si>
    <t>原幣別金額</t>
    <phoneticPr fontId="1" type="noConversion"/>
  </si>
  <si>
    <t>總代墊費用
(A = A1+A2)</t>
    <phoneticPr fontId="1" type="noConversion"/>
  </si>
  <si>
    <t>是否選項</t>
    <phoneticPr fontId="1" type="noConversion"/>
  </si>
  <si>
    <r>
      <t>要提供估算結果給客戶時，先把</t>
    </r>
    <r>
      <rPr>
        <b/>
        <sz val="12"/>
        <color rgb="FF0000FF"/>
        <rFont val="新細明體"/>
        <family val="1"/>
        <charset val="136"/>
        <scheme val="minor"/>
      </rPr>
      <t>藍底色「</t>
    </r>
    <r>
      <rPr>
        <b/>
        <sz val="12"/>
        <color theme="1"/>
        <rFont val="新細明體"/>
        <family val="1"/>
        <charset val="136"/>
        <scheme val="minor"/>
      </rPr>
      <t>以外」的欄位都設「隱藏」，只留下</t>
    </r>
    <r>
      <rPr>
        <b/>
        <sz val="12"/>
        <color rgb="FF0000FF"/>
        <rFont val="新細明體"/>
        <family val="1"/>
        <charset val="136"/>
        <scheme val="minor"/>
      </rPr>
      <t>藍底色</t>
    </r>
    <r>
      <rPr>
        <b/>
        <sz val="12"/>
        <color theme="1"/>
        <rFont val="新細明體"/>
        <family val="1"/>
        <charset val="136"/>
        <scheme val="minor"/>
      </rPr>
      <t>的欄位後再copy到WORD或Email中給客戶。</t>
    </r>
    <phoneticPr fontId="1" type="noConversion"/>
  </si>
  <si>
    <r>
      <t>下表可計算委託慧盈專利辦理各國「</t>
    </r>
    <r>
      <rPr>
        <b/>
        <sz val="12"/>
        <color rgb="FFCC00FF"/>
        <rFont val="新細明體"/>
        <family val="1"/>
        <charset val="136"/>
        <scheme val="minor"/>
      </rPr>
      <t>設計專利</t>
    </r>
    <r>
      <rPr>
        <b/>
        <sz val="12"/>
        <color theme="1"/>
        <rFont val="新細明體"/>
        <family val="1"/>
        <charset val="136"/>
        <scheme val="minor"/>
      </rPr>
      <t>」申請案的預估費用。</t>
    </r>
    <r>
      <rPr>
        <b/>
        <sz val="12"/>
        <color rgb="FFFF0000"/>
        <rFont val="新細明體"/>
        <family val="1"/>
        <charset val="136"/>
        <scheme val="minor"/>
      </rPr>
      <t>紅色部份</t>
    </r>
    <r>
      <rPr>
        <b/>
        <sz val="12"/>
        <color theme="1"/>
        <rFont val="新細明體"/>
        <family val="1"/>
        <charset val="136"/>
        <scheme val="minor"/>
      </rPr>
      <t>是可自行調整的數字或選單，</t>
    </r>
    <r>
      <rPr>
        <b/>
        <sz val="12"/>
        <color rgb="FF0000FF"/>
        <rFont val="新細明體"/>
        <family val="1"/>
        <charset val="136"/>
        <scheme val="minor"/>
      </rPr>
      <t>藍色數字</t>
    </r>
    <r>
      <rPr>
        <b/>
        <sz val="12"/>
        <color theme="1"/>
        <rFont val="新細明體"/>
        <family val="1"/>
        <charset val="136"/>
        <scheme val="minor"/>
      </rPr>
      <t>是依照本所收費標準估算的金額。</t>
    </r>
    <phoneticPr fontId="1" type="noConversion"/>
  </si>
  <si>
    <t>中小企業</t>
    <phoneticPr fontId="1" type="noConversion"/>
  </si>
  <si>
    <t>繪製申請費圓餅圖專用</t>
    <phoneticPr fontId="1" type="noConversion"/>
  </si>
  <si>
    <t>大企業</t>
    <phoneticPr fontId="1" type="noConversion"/>
  </si>
  <si>
    <t>學校</t>
    <phoneticPr fontId="1" type="noConversion"/>
  </si>
  <si>
    <t>自然人</t>
    <phoneticPr fontId="1" type="noConversion"/>
  </si>
  <si>
    <t>領證繳年費</t>
    <phoneticPr fontId="1" type="noConversion"/>
  </si>
  <si>
    <t>申請人屬性</t>
    <phoneticPr fontId="1" type="noConversion"/>
  </si>
  <si>
    <t>申請人屬性</t>
    <phoneticPr fontId="1" type="noConversion"/>
  </si>
  <si>
    <t>計費類型1</t>
  </si>
  <si>
    <t>不申請</t>
    <phoneticPr fontId="4" type="noConversion"/>
  </si>
  <si>
    <t>計費類型(越)</t>
    <phoneticPr fontId="1" type="noConversion"/>
  </si>
  <si>
    <t>計費類型(日韓泰)</t>
    <phoneticPr fontId="1" type="noConversion"/>
  </si>
  <si>
    <t>計費類型(台中美歐新馬加)</t>
    <phoneticPr fontId="1" type="noConversion"/>
  </si>
  <si>
    <t>外國代理人費用(A2)</t>
    <phoneticPr fontId="1" type="noConversion"/>
  </si>
  <si>
    <t>官方費用(A1)</t>
    <phoneticPr fontId="1" type="noConversion"/>
  </si>
  <si>
    <t>計費類型(設計)</t>
    <phoneticPr fontId="1" type="noConversion"/>
  </si>
  <si>
    <t>申請</t>
    <phoneticPr fontId="4" type="noConversion"/>
  </si>
  <si>
    <t>計費
類型</t>
    <phoneticPr fontId="1" type="noConversion"/>
  </si>
  <si>
    <t>人民幣(CNY)</t>
    <phoneticPr fontId="1" type="noConversion"/>
  </si>
  <si>
    <t>美元(USD)</t>
    <phoneticPr fontId="1" type="noConversion"/>
  </si>
  <si>
    <t>歐元(EUR)</t>
    <phoneticPr fontId="1" type="noConversion"/>
  </si>
  <si>
    <t>日圓(JPY)</t>
    <phoneticPr fontId="1" type="noConversion"/>
  </si>
  <si>
    <t>韓元(KRW)</t>
    <phoneticPr fontId="1" type="noConversion"/>
  </si>
  <si>
    <t>新加坡幣(SGD)</t>
    <phoneticPr fontId="1" type="noConversion"/>
  </si>
  <si>
    <t>越南幣(VND)</t>
    <phoneticPr fontId="1" type="noConversion"/>
  </si>
  <si>
    <t>泰幣(THB)</t>
    <phoneticPr fontId="1" type="noConversion"/>
  </si>
  <si>
    <t>馬來幣(MYR)</t>
    <phoneticPr fontId="1" type="noConversion"/>
  </si>
  <si>
    <t>加拿大幣(CAD)</t>
    <phoneticPr fontId="1" type="noConversion"/>
  </si>
  <si>
    <t>←影響美國案、加拿大案的官方費用</t>
    <phoneticPr fontId="1" type="noConversion"/>
  </si>
  <si>
    <t>繪製申請費與年費加總分析圖</t>
    <phoneticPr fontId="1" type="noConversion"/>
  </si>
  <si>
    <t>繪製申請費與年費加總分析子母圖</t>
    <phoneticPr fontId="1" type="noConversion"/>
  </si>
  <si>
    <t>←影響部分案件的慧盈服務費、官方費用、或外國代理人費</t>
    <phoneticPr fontId="1" type="noConversion"/>
  </si>
  <si>
    <t>←企業需符合經濟部的中小企業認定標準才能算「中小企業」</t>
    <phoneticPr fontId="1" type="noConversion"/>
  </si>
  <si>
    <t>計費類型(一案兩請之新型)</t>
    <phoneticPr fontId="1" type="noConversion"/>
  </si>
  <si>
    <t>申請地區</t>
    <phoneticPr fontId="1" type="noConversion"/>
  </si>
  <si>
    <t>申請地區</t>
    <phoneticPr fontId="1" type="noConversion"/>
  </si>
  <si>
    <t>申請地區</t>
    <phoneticPr fontId="1" type="noConversion"/>
  </si>
  <si>
    <r>
      <t>*</t>
    </r>
    <r>
      <rPr>
        <b/>
        <sz val="12"/>
        <rFont val="新細明體"/>
        <family val="1"/>
        <charset val="136"/>
      </rPr>
      <t>泰國案申請前需要在台辦理委任書</t>
    </r>
    <r>
      <rPr>
        <b/>
        <sz val="12"/>
        <rFont val="Times New Roman"/>
        <family val="1"/>
      </rPr>
      <t>(POA)</t>
    </r>
    <r>
      <rPr>
        <b/>
        <sz val="12"/>
        <rFont val="新細明體"/>
        <family val="1"/>
        <charset val="136"/>
      </rPr>
      <t>的公證跟認證程序。</t>
    </r>
    <phoneticPr fontId="1" type="noConversion"/>
  </si>
  <si>
    <r>
      <rPr>
        <b/>
        <sz val="12"/>
        <color theme="1"/>
        <rFont val="新細明體"/>
        <family val="1"/>
        <charset val="136"/>
      </rPr>
      <t>　　</t>
    </r>
    <r>
      <rPr>
        <b/>
        <sz val="12"/>
        <color theme="1"/>
        <rFont val="Times New Roman"/>
        <family val="1"/>
      </rPr>
      <t xml:space="preserve">4. </t>
    </r>
    <r>
      <rPr>
        <b/>
        <sz val="12"/>
        <color theme="1"/>
        <rFont val="新細明體"/>
        <family val="1"/>
        <charset val="136"/>
      </rPr>
      <t>個別案件後續可能發生的核駁答辯費用，以及領取專利證書的費用。</t>
    </r>
    <phoneticPr fontId="1" type="noConversion"/>
  </si>
  <si>
    <t>　　2. 各地區官方或代理人因設計圖數過多所收取的「超圖費」。</t>
  </si>
  <si>
    <t>印尼</t>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</si>
  <si>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個別案件之「主張優先權」、「申請優先權證」、「提呈</t>
    </r>
    <r>
      <rPr>
        <b/>
        <sz val="12"/>
        <color theme="1"/>
        <rFont val="Times New Roman"/>
        <family val="1"/>
      </rPr>
      <t>IDS</t>
    </r>
    <r>
      <rPr>
        <b/>
        <sz val="12"/>
        <color theme="1"/>
        <rFont val="新細明體"/>
        <family val="1"/>
        <charset val="136"/>
      </rPr>
      <t>」、「補正文件」等額外程序費用。</t>
    </r>
    <phoneticPr fontId="1" type="noConversion"/>
  </si>
  <si>
    <r>
      <t>*</t>
    </r>
    <r>
      <rPr>
        <b/>
        <sz val="12"/>
        <color theme="1"/>
        <rFont val="新細明體"/>
        <family val="1"/>
        <charset val="136"/>
      </rPr>
      <t>上表計算結果僅係概估費用，皆假設每件申請案中只包含「單一設計」，並「不」包含以下費用：</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</si>
  <si>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將近似設計「併案申請」所可能產生的額外官方費用與外國代理人費。</t>
    </r>
    <phoneticPr fontId="1" type="noConversion"/>
  </si>
  <si>
    <r>
      <t>*</t>
    </r>
    <r>
      <rPr>
        <b/>
        <sz val="12"/>
        <color theme="1"/>
        <rFont val="新細明體"/>
        <family val="1"/>
        <charset val="136"/>
      </rPr>
      <t>設計專利最長保護年限達</t>
    </r>
    <r>
      <rPr>
        <b/>
        <sz val="12"/>
        <color theme="1"/>
        <rFont val="Times New Roman"/>
        <family val="1"/>
      </rPr>
      <t>15</t>
    </r>
    <r>
      <rPr>
        <b/>
        <sz val="12"/>
        <color theme="1"/>
        <rFont val="新細明體"/>
        <family val="1"/>
        <charset val="136"/>
      </rPr>
      <t>年的地區：台灣、美國、新加坡、越南。</t>
    </r>
    <phoneticPr fontId="1" type="noConversion"/>
  </si>
  <si>
    <r>
      <t>*</t>
    </r>
    <r>
      <rPr>
        <b/>
        <sz val="12"/>
        <rFont val="細明體"/>
        <family val="1"/>
        <charset val="136"/>
      </rPr>
      <t>近似設計</t>
    </r>
    <r>
      <rPr>
        <b/>
        <sz val="12"/>
        <rFont val="新細明體"/>
        <family val="1"/>
        <charset val="136"/>
      </rPr>
      <t>「不</t>
    </r>
    <r>
      <rPr>
        <b/>
        <sz val="12"/>
        <rFont val="細明體"/>
        <family val="1"/>
        <charset val="136"/>
      </rPr>
      <t>可併案申請</t>
    </r>
    <r>
      <rPr>
        <b/>
        <sz val="12"/>
        <rFont val="新細明體"/>
        <family val="1"/>
        <charset val="136"/>
      </rPr>
      <t>」</t>
    </r>
    <r>
      <rPr>
        <b/>
        <sz val="12"/>
        <rFont val="細明體"/>
        <family val="1"/>
        <charset val="136"/>
      </rPr>
      <t>的地區：</t>
    </r>
    <r>
      <rPr>
        <b/>
        <sz val="12"/>
        <rFont val="新細明體"/>
        <family val="1"/>
        <charset val="136"/>
      </rPr>
      <t>台灣、日本、泰國。</t>
    </r>
    <phoneticPr fontId="1" type="noConversion"/>
  </si>
  <si>
    <r>
      <t>*</t>
    </r>
    <r>
      <rPr>
        <b/>
        <sz val="12"/>
        <color theme="1"/>
        <rFont val="新細明體"/>
        <family val="1"/>
        <charset val="136"/>
      </rPr>
      <t>設計專利最長保護年限達</t>
    </r>
    <r>
      <rPr>
        <b/>
        <sz val="12"/>
        <color theme="1"/>
        <rFont val="Times New Roman"/>
        <family val="1"/>
      </rPr>
      <t>10</t>
    </r>
    <r>
      <rPr>
        <b/>
        <sz val="12"/>
        <color theme="1"/>
        <rFont val="新細明體"/>
        <family val="1"/>
        <charset val="136"/>
      </rPr>
      <t>年的地區：大陸、泰國、印尼。</t>
    </r>
    <phoneticPr fontId="1" type="noConversion"/>
  </si>
  <si>
    <t>申請權登錄費</t>
    <phoneticPr fontId="1" type="noConversion"/>
  </si>
  <si>
    <t>總圖數</t>
    <phoneticPr fontId="1" type="noConversion"/>
  </si>
  <si>
    <t>設計項數</t>
    <phoneticPr fontId="1" type="noConversion"/>
  </si>
  <si>
    <r>
      <t>*</t>
    </r>
    <r>
      <rPr>
        <b/>
        <sz val="12"/>
        <color theme="1"/>
        <rFont val="新細明體"/>
        <family val="1"/>
        <charset val="136"/>
      </rPr>
      <t>設計專利最長保護年限達</t>
    </r>
    <r>
      <rPr>
        <b/>
        <sz val="12"/>
        <color theme="1"/>
        <rFont val="Times New Roman"/>
        <family val="1"/>
      </rPr>
      <t>20</t>
    </r>
    <r>
      <rPr>
        <b/>
        <sz val="12"/>
        <color theme="1"/>
        <rFont val="新細明體"/>
        <family val="1"/>
        <charset val="136"/>
      </rPr>
      <t>年的地區：韓國。</t>
    </r>
    <phoneticPr fontId="1" type="noConversion"/>
  </si>
  <si>
    <t>歐盟</t>
    <phoneticPr fontId="1" type="noConversion"/>
  </si>
  <si>
    <t>*設計專利最長保護年限達25年的地區：日本、歐盟、馬來西亞。</t>
  </si>
  <si>
    <t>*「設計專利無需實審」的地區：大陸、歐盟、新加坡。</t>
  </si>
  <si>
    <t>*近似設計「可併案申請」的地區：大陸、美國、歐盟、韓國、新加坡、越南、馬來西亞、印尼。</t>
  </si>
  <si>
    <t>計費項目</t>
    <phoneticPr fontId="1" type="noConversion"/>
  </si>
  <si>
    <t>官方費用</t>
    <phoneticPr fontId="1" type="noConversion"/>
  </si>
  <si>
    <t>外國代理人費</t>
    <phoneticPr fontId="1" type="noConversion"/>
  </si>
  <si>
    <t>慧盈服務費</t>
    <phoneticPr fontId="1" type="noConversion"/>
  </si>
  <si>
    <t>匯率基礎</t>
    <phoneticPr fontId="1" type="noConversion"/>
  </si>
  <si>
    <t>菲律賓</t>
    <phoneticPr fontId="1" type="noConversion"/>
  </si>
  <si>
    <t>設計類型</t>
    <phoneticPr fontId="1" type="noConversion"/>
  </si>
  <si>
    <t>1 = 圖像設計</t>
    <phoneticPr fontId="4" type="noConversion"/>
  </si>
  <si>
    <t>2 = 其他設計</t>
    <phoneticPr fontId="4" type="noConversion"/>
  </si>
  <si>
    <t>←影響TW、JP、TH、ID案的慧盈申請服務費算法</t>
    <phoneticPr fontId="1" type="noConversion"/>
  </si>
  <si>
    <r>
      <rPr>
        <b/>
        <sz val="12"/>
        <color theme="1"/>
        <rFont val="標楷體"/>
        <family val="4"/>
        <charset val="136"/>
      </rPr>
      <t>以下為慧盈提供各地區「設計專利」申請服務之預估費用。</t>
    </r>
    <r>
      <rPr>
        <b/>
        <sz val="12"/>
        <color rgb="FFFF0000"/>
        <rFont val="標楷體"/>
        <family val="4"/>
        <charset val="136"/>
      </rPr>
      <t>紅色部份</t>
    </r>
    <r>
      <rPr>
        <b/>
        <sz val="12"/>
        <color theme="1"/>
        <rFont val="標楷體"/>
        <family val="4"/>
        <charset val="136"/>
      </rPr>
      <t>是您可自行調整的數字</t>
    </r>
    <r>
      <rPr>
        <b/>
        <sz val="12"/>
        <color theme="1"/>
        <rFont val="Times New Roman"/>
        <family val="1"/>
      </rPr>
      <t>/</t>
    </r>
    <r>
      <rPr>
        <b/>
        <sz val="12"/>
        <color theme="1"/>
        <rFont val="標楷體"/>
        <family val="4"/>
        <charset val="136"/>
      </rPr>
      <t>選項，</t>
    </r>
    <r>
      <rPr>
        <b/>
        <sz val="12"/>
        <color rgb="FF0000FF"/>
        <rFont val="標楷體"/>
        <family val="4"/>
        <charset val="136"/>
      </rPr>
      <t>藍色數字</t>
    </r>
    <r>
      <rPr>
        <b/>
        <sz val="12"/>
        <color theme="1"/>
        <rFont val="標楷體"/>
        <family val="4"/>
        <charset val="136"/>
      </rPr>
      <t>是依照收費標準估算的金額。</t>
    </r>
    <phoneticPr fontId="1" type="noConversion"/>
  </si>
  <si>
    <r>
      <rPr>
        <b/>
        <sz val="12"/>
        <color theme="1"/>
        <rFont val="標楷體"/>
        <family val="4"/>
        <charset val="136"/>
      </rPr>
      <t>案件基本參數</t>
    </r>
    <phoneticPr fontId="1" type="noConversion"/>
  </si>
  <si>
    <r>
      <rPr>
        <b/>
        <sz val="12"/>
        <color theme="1"/>
        <rFont val="標楷體"/>
        <family val="4"/>
        <charset val="136"/>
      </rPr>
      <t>計費項目</t>
    </r>
    <phoneticPr fontId="1" type="noConversion"/>
  </si>
  <si>
    <r>
      <rPr>
        <b/>
        <sz val="12"/>
        <color theme="1"/>
        <rFont val="標楷體"/>
        <family val="4"/>
        <charset val="136"/>
      </rPr>
      <t>匯率基礎</t>
    </r>
    <phoneticPr fontId="1" type="noConversion"/>
  </si>
  <si>
    <r>
      <rPr>
        <b/>
        <sz val="12"/>
        <color theme="1"/>
        <rFont val="標楷體"/>
        <family val="4"/>
        <charset val="136"/>
      </rPr>
      <t>設計項數</t>
    </r>
    <phoneticPr fontId="1" type="noConversion"/>
  </si>
  <si>
    <r>
      <t>(</t>
    </r>
    <r>
      <rPr>
        <b/>
        <sz val="10"/>
        <color rgb="FFFF0000"/>
        <rFont val="標楷體"/>
        <family val="4"/>
        <charset val="136"/>
      </rPr>
      <t>正常要全勾</t>
    </r>
    <r>
      <rPr>
        <b/>
        <sz val="10"/>
        <color rgb="FFFF0000"/>
        <rFont val="Times New Roman"/>
        <family val="1"/>
      </rPr>
      <t>)</t>
    </r>
    <phoneticPr fontId="1" type="noConversion"/>
  </si>
  <si>
    <r>
      <rPr>
        <b/>
        <sz val="12"/>
        <color theme="1"/>
        <rFont val="標楷體"/>
        <family val="4"/>
        <charset val="136"/>
      </rPr>
      <t>美元</t>
    </r>
    <r>
      <rPr>
        <b/>
        <sz val="12"/>
        <color theme="1"/>
        <rFont val="Times New Roman"/>
        <family val="1"/>
      </rPr>
      <t>(USD)</t>
    </r>
    <phoneticPr fontId="1" type="noConversion"/>
  </si>
  <si>
    <r>
      <rPr>
        <b/>
        <sz val="12"/>
        <color theme="1"/>
        <rFont val="標楷體"/>
        <family val="4"/>
        <charset val="136"/>
      </rPr>
      <t>人民幣</t>
    </r>
    <r>
      <rPr>
        <b/>
        <sz val="12"/>
        <color theme="1"/>
        <rFont val="Times New Roman"/>
        <family val="1"/>
      </rPr>
      <t>(CNY)</t>
    </r>
    <phoneticPr fontId="1" type="noConversion"/>
  </si>
  <si>
    <r>
      <rPr>
        <b/>
        <sz val="12"/>
        <color theme="1"/>
        <rFont val="標楷體"/>
        <family val="4"/>
        <charset val="136"/>
      </rPr>
      <t>總圖數</t>
    </r>
    <phoneticPr fontId="1" type="noConversion"/>
  </si>
  <si>
    <r>
      <rPr>
        <b/>
        <sz val="12"/>
        <color theme="1"/>
        <rFont val="標楷體"/>
        <family val="4"/>
        <charset val="136"/>
      </rPr>
      <t>歐元</t>
    </r>
    <r>
      <rPr>
        <b/>
        <sz val="12"/>
        <color theme="1"/>
        <rFont val="Times New Roman"/>
        <family val="1"/>
      </rPr>
      <t>(EUR)</t>
    </r>
    <phoneticPr fontId="1" type="noConversion"/>
  </si>
  <si>
    <r>
      <rPr>
        <b/>
        <sz val="12"/>
        <color theme="1"/>
        <rFont val="標楷體"/>
        <family val="4"/>
        <charset val="136"/>
      </rPr>
      <t>新加坡幣</t>
    </r>
    <r>
      <rPr>
        <b/>
        <sz val="12"/>
        <color theme="1"/>
        <rFont val="Times New Roman"/>
        <family val="1"/>
      </rPr>
      <t>(SGD)</t>
    </r>
    <phoneticPr fontId="1" type="noConversion"/>
  </si>
  <si>
    <r>
      <rPr>
        <b/>
        <sz val="12"/>
        <color theme="1"/>
        <rFont val="標楷體"/>
        <family val="4"/>
        <charset val="136"/>
      </rPr>
      <t>設計類型</t>
    </r>
    <phoneticPr fontId="1" type="noConversion"/>
  </si>
  <si>
    <r>
      <rPr>
        <b/>
        <sz val="12"/>
        <color theme="1"/>
        <rFont val="標楷體"/>
        <family val="4"/>
        <charset val="136"/>
      </rPr>
      <t>日圓</t>
    </r>
    <r>
      <rPr>
        <b/>
        <sz val="12"/>
        <color theme="1"/>
        <rFont val="Times New Roman"/>
        <family val="1"/>
      </rPr>
      <t>(JPY)</t>
    </r>
    <phoneticPr fontId="1" type="noConversion"/>
  </si>
  <si>
    <r>
      <rPr>
        <b/>
        <sz val="12"/>
        <color theme="1"/>
        <rFont val="標楷體"/>
        <family val="4"/>
        <charset val="136"/>
      </rPr>
      <t>越南幣</t>
    </r>
    <r>
      <rPr>
        <b/>
        <sz val="12"/>
        <color theme="1"/>
        <rFont val="Times New Roman"/>
        <family val="1"/>
      </rPr>
      <t>(VND)</t>
    </r>
    <phoneticPr fontId="1" type="noConversion"/>
  </si>
  <si>
    <r>
      <rPr>
        <b/>
        <sz val="12"/>
        <color theme="1"/>
        <rFont val="標楷體"/>
        <family val="4"/>
        <charset val="136"/>
      </rPr>
      <t>韓元</t>
    </r>
    <r>
      <rPr>
        <b/>
        <sz val="12"/>
        <color theme="1"/>
        <rFont val="Times New Roman"/>
        <family val="1"/>
      </rPr>
      <t>(KRW)</t>
    </r>
    <phoneticPr fontId="1" type="noConversion"/>
  </si>
  <si>
    <r>
      <rPr>
        <b/>
        <sz val="12"/>
        <color theme="1"/>
        <rFont val="標楷體"/>
        <family val="4"/>
        <charset val="136"/>
      </rPr>
      <t>馬來幣</t>
    </r>
    <r>
      <rPr>
        <b/>
        <sz val="12"/>
        <color theme="1"/>
        <rFont val="Times New Roman"/>
        <family val="1"/>
      </rPr>
      <t>(MYR)</t>
    </r>
    <phoneticPr fontId="1" type="noConversion"/>
  </si>
  <si>
    <r>
      <rPr>
        <b/>
        <sz val="12"/>
        <color theme="1"/>
        <rFont val="標楷體"/>
        <family val="4"/>
        <charset val="136"/>
      </rPr>
      <t>申請人規模</t>
    </r>
    <phoneticPr fontId="1" type="noConversion"/>
  </si>
  <si>
    <r>
      <rPr>
        <b/>
        <sz val="12"/>
        <color theme="1"/>
        <rFont val="標楷體"/>
        <family val="4"/>
        <charset val="136"/>
      </rPr>
      <t>泰幣</t>
    </r>
    <r>
      <rPr>
        <b/>
        <sz val="12"/>
        <color theme="1"/>
        <rFont val="Times New Roman"/>
        <family val="1"/>
      </rPr>
      <t>(THB)</t>
    </r>
    <phoneticPr fontId="1" type="noConversion"/>
  </si>
  <si>
    <r>
      <rPr>
        <b/>
        <sz val="12"/>
        <color theme="1"/>
        <rFont val="標楷體"/>
        <family val="4"/>
        <charset val="136"/>
      </rPr>
      <t>加拿大幣</t>
    </r>
    <r>
      <rPr>
        <b/>
        <sz val="12"/>
        <color theme="1"/>
        <rFont val="Times New Roman"/>
        <family val="1"/>
      </rPr>
      <t>(CAD)</t>
    </r>
    <phoneticPr fontId="1" type="noConversion"/>
  </si>
  <si>
    <r>
      <rPr>
        <b/>
        <sz val="12"/>
        <color theme="1"/>
        <rFont val="標楷體"/>
        <family val="4"/>
        <charset val="136"/>
      </rPr>
      <t>申請人屬性</t>
    </r>
    <phoneticPr fontId="1" type="noConversion"/>
  </si>
  <si>
    <r>
      <rPr>
        <b/>
        <sz val="12"/>
        <color theme="1"/>
        <rFont val="標楷體"/>
        <family val="4"/>
        <charset val="136"/>
      </rPr>
      <t>申請地區</t>
    </r>
    <phoneticPr fontId="1" type="noConversion"/>
  </si>
  <si>
    <r>
      <rPr>
        <b/>
        <sz val="12"/>
        <color theme="1"/>
        <rFont val="標楷體"/>
        <family val="4"/>
        <charset val="136"/>
      </rPr>
      <t>專利類型</t>
    </r>
    <phoneticPr fontId="1" type="noConversion"/>
  </si>
  <si>
    <r>
      <rPr>
        <b/>
        <sz val="12"/>
        <color theme="1"/>
        <rFont val="標楷體"/>
        <family val="4"/>
        <charset val="136"/>
      </rPr>
      <t xml:space="preserve">是否申請
</t>
    </r>
    <r>
      <rPr>
        <b/>
        <sz val="12"/>
        <color rgb="FFFF0000"/>
        <rFont val="Times New Roman"/>
        <family val="1"/>
      </rPr>
      <t>(</t>
    </r>
    <r>
      <rPr>
        <b/>
        <sz val="12"/>
        <color rgb="FFFF0000"/>
        <rFont val="標楷體"/>
        <family val="4"/>
        <charset val="136"/>
      </rPr>
      <t>請勾選</t>
    </r>
    <r>
      <rPr>
        <b/>
        <sz val="12"/>
        <color rgb="FFFF0000"/>
        <rFont val="Times New Roman"/>
        <family val="1"/>
      </rPr>
      <t>)</t>
    </r>
    <phoneticPr fontId="1" type="noConversion"/>
  </si>
  <si>
    <r>
      <rPr>
        <b/>
        <sz val="12"/>
        <color theme="1"/>
        <rFont val="標楷體"/>
        <family val="4"/>
        <charset val="136"/>
      </rPr>
      <t xml:space="preserve">官方費用
</t>
    </r>
    <r>
      <rPr>
        <b/>
        <sz val="12"/>
        <color theme="1"/>
        <rFont val="Times New Roman"/>
        <family val="1"/>
      </rPr>
      <t>(A1)</t>
    </r>
    <phoneticPr fontId="1" type="noConversion"/>
  </si>
  <si>
    <r>
      <rPr>
        <b/>
        <sz val="12"/>
        <color theme="1"/>
        <rFont val="標楷體"/>
        <family val="4"/>
        <charset val="136"/>
      </rPr>
      <t xml:space="preserve">外國代理人費用
</t>
    </r>
    <r>
      <rPr>
        <b/>
        <sz val="12"/>
        <color theme="1"/>
        <rFont val="Times New Roman"/>
        <family val="1"/>
      </rPr>
      <t>(A2)</t>
    </r>
    <phoneticPr fontId="1" type="noConversion"/>
  </si>
  <si>
    <r>
      <rPr>
        <b/>
        <sz val="12"/>
        <color theme="1"/>
        <rFont val="標楷體"/>
        <family val="4"/>
        <charset val="136"/>
      </rPr>
      <t>幣別</t>
    </r>
    <phoneticPr fontId="1" type="noConversion"/>
  </si>
  <si>
    <r>
      <rPr>
        <b/>
        <sz val="12"/>
        <color theme="1"/>
        <rFont val="標楷體"/>
        <family val="4"/>
        <charset val="136"/>
      </rPr>
      <t>原幣別金額</t>
    </r>
    <phoneticPr fontId="1" type="noConversion"/>
  </si>
  <si>
    <r>
      <rPr>
        <b/>
        <sz val="12"/>
        <color theme="1"/>
        <rFont val="標楷體"/>
        <family val="4"/>
        <charset val="136"/>
      </rPr>
      <t>折合台幣</t>
    </r>
    <phoneticPr fontId="1" type="noConversion"/>
  </si>
  <si>
    <r>
      <rPr>
        <b/>
        <sz val="12"/>
        <color theme="1"/>
        <rFont val="標楷體"/>
        <family val="4"/>
        <charset val="136"/>
      </rPr>
      <t>台灣</t>
    </r>
    <phoneticPr fontId="1" type="noConversion"/>
  </si>
  <si>
    <r>
      <rPr>
        <b/>
        <sz val="12"/>
        <color theme="1"/>
        <rFont val="標楷體"/>
        <family val="4"/>
        <charset val="136"/>
      </rPr>
      <t>設計</t>
    </r>
    <phoneticPr fontId="1" type="noConversion"/>
  </si>
  <si>
    <r>
      <rPr>
        <b/>
        <sz val="12"/>
        <color theme="1"/>
        <rFont val="標楷體"/>
        <family val="4"/>
        <charset val="136"/>
      </rPr>
      <t>大陸</t>
    </r>
    <phoneticPr fontId="1" type="noConversion"/>
  </si>
  <si>
    <r>
      <rPr>
        <b/>
        <sz val="12"/>
        <color theme="1"/>
        <rFont val="標楷體"/>
        <family val="4"/>
        <charset val="136"/>
      </rPr>
      <t>美國</t>
    </r>
    <phoneticPr fontId="1" type="noConversion"/>
  </si>
  <si>
    <r>
      <rPr>
        <b/>
        <sz val="12"/>
        <color theme="1"/>
        <rFont val="標楷體"/>
        <family val="4"/>
        <charset val="136"/>
      </rPr>
      <t>歐盟</t>
    </r>
    <phoneticPr fontId="1" type="noConversion"/>
  </si>
  <si>
    <r>
      <rPr>
        <b/>
        <sz val="12"/>
        <color theme="1"/>
        <rFont val="標楷體"/>
        <family val="4"/>
        <charset val="136"/>
      </rPr>
      <t>日本</t>
    </r>
    <phoneticPr fontId="1" type="noConversion"/>
  </si>
  <si>
    <r>
      <rPr>
        <b/>
        <sz val="12"/>
        <color theme="1"/>
        <rFont val="標楷體"/>
        <family val="4"/>
        <charset val="136"/>
      </rPr>
      <t>韓國</t>
    </r>
    <phoneticPr fontId="1" type="noConversion"/>
  </si>
  <si>
    <r>
      <rPr>
        <b/>
        <sz val="12"/>
        <color theme="1"/>
        <rFont val="標楷體"/>
        <family val="4"/>
        <charset val="136"/>
      </rPr>
      <t>新加坡</t>
    </r>
    <phoneticPr fontId="1" type="noConversion"/>
  </si>
  <si>
    <r>
      <rPr>
        <b/>
        <sz val="12"/>
        <color theme="1"/>
        <rFont val="標楷體"/>
        <family val="4"/>
        <charset val="136"/>
      </rPr>
      <t>菲律賓</t>
    </r>
    <phoneticPr fontId="1" type="noConversion"/>
  </si>
  <si>
    <r>
      <rPr>
        <b/>
        <sz val="12"/>
        <color theme="1"/>
        <rFont val="標楷體"/>
        <family val="4"/>
        <charset val="136"/>
      </rPr>
      <t>越南</t>
    </r>
    <phoneticPr fontId="1" type="noConversion"/>
  </si>
  <si>
    <r>
      <rPr>
        <b/>
        <sz val="12"/>
        <color theme="1"/>
        <rFont val="標楷體"/>
        <family val="4"/>
        <charset val="136"/>
      </rPr>
      <t>泰國</t>
    </r>
    <phoneticPr fontId="1" type="noConversion"/>
  </si>
  <si>
    <r>
      <rPr>
        <b/>
        <sz val="12"/>
        <color theme="1"/>
        <rFont val="標楷體"/>
        <family val="4"/>
        <charset val="136"/>
      </rPr>
      <t>馬來西亞</t>
    </r>
    <phoneticPr fontId="1" type="noConversion"/>
  </si>
  <si>
    <r>
      <rPr>
        <b/>
        <sz val="12"/>
        <color theme="1"/>
        <rFont val="標楷體"/>
        <family val="4"/>
        <charset val="136"/>
      </rPr>
      <t>印尼</t>
    </r>
    <phoneticPr fontId="1" type="noConversion"/>
  </si>
  <si>
    <r>
      <rPr>
        <b/>
        <sz val="12"/>
        <rFont val="標楷體"/>
        <family val="4"/>
        <charset val="136"/>
      </rPr>
      <t>加拿大</t>
    </r>
    <phoneticPr fontId="1" type="noConversion"/>
  </si>
  <si>
    <r>
      <rPr>
        <b/>
        <sz val="12"/>
        <rFont val="標楷體"/>
        <family val="4"/>
        <charset val="136"/>
      </rPr>
      <t>設計</t>
    </r>
    <phoneticPr fontId="1" type="noConversion"/>
  </si>
  <si>
    <r>
      <rPr>
        <b/>
        <sz val="12"/>
        <color theme="1"/>
        <rFont val="標楷體"/>
        <family val="4"/>
        <charset val="136"/>
      </rPr>
      <t>合計</t>
    </r>
    <phoneticPr fontId="1" type="noConversion"/>
  </si>
  <si>
    <t>中小企業</t>
  </si>
  <si>
    <t>小計</t>
    <phoneticPr fontId="1" type="noConversion"/>
  </si>
  <si>
    <t>類型</t>
    <phoneticPr fontId="1" type="noConversion"/>
  </si>
  <si>
    <t>繳費年數，領證會含第一次年費，所以年費不能從第1年起算</t>
    <phoneticPr fontId="1" type="noConversion"/>
  </si>
  <si>
    <t>各年度官費</t>
    <phoneticPr fontId="1" type="noConversion"/>
  </si>
  <si>
    <t>各年官費（領證費會包含「第一次年費」，所以「第一次年費」要填0，以避免重複計算）</t>
    <phoneticPr fontId="1" type="noConversion"/>
  </si>
  <si>
    <t>不同繳納年數之累計官費</t>
    <phoneticPr fontId="1" type="noConversion"/>
  </si>
  <si>
    <t>各年度國外代理人費</t>
    <phoneticPr fontId="1" type="noConversion"/>
  </si>
  <si>
    <t>各年度慧盈服務費</t>
    <phoneticPr fontId="1" type="noConversion"/>
  </si>
  <si>
    <t>累計國外代理人費</t>
    <phoneticPr fontId="1" type="noConversion"/>
  </si>
  <si>
    <t>累計慧盈服務費</t>
    <phoneticPr fontId="1" type="noConversion"/>
  </si>
  <si>
    <t>撰稿到提交申請階段</t>
    <phoneticPr fontId="1" type="noConversion"/>
  </si>
  <si>
    <t>領證階段（包含最基本的第一次年費）</t>
    <phoneticPr fontId="1" type="noConversion"/>
  </si>
  <si>
    <t>後續年費階段（不包含最基本的第一次年費）</t>
    <phoneticPr fontId="1" type="noConversion"/>
  </si>
  <si>
    <t>答辯階段</t>
    <phoneticPr fontId="1" type="noConversion"/>
  </si>
  <si>
    <t>繪製答辯費圓餅圖專用</t>
    <phoneticPr fontId="1" type="noConversion"/>
  </si>
  <si>
    <t>繪製領證費圓餅圖專用</t>
    <phoneticPr fontId="1" type="noConversion"/>
  </si>
  <si>
    <t>繪製後續年費圓餅圖專用</t>
    <phoneticPr fontId="1" type="noConversion"/>
  </si>
  <si>
    <t>答辯費</t>
    <phoneticPr fontId="1" type="noConversion"/>
  </si>
  <si>
    <t>OA通知費</t>
    <phoneticPr fontId="1" type="noConversion"/>
  </si>
  <si>
    <t>公開費</t>
    <phoneticPr fontId="1" type="noConversion"/>
  </si>
  <si>
    <t>實審費</t>
    <phoneticPr fontId="1" type="noConversion"/>
  </si>
  <si>
    <t>修正費</t>
    <phoneticPr fontId="1" type="noConversion"/>
  </si>
  <si>
    <t>後續年費</t>
    <phoneticPr fontId="1" type="noConversion"/>
  </si>
  <si>
    <t>領證費</t>
    <phoneticPr fontId="1" type="noConversion"/>
  </si>
  <si>
    <t>階段費用</t>
    <phoneticPr fontId="1" type="noConversion"/>
  </si>
  <si>
    <t>最大年限</t>
    <phoneticPr fontId="1" type="noConversion"/>
  </si>
  <si>
    <r>
      <rPr>
        <b/>
        <sz val="12"/>
        <color theme="1"/>
        <rFont val="標楷體"/>
        <family val="4"/>
        <charset val="136"/>
      </rPr>
      <t xml:space="preserve">慧盈服務費
</t>
    </r>
    <r>
      <rPr>
        <b/>
        <sz val="12"/>
        <color theme="1"/>
        <rFont val="Times New Roman"/>
        <family val="1"/>
      </rPr>
      <t>(A3)
(NTD)</t>
    </r>
    <phoneticPr fontId="1" type="noConversion"/>
  </si>
  <si>
    <r>
      <rPr>
        <b/>
        <sz val="12"/>
        <color theme="1"/>
        <rFont val="標楷體"/>
        <family val="4"/>
        <charset val="136"/>
      </rPr>
      <t xml:space="preserve">官方費用
</t>
    </r>
    <r>
      <rPr>
        <b/>
        <sz val="12"/>
        <color theme="1"/>
        <rFont val="Times New Roman"/>
        <family val="1"/>
      </rPr>
      <t>(M1)</t>
    </r>
    <phoneticPr fontId="1" type="noConversion"/>
  </si>
  <si>
    <r>
      <rPr>
        <b/>
        <sz val="12"/>
        <color theme="1"/>
        <rFont val="標楷體"/>
        <family val="4"/>
        <charset val="136"/>
      </rPr>
      <t xml:space="preserve">外國代理人費用
</t>
    </r>
    <r>
      <rPr>
        <b/>
        <sz val="12"/>
        <color theme="1"/>
        <rFont val="Times New Roman"/>
        <family val="1"/>
      </rPr>
      <t>(M2)</t>
    </r>
    <phoneticPr fontId="1" type="noConversion"/>
  </si>
  <si>
    <r>
      <rPr>
        <b/>
        <sz val="12"/>
        <color theme="1"/>
        <rFont val="標楷體"/>
        <family val="4"/>
        <charset val="136"/>
      </rPr>
      <t xml:space="preserve">總代墊費用
</t>
    </r>
    <r>
      <rPr>
        <b/>
        <sz val="12"/>
        <color theme="1"/>
        <rFont val="Times New Roman"/>
        <family val="1"/>
      </rPr>
      <t>(M1+M2)</t>
    </r>
    <phoneticPr fontId="1" type="noConversion"/>
  </si>
  <si>
    <r>
      <rPr>
        <b/>
        <sz val="12"/>
        <color theme="1"/>
        <rFont val="標楷體"/>
        <family val="4"/>
        <charset val="136"/>
      </rPr>
      <t xml:space="preserve">慧盈服務費
</t>
    </r>
    <r>
      <rPr>
        <b/>
        <sz val="12"/>
        <color theme="1"/>
        <rFont val="Times New Roman"/>
        <family val="1"/>
      </rPr>
      <t>(M3)
(NTD)</t>
    </r>
    <phoneticPr fontId="1" type="noConversion"/>
  </si>
  <si>
    <r>
      <rPr>
        <b/>
        <sz val="12"/>
        <color theme="1"/>
        <rFont val="標楷體"/>
        <family val="4"/>
        <charset val="136"/>
      </rPr>
      <t xml:space="preserve">官方費用
</t>
    </r>
    <r>
      <rPr>
        <b/>
        <sz val="12"/>
        <color theme="1"/>
        <rFont val="Times New Roman"/>
        <family val="1"/>
      </rPr>
      <t>(R1)</t>
    </r>
    <phoneticPr fontId="1" type="noConversion"/>
  </si>
  <si>
    <r>
      <rPr>
        <b/>
        <sz val="12"/>
        <color theme="1"/>
        <rFont val="標楷體"/>
        <family val="4"/>
        <charset val="136"/>
      </rPr>
      <t xml:space="preserve">外國代理人費用
</t>
    </r>
    <r>
      <rPr>
        <b/>
        <sz val="12"/>
        <color theme="1"/>
        <rFont val="Times New Roman"/>
        <family val="1"/>
      </rPr>
      <t>(R2)</t>
    </r>
    <phoneticPr fontId="1" type="noConversion"/>
  </si>
  <si>
    <r>
      <rPr>
        <b/>
        <sz val="12"/>
        <color theme="1"/>
        <rFont val="標楷體"/>
        <family val="4"/>
        <charset val="136"/>
      </rPr>
      <t xml:space="preserve">總代墊費用
</t>
    </r>
    <r>
      <rPr>
        <b/>
        <sz val="12"/>
        <color theme="1"/>
        <rFont val="Times New Roman"/>
        <family val="1"/>
      </rPr>
      <t>(R1+R2)</t>
    </r>
    <phoneticPr fontId="1" type="noConversion"/>
  </si>
  <si>
    <r>
      <rPr>
        <b/>
        <sz val="12"/>
        <color theme="1"/>
        <rFont val="標楷體"/>
        <family val="4"/>
        <charset val="136"/>
      </rPr>
      <t xml:space="preserve">慧盈服務費
</t>
    </r>
    <r>
      <rPr>
        <b/>
        <sz val="12"/>
        <color theme="1"/>
        <rFont val="Times New Roman"/>
        <family val="1"/>
      </rPr>
      <t>(R3)
(NTD)</t>
    </r>
    <phoneticPr fontId="1" type="noConversion"/>
  </si>
  <si>
    <t>慧盈服務費
(A3)
(NTD)</t>
    <phoneticPr fontId="1" type="noConversion"/>
  </si>
  <si>
    <t>專利申請費用小計
(A = A1+A2+A3)
(NTD)</t>
    <phoneticPr fontId="1" type="noConversion"/>
  </si>
  <si>
    <t>慧盈服務費(A3)</t>
    <phoneticPr fontId="1" type="noConversion"/>
  </si>
  <si>
    <t>專利申請費用(A)</t>
    <phoneticPr fontId="1" type="noConversion"/>
  </si>
  <si>
    <t>官方費用
(R1)</t>
    <phoneticPr fontId="1" type="noConversion"/>
  </si>
  <si>
    <t>外國代理人費用
(R2)</t>
    <phoneticPr fontId="1" type="noConversion"/>
  </si>
  <si>
    <t>總代墊費用
(R1+R2)</t>
    <phoneticPr fontId="1" type="noConversion"/>
  </si>
  <si>
    <t>慧盈服務費
(R3)
(NTD)</t>
    <phoneticPr fontId="1" type="noConversion"/>
  </si>
  <si>
    <t>官方費用(R1)</t>
    <phoneticPr fontId="1" type="noConversion"/>
  </si>
  <si>
    <t>外國代理人費用(R2)</t>
    <phoneticPr fontId="1" type="noConversion"/>
  </si>
  <si>
    <t>慧盈服務費(R3)</t>
    <phoneticPr fontId="1" type="noConversion"/>
  </si>
  <si>
    <t>官方費用
(M1)</t>
    <phoneticPr fontId="1" type="noConversion"/>
  </si>
  <si>
    <t>外國代理人費用
(M2)</t>
    <phoneticPr fontId="1" type="noConversion"/>
  </si>
  <si>
    <t>總代墊費用
(M1+M2)</t>
    <phoneticPr fontId="1" type="noConversion"/>
  </si>
  <si>
    <t>慧盈服務費
(M3)
(NTD)</t>
    <phoneticPr fontId="1" type="noConversion"/>
  </si>
  <si>
    <t>官方費用(M1)</t>
    <phoneticPr fontId="1" type="noConversion"/>
  </si>
  <si>
    <t>外國代理人費用(M2)</t>
    <phoneticPr fontId="1" type="noConversion"/>
  </si>
  <si>
    <t>慧盈服務費(M3)</t>
    <phoneticPr fontId="1" type="noConversion"/>
  </si>
  <si>
    <t>申請費用(A)</t>
    <phoneticPr fontId="1" type="noConversion"/>
  </si>
  <si>
    <t>答辯費用(R)</t>
    <phoneticPr fontId="1" type="noConversion"/>
  </si>
  <si>
    <t>後續年費(M)</t>
    <phoneticPr fontId="1" type="noConversion"/>
  </si>
  <si>
    <t>申請+答辯費用(A+R)</t>
    <phoneticPr fontId="1" type="noConversion"/>
  </si>
  <si>
    <t>繪製各國（申請+答辯費）與（領證＋年費）長條圖</t>
    <phoneticPr fontId="1" type="noConversion"/>
  </si>
  <si>
    <t>英國</t>
    <phoneticPr fontId="1" type="noConversion"/>
  </si>
  <si>
    <t>GBP</t>
    <phoneticPr fontId="1" type="noConversion"/>
  </si>
  <si>
    <r>
      <t>第一部分：辦理各地區「</t>
    </r>
    <r>
      <rPr>
        <b/>
        <sz val="12"/>
        <color rgb="FFCC00FF"/>
        <rFont val="新細明體"/>
        <family val="1"/>
        <charset val="136"/>
        <scheme val="minor"/>
      </rPr>
      <t>設計專利</t>
    </r>
    <r>
      <rPr>
        <b/>
        <sz val="12"/>
        <color theme="1"/>
        <rFont val="新細明體"/>
        <family val="1"/>
        <charset val="136"/>
        <scheme val="minor"/>
      </rPr>
      <t>」的「申請費用」：從撰稿到提交申請。</t>
    </r>
    <phoneticPr fontId="1" type="noConversion"/>
  </si>
  <si>
    <t>第二部分：辦理各地區「設計專利」的「領證費用（包含最基本的第一次年費）」。</t>
    <phoneticPr fontId="1" type="noConversion"/>
  </si>
  <si>
    <t>英鎊(GBP)</t>
    <phoneticPr fontId="1" type="noConversion"/>
  </si>
  <si>
    <t>超項費</t>
    <phoneticPr fontId="1" type="noConversion"/>
  </si>
  <si>
    <t>一、委託慧盈辦理「設計專利」從撰稿到提交申請階段的預估「申請費」：</t>
    <phoneticPr fontId="1" type="noConversion"/>
  </si>
  <si>
    <r>
      <rPr>
        <b/>
        <sz val="12"/>
        <color theme="1"/>
        <rFont val="標楷體"/>
        <family val="4"/>
        <charset val="136"/>
      </rPr>
      <t>總代墊費用</t>
    </r>
    <r>
      <rPr>
        <b/>
        <sz val="12"/>
        <color theme="1"/>
        <rFont val="Times New Roman"/>
        <family val="4"/>
      </rPr>
      <t xml:space="preserve">
</t>
    </r>
    <r>
      <rPr>
        <b/>
        <sz val="12"/>
        <color theme="1"/>
        <rFont val="Times New Roman"/>
        <family val="1"/>
      </rPr>
      <t>(A1+A2)</t>
    </r>
    <phoneticPr fontId="1" type="noConversion"/>
  </si>
  <si>
    <r>
      <rPr>
        <b/>
        <sz val="12"/>
        <color theme="1"/>
        <rFont val="標楷體"/>
        <family val="4"/>
        <charset val="136"/>
      </rPr>
      <t xml:space="preserve">設計後續年費
小計
</t>
    </r>
    <r>
      <rPr>
        <b/>
        <sz val="12"/>
        <color theme="1"/>
        <rFont val="Times New Roman"/>
        <family val="1"/>
      </rPr>
      <t>(M = M1+M2+M3)</t>
    </r>
    <phoneticPr fontId="1" type="noConversion"/>
  </si>
  <si>
    <r>
      <rPr>
        <b/>
        <sz val="12"/>
        <color theme="1"/>
        <rFont val="標楷體"/>
        <family val="4"/>
        <charset val="136"/>
      </rPr>
      <t xml:space="preserve">設計申請費用
小計
</t>
    </r>
    <r>
      <rPr>
        <b/>
        <sz val="12"/>
        <color theme="1"/>
        <rFont val="Times New Roman"/>
        <family val="1"/>
      </rPr>
      <t>(A = A1+A2+A3)</t>
    </r>
    <phoneticPr fontId="1" type="noConversion"/>
  </si>
  <si>
    <r>
      <rPr>
        <b/>
        <sz val="12"/>
        <color theme="1"/>
        <rFont val="標楷體"/>
        <family val="4"/>
        <charset val="136"/>
      </rPr>
      <t xml:space="preserve">設計答辯費用
小計
</t>
    </r>
    <r>
      <rPr>
        <b/>
        <sz val="12"/>
        <color theme="1"/>
        <rFont val="Times New Roman"/>
        <family val="1"/>
      </rPr>
      <t>(R = R1+R2+R3)</t>
    </r>
    <phoneticPr fontId="1" type="noConversion"/>
  </si>
  <si>
    <t>專利申請費用小計
(R = R1+R2+R3)
(NTD)</t>
    <phoneticPr fontId="1" type="noConversion"/>
  </si>
  <si>
    <t>專利維護費用小計
(M = M1+M2+M3)
(NTD)</t>
    <phoneticPr fontId="1" type="noConversion"/>
  </si>
  <si>
    <r>
      <t>第四部分：辦理各地區「設計專利」的「後續年費費用（不包含最基本的第一次年費）」，</t>
    </r>
    <r>
      <rPr>
        <b/>
        <sz val="12"/>
        <color rgb="FFFF0000"/>
        <rFont val="新細明體"/>
        <family val="1"/>
        <charset val="136"/>
        <scheme val="minor"/>
      </rPr>
      <t>連動「年費繳納年數」下拉選單</t>
    </r>
    <phoneticPr fontId="1" type="noConversion"/>
  </si>
  <si>
    <r>
      <t>第三部分：辦理各地區「</t>
    </r>
    <r>
      <rPr>
        <b/>
        <sz val="12"/>
        <color rgb="FFCC00FF"/>
        <rFont val="新細明體"/>
        <family val="1"/>
        <charset val="136"/>
        <scheme val="minor"/>
      </rPr>
      <t>設計專利</t>
    </r>
    <r>
      <rPr>
        <b/>
        <sz val="12"/>
        <color theme="1"/>
        <rFont val="新細明體"/>
        <family val="1"/>
        <charset val="136"/>
        <scheme val="minor"/>
      </rPr>
      <t>」的「一次答辯費用」：估多次會牽涉到CPA、再審查等額外官費，太複雜。</t>
    </r>
    <phoneticPr fontId="1" type="noConversion"/>
  </si>
  <si>
    <r>
      <rPr>
        <b/>
        <sz val="12"/>
        <color theme="1"/>
        <rFont val="標楷體"/>
        <family val="4"/>
        <charset val="136"/>
      </rPr>
      <t xml:space="preserve">官方費用
</t>
    </r>
    <r>
      <rPr>
        <b/>
        <sz val="12"/>
        <color theme="1"/>
        <rFont val="Times New Roman"/>
        <family val="1"/>
      </rPr>
      <t>(C1)</t>
    </r>
    <phoneticPr fontId="1" type="noConversion"/>
  </si>
  <si>
    <r>
      <rPr>
        <b/>
        <sz val="12"/>
        <color theme="1"/>
        <rFont val="標楷體"/>
        <family val="4"/>
        <charset val="136"/>
      </rPr>
      <t xml:space="preserve">外國代理人費用
</t>
    </r>
    <r>
      <rPr>
        <b/>
        <sz val="12"/>
        <color theme="1"/>
        <rFont val="Times New Roman"/>
        <family val="1"/>
      </rPr>
      <t>(C2)</t>
    </r>
    <phoneticPr fontId="1" type="noConversion"/>
  </si>
  <si>
    <r>
      <rPr>
        <b/>
        <sz val="12"/>
        <color theme="1"/>
        <rFont val="標楷體"/>
        <family val="4"/>
        <charset val="136"/>
      </rPr>
      <t xml:space="preserve">總代墊費用
</t>
    </r>
    <r>
      <rPr>
        <b/>
        <sz val="12"/>
        <color theme="1"/>
        <rFont val="Times New Roman"/>
        <family val="1"/>
      </rPr>
      <t>(C1+C2)</t>
    </r>
    <phoneticPr fontId="1" type="noConversion"/>
  </si>
  <si>
    <r>
      <rPr>
        <b/>
        <sz val="12"/>
        <color theme="1"/>
        <rFont val="標楷體"/>
        <family val="4"/>
        <charset val="136"/>
      </rPr>
      <t xml:space="preserve">慧盈服務費
</t>
    </r>
    <r>
      <rPr>
        <b/>
        <sz val="12"/>
        <color theme="1"/>
        <rFont val="Times New Roman"/>
        <family val="1"/>
      </rPr>
      <t>(C3)
(NTD)</t>
    </r>
    <phoneticPr fontId="1" type="noConversion"/>
  </si>
  <si>
    <t>官方費用
(C1)</t>
    <phoneticPr fontId="1" type="noConversion"/>
  </si>
  <si>
    <t>外國代理人費用
(C2)</t>
    <phoneticPr fontId="1" type="noConversion"/>
  </si>
  <si>
    <t>總代墊費用
(C1+C2)</t>
    <phoneticPr fontId="1" type="noConversion"/>
  </si>
  <si>
    <t>慧盈服務費
(C3)
(NTD)</t>
    <phoneticPr fontId="1" type="noConversion"/>
  </si>
  <si>
    <t>官方費用(C1)</t>
    <phoneticPr fontId="1" type="noConversion"/>
  </si>
  <si>
    <t>外國代理人費用(C2)</t>
    <phoneticPr fontId="1" type="noConversion"/>
  </si>
  <si>
    <t>慧盈服務費(C3)</t>
    <phoneticPr fontId="1" type="noConversion"/>
  </si>
  <si>
    <t>領證費用(C)</t>
    <phoneticPr fontId="1" type="noConversion"/>
  </si>
  <si>
    <t>申請+領證費用(A+C)</t>
    <phoneticPr fontId="1" type="noConversion"/>
  </si>
  <si>
    <t>申請+答辯+領證費(A+R+C)</t>
    <phoneticPr fontId="1" type="noConversion"/>
  </si>
  <si>
    <t>專利領證費用(C)</t>
    <phoneticPr fontId="1" type="noConversion"/>
  </si>
  <si>
    <t>領證+答辯+後續年費(C+R+M)</t>
    <phoneticPr fontId="1" type="noConversion"/>
  </si>
  <si>
    <t>領證+後續年費(C+M)</t>
    <phoneticPr fontId="1" type="noConversion"/>
  </si>
  <si>
    <r>
      <rPr>
        <b/>
        <sz val="12"/>
        <color theme="1"/>
        <rFont val="標楷體"/>
        <family val="4"/>
        <charset val="136"/>
      </rPr>
      <t xml:space="preserve">設計領證費用
小計
</t>
    </r>
    <r>
      <rPr>
        <b/>
        <sz val="12"/>
        <color theme="1"/>
        <rFont val="Times New Roman"/>
        <family val="1"/>
      </rPr>
      <t>(C = C1+C2+C3)</t>
    </r>
    <phoneticPr fontId="1" type="noConversion"/>
  </si>
  <si>
    <t>專利維護費用小計
(C = C1+C2+C3)
(NTD)</t>
    <phoneticPr fontId="1" type="noConversion"/>
  </si>
  <si>
    <t>專利布局總成本
(T = A+C+R+M)</t>
    <phoneticPr fontId="1" type="noConversion"/>
  </si>
  <si>
    <t>備註：</t>
  </si>
  <si>
    <r>
      <t>(</t>
    </r>
    <r>
      <rPr>
        <b/>
        <sz val="10"/>
        <color rgb="FFFF0000"/>
        <rFont val="標楷體"/>
        <family val="4"/>
        <charset val="136"/>
      </rPr>
      <t>視需要勾選</t>
    </r>
    <r>
      <rPr>
        <b/>
        <sz val="10"/>
        <color rgb="FFFF0000"/>
        <rFont val="Times New Roman"/>
        <family val="1"/>
      </rPr>
      <t>)</t>
    </r>
    <phoneticPr fontId="1" type="noConversion"/>
  </si>
  <si>
    <t>二、委託慧盈辦理設計專利證書領證程序的「領證費」（包含最基本的第一次年費）：</t>
    <phoneticPr fontId="1" type="noConversion"/>
  </si>
  <si>
    <t>三、委託慧盈辦理設計申請案「核駁答辯程序」的預估「答辯費用」（只以答辯一次作為估算基礎）：</t>
    <phoneticPr fontId="1" type="noConversion"/>
  </si>
  <si>
    <t>四、委託慧盈控管及代繳設計專利的「後續年費」（已扣除最基本的第一次年費）：</t>
    <phoneticPr fontId="1" type="noConversion"/>
  </si>
  <si>
    <t>年費繳納年數(下拉選單)</t>
    <phoneticPr fontId="1" type="noConversion"/>
  </si>
  <si>
    <r>
      <t xml:space="preserve">年費繳納年數
</t>
    </r>
    <r>
      <rPr>
        <b/>
        <sz val="12"/>
        <color rgb="FFFF0000"/>
        <rFont val="標楷體"/>
        <family val="4"/>
        <charset val="136"/>
      </rPr>
      <t>可自行調整→</t>
    </r>
    <phoneticPr fontId="1" type="noConversion"/>
  </si>
  <si>
    <t>設計年費繳納年數(黑圈)</t>
    <phoneticPr fontId="1" type="noConversion"/>
  </si>
  <si>
    <t>發明年費繳納年數(黑圈)</t>
    <phoneticPr fontId="1" type="noConversion"/>
  </si>
  <si>
    <t>不需實審</t>
    <phoneticPr fontId="1" type="noConversion"/>
  </si>
  <si>
    <t>實審</t>
    <phoneticPr fontId="1" type="noConversion"/>
  </si>
  <si>
    <r>
      <rPr>
        <b/>
        <sz val="12"/>
        <color theme="1"/>
        <rFont val="Times New Roman"/>
        <family val="4"/>
      </rPr>
      <t>15</t>
    </r>
    <r>
      <rPr>
        <b/>
        <sz val="12"/>
        <color theme="1"/>
        <rFont val="標楷體"/>
        <family val="4"/>
        <charset val="136"/>
      </rPr>
      <t>年</t>
    </r>
    <phoneticPr fontId="1" type="noConversion"/>
  </si>
  <si>
    <r>
      <t>10</t>
    </r>
    <r>
      <rPr>
        <b/>
        <sz val="12"/>
        <color theme="1"/>
        <rFont val="標楷體"/>
        <family val="4"/>
        <charset val="136"/>
      </rPr>
      <t>年</t>
    </r>
    <phoneticPr fontId="1" type="noConversion"/>
  </si>
  <si>
    <r>
      <t>20</t>
    </r>
    <r>
      <rPr>
        <b/>
        <sz val="12"/>
        <color theme="1"/>
        <rFont val="標楷體"/>
        <family val="4"/>
        <charset val="136"/>
      </rPr>
      <t>年</t>
    </r>
    <phoneticPr fontId="1" type="noConversion"/>
  </si>
  <si>
    <r>
      <t>25</t>
    </r>
    <r>
      <rPr>
        <b/>
        <sz val="12"/>
        <color theme="1"/>
        <rFont val="標楷體"/>
        <family val="4"/>
        <charset val="136"/>
      </rPr>
      <t>年</t>
    </r>
    <phoneticPr fontId="1" type="noConversion"/>
  </si>
  <si>
    <t>設計
審查制度</t>
    <phoneticPr fontId="1" type="noConversion"/>
  </si>
  <si>
    <t>設計
保護年限</t>
    <phoneticPr fontId="1" type="noConversion"/>
  </si>
  <si>
    <t>(同日)超項費</t>
    <phoneticPr fontId="1" type="noConversion"/>
  </si>
  <si>
    <t>是否申請</t>
    <phoneticPr fontId="1" type="noConversion"/>
  </si>
  <si>
    <r>
      <t>核准後之
證書</t>
    </r>
    <r>
      <rPr>
        <sz val="12"/>
        <color theme="1"/>
        <rFont val="新細明體"/>
        <family val="1"/>
        <charset val="136"/>
        <scheme val="major"/>
      </rPr>
      <t xml:space="preserve">數量
</t>
    </r>
    <r>
      <rPr>
        <b/>
        <sz val="12"/>
        <color rgb="FF0000FF"/>
        <rFont val="新細明體"/>
        <family val="1"/>
        <charset val="136"/>
        <scheme val="major"/>
      </rPr>
      <t>(預估)</t>
    </r>
    <phoneticPr fontId="1" type="noConversion"/>
  </si>
  <si>
    <r>
      <t xml:space="preserve">核准後之
證書數量
</t>
    </r>
    <r>
      <rPr>
        <b/>
        <sz val="12"/>
        <color rgb="FF0000FF"/>
        <rFont val="標楷體"/>
        <family val="4"/>
        <charset val="136"/>
      </rPr>
      <t>(預估)</t>
    </r>
    <phoneticPr fontId="1" type="noConversion"/>
  </si>
  <si>
    <t>預估證書數</t>
    <phoneticPr fontId="1" type="noConversion"/>
  </si>
  <si>
    <t>如果有新增國別或調整國別排列順序，要記得重新設定上面三個欄位中的HLOOKUP的最後一個索引欄位數值是否由上而下依序順號，只要沒有順號，HLOOKUP抓出來的金額就會是錯的</t>
    <phoneticPr fontId="1" type="noConversion"/>
  </si>
  <si>
    <t>↑↑↑↑</t>
    <phoneticPr fontId="1" type="noConversion"/>
  </si>
  <si>
    <t>2.「圖像設計」是指設計內容為電腦圖像（ICON）或圖形化使用者介面（Graphical User Interface，GUI）。</t>
    <phoneticPr fontId="1" type="noConversion"/>
  </si>
  <si>
    <t>5.設計專利最長保護年限達20年的地區：韓國。</t>
    <phoneticPr fontId="1" type="noConversion"/>
  </si>
  <si>
    <t>6.設計專利最長保護年限達25年的地區：日本、歐盟、英國、馬來西亞。</t>
    <phoneticPr fontId="1" type="noConversion"/>
  </si>
  <si>
    <t>7.近似設計「可同案申請」(一案多實施例一證書)的地區：大陸、美國、菲律賓、越南、加拿大。</t>
    <phoneticPr fontId="1" type="noConversion"/>
  </si>
  <si>
    <t>8.近似設計「可併案或分開申請」(一設計一證書)的地區：歐盟、英國、日本、韓國、新加坡、馬來西亞。</t>
    <phoneticPr fontId="1" type="noConversion"/>
  </si>
  <si>
    <t>12.設計專利「不需繳納年費」的地區：美國、印尼。</t>
    <phoneticPr fontId="1" type="noConversion"/>
  </si>
  <si>
    <t>13.泰國案申請前需要在台辦理委任書(POA)的公證跟認證程序。</t>
    <phoneticPr fontId="1" type="noConversion"/>
  </si>
  <si>
    <t>　　(1)個別案件之「主張優先權」、「申請優先權證」、「提呈IDS」、「補正文件」等額外程序費用。</t>
    <phoneticPr fontId="1" type="noConversion"/>
  </si>
  <si>
    <t>　　(2)各地區官方或代理人因設計圖數過多所收取的「超圖費」。</t>
    <phoneticPr fontId="1" type="noConversion"/>
  </si>
  <si>
    <t>　　(3)被官方要求將個別案件中的不同設計分拆成獨立申請案所衍生的額外費用。</t>
    <phoneticPr fontId="1" type="noConversion"/>
  </si>
  <si>
    <t>　　(4)個別案件後續可能發生的核駁答辯費用，以及領取專利證書的費用。</t>
    <phoneticPr fontId="1" type="noConversion"/>
  </si>
  <si>
    <t>2.設計案「要實體審查」的地區：台灣、美國、日本、韓國、越南、泰國、馬來西亞、印尼、加拿大。</t>
    <phoneticPr fontId="1" type="noConversion"/>
  </si>
  <si>
    <t>4.設計案「不需實體審查」的地區：大陸、歐盟、英國、新加坡、菲律賓。</t>
    <phoneticPr fontId="1" type="noConversion"/>
  </si>
  <si>
    <t>3.要實體審查的設計案，其實需要答辯的比例並不高，美國案約50%，台灣案約30%，其他地區更低，所以實際答辯費用通常會比上表估算金額「低」很多。</t>
    <phoneticPr fontId="1" type="noConversion"/>
  </si>
  <si>
    <t>5.不需實體審查的設計案，基本上不需要進行答辯，只有在特殊情況下才可能發生需要答辯的狀況，所以在上表中的估算費用都是0。</t>
    <phoneticPr fontId="1" type="noConversion"/>
  </si>
  <si>
    <t>1.上表是針對「要實體審查」的設計案進行「一次」答辯的估算費用，不包含需要答辯超過一次時的費用。</t>
    <phoneticPr fontId="1" type="noConversion"/>
  </si>
  <si>
    <t>1.設計專利「不需繳納年費」的地區：美國、印尼。</t>
    <phoneticPr fontId="1" type="noConversion"/>
  </si>
  <si>
    <t>2.部分地區允許一次繳納複數年份的年費，採用這種繳費方式可大幅降低外國代理人費用及慧盈服務費，降幅可達一半以上（甚至更多）。</t>
    <phoneticPr fontId="1" type="noConversion"/>
  </si>
  <si>
    <t>1.上表中的預估費用，只包含領證費用及領證時必須一併繳納的最基本的第一次年費，不包含後續年費。</t>
  </si>
  <si>
    <t>五、以下用視覺化圖形呈現各地區「設計專利」的費用組成結構，讓您迅速掌握設計佈局成本的真實樣貌：</t>
    <phoneticPr fontId="1" type="noConversion"/>
  </si>
  <si>
    <t>↑英國超項費的官費及代理人費的公式有瑕疵，只能估算總設計項數50以內的超項費，超過50項時的公式還沒想到怎麼寫(官方允許的上限只能50項)</t>
    <phoneticPr fontId="1" type="noConversion"/>
  </si>
  <si>
    <t>100~500人</t>
    <phoneticPr fontId="1" type="noConversion"/>
  </si>
  <si>
    <t>少於100人</t>
  </si>
  <si>
    <t>少於100人</t>
    <phoneticPr fontId="1" type="noConversion"/>
  </si>
  <si>
    <t>1.上表計算結果僅係概估費用，皆假設要同日申請的設計都是近似設計，並「不」包含以下費用：</t>
    <phoneticPr fontId="1" type="noConversion"/>
  </si>
  <si>
    <t>設計超項費</t>
    <phoneticPr fontId="1" type="noConversion"/>
  </si>
  <si>
    <t>印度</t>
    <phoneticPr fontId="1" type="noConversion"/>
  </si>
  <si>
    <t>4.設計專利最長保護年限達15年的地區：台灣、大陸、美國、新加坡、菲律賓、越南、印度。</t>
    <phoneticPr fontId="1" type="noConversion"/>
  </si>
  <si>
    <t>10.設計專利「需要實體審查」的地區：台灣、美國、日本、韓國、越南、泰國、馬來西亞、印尼、加拿大、印度。</t>
    <phoneticPr fontId="1" type="noConversion"/>
  </si>
  <si>
    <r>
      <t>15</t>
    </r>
    <r>
      <rPr>
        <b/>
        <sz val="12"/>
        <color theme="1"/>
        <rFont val="標楷體"/>
        <family val="4"/>
        <charset val="136"/>
      </rPr>
      <t>年</t>
    </r>
    <phoneticPr fontId="1" type="noConversion"/>
  </si>
  <si>
    <t>歐盟設計案的年費，是使用Metida的2025年度報價，而非按照CPA報價</t>
    <phoneticPr fontId="1" type="noConversion"/>
  </si>
  <si>
    <t>英國設計案的年費，是使用Metida的2023年度報價，而非按照CPA報價</t>
    <phoneticPr fontId="1" type="noConversion"/>
  </si>
  <si>
    <t>澳洲</t>
    <phoneticPr fontId="1" type="noConversion"/>
  </si>
  <si>
    <t>澳洲幣(AUD)</t>
    <phoneticPr fontId="1" type="noConversion"/>
  </si>
  <si>
    <t>AUD</t>
    <phoneticPr fontId="1" type="noConversion"/>
  </si>
  <si>
    <t>3.設計專利最長保護年限達10年的地區：泰國、印尼、加拿大、澳洲。</t>
    <phoneticPr fontId="1" type="noConversion"/>
  </si>
  <si>
    <t>11.設計專利「不需實體審查」的地區：大陸、歐盟、英國、新加坡、菲律賓、澳洲(要主張權利前才需要實體審查)。</t>
    <phoneticPr fontId="1" type="noConversion"/>
  </si>
  <si>
    <t>9.近似設計「只能分開申請」(一設計一證書)的地區：台灣、泰國、印尼、印度、澳洲(官方建議分開申請)。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</si>
</sst>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7" x14ac:knownFonts="1">
    <font>
      <sz val="12"/>
      <color theme="1"/>
      <name val="新細明體"/>
      <family val="2"/>
      <scheme val="minor"/>
    </font>
    <font>
      <sz val="9"/>
      <name val="新細明體"/>
      <family val="3"/>
      <charset val="136"/>
      <scheme val="minor"/>
    </font>
    <font>
      <sz val="11"/>
      <color rgb="FF222222"/>
      <name val="細明體"/>
      <family val="3"/>
      <charset val="136"/>
    </font>
    <font>
      <b/>
      <sz val="12"/>
      <color rgb="FF0000FF"/>
      <name val="新細明體"/>
      <family val="1"/>
      <charset val="136"/>
      <scheme val="minor"/>
    </font>
    <font>
      <sz val="9"/>
      <name val="新細明體"/>
      <family val="1"/>
      <charset val="136"/>
    </font>
    <font>
      <sz val="12"/>
      <color rgb="FFFF0000"/>
      <name val="新細明體"/>
      <family val="2"/>
      <scheme val="minor"/>
    </font>
    <font>
      <sz val="12"/>
      <color rgb="FFFF0000"/>
      <name val="新細明體"/>
      <family val="1"/>
      <charset val="136"/>
      <scheme val="minor"/>
    </font>
    <font>
      <b/>
      <sz val="12"/>
      <color theme="1"/>
      <name val="新細明體"/>
      <family val="1"/>
      <charset val="136"/>
      <scheme val="minor"/>
    </font>
    <font>
      <b/>
      <sz val="12"/>
      <color rgb="FFFF0000"/>
      <name val="新細明體"/>
      <family val="1"/>
      <charset val="136"/>
      <scheme val="minor"/>
    </font>
    <font>
      <b/>
      <sz val="12"/>
      <color rgb="FFCC00FF"/>
      <name val="新細明體"/>
      <family val="1"/>
      <charset val="136"/>
      <scheme val="minor"/>
    </font>
    <font>
      <b/>
      <sz val="14"/>
      <color rgb="FF0000FF"/>
      <name val="新細明體"/>
      <family val="1"/>
      <charset val="136"/>
      <scheme val="minor"/>
    </font>
    <font>
      <sz val="12"/>
      <color rgb="FF0000FF"/>
      <name val="新細明體"/>
      <family val="2"/>
      <scheme val="minor"/>
    </font>
    <font>
      <sz val="14"/>
      <color theme="1"/>
      <name val="新細明體"/>
      <family val="1"/>
      <charset val="136"/>
      <scheme val="minor"/>
    </font>
    <font>
      <sz val="11"/>
      <color rgb="FFFF0000"/>
      <name val="細明體"/>
      <family val="3"/>
      <charset val="136"/>
    </font>
    <font>
      <b/>
      <sz val="12"/>
      <color theme="1"/>
      <name val="新細明體"/>
      <family val="1"/>
      <charset val="136"/>
    </font>
    <font>
      <b/>
      <sz val="12"/>
      <name val="新細明體"/>
      <family val="1"/>
      <charset val="136"/>
    </font>
    <font>
      <b/>
      <sz val="12"/>
      <color theme="1"/>
      <name val="Times New Roman"/>
      <family val="1"/>
    </font>
    <font>
      <sz val="12"/>
      <color theme="1"/>
      <name val="Times New Roman"/>
      <family val="1"/>
    </font>
    <font>
      <b/>
      <sz val="12"/>
      <color rgb="FFFF0000"/>
      <name val="Times New Roman"/>
      <family val="1"/>
    </font>
    <font>
      <b/>
      <sz val="12"/>
      <name val="Times New Roman"/>
      <family val="1"/>
    </font>
    <font>
      <b/>
      <sz val="12"/>
      <color rgb="FF0000FF"/>
      <name val="Times New Roman"/>
      <family val="1"/>
    </font>
    <font>
      <b/>
      <sz val="14"/>
      <color rgb="FF0000FF"/>
      <name val="Times New Roman"/>
      <family val="1"/>
    </font>
    <font>
      <sz val="12"/>
      <color rgb="FFFF0000"/>
      <name val="Times New Roman"/>
      <family val="1"/>
    </font>
    <font>
      <sz val="12"/>
      <color rgb="FF0000FF"/>
      <name val="Times New Roman"/>
      <family val="1"/>
    </font>
    <font>
      <b/>
      <sz val="12"/>
      <color theme="1"/>
      <name val="Times New Roman"/>
      <family val="1"/>
      <charset val="136"/>
    </font>
    <font>
      <b/>
      <sz val="12"/>
      <name val="細明體"/>
      <family val="1"/>
      <charset val="136"/>
    </font>
    <font>
      <sz val="12"/>
      <color theme="1"/>
      <name val="新細明體"/>
      <family val="2"/>
      <charset val="136"/>
    </font>
    <font>
      <b/>
      <sz val="10"/>
      <color rgb="FFFF0000"/>
      <name val="Times New Roman"/>
      <family val="1"/>
    </font>
    <font>
      <sz val="12"/>
      <color theme="1"/>
      <name val="新細明體"/>
      <family val="1"/>
      <charset val="136"/>
    </font>
    <font>
      <b/>
      <sz val="12"/>
      <color theme="1"/>
      <name val="標楷體"/>
      <family val="4"/>
      <charset val="136"/>
    </font>
    <font>
      <b/>
      <sz val="12"/>
      <color rgb="FFFF0000"/>
      <name val="標楷體"/>
      <family val="4"/>
      <charset val="136"/>
    </font>
    <font>
      <b/>
      <sz val="12"/>
      <color rgb="FF0000FF"/>
      <name val="標楷體"/>
      <family val="4"/>
      <charset val="136"/>
    </font>
    <font>
      <b/>
      <sz val="10"/>
      <color rgb="FFFF0000"/>
      <name val="標楷體"/>
      <family val="4"/>
      <charset val="136"/>
    </font>
    <font>
      <b/>
      <sz val="12"/>
      <name val="標楷體"/>
      <family val="4"/>
      <charset val="136"/>
    </font>
    <font>
      <b/>
      <sz val="14"/>
      <color rgb="FF0000FF"/>
      <name val="標楷體"/>
      <family val="4"/>
      <charset val="136"/>
    </font>
    <font>
      <b/>
      <sz val="12"/>
      <color theme="1"/>
      <name val="Times New Roman"/>
      <family val="4"/>
    </font>
    <font>
      <b/>
      <sz val="12"/>
      <color theme="1"/>
      <name val="Times New Roman"/>
      <family val="4"/>
      <charset val="136"/>
    </font>
    <font>
      <b/>
      <sz val="12"/>
      <color theme="1"/>
      <name val="細明體"/>
      <family val="1"/>
      <charset val="136"/>
    </font>
    <font>
      <sz val="12"/>
      <name val="新細明體"/>
      <family val="2"/>
      <scheme val="minor"/>
    </font>
    <font>
      <b/>
      <sz val="12"/>
      <color rgb="FFFFFF66"/>
      <name val="細明體"/>
      <family val="1"/>
      <charset val="136"/>
    </font>
    <font>
      <sz val="12"/>
      <color theme="1"/>
      <name val="標楷體"/>
      <family val="4"/>
      <charset val="136"/>
    </font>
    <font>
      <b/>
      <sz val="12"/>
      <color theme="1"/>
      <name val="標楷體"/>
      <family val="1"/>
      <charset val="136"/>
    </font>
    <font>
      <sz val="9"/>
      <color rgb="FF000000"/>
      <name val="新細明體"/>
      <family val="1"/>
      <charset val="136"/>
    </font>
    <font>
      <sz val="9"/>
      <color rgb="FF000000"/>
      <name val="Microsoft JhengHei UI"/>
      <family val="2"/>
      <charset val="136"/>
    </font>
    <font>
      <sz val="12"/>
      <color theme="1"/>
      <name val="新細明體"/>
      <family val="1"/>
      <charset val="136"/>
      <scheme val="major"/>
    </font>
    <font>
      <b/>
      <sz val="12"/>
      <color rgb="FF0000FF"/>
      <name val="新細明體"/>
      <family val="1"/>
      <charset val="136"/>
      <scheme val="major"/>
    </font>
    <font>
      <sz val="12"/>
      <color theme="1"/>
      <name val="Microsoft JhengHei UI"/>
      <family val="2"/>
      <charset val="136"/>
    </font>
  </fonts>
  <fills count="1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gradientFill degree="270">
        <stop position="0">
          <color theme="0"/>
        </stop>
        <stop position="1">
          <color rgb="FFCCFFFF"/>
        </stop>
      </gradientFill>
    </fill>
    <fill>
      <gradientFill degree="270">
        <stop position="0">
          <color theme="0"/>
        </stop>
        <stop position="1">
          <color rgb="FFCCFFCC"/>
        </stop>
      </gradientFill>
    </fill>
    <fill>
      <gradientFill degree="270">
        <stop position="0">
          <color theme="0"/>
        </stop>
        <stop position="1">
          <color rgb="FFFFFFCC"/>
        </stop>
      </gradientFill>
    </fill>
    <fill>
      <gradientFill degree="270">
        <stop position="0">
          <color theme="0"/>
        </stop>
        <stop position="1">
          <color rgb="FFFFCCFF"/>
        </stop>
      </gradientFill>
    </fill>
    <fill>
      <gradientFill degree="270">
        <stop position="0">
          <color theme="0"/>
        </stop>
        <stop position="1">
          <color rgb="FFFFCC00"/>
        </stop>
      </gradientFill>
    </fill>
    <fill>
      <patternFill patternType="solid">
        <fgColor rgb="FFFFD757"/>
        <bgColor indexed="64"/>
      </patternFill>
    </fill>
    <fill>
      <patternFill patternType="solid">
        <fgColor rgb="FF99FF9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ck">
        <color indexed="64"/>
      </left>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s>
  <cellStyleXfs count="1">
    <xf numFmtId="0" fontId="0" fillId="0" borderId="0"/>
  </cellStyleXfs>
  <cellXfs count="230">
    <xf numFmtId="0" fontId="0" fillId="0" borderId="0" xfId="0"/>
    <xf numFmtId="0" fontId="0" fillId="0" borderId="0" xfId="0" applyAlignment="1">
      <alignment horizontal="center"/>
    </xf>
    <xf numFmtId="0" fontId="2" fillId="0" borderId="0" xfId="0" applyFont="1" applyAlignment="1">
      <alignment horizont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Border="1"/>
    <xf numFmtId="0" fontId="0" fillId="0" borderId="1" xfId="0" applyBorder="1" applyAlignment="1">
      <alignment horizontal="center"/>
    </xf>
    <xf numFmtId="176" fontId="3" fillId="0" borderId="1" xfId="0" applyNumberFormat="1" applyFont="1" applyBorder="1" applyAlignment="1">
      <alignment horizontal="right" vertical="center"/>
    </xf>
    <xf numFmtId="0" fontId="0" fillId="0" borderId="1" xfId="0" applyBorder="1" applyAlignment="1">
      <alignment horizontal="right" vertical="center"/>
    </xf>
    <xf numFmtId="0" fontId="7" fillId="0" borderId="0" xfId="0" applyFont="1"/>
    <xf numFmtId="176" fontId="3" fillId="3" borderId="1" xfId="0" applyNumberFormat="1" applyFont="1" applyFill="1" applyBorder="1" applyAlignment="1">
      <alignment horizontal="right" vertical="center"/>
    </xf>
    <xf numFmtId="176" fontId="10" fillId="0" borderId="1" xfId="0" applyNumberFormat="1" applyFont="1" applyBorder="1" applyAlignment="1">
      <alignment horizontal="right" vertical="center"/>
    </xf>
    <xf numFmtId="0" fontId="11" fillId="0" borderId="1" xfId="0" applyFont="1" applyBorder="1" applyAlignment="1">
      <alignment horizontal="center"/>
    </xf>
    <xf numFmtId="176" fontId="3" fillId="0" borderId="1" xfId="0" applyNumberFormat="1" applyFont="1" applyBorder="1"/>
    <xf numFmtId="0" fontId="3" fillId="0" borderId="1" xfId="0" applyFont="1" applyBorder="1"/>
    <xf numFmtId="0" fontId="11" fillId="0" borderId="1" xfId="0" applyFont="1" applyBorder="1" applyAlignment="1">
      <alignment horizontal="center" vertical="center"/>
    </xf>
    <xf numFmtId="0" fontId="0" fillId="2" borderId="1" xfId="0" applyFill="1" applyBorder="1" applyAlignment="1">
      <alignment horizontal="center" vertical="center" wrapText="1"/>
    </xf>
    <xf numFmtId="0" fontId="5" fillId="0" borderId="0" xfId="0" applyFont="1"/>
    <xf numFmtId="0" fontId="0" fillId="0" borderId="4" xfId="0" applyBorder="1" applyAlignment="1">
      <alignment horizontal="center" vertical="center"/>
    </xf>
    <xf numFmtId="176" fontId="10" fillId="5" borderId="1" xfId="0" applyNumberFormat="1" applyFont="1" applyFill="1" applyBorder="1" applyAlignment="1">
      <alignment horizontal="right" vertical="center"/>
    </xf>
    <xf numFmtId="176" fontId="10" fillId="6" borderId="1" xfId="0" applyNumberFormat="1" applyFont="1" applyFill="1" applyBorder="1" applyAlignment="1">
      <alignment horizontal="right" vertical="center"/>
    </xf>
    <xf numFmtId="176" fontId="3" fillId="0" borderId="1" xfId="0" applyNumberFormat="1" applyFont="1" applyBorder="1" applyAlignment="1">
      <alignment horizontal="center"/>
    </xf>
    <xf numFmtId="176" fontId="3" fillId="6" borderId="1" xfId="0" applyNumberFormat="1" applyFont="1" applyFill="1" applyBorder="1" applyAlignment="1">
      <alignment horizontal="right"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176" fontId="3" fillId="5" borderId="1" xfId="0" applyNumberFormat="1" applyFont="1" applyFill="1" applyBorder="1" applyAlignment="1">
      <alignment horizontal="right" vertical="center"/>
    </xf>
    <xf numFmtId="0" fontId="12" fillId="0" borderId="1" xfId="0" applyFont="1" applyBorder="1" applyAlignment="1">
      <alignment horizontal="center" vertical="center"/>
    </xf>
    <xf numFmtId="0" fontId="12" fillId="0" borderId="0" xfId="0" applyFont="1"/>
    <xf numFmtId="0" fontId="13" fillId="0" borderId="0" xfId="0" applyFont="1" applyAlignment="1">
      <alignment horizontal="center"/>
    </xf>
    <xf numFmtId="0" fontId="5" fillId="0" borderId="0" xfId="0" applyFont="1" applyAlignment="1">
      <alignment horizontal="center"/>
    </xf>
    <xf numFmtId="0" fontId="7" fillId="5" borderId="0" xfId="0" applyFont="1" applyFill="1"/>
    <xf numFmtId="0" fontId="0" fillId="5" borderId="0" xfId="0" applyFill="1"/>
    <xf numFmtId="0" fontId="16" fillId="7" borderId="0" xfId="0" applyFont="1" applyFill="1"/>
    <xf numFmtId="0" fontId="17" fillId="7" borderId="0" xfId="0" applyFont="1" applyFill="1"/>
    <xf numFmtId="0" fontId="17" fillId="0" borderId="0" xfId="0" applyFont="1"/>
    <xf numFmtId="0" fontId="16" fillId="7" borderId="0" xfId="0" applyFont="1" applyFill="1" applyProtection="1">
      <protection locked="0"/>
    </xf>
    <xf numFmtId="0" fontId="17" fillId="7" borderId="0" xfId="0" applyFont="1" applyFill="1" applyAlignment="1">
      <alignment vertical="center"/>
    </xf>
    <xf numFmtId="0" fontId="18" fillId="7" borderId="0" xfId="0" applyFont="1" applyFill="1"/>
    <xf numFmtId="176" fontId="20" fillId="0" borderId="1" xfId="0" applyNumberFormat="1" applyFont="1" applyBorder="1" applyAlignment="1">
      <alignment horizontal="right" vertical="center"/>
    </xf>
    <xf numFmtId="0" fontId="16" fillId="0" borderId="0" xfId="0" applyFont="1"/>
    <xf numFmtId="0" fontId="16" fillId="7" borderId="0" xfId="0" applyFont="1" applyFill="1" applyAlignment="1">
      <alignment vertical="center"/>
    </xf>
    <xf numFmtId="0" fontId="22" fillId="7" borderId="0" xfId="0" applyFont="1" applyFill="1" applyProtection="1">
      <protection locked="0" hidden="1"/>
    </xf>
    <xf numFmtId="0" fontId="23" fillId="7" borderId="0" xfId="0" applyFont="1" applyFill="1" applyProtection="1">
      <protection locked="0" hidden="1"/>
    </xf>
    <xf numFmtId="0" fontId="17" fillId="7" borderId="0" xfId="0" applyFont="1" applyFill="1" applyProtection="1">
      <protection locked="0"/>
    </xf>
    <xf numFmtId="0" fontId="16" fillId="7" borderId="0" xfId="0" applyFont="1" applyFill="1" applyAlignment="1">
      <alignment horizontal="left" vertical="center"/>
    </xf>
    <xf numFmtId="0" fontId="16" fillId="7" borderId="0" xfId="0" applyFont="1" applyFill="1" applyAlignment="1" applyProtection="1">
      <alignment horizontal="center"/>
      <protection locked="0"/>
    </xf>
    <xf numFmtId="0" fontId="18" fillId="7" borderId="1" xfId="0" applyFont="1" applyFill="1" applyBorder="1" applyAlignment="1" applyProtection="1">
      <alignment vertical="center"/>
      <protection locked="0"/>
    </xf>
    <xf numFmtId="0" fontId="17" fillId="0" borderId="0" xfId="0" applyFont="1" applyAlignment="1">
      <alignment vertical="center"/>
    </xf>
    <xf numFmtId="0" fontId="16" fillId="7" borderId="0" xfId="0" applyFont="1" applyFill="1" applyAlignment="1" applyProtection="1">
      <alignment vertical="center"/>
      <protection locked="0"/>
    </xf>
    <xf numFmtId="0" fontId="19" fillId="7" borderId="0" xfId="0" applyFont="1" applyFill="1" applyAlignment="1">
      <alignment vertical="center"/>
    </xf>
    <xf numFmtId="0" fontId="24" fillId="7" borderId="0" xfId="0" applyFont="1" applyFill="1" applyAlignment="1">
      <alignment vertical="center"/>
    </xf>
    <xf numFmtId="0" fontId="26" fillId="0" borderId="1" xfId="0" applyFont="1" applyBorder="1" applyAlignment="1">
      <alignment horizontal="center" vertical="center"/>
    </xf>
    <xf numFmtId="0" fontId="16" fillId="7" borderId="1" xfId="0" applyFont="1" applyFill="1" applyBorder="1" applyAlignment="1" applyProtection="1">
      <alignment vertical="center"/>
      <protection locked="0"/>
    </xf>
    <xf numFmtId="0" fontId="16" fillId="0" borderId="1" xfId="0" applyFont="1" applyBorder="1" applyProtection="1">
      <protection locked="0"/>
    </xf>
    <xf numFmtId="0" fontId="16" fillId="0" borderId="1" xfId="0" applyFont="1" applyBorder="1" applyAlignment="1" applyProtection="1">
      <alignment horizontal="right" vertical="center"/>
      <protection locked="0"/>
    </xf>
    <xf numFmtId="176" fontId="21" fillId="10" borderId="1" xfId="0" applyNumberFormat="1" applyFont="1" applyFill="1" applyBorder="1" applyAlignment="1" applyProtection="1">
      <alignment horizontal="right" vertical="center"/>
      <protection locked="0"/>
    </xf>
    <xf numFmtId="176" fontId="21" fillId="11" borderId="1" xfId="0" applyNumberFormat="1" applyFont="1" applyFill="1" applyBorder="1" applyAlignment="1" applyProtection="1">
      <alignment horizontal="right" vertical="center"/>
      <protection locked="0"/>
    </xf>
    <xf numFmtId="176" fontId="21" fillId="0" borderId="1" xfId="0" applyNumberFormat="1" applyFont="1" applyBorder="1" applyAlignment="1" applyProtection="1">
      <alignment horizontal="right" vertical="center"/>
      <protection locked="0"/>
    </xf>
    <xf numFmtId="176" fontId="21" fillId="9" borderId="1" xfId="0" applyNumberFormat="1" applyFont="1" applyFill="1" applyBorder="1" applyAlignment="1" applyProtection="1">
      <alignment horizontal="right" vertical="center"/>
      <protection locked="0"/>
    </xf>
    <xf numFmtId="176" fontId="21" fillId="8" borderId="1" xfId="0" applyNumberFormat="1" applyFont="1" applyFill="1" applyBorder="1" applyAlignment="1" applyProtection="1">
      <alignment horizontal="right" vertical="center"/>
      <protection locked="0"/>
    </xf>
    <xf numFmtId="0" fontId="16" fillId="0" borderId="1" xfId="0" applyFont="1" applyBorder="1" applyAlignment="1" applyProtection="1">
      <alignment horizontal="center" vertical="center"/>
      <protection locked="0"/>
    </xf>
    <xf numFmtId="176" fontId="21" fillId="12" borderId="1" xfId="0" applyNumberFormat="1" applyFont="1" applyFill="1" applyBorder="1" applyAlignment="1" applyProtection="1">
      <alignment horizontal="right" vertical="center"/>
      <protection locked="0"/>
    </xf>
    <xf numFmtId="176" fontId="19" fillId="0" borderId="1" xfId="0" applyNumberFormat="1" applyFont="1" applyBorder="1" applyAlignment="1">
      <alignment horizontal="right" vertical="center"/>
    </xf>
    <xf numFmtId="0" fontId="17" fillId="7" borderId="0" xfId="0" applyFont="1" applyFill="1" applyAlignment="1">
      <alignment vertical="top"/>
    </xf>
    <xf numFmtId="0" fontId="17" fillId="0" borderId="0" xfId="0" applyFont="1" applyAlignment="1">
      <alignment vertical="top"/>
    </xf>
    <xf numFmtId="0" fontId="2" fillId="0" borderId="0" xfId="0" applyFont="1" applyAlignment="1">
      <alignment horizontal="center" vertical="center"/>
    </xf>
    <xf numFmtId="0" fontId="29" fillId="0" borderId="1" xfId="0" applyFont="1" applyBorder="1" applyAlignment="1" applyProtection="1">
      <alignment horizontal="center" vertical="center"/>
      <protection locked="0"/>
    </xf>
    <xf numFmtId="0" fontId="34" fillId="7" borderId="0" xfId="0" applyFont="1" applyFill="1" applyAlignment="1">
      <alignment vertical="center"/>
    </xf>
    <xf numFmtId="0" fontId="3" fillId="0" borderId="0" xfId="0" applyFont="1" applyAlignment="1">
      <alignment horizontal="center"/>
    </xf>
    <xf numFmtId="0" fontId="30" fillId="7" borderId="1" xfId="0" applyFont="1" applyFill="1" applyBorder="1" applyAlignment="1" applyProtection="1">
      <alignment horizontal="center" vertical="center"/>
      <protection locked="0"/>
    </xf>
    <xf numFmtId="0" fontId="0" fillId="2" borderId="2" xfId="0" applyFill="1" applyBorder="1" applyAlignment="1">
      <alignment horizontal="center" vertical="center"/>
    </xf>
    <xf numFmtId="176" fontId="11" fillId="0" borderId="1" xfId="0" applyNumberFormat="1" applyFont="1" applyBorder="1" applyAlignment="1">
      <alignment horizontal="center"/>
    </xf>
    <xf numFmtId="0" fontId="0" fillId="0" borderId="0" xfId="0" applyAlignment="1">
      <alignment vertical="center"/>
    </xf>
    <xf numFmtId="0" fontId="0" fillId="2" borderId="2" xfId="0" applyFill="1" applyBorder="1" applyAlignment="1">
      <alignment horizontal="left" vertical="center"/>
    </xf>
    <xf numFmtId="0" fontId="0" fillId="0" borderId="0" xfId="0" applyAlignment="1">
      <alignment horizontal="right" vertical="center"/>
    </xf>
    <xf numFmtId="176" fontId="10" fillId="0" borderId="0" xfId="0" applyNumberFormat="1" applyFont="1" applyAlignment="1">
      <alignment horizontal="right" vertical="center"/>
    </xf>
    <xf numFmtId="176" fontId="3" fillId="0" borderId="0" xfId="0" applyNumberFormat="1" applyFont="1" applyAlignment="1">
      <alignment horizontal="right" vertical="center"/>
    </xf>
    <xf numFmtId="0" fontId="0" fillId="0" borderId="0" xfId="0" applyAlignment="1">
      <alignment horizontal="center" vertical="center"/>
    </xf>
    <xf numFmtId="176" fontId="3" fillId="14" borderId="1" xfId="0" applyNumberFormat="1" applyFont="1" applyFill="1" applyBorder="1" applyAlignment="1">
      <alignment horizontal="right" vertical="center"/>
    </xf>
    <xf numFmtId="176" fontId="3" fillId="5" borderId="4" xfId="0" applyNumberFormat="1" applyFont="1" applyFill="1" applyBorder="1" applyAlignment="1">
      <alignment horizontal="right" vertical="center"/>
    </xf>
    <xf numFmtId="176" fontId="3" fillId="5" borderId="9" xfId="0" applyNumberFormat="1" applyFont="1" applyFill="1" applyBorder="1" applyAlignment="1">
      <alignment horizontal="right" vertical="center"/>
    </xf>
    <xf numFmtId="0" fontId="0" fillId="0" borderId="2" xfId="0" applyBorder="1" applyAlignment="1">
      <alignment horizontal="center" vertical="center"/>
    </xf>
    <xf numFmtId="0" fontId="38" fillId="0" borderId="1" xfId="0" applyFont="1" applyBorder="1" applyAlignment="1">
      <alignment horizontal="center"/>
    </xf>
    <xf numFmtId="176" fontId="10" fillId="5" borderId="0" xfId="0" applyNumberFormat="1" applyFont="1" applyFill="1" applyAlignment="1">
      <alignment horizontal="right" vertical="center"/>
    </xf>
    <xf numFmtId="0" fontId="11" fillId="0" borderId="0" xfId="0" applyFont="1" applyAlignment="1">
      <alignment horizontal="center" vertical="center"/>
    </xf>
    <xf numFmtId="0" fontId="11" fillId="0" borderId="0" xfId="0" applyFont="1" applyAlignment="1">
      <alignment horizontal="center"/>
    </xf>
    <xf numFmtId="176" fontId="10" fillId="6" borderId="0" xfId="0" applyNumberFormat="1" applyFont="1" applyFill="1" applyAlignment="1">
      <alignment horizontal="right" vertical="center"/>
    </xf>
    <xf numFmtId="0" fontId="12" fillId="0" borderId="0" xfId="0" applyFont="1" applyAlignment="1">
      <alignment horizontal="center" vertical="center"/>
    </xf>
    <xf numFmtId="177" fontId="11" fillId="0" borderId="1" xfId="0" applyNumberFormat="1" applyFont="1" applyBorder="1" applyAlignment="1">
      <alignment horizontal="center"/>
    </xf>
    <xf numFmtId="177" fontId="0" fillId="0" borderId="1" xfId="0" applyNumberFormat="1" applyBorder="1"/>
    <xf numFmtId="177" fontId="0" fillId="0" borderId="0" xfId="0" applyNumberFormat="1"/>
    <xf numFmtId="177" fontId="0" fillId="2" borderId="2" xfId="0" applyNumberFormat="1" applyFill="1" applyBorder="1" applyAlignment="1">
      <alignment horizontal="left" vertical="center"/>
    </xf>
    <xf numFmtId="177" fontId="0" fillId="2" borderId="2" xfId="0" applyNumberFormat="1" applyFill="1" applyBorder="1" applyAlignment="1">
      <alignment horizontal="center" vertical="center"/>
    </xf>
    <xf numFmtId="177" fontId="0" fillId="2" borderId="1" xfId="0" applyNumberFormat="1" applyFill="1" applyBorder="1" applyAlignment="1">
      <alignment horizontal="center" vertical="center"/>
    </xf>
    <xf numFmtId="176" fontId="10" fillId="5" borderId="4" xfId="0" applyNumberFormat="1" applyFont="1" applyFill="1" applyBorder="1" applyAlignment="1">
      <alignment horizontal="right" vertical="center"/>
    </xf>
    <xf numFmtId="176" fontId="3" fillId="5" borderId="16" xfId="0" applyNumberFormat="1" applyFont="1" applyFill="1" applyBorder="1" applyAlignment="1">
      <alignment horizontal="right" vertical="center"/>
    </xf>
    <xf numFmtId="176" fontId="10" fillId="5" borderId="10" xfId="0" applyNumberFormat="1" applyFont="1" applyFill="1" applyBorder="1" applyAlignment="1">
      <alignment horizontal="right" vertical="center"/>
    </xf>
    <xf numFmtId="176" fontId="10" fillId="5" borderId="17" xfId="0" applyNumberFormat="1" applyFont="1" applyFill="1" applyBorder="1" applyAlignment="1">
      <alignment horizontal="right" vertical="center"/>
    </xf>
    <xf numFmtId="176" fontId="20" fillId="0" borderId="1" xfId="0" applyNumberFormat="1" applyFont="1" applyBorder="1" applyAlignment="1" applyProtection="1">
      <alignment horizontal="right" vertical="center"/>
      <protection locked="0"/>
    </xf>
    <xf numFmtId="0" fontId="36" fillId="8" borderId="1" xfId="0" applyFont="1" applyFill="1" applyBorder="1" applyAlignment="1" applyProtection="1">
      <alignment horizontal="center" vertical="center" wrapText="1"/>
      <protection locked="0"/>
    </xf>
    <xf numFmtId="0" fontId="16" fillId="8" borderId="1" xfId="0" applyFont="1" applyFill="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0" fontId="29" fillId="7" borderId="0" xfId="0" applyFont="1" applyFill="1" applyAlignment="1" applyProtection="1">
      <alignment vertical="center"/>
      <protection locked="0"/>
    </xf>
    <xf numFmtId="0" fontId="29" fillId="7" borderId="0" xfId="0" applyFont="1" applyFill="1" applyAlignment="1" applyProtection="1">
      <alignment horizontal="left" vertical="center"/>
      <protection locked="0"/>
    </xf>
    <xf numFmtId="0" fontId="31" fillId="7" borderId="0" xfId="0" applyFont="1" applyFill="1" applyAlignment="1" applyProtection="1">
      <alignment vertical="center"/>
      <protection locked="0"/>
    </xf>
    <xf numFmtId="0" fontId="33" fillId="7" borderId="0" xfId="0" applyFont="1" applyFill="1" applyAlignment="1" applyProtection="1">
      <alignment vertical="center"/>
      <protection locked="0"/>
    </xf>
    <xf numFmtId="0" fontId="29" fillId="9" borderId="0" xfId="0" applyFont="1" applyFill="1" applyAlignment="1" applyProtection="1">
      <alignment vertical="top"/>
      <protection locked="0"/>
    </xf>
    <xf numFmtId="0" fontId="16" fillId="9" borderId="0" xfId="0" applyFont="1" applyFill="1" applyAlignment="1" applyProtection="1">
      <alignment vertical="top"/>
      <protection locked="0"/>
    </xf>
    <xf numFmtId="0" fontId="36" fillId="10" borderId="1" xfId="0" applyFont="1" applyFill="1" applyBorder="1" applyAlignment="1" applyProtection="1">
      <alignment horizontal="center" vertical="center" wrapText="1"/>
      <protection locked="0"/>
    </xf>
    <xf numFmtId="0" fontId="16" fillId="10" borderId="1" xfId="0" applyFont="1" applyFill="1" applyBorder="1" applyAlignment="1" applyProtection="1">
      <alignment horizontal="center" vertical="center"/>
      <protection locked="0"/>
    </xf>
    <xf numFmtId="0" fontId="17" fillId="0" borderId="0" xfId="0" applyFont="1" applyProtection="1">
      <protection locked="0"/>
    </xf>
    <xf numFmtId="0" fontId="17" fillId="7" borderId="0" xfId="0" applyFont="1" applyFill="1" applyAlignment="1" applyProtection="1">
      <alignment vertical="top"/>
      <protection locked="0"/>
    </xf>
    <xf numFmtId="0" fontId="17" fillId="0" borderId="0" xfId="0" applyFont="1" applyAlignment="1" applyProtection="1">
      <alignment vertical="top"/>
      <protection locked="0"/>
    </xf>
    <xf numFmtId="0" fontId="17" fillId="7" borderId="0" xfId="0" applyFont="1" applyFill="1" applyAlignment="1" applyProtection="1">
      <alignment vertical="center"/>
      <protection locked="0"/>
    </xf>
    <xf numFmtId="0" fontId="17" fillId="0" borderId="0" xfId="0" applyFont="1" applyAlignment="1" applyProtection="1">
      <alignment vertical="center"/>
      <protection locked="0"/>
    </xf>
    <xf numFmtId="0" fontId="39" fillId="7" borderId="0" xfId="0" applyFont="1" applyFill="1" applyAlignment="1" applyProtection="1">
      <alignment vertical="top"/>
      <protection locked="0"/>
    </xf>
    <xf numFmtId="0" fontId="29" fillId="7" borderId="2" xfId="0" applyFont="1" applyFill="1" applyBorder="1" applyAlignment="1" applyProtection="1">
      <alignment horizontal="center" vertical="center"/>
      <protection locked="0"/>
    </xf>
    <xf numFmtId="0" fontId="16" fillId="7" borderId="2"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27" fillId="7" borderId="3" xfId="0" applyFont="1" applyFill="1" applyBorder="1" applyAlignment="1" applyProtection="1">
      <alignment horizontal="center" vertical="center" shrinkToFit="1"/>
      <protection locked="0"/>
    </xf>
    <xf numFmtId="0" fontId="16" fillId="7" borderId="1" xfId="0" applyFont="1" applyFill="1" applyBorder="1" applyAlignment="1" applyProtection="1">
      <alignment horizontal="center" vertical="center" shrinkToFit="1"/>
      <protection locked="0"/>
    </xf>
    <xf numFmtId="0" fontId="29" fillId="7" borderId="1" xfId="0" applyFont="1" applyFill="1" applyBorder="1" applyAlignment="1" applyProtection="1">
      <alignment horizontal="center" vertical="center" shrinkToFit="1"/>
      <protection locked="0"/>
    </xf>
    <xf numFmtId="0" fontId="0" fillId="14" borderId="1" xfId="0" applyFill="1" applyBorder="1" applyAlignment="1">
      <alignment horizontal="center" vertical="center"/>
    </xf>
    <xf numFmtId="176" fontId="30" fillId="7" borderId="1" xfId="0" applyNumberFormat="1" applyFont="1" applyFill="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0" fillId="3" borderId="0" xfId="0" applyFill="1"/>
    <xf numFmtId="176" fontId="21" fillId="0" borderId="1" xfId="0" applyNumberFormat="1" applyFont="1" applyBorder="1" applyAlignment="1" applyProtection="1">
      <alignment horizontal="center" vertical="center"/>
      <protection locked="0"/>
    </xf>
    <xf numFmtId="0" fontId="29" fillId="7" borderId="1" xfId="0" applyFont="1" applyFill="1" applyBorder="1" applyAlignment="1" applyProtection="1">
      <alignment horizontal="center" vertical="center"/>
      <protection locked="0"/>
    </xf>
    <xf numFmtId="176" fontId="31" fillId="7" borderId="1" xfId="0" applyNumberFormat="1" applyFont="1" applyFill="1" applyBorder="1" applyAlignment="1" applyProtection="1">
      <alignment horizontal="center" vertical="center"/>
      <protection locked="0"/>
    </xf>
    <xf numFmtId="0" fontId="31" fillId="0" borderId="0" xfId="0" applyFont="1"/>
    <xf numFmtId="0" fontId="46" fillId="0" borderId="0" xfId="0" applyFont="1"/>
    <xf numFmtId="0" fontId="37" fillId="7" borderId="0" xfId="0" applyFont="1" applyFill="1" applyAlignment="1" applyProtection="1">
      <alignment vertical="center"/>
      <protection locked="0"/>
    </xf>
    <xf numFmtId="0" fontId="40" fillId="7" borderId="0" xfId="0" applyFont="1" applyFill="1"/>
    <xf numFmtId="0" fontId="29" fillId="7" borderId="0" xfId="0" applyFont="1" applyFill="1" applyAlignment="1">
      <alignment vertical="center"/>
    </xf>
    <xf numFmtId="0" fontId="40" fillId="7" borderId="0" xfId="0" applyFont="1" applyFill="1" applyAlignment="1">
      <alignment vertical="center"/>
    </xf>
    <xf numFmtId="0" fontId="40" fillId="0" borderId="0" xfId="0" applyFont="1" applyAlignment="1">
      <alignment vertical="center"/>
    </xf>
    <xf numFmtId="0" fontId="29" fillId="7" borderId="0" xfId="0" applyFont="1" applyFill="1" applyProtection="1">
      <protection locked="0"/>
    </xf>
    <xf numFmtId="0" fontId="29" fillId="7" borderId="0" xfId="0" applyFont="1" applyFill="1" applyAlignment="1" applyProtection="1">
      <alignment horizontal="center"/>
      <protection locked="0"/>
    </xf>
    <xf numFmtId="0" fontId="40" fillId="0" borderId="0" xfId="0" applyFont="1"/>
    <xf numFmtId="0" fontId="16" fillId="7" borderId="1" xfId="0" applyFont="1" applyFill="1" applyBorder="1" applyProtection="1">
      <protection locked="0"/>
    </xf>
    <xf numFmtId="0" fontId="20" fillId="0" borderId="1" xfId="0" applyFont="1" applyBorder="1" applyAlignment="1" applyProtection="1">
      <alignment horizontal="center" vertical="center"/>
      <protection locked="0"/>
    </xf>
    <xf numFmtId="0" fontId="8" fillId="0" borderId="0" xfId="0" applyFont="1"/>
    <xf numFmtId="0" fontId="0" fillId="0" borderId="0" xfId="0"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16" fillId="10" borderId="1" xfId="0" applyFont="1" applyFill="1" applyBorder="1" applyAlignment="1" applyProtection="1">
      <alignment horizontal="center" vertical="center" wrapText="1"/>
      <protection locked="0"/>
    </xf>
    <xf numFmtId="0" fontId="16" fillId="10" borderId="1" xfId="0" applyFont="1" applyFill="1" applyBorder="1" applyAlignment="1" applyProtection="1">
      <alignment horizontal="center" vertical="center"/>
      <protection locked="0"/>
    </xf>
    <xf numFmtId="0" fontId="7" fillId="2" borderId="4"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16" fillId="8" borderId="1" xfId="0" applyFont="1" applyFill="1" applyBorder="1" applyAlignment="1" applyProtection="1">
      <alignment horizontal="center" vertical="center"/>
      <protection locked="0"/>
    </xf>
    <xf numFmtId="0" fontId="16" fillId="8" borderId="4" xfId="0" applyFont="1" applyFill="1" applyBorder="1" applyAlignment="1" applyProtection="1">
      <alignment horizontal="center" vertical="center" wrapText="1"/>
      <protection locked="0"/>
    </xf>
    <xf numFmtId="0" fontId="16" fillId="8" borderId="5" xfId="0" applyFont="1" applyFill="1" applyBorder="1" applyAlignment="1" applyProtection="1">
      <alignment horizontal="center" vertical="center" wrapText="1"/>
      <protection locked="0"/>
    </xf>
    <xf numFmtId="0" fontId="16" fillId="8" borderId="6" xfId="0" applyFont="1" applyFill="1" applyBorder="1" applyAlignment="1" applyProtection="1">
      <alignment horizontal="center" vertical="center" wrapText="1"/>
      <protection locked="0"/>
    </xf>
    <xf numFmtId="0" fontId="36" fillId="10" borderId="1" xfId="0" applyFont="1" applyFill="1" applyBorder="1" applyAlignment="1" applyProtection="1">
      <alignment horizontal="center" vertical="center" wrapText="1"/>
      <protection locked="0"/>
    </xf>
    <xf numFmtId="0" fontId="29" fillId="10" borderId="1" xfId="0" applyFont="1" applyFill="1" applyBorder="1" applyAlignment="1" applyProtection="1">
      <alignment horizontal="center" vertical="center" wrapText="1"/>
      <protection locked="0"/>
    </xf>
    <xf numFmtId="0" fontId="29" fillId="10"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0" fontId="16" fillId="7" borderId="1" xfId="0" applyFont="1" applyFill="1" applyBorder="1" applyAlignment="1" applyProtection="1">
      <alignment vertical="center"/>
      <protection locked="0"/>
    </xf>
    <xf numFmtId="0" fontId="36" fillId="10" borderId="2" xfId="0" applyFont="1" applyFill="1" applyBorder="1" applyAlignment="1" applyProtection="1">
      <alignment horizontal="center" vertical="center" wrapText="1"/>
      <protection locked="0"/>
    </xf>
    <xf numFmtId="0" fontId="16" fillId="10" borderId="3" xfId="0" applyFont="1" applyFill="1" applyBorder="1" applyAlignment="1" applyProtection="1">
      <alignment horizontal="center" vertical="center"/>
      <protection locked="0"/>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7" xfId="0" applyFill="1" applyBorder="1" applyAlignment="1">
      <alignment horizontal="center" vertical="center" wrapText="1"/>
    </xf>
    <xf numFmtId="0" fontId="0" fillId="5" borderId="8" xfId="0" applyFill="1" applyBorder="1" applyAlignment="1">
      <alignment horizontal="center" vertical="center" wrapText="1"/>
    </xf>
    <xf numFmtId="0" fontId="5" fillId="5" borderId="1" xfId="0" applyFont="1" applyFill="1" applyBorder="1" applyAlignment="1">
      <alignment horizontal="center" wrapText="1"/>
    </xf>
    <xf numFmtId="0" fontId="6" fillId="5" borderId="1" xfId="0" applyFont="1" applyFill="1" applyBorder="1" applyAlignment="1">
      <alignment horizontal="center" wrapText="1"/>
    </xf>
    <xf numFmtId="0" fontId="6" fillId="5" borderId="2" xfId="0" applyFont="1" applyFill="1" applyBorder="1" applyAlignment="1">
      <alignment horizontal="center" wrapText="1"/>
    </xf>
    <xf numFmtId="0" fontId="0" fillId="0" borderId="2" xfId="0" applyBorder="1" applyAlignment="1">
      <alignment horizontal="center" wrapText="1"/>
    </xf>
    <xf numFmtId="0" fontId="0" fillId="0" borderId="1" xfId="0" applyBorder="1" applyAlignment="1">
      <alignment horizontal="center" wrapText="1"/>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wrapText="1"/>
    </xf>
    <xf numFmtId="0" fontId="0" fillId="6" borderId="1" xfId="0" applyFill="1" applyBorder="1" applyAlignment="1">
      <alignment horizontal="center" vertical="center"/>
    </xf>
    <xf numFmtId="0" fontId="0" fillId="4" borderId="1" xfId="0" applyFill="1" applyBorder="1" applyAlignment="1">
      <alignment horizontal="center"/>
    </xf>
    <xf numFmtId="0" fontId="0" fillId="0" borderId="1" xfId="0" applyBorder="1" applyAlignment="1">
      <alignment horizontal="center"/>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0" borderId="4"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0" fillId="2" borderId="1" xfId="0" applyFill="1" applyBorder="1" applyAlignment="1">
      <alignment horizontal="center" vertical="center"/>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5" xfId="0" applyFill="1" applyBorder="1" applyAlignment="1">
      <alignment horizontal="center" vertical="center"/>
    </xf>
    <xf numFmtId="0" fontId="26" fillId="0" borderId="4" xfId="0" applyFont="1" applyBorder="1" applyAlignment="1">
      <alignment horizontal="center"/>
    </xf>
    <xf numFmtId="0" fontId="0" fillId="0" borderId="6" xfId="0" applyBorder="1"/>
    <xf numFmtId="0" fontId="0" fillId="6" borderId="1" xfId="0" applyFill="1" applyBorder="1" applyAlignment="1">
      <alignment horizontal="center" vertical="center" wrapText="1"/>
    </xf>
    <xf numFmtId="0" fontId="0" fillId="2" borderId="1" xfId="0" applyFill="1" applyBorder="1" applyAlignment="1">
      <alignment horizontal="center" vertical="center" wrapText="1"/>
    </xf>
    <xf numFmtId="0" fontId="0" fillId="13" borderId="4" xfId="0" applyFill="1" applyBorder="1" applyAlignment="1">
      <alignment horizontal="center"/>
    </xf>
    <xf numFmtId="0" fontId="0" fillId="13" borderId="5" xfId="0" applyFill="1" applyBorder="1" applyAlignment="1">
      <alignment horizontal="center"/>
    </xf>
    <xf numFmtId="0" fontId="0" fillId="13" borderId="5" xfId="0" applyFill="1" applyBorder="1"/>
    <xf numFmtId="0" fontId="16" fillId="7" borderId="4" xfId="0" applyFont="1" applyFill="1" applyBorder="1" applyAlignment="1" applyProtection="1">
      <alignment horizontal="center" vertical="center"/>
      <protection locked="0"/>
    </xf>
    <xf numFmtId="0" fontId="16" fillId="7" borderId="6" xfId="0" applyFont="1" applyFill="1" applyBorder="1" applyAlignment="1" applyProtection="1">
      <alignment horizontal="center" vertical="center"/>
      <protection locked="0"/>
    </xf>
    <xf numFmtId="0" fontId="16" fillId="7" borderId="2" xfId="0" applyFont="1" applyFill="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29" fillId="7" borderId="2" xfId="0" applyFont="1" applyFill="1" applyBorder="1" applyProtection="1">
      <protection locked="0"/>
    </xf>
    <xf numFmtId="0" fontId="40" fillId="0" borderId="3" xfId="0" applyFont="1" applyBorder="1" applyProtection="1">
      <protection locked="0"/>
    </xf>
    <xf numFmtId="0" fontId="29" fillId="9" borderId="11" xfId="0" applyFont="1" applyFill="1" applyBorder="1" applyAlignment="1" applyProtection="1">
      <alignment vertical="top"/>
      <protection locked="0"/>
    </xf>
    <xf numFmtId="0" fontId="0" fillId="0" borderId="11" xfId="0" applyBorder="1" applyAlignment="1" applyProtection="1">
      <alignment vertical="top"/>
      <protection locked="0"/>
    </xf>
    <xf numFmtId="0" fontId="34" fillId="7" borderId="0" xfId="0" applyFont="1" applyFill="1" applyAlignment="1">
      <alignment vertical="top" wrapText="1"/>
    </xf>
    <xf numFmtId="0" fontId="40" fillId="0" borderId="0" xfId="0" applyFont="1" applyAlignment="1">
      <alignment vertical="top" wrapText="1"/>
    </xf>
    <xf numFmtId="0" fontId="36" fillId="10" borderId="4" xfId="0" applyFont="1" applyFill="1" applyBorder="1" applyAlignment="1" applyProtection="1">
      <alignment horizontal="center" vertical="center" wrapText="1"/>
      <protection locked="0"/>
    </xf>
    <xf numFmtId="0" fontId="16" fillId="10" borderId="5" xfId="0" applyFont="1" applyFill="1" applyBorder="1" applyAlignment="1" applyProtection="1">
      <alignment horizontal="center" vertical="center"/>
      <protection locked="0"/>
    </xf>
    <xf numFmtId="0" fontId="16" fillId="10" borderId="6" xfId="0" applyFont="1" applyFill="1" applyBorder="1" applyAlignment="1" applyProtection="1">
      <alignment horizontal="center" vertical="center"/>
      <protection locked="0"/>
    </xf>
    <xf numFmtId="0" fontId="29" fillId="7" borderId="1" xfId="0" applyFont="1" applyFill="1" applyBorder="1" applyAlignment="1" applyProtection="1">
      <alignment horizontal="center" vertical="center" wrapText="1"/>
      <protection locked="0"/>
    </xf>
    <xf numFmtId="0" fontId="0" fillId="0" borderId="1" xfId="0" applyBorder="1" applyProtection="1">
      <protection locked="0"/>
    </xf>
    <xf numFmtId="0" fontId="16" fillId="0" borderId="1" xfId="0" applyFont="1" applyBorder="1" applyProtection="1">
      <protection locked="0"/>
    </xf>
    <xf numFmtId="0" fontId="28" fillId="7" borderId="2" xfId="0" applyFont="1" applyFill="1" applyBorder="1" applyAlignment="1">
      <alignment horizontal="center" vertical="center"/>
    </xf>
    <xf numFmtId="0" fontId="28" fillId="7" borderId="3" xfId="0" applyFont="1" applyFill="1" applyBorder="1" applyAlignment="1">
      <alignment horizontal="center" vertical="center"/>
    </xf>
    <xf numFmtId="0" fontId="16" fillId="7" borderId="2" xfId="0" applyFont="1" applyFill="1" applyBorder="1" applyProtection="1">
      <protection locked="0"/>
    </xf>
    <xf numFmtId="0" fontId="17" fillId="0" borderId="3" xfId="0" applyFont="1" applyBorder="1"/>
    <xf numFmtId="0" fontId="0" fillId="3" borderId="1" xfId="0" applyFill="1" applyBorder="1" applyAlignment="1">
      <alignment horizontal="center"/>
    </xf>
    <xf numFmtId="0" fontId="0" fillId="3" borderId="1" xfId="0" applyFill="1" applyBorder="1"/>
    <xf numFmtId="0" fontId="0" fillId="0" borderId="1" xfId="0" applyBorder="1"/>
    <xf numFmtId="0" fontId="0" fillId="0" borderId="5" xfId="0" applyBorder="1"/>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xf numFmtId="0" fontId="0" fillId="5" borderId="15" xfId="0" applyFill="1" applyBorder="1" applyAlignment="1">
      <alignment horizontal="center" vertical="center" wrapText="1"/>
    </xf>
  </cellXfs>
  <cellStyles count="1">
    <cellStyle name="一般" xfId="0" builtinId="0"/>
  </cellStyles>
  <dxfs count="0"/>
  <tableStyles count="0" defaultTableStyle="TableStyleMedium2" defaultPivotStyle="PivotStyleMedium9"/>
  <colors>
    <mruColors>
      <color rgb="FF0000FF"/>
      <color rgb="FFCCFFCC"/>
      <color rgb="FFCCECFF"/>
      <color rgb="FF99FF99"/>
      <color rgb="FFFFFF66"/>
      <color rgb="FFFFFF99"/>
      <color rgb="FFFFFFCC"/>
      <color rgb="FFFFD757"/>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設計領證費用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sz="1500">
                <a:latin typeface="Times New Roman" panose="02020603050405020304" pitchFamily="18" charset="0"/>
                <a:ea typeface="+mn-ea"/>
                <a:cs typeface="Times New Roman" panose="02020603050405020304" pitchFamily="18" charset="0"/>
              </a:rPr>
              <a:t>(C = C1+C2+C</a:t>
            </a:r>
            <a:r>
              <a:rPr lang="en-US" altLang="zh-TW" sz="1500">
                <a:latin typeface="Times New Roman" panose="02020603050405020304" pitchFamily="18" charset="0"/>
                <a:ea typeface="+mn-ea"/>
                <a:cs typeface="Times New Roman" panose="02020603050405020304" pitchFamily="18" charset="0"/>
              </a:rPr>
              <a:t>3</a:t>
            </a:r>
            <a:r>
              <a:rPr lang="en-US" sz="1500">
                <a:latin typeface="Times New Roman" panose="02020603050405020304" pitchFamily="18" charset="0"/>
                <a:ea typeface="+mn-ea"/>
                <a:cs typeface="Times New Roman" panose="02020603050405020304" pitchFamily="18" charset="0"/>
              </a:rPr>
              <a:t>)</a:t>
            </a:r>
          </a:p>
        </c:rich>
      </c:tx>
      <c:overlay val="0"/>
    </c:title>
    <c:autoTitleDeleted val="0"/>
    <c:plotArea>
      <c:layout>
        <c:manualLayout>
          <c:layoutTarget val="inner"/>
          <c:xMode val="edge"/>
          <c:yMode val="edge"/>
          <c:x val="0.10629578159799248"/>
          <c:y val="0.1756466866580588"/>
          <c:w val="0.79290954585806139"/>
          <c:h val="0.78076739905757686"/>
        </c:manualLayout>
      </c:layout>
      <c:pieChart>
        <c:varyColors val="1"/>
        <c:ser>
          <c:idx val="0"/>
          <c:order val="0"/>
          <c:tx>
            <c:v>設計領證費之成本結構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B919-4075-BB66-51A0E9557DAD}"/>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B919-4075-BB66-51A0E9557DAD}"/>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B919-4075-BB66-51A0E9557DAD}"/>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D!$AZ$14:$BB$15</c:f>
              <c:strCache>
                <c:ptCount val="3"/>
                <c:pt idx="0">
                  <c:v>官方費用(C1)</c:v>
                </c:pt>
                <c:pt idx="1">
                  <c:v>外國代理人費用(C2)</c:v>
                </c:pt>
                <c:pt idx="2">
                  <c:v>慧盈服務費(C3)</c:v>
                </c:pt>
              </c:strCache>
            </c:strRef>
          </c:cat>
          <c:val>
            <c:numRef>
              <c:f>D!$AZ$32:$BB$32</c:f>
              <c:numCache>
                <c:formatCode>#,##0_ </c:formatCode>
                <c:ptCount val="3"/>
                <c:pt idx="0">
                  <c:v>30953.75</c:v>
                </c:pt>
                <c:pt idx="1">
                  <c:v>79385.5</c:v>
                </c:pt>
                <c:pt idx="2">
                  <c:v>30000</c:v>
                </c:pt>
              </c:numCache>
            </c:numRef>
          </c:val>
          <c:extLst>
            <c:ext xmlns:c16="http://schemas.microsoft.com/office/drawing/2014/chart" uri="{C3380CC4-5D6E-409C-BE32-E72D297353CC}">
              <c16:uniqueId val="{00000006-B919-4075-BB66-51A0E9557DAD}"/>
            </c:ext>
          </c:extLst>
        </c:ser>
        <c:dLbls>
          <c:showLegendKey val="0"/>
          <c:showVal val="0"/>
          <c:showCatName val="1"/>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標楷體" panose="03000509000000000000" pitchFamily="65" charset="-120"/>
                <a:ea typeface="標楷體" panose="03000509000000000000" pitchFamily="65" charset="-120"/>
              </a:rPr>
              <a:t>設計申請</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altLang="zh-TW" sz="1500">
                <a:latin typeface="Times New Roman" panose="02020603050405020304" pitchFamily="18" charset="0"/>
                <a:ea typeface="+mn-ea"/>
                <a:cs typeface="Times New Roman" panose="02020603050405020304" pitchFamily="18" charset="0"/>
              </a:rPr>
              <a:t>(A = A1+A2+A3)</a:t>
            </a:r>
            <a:endParaRPr lang="en-US" sz="1500">
              <a:latin typeface="Times New Roman" panose="02020603050405020304" pitchFamily="18" charset="0"/>
              <a:ea typeface="+mn-ea"/>
              <a:cs typeface="Times New Roman" panose="02020603050405020304" pitchFamily="18" charset="0"/>
            </a:endParaRPr>
          </a:p>
        </c:rich>
      </c:tx>
      <c:overlay val="0"/>
    </c:title>
    <c:autoTitleDeleted val="0"/>
    <c:plotArea>
      <c:layout>
        <c:manualLayout>
          <c:layoutTarget val="inner"/>
          <c:xMode val="edge"/>
          <c:yMode val="edge"/>
          <c:x val="0.10162265274990445"/>
          <c:y val="0.17213571960897864"/>
          <c:w val="0.80370119432858556"/>
          <c:h val="0.78944503446797787"/>
        </c:manualLayout>
      </c:layout>
      <c:pieChart>
        <c:varyColors val="1"/>
        <c:ser>
          <c:idx val="0"/>
          <c:order val="0"/>
          <c:tx>
            <c:v>設計申請費之成本結構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9E5A-4631-A2C2-2AAD71CDED17}"/>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9E5A-4631-A2C2-2AAD71CDED17}"/>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9E5A-4631-A2C2-2AAD71CDED17}"/>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D!$AC$14:$AE$15</c:f>
              <c:strCache>
                <c:ptCount val="3"/>
                <c:pt idx="0">
                  <c:v>官方費用(A1)</c:v>
                </c:pt>
                <c:pt idx="1">
                  <c:v>外國代理人費用(A2)</c:v>
                </c:pt>
                <c:pt idx="2">
                  <c:v>慧盈服務費(A3)</c:v>
                </c:pt>
              </c:strCache>
            </c:strRef>
          </c:cat>
          <c:val>
            <c:numRef>
              <c:f>D!$AC$32:$AE$32</c:f>
              <c:numCache>
                <c:formatCode>#,##0_ </c:formatCode>
                <c:ptCount val="3"/>
                <c:pt idx="0">
                  <c:v>93638.824999999997</c:v>
                </c:pt>
                <c:pt idx="1">
                  <c:v>233180</c:v>
                </c:pt>
                <c:pt idx="2">
                  <c:v>489000</c:v>
                </c:pt>
              </c:numCache>
            </c:numRef>
          </c:val>
          <c:extLst>
            <c:ext xmlns:c16="http://schemas.microsoft.com/office/drawing/2014/chart" uri="{C3380CC4-5D6E-409C-BE32-E72D297353CC}">
              <c16:uniqueId val="{00000006-9E5A-4631-A2C2-2AAD71CDED17}"/>
            </c:ext>
          </c:extLst>
        </c:ser>
        <c:dLbls>
          <c:showLegendKey val="0"/>
          <c:showVal val="0"/>
          <c:showCatName val="1"/>
          <c:showSerName val="0"/>
          <c:showPercent val="0"/>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Times New Roman" panose="02020603050405020304" pitchFamily="18" charset="0"/>
                <a:ea typeface="標楷體" panose="03000509000000000000" pitchFamily="65" charset="-120"/>
                <a:cs typeface="Times New Roman" panose="02020603050405020304" pitchFamily="18" charset="0"/>
              </a:defRPr>
            </a:pP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設計</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申請費用</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與</a:t>
            </a: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其他</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(C+R+M)</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之加總分析</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0.33989832087812333"/>
          <c:y val="8.682094872861483E-2"/>
        </c:manualLayout>
      </c:layout>
      <c:overlay val="0"/>
    </c:title>
    <c:autoTitleDeleted val="0"/>
    <c:plotArea>
      <c:layout>
        <c:manualLayout>
          <c:layoutTarget val="inner"/>
          <c:xMode val="edge"/>
          <c:yMode val="edge"/>
          <c:x val="1.4272843256922456E-2"/>
          <c:y val="0.13530984362528772"/>
          <c:w val="0.96200412277685898"/>
          <c:h val="0.83690784092130532"/>
        </c:manualLayout>
      </c:layout>
      <c:ofPieChart>
        <c:ofPieType val="pie"/>
        <c:varyColors val="1"/>
        <c:ser>
          <c:idx val="0"/>
          <c:order val="0"/>
          <c:spPr>
            <a:ln>
              <a:solidFill>
                <a:schemeClr val="accent1"/>
              </a:solidFill>
            </a:ln>
          </c:spPr>
          <c:explosion val="10"/>
          <c:dPt>
            <c:idx val="0"/>
            <c:bubble3D val="0"/>
            <c:explosion val="20"/>
            <c:spPr>
              <a:gradFill>
                <a:gsLst>
                  <a:gs pos="0">
                    <a:srgbClr val="FFFF99"/>
                  </a:gs>
                  <a:gs pos="60000">
                    <a:srgbClr val="FFFFCC"/>
                  </a:gs>
                  <a:gs pos="100000">
                    <a:schemeClr val="bg1"/>
                  </a:gs>
                </a:gsLst>
                <a:lin ang="8100000" scaled="0"/>
              </a:gradFill>
              <a:ln>
                <a:solidFill>
                  <a:schemeClr val="accent1"/>
                </a:solidFill>
              </a:ln>
              <a:effectLst>
                <a:outerShdw blurRad="40005" dist="22860" dir="162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931D-4A3C-8234-61FC15E9C211}"/>
              </c:ext>
            </c:extLst>
          </c:dPt>
          <c:dPt>
            <c:idx val="1"/>
            <c:bubble3D val="0"/>
            <c:explosion val="2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931D-4A3C-8234-61FC15E9C211}"/>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931D-4A3C-8234-61FC15E9C211}"/>
              </c:ext>
            </c:extLst>
          </c:dPt>
          <c:dPt>
            <c:idx val="3"/>
            <c:bubble3D val="0"/>
            <c:spPr>
              <a:gradFill>
                <a:gsLst>
                  <a:gs pos="0">
                    <a:srgbClr val="FFC000"/>
                  </a:gs>
                  <a:gs pos="50000">
                    <a:srgbClr val="FFCC99"/>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7-931D-4A3C-8234-61FC15E9C211}"/>
              </c:ext>
            </c:extLst>
          </c:dPt>
          <c:dPt>
            <c:idx val="4"/>
            <c:bubble3D val="0"/>
            <c:spPr>
              <a:gradFill>
                <a:gsLst>
                  <a:gs pos="0">
                    <a:srgbClr val="CCECFF"/>
                  </a:gs>
                  <a:gs pos="50000">
                    <a:srgbClr val="CCE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9-931D-4A3C-8234-61FC15E9C211}"/>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931D-4A3C-8234-61FC15E9C211}"/>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931D-4A3C-8234-61FC15E9C211}"/>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931D-4A3C-8234-61FC15E9C211}"/>
                </c:ext>
              </c:extLst>
            </c:dLbl>
            <c:dLbl>
              <c:idx val="3"/>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931D-4A3C-8234-61FC15E9C211}"/>
                </c:ext>
              </c:extLst>
            </c:dLbl>
            <c:dLbl>
              <c:idx val="4"/>
              <c:tx>
                <c:rich>
                  <a:bodyPr/>
                  <a:lstStyle/>
                  <a:p>
                    <a:r>
                      <a:rPr lang="zh-TW" altLang="en-US" baseline="0"/>
                      <a:t>申請費用</a:t>
                    </a:r>
                    <a:r>
                      <a:rPr lang="en-US" altLang="zh-TW" baseline="0"/>
                      <a:t>(A)
</a:t>
                    </a:r>
                    <a:fld id="{23DA95B6-9636-427D-B128-09F57BF42901}" type="VALUE">
                      <a:rPr lang="en-US" altLang="zh-TW" baseline="0"/>
                      <a:pPr/>
                      <a:t>[值]</a:t>
                    </a:fld>
                    <a:r>
                      <a:rPr lang="en-US" altLang="zh-TW" baseline="0"/>
                      <a:t>
</a:t>
                    </a:r>
                    <a:fld id="{F1091546-3F41-483C-8E4B-4FB9B45D94E1}" type="PERCENTAGE">
                      <a:rPr lang="en-US" altLang="zh-TW" baseline="0"/>
                      <a:pPr/>
                      <a:t>[百分比]</a:t>
                    </a:fld>
                    <a:endParaRPr lang="en-US" altLang="zh-TW" baseline="0"/>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9-931D-4A3C-8234-61FC15E9C211}"/>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D!$BR$14:$BU$15</c:f>
              <c:strCache>
                <c:ptCount val="4"/>
                <c:pt idx="0">
                  <c:v>官方費用(A1)</c:v>
                </c:pt>
                <c:pt idx="1">
                  <c:v>外國代理人費用(A2)</c:v>
                </c:pt>
                <c:pt idx="2">
                  <c:v>慧盈服務費(A3)</c:v>
                </c:pt>
                <c:pt idx="3">
                  <c:v>領證+答辯+後續年費(C+R+M)</c:v>
                </c:pt>
              </c:strCache>
            </c:strRef>
          </c:cat>
          <c:val>
            <c:numRef>
              <c:f>D!$BR$32:$BU$32</c:f>
              <c:numCache>
                <c:formatCode>#,##0_ </c:formatCode>
                <c:ptCount val="4"/>
                <c:pt idx="0">
                  <c:v>93638.824999999997</c:v>
                </c:pt>
                <c:pt idx="1">
                  <c:v>233180</c:v>
                </c:pt>
                <c:pt idx="2">
                  <c:v>489000</c:v>
                </c:pt>
                <c:pt idx="3">
                  <c:v>1841460.52</c:v>
                </c:pt>
              </c:numCache>
            </c:numRef>
          </c:val>
          <c:extLst>
            <c:ext xmlns:c16="http://schemas.microsoft.com/office/drawing/2014/chart" uri="{C3380CC4-5D6E-409C-BE32-E72D297353CC}">
              <c16:uniqueId val="{0000000A-931D-4A3C-8234-61FC15E9C211}"/>
            </c:ext>
          </c:extLst>
        </c:ser>
        <c:dLbls>
          <c:dLblPos val="bestFit"/>
          <c:showLegendKey val="0"/>
          <c:showVal val="0"/>
          <c:showCatName val="1"/>
          <c:showSerName val="0"/>
          <c:showPercent val="1"/>
          <c:showBubbleSize val="0"/>
          <c:showLeaderLines val="1"/>
        </c:dLbls>
        <c:gapWidth val="85"/>
        <c:splitType val="cust"/>
        <c:custSplit>
          <c:secondPiePt val="0"/>
          <c:secondPiePt val="1"/>
          <c:secondPiePt val="2"/>
        </c:custSplit>
        <c:secondPieSize val="90"/>
        <c:serLines/>
      </c:of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rPr>
              <a:t>「專利申請費</a:t>
            </a:r>
            <a:r>
              <a:rPr lang="en-US" altLang="zh-TW" sz="1400" b="1" i="0" baseline="0">
                <a:effectLst/>
              </a:rPr>
              <a:t>(A)</a:t>
            </a:r>
            <a:r>
              <a:rPr lang="zh-TW" altLang="zh-TW" sz="1400" b="1" i="0" baseline="0">
                <a:effectLst/>
              </a:rPr>
              <a:t>」與「領證費</a:t>
            </a:r>
            <a:r>
              <a:rPr lang="en-US" altLang="zh-TW" sz="1400" b="1" i="0" baseline="0">
                <a:effectLst/>
              </a:rPr>
              <a:t>(C)</a:t>
            </a:r>
            <a:r>
              <a:rPr lang="zh-TW" altLang="zh-TW" sz="1400" b="1" i="0" baseline="0">
                <a:effectLst/>
              </a:rPr>
              <a:t>＋後續年費</a:t>
            </a:r>
            <a:r>
              <a:rPr lang="en-US" altLang="zh-TW" sz="1400" b="1" i="0" baseline="0">
                <a:effectLst/>
              </a:rPr>
              <a:t>(M)</a:t>
            </a:r>
            <a:r>
              <a:rPr lang="zh-TW" altLang="zh-TW" sz="1400" b="1" i="0" baseline="0">
                <a:effectLst/>
              </a:rPr>
              <a:t>」之比較</a:t>
            </a:r>
            <a:endParaRPr lang="zh-TW" altLang="zh-TW" sz="1400">
              <a:effectLst/>
            </a:endParaRPr>
          </a:p>
        </c:rich>
      </c:tx>
      <c:overlay val="0"/>
    </c:title>
    <c:autoTitleDeleted val="0"/>
    <c:plotArea>
      <c:layout>
        <c:manualLayout>
          <c:layoutTarget val="inner"/>
          <c:xMode val="edge"/>
          <c:yMode val="edge"/>
          <c:x val="8.9724230801584801E-2"/>
          <c:y val="0.11519455057123014"/>
          <c:w val="0.89408894849161313"/>
          <c:h val="0.69772959044573157"/>
        </c:manualLayout>
      </c:layout>
      <c:barChart>
        <c:barDir val="col"/>
        <c:grouping val="clustered"/>
        <c:varyColors val="0"/>
        <c:ser>
          <c:idx val="0"/>
          <c:order val="0"/>
          <c:tx>
            <c:strRef>
              <c:f>D!$BE$14</c:f>
              <c:strCache>
                <c:ptCount val="1"/>
                <c:pt idx="0">
                  <c:v>申請費用(A)</c:v>
                </c:pt>
              </c:strCache>
            </c:strRef>
          </c:tx>
          <c:spPr>
            <a:solidFill>
              <a:srgbClr val="CCECFF"/>
            </a:solidFill>
            <a:ln>
              <a:solidFill>
                <a:schemeClr val="accent1"/>
              </a:solidFill>
            </a:ln>
            <a:scene3d>
              <a:camera prst="orthographicFront"/>
              <a:lightRig rig="threePt" dir="t">
                <a:rot lat="0" lon="0" rev="1200000"/>
              </a:lightRig>
            </a:scene3d>
            <a:sp3d>
              <a:bevelT w="63500" h="25400"/>
            </a:sp3d>
          </c:spPr>
          <c:invertIfNegative val="0"/>
          <c:cat>
            <c:strRef>
              <c:f>D!$BD$16:$BD$31</c:f>
              <c:strCache>
                <c:ptCount val="16"/>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印度</c:v>
                </c:pt>
              </c:strCache>
            </c:strRef>
          </c:cat>
          <c:val>
            <c:numRef>
              <c:f>D!$BE$16:$BE$31</c:f>
              <c:numCache>
                <c:formatCode>#,##0_ </c:formatCode>
                <c:ptCount val="16"/>
                <c:pt idx="0">
                  <c:v>25400</c:v>
                </c:pt>
                <c:pt idx="1">
                  <c:v>32887.5</c:v>
                </c:pt>
                <c:pt idx="2">
                  <c:v>77440</c:v>
                </c:pt>
                <c:pt idx="3">
                  <c:v>48750</c:v>
                </c:pt>
                <c:pt idx="4">
                  <c:v>37875</c:v>
                </c:pt>
                <c:pt idx="5">
                  <c:v>52932</c:v>
                </c:pt>
                <c:pt idx="6">
                  <c:v>54750</c:v>
                </c:pt>
                <c:pt idx="7">
                  <c:v>65413.324999999997</c:v>
                </c:pt>
                <c:pt idx="8">
                  <c:v>66570</c:v>
                </c:pt>
                <c:pt idx="9">
                  <c:v>48750</c:v>
                </c:pt>
                <c:pt idx="10">
                  <c:v>56560</c:v>
                </c:pt>
                <c:pt idx="11">
                  <c:v>57056</c:v>
                </c:pt>
                <c:pt idx="12">
                  <c:v>51120</c:v>
                </c:pt>
                <c:pt idx="13">
                  <c:v>49866</c:v>
                </c:pt>
                <c:pt idx="14">
                  <c:v>50625</c:v>
                </c:pt>
                <c:pt idx="15">
                  <c:v>39824</c:v>
                </c:pt>
              </c:numCache>
            </c:numRef>
          </c:val>
          <c:extLst>
            <c:ext xmlns:c16="http://schemas.microsoft.com/office/drawing/2014/chart" uri="{C3380CC4-5D6E-409C-BE32-E72D297353CC}">
              <c16:uniqueId val="{00000000-79E8-498A-A911-B912E90EB618}"/>
            </c:ext>
          </c:extLst>
        </c:ser>
        <c:ser>
          <c:idx val="1"/>
          <c:order val="1"/>
          <c:tx>
            <c:strRef>
              <c:f>D!$BL$14</c:f>
              <c:strCache>
                <c:ptCount val="1"/>
                <c:pt idx="0">
                  <c:v>領證+後續年費(C+M)</c:v>
                </c:pt>
              </c:strCache>
            </c:strRef>
          </c:tx>
          <c:spPr>
            <a:solidFill>
              <a:srgbClr val="FFC000"/>
            </a:solidFill>
            <a:ln>
              <a:solidFill>
                <a:schemeClr val="accent1"/>
              </a:solidFill>
            </a:ln>
            <a:scene3d>
              <a:camera prst="orthographicFront"/>
              <a:lightRig rig="threePt" dir="t">
                <a:rot lat="0" lon="0" rev="1200000"/>
              </a:lightRig>
            </a:scene3d>
            <a:sp3d>
              <a:bevelT w="63500" h="25400"/>
            </a:sp3d>
          </c:spPr>
          <c:invertIfNegative val="0"/>
          <c:cat>
            <c:strRef>
              <c:f>D!$BD$16:$BD$31</c:f>
              <c:strCache>
                <c:ptCount val="16"/>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印度</c:v>
                </c:pt>
              </c:strCache>
            </c:strRef>
          </c:cat>
          <c:val>
            <c:numRef>
              <c:f>D!$BL$16:$BL$31</c:f>
              <c:numCache>
                <c:formatCode>#,##0_ </c:formatCode>
                <c:ptCount val="16"/>
                <c:pt idx="0">
                  <c:v>66400</c:v>
                </c:pt>
                <c:pt idx="1">
                  <c:v>182723.75</c:v>
                </c:pt>
                <c:pt idx="2">
                  <c:v>30480</c:v>
                </c:pt>
                <c:pt idx="3">
                  <c:v>82800</c:v>
                </c:pt>
                <c:pt idx="4">
                  <c:v>57840</c:v>
                </c:pt>
                <c:pt idx="5">
                  <c:v>241843</c:v>
                </c:pt>
                <c:pt idx="6">
                  <c:v>258370</c:v>
                </c:pt>
                <c:pt idx="7">
                  <c:v>33973.770000000004</c:v>
                </c:pt>
                <c:pt idx="8">
                  <c:v>42075</c:v>
                </c:pt>
                <c:pt idx="9">
                  <c:v>55750</c:v>
                </c:pt>
                <c:pt idx="10">
                  <c:v>72630</c:v>
                </c:pt>
                <c:pt idx="11">
                  <c:v>34048</c:v>
                </c:pt>
                <c:pt idx="12">
                  <c:v>6800</c:v>
                </c:pt>
                <c:pt idx="13">
                  <c:v>33540</c:v>
                </c:pt>
                <c:pt idx="14">
                  <c:v>66595</c:v>
                </c:pt>
                <c:pt idx="15">
                  <c:v>17048</c:v>
                </c:pt>
              </c:numCache>
            </c:numRef>
          </c:val>
          <c:extLst>
            <c:ext xmlns:c16="http://schemas.microsoft.com/office/drawing/2014/chart" uri="{C3380CC4-5D6E-409C-BE32-E72D297353CC}">
              <c16:uniqueId val="{00000001-79E8-498A-A911-B912E90EB618}"/>
            </c:ext>
          </c:extLst>
        </c:ser>
        <c:dLbls>
          <c:showLegendKey val="0"/>
          <c:showVal val="0"/>
          <c:showCatName val="0"/>
          <c:showSerName val="0"/>
          <c:showPercent val="0"/>
          <c:showBubbleSize val="0"/>
        </c:dLbls>
        <c:gapWidth val="50"/>
        <c:axId val="188404864"/>
        <c:axId val="188406400"/>
      </c:barChart>
      <c:catAx>
        <c:axId val="188404864"/>
        <c:scaling>
          <c:orientation val="minMax"/>
        </c:scaling>
        <c:delete val="0"/>
        <c:axPos val="b"/>
        <c:numFmt formatCode="General" sourceLinked="0"/>
        <c:majorTickMark val="none"/>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8406400"/>
        <c:crosses val="autoZero"/>
        <c:auto val="1"/>
        <c:lblAlgn val="ctr"/>
        <c:lblOffset val="100"/>
        <c:noMultiLvlLbl val="0"/>
      </c:catAx>
      <c:valAx>
        <c:axId val="188406400"/>
        <c:scaling>
          <c:orientation val="minMax"/>
        </c:scaling>
        <c:delete val="0"/>
        <c:axPos val="l"/>
        <c:majorGridlines/>
        <c:title>
          <c:tx>
            <c:rich>
              <a:bodyPr rot="0" vert="horz"/>
              <a:lstStyle/>
              <a:p>
                <a:pPr>
                  <a:defRPr sz="1200">
                    <a:latin typeface="Times New Roman" panose="02020603050405020304" pitchFamily="18" charset="0"/>
                    <a:ea typeface="+mn-ea"/>
                    <a:cs typeface="Times New Roman" panose="02020603050405020304" pitchFamily="18" charset="0"/>
                  </a:defRPr>
                </a:pPr>
                <a:r>
                  <a:rPr lang="en-US" altLang="zh-TW" sz="1200">
                    <a:latin typeface="Times New Roman" panose="02020603050405020304" pitchFamily="18" charset="0"/>
                    <a:ea typeface="+mn-ea"/>
                    <a:cs typeface="Times New Roman" panose="02020603050405020304" pitchFamily="18" charset="0"/>
                  </a:rPr>
                  <a:t>(NTD)</a:t>
                </a:r>
                <a:endParaRPr lang="zh-TW" altLang="en-US" sz="1200">
                  <a:latin typeface="Times New Roman" panose="02020603050405020304" pitchFamily="18" charset="0"/>
                  <a:ea typeface="+mn-ea"/>
                  <a:cs typeface="Times New Roman" panose="02020603050405020304" pitchFamily="18" charset="0"/>
                </a:endParaRPr>
              </a:p>
            </c:rich>
          </c:tx>
          <c:layout>
            <c:manualLayout>
              <c:xMode val="edge"/>
              <c:yMode val="edge"/>
              <c:x val="3.2465065861990591E-2"/>
              <c:y val="3.6769935097833072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cs typeface="Times New Roman" panose="02020603050405020304" pitchFamily="18" charset="0"/>
              </a:defRPr>
            </a:pPr>
            <a:endParaRPr lang="zh-TW"/>
          </a:p>
        </c:txPr>
        <c:crossAx val="188404864"/>
        <c:crosses val="autoZero"/>
        <c:crossBetween val="between"/>
      </c:valAx>
      <c:spPr>
        <a:noFill/>
      </c:spPr>
    </c:plotArea>
    <c:legend>
      <c:legendPos val="b"/>
      <c:layout>
        <c:manualLayout>
          <c:xMode val="edge"/>
          <c:yMode val="edge"/>
          <c:x val="0.35853764714076758"/>
          <c:y val="0.9116136887913906"/>
          <c:w val="0.27110322124179292"/>
          <c:h val="6.438779605293253E-2"/>
        </c:manualLayout>
      </c:layout>
      <c:overlay val="0"/>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noFill/>
    <a:ln>
      <a:noFill/>
    </a:ln>
  </c:sp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設計答辯費用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(R)</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sz="1500">
                <a:latin typeface="Times New Roman" panose="02020603050405020304" pitchFamily="18" charset="0"/>
                <a:ea typeface="+mn-ea"/>
                <a:cs typeface="Times New Roman" panose="02020603050405020304" pitchFamily="18" charset="0"/>
              </a:rPr>
              <a:t>(</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 = </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1+</a:t>
            </a:r>
            <a:r>
              <a:rPr lang="en-US" altLang="zh-TW" sz="1500">
                <a:latin typeface="Times New Roman" panose="02020603050405020304" pitchFamily="18" charset="0"/>
                <a:ea typeface="+mn-ea"/>
                <a:cs typeface="Times New Roman" panose="02020603050405020304" pitchFamily="18" charset="0"/>
              </a:rPr>
              <a:t>R</a:t>
            </a:r>
            <a:r>
              <a:rPr lang="en-US" sz="1500">
                <a:latin typeface="Times New Roman" panose="02020603050405020304" pitchFamily="18" charset="0"/>
                <a:ea typeface="+mn-ea"/>
                <a:cs typeface="Times New Roman" panose="02020603050405020304" pitchFamily="18" charset="0"/>
              </a:rPr>
              <a:t>2+</a:t>
            </a:r>
            <a:r>
              <a:rPr lang="en-US" altLang="zh-TW" sz="1500">
                <a:latin typeface="Times New Roman" panose="02020603050405020304" pitchFamily="18" charset="0"/>
                <a:ea typeface="+mn-ea"/>
                <a:cs typeface="Times New Roman" panose="02020603050405020304" pitchFamily="18" charset="0"/>
              </a:rPr>
              <a:t>R3</a:t>
            </a:r>
            <a:r>
              <a:rPr lang="en-US" sz="1500">
                <a:latin typeface="Times New Roman" panose="02020603050405020304" pitchFamily="18" charset="0"/>
                <a:ea typeface="+mn-ea"/>
                <a:cs typeface="Times New Roman" panose="02020603050405020304" pitchFamily="18" charset="0"/>
              </a:rPr>
              <a:t>)</a:t>
            </a:r>
          </a:p>
        </c:rich>
      </c:tx>
      <c:overlay val="0"/>
    </c:title>
    <c:autoTitleDeleted val="0"/>
    <c:plotArea>
      <c:layout>
        <c:manualLayout>
          <c:layoutTarget val="inner"/>
          <c:xMode val="edge"/>
          <c:yMode val="edge"/>
          <c:x val="0.10629578159799248"/>
          <c:y val="0.1756466866580588"/>
          <c:w val="0.79290954585806139"/>
          <c:h val="0.78076739905757686"/>
        </c:manualLayout>
      </c:layout>
      <c:pieChart>
        <c:varyColors val="1"/>
        <c:ser>
          <c:idx val="0"/>
          <c:order val="0"/>
          <c:tx>
            <c:v>設計答辯費之成本結構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B919-4075-BB66-51A0E9557DAD}"/>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B919-4075-BB66-51A0E9557DAD}"/>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B919-4075-BB66-51A0E9557DAD}"/>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D!$AC$38:$AE$39</c:f>
              <c:strCache>
                <c:ptCount val="3"/>
                <c:pt idx="0">
                  <c:v>官方費用(R1)</c:v>
                </c:pt>
                <c:pt idx="1">
                  <c:v>外國代理人費用(R2)</c:v>
                </c:pt>
                <c:pt idx="2">
                  <c:v>慧盈服務費(R3)</c:v>
                </c:pt>
              </c:strCache>
            </c:strRef>
          </c:cat>
          <c:val>
            <c:numRef>
              <c:f>D!$AC$56:$AE$56</c:f>
              <c:numCache>
                <c:formatCode>#,##0_ </c:formatCode>
                <c:ptCount val="3"/>
                <c:pt idx="0">
                  <c:v>3479</c:v>
                </c:pt>
                <c:pt idx="1">
                  <c:v>285065</c:v>
                </c:pt>
                <c:pt idx="2">
                  <c:v>270000</c:v>
                </c:pt>
              </c:numCache>
            </c:numRef>
          </c:val>
          <c:extLst>
            <c:ext xmlns:c16="http://schemas.microsoft.com/office/drawing/2014/chart" uri="{C3380CC4-5D6E-409C-BE32-E72D297353CC}">
              <c16:uniqueId val="{00000006-B919-4075-BB66-51A0E9557DAD}"/>
            </c:ext>
          </c:extLst>
        </c:ser>
        <c:dLbls>
          <c:showLegendKey val="0"/>
          <c:showVal val="0"/>
          <c:showCatName val="1"/>
          <c:showSerName val="0"/>
          <c:showPercent val="0"/>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mn-lt"/>
                <a:ea typeface="+mn-ea"/>
              </a:defRPr>
            </a:pPr>
            <a:r>
              <a:rPr lang="zh-TW" altLang="en-US" sz="1500" b="1" i="0" baseline="0">
                <a:effectLst/>
                <a:latin typeface="Times New Roman" panose="02020603050405020304" pitchFamily="18" charset="0"/>
                <a:ea typeface="標楷體" panose="03000509000000000000" pitchFamily="65" charset="-120"/>
                <a:cs typeface="Times New Roman" panose="02020603050405020304" pitchFamily="18" charset="0"/>
              </a:rPr>
              <a:t>設計</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後續年費</a:t>
            </a: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(M)</a:t>
            </a:r>
            <a:r>
              <a:rPr lang="zh-TW"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mn-lt"/>
                <a:ea typeface="+mn-ea"/>
              </a:defRPr>
            </a:pPr>
            <a:r>
              <a:rPr lang="en-US" altLang="zh-TW" sz="1500" b="1" i="0" baseline="0">
                <a:effectLst/>
                <a:latin typeface="Times New Roman" panose="02020603050405020304" pitchFamily="18" charset="0"/>
                <a:ea typeface="標楷體" panose="03000509000000000000" pitchFamily="65" charset="-120"/>
                <a:cs typeface="Times New Roman" panose="02020603050405020304" pitchFamily="18" charset="0"/>
              </a:rPr>
              <a:t>(M = M1+M2+M3)</a:t>
            </a:r>
            <a:endParaRPr lang="zh-TW" altLang="zh-TW" sz="15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0162265274990445"/>
          <c:y val="0.17213571960897864"/>
          <c:w val="0.80370119432858556"/>
          <c:h val="0.78944503446797787"/>
        </c:manualLayout>
      </c:layout>
      <c:pieChart>
        <c:varyColors val="1"/>
        <c:ser>
          <c:idx val="0"/>
          <c:order val="0"/>
          <c:tx>
            <c:v>設計後續年費之成本結構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9E5A-4631-A2C2-2AAD71CDED17}"/>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9E5A-4631-A2C2-2AAD71CDED17}"/>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9E5A-4631-A2C2-2AAD71CDED17}"/>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D!$AZ$38:$BB$39</c:f>
              <c:strCache>
                <c:ptCount val="3"/>
                <c:pt idx="0">
                  <c:v>官方費用(M1)</c:v>
                </c:pt>
                <c:pt idx="1">
                  <c:v>外國代理人費用(M2)</c:v>
                </c:pt>
                <c:pt idx="2">
                  <c:v>慧盈服務費(M3)</c:v>
                </c:pt>
              </c:strCache>
            </c:strRef>
          </c:cat>
          <c:val>
            <c:numRef>
              <c:f>D!$AZ$56:$BB$56</c:f>
              <c:numCache>
                <c:formatCode>#,##0_ </c:formatCode>
                <c:ptCount val="3"/>
                <c:pt idx="0">
                  <c:v>437934.77</c:v>
                </c:pt>
                <c:pt idx="1">
                  <c:v>296642.5</c:v>
                </c:pt>
                <c:pt idx="2">
                  <c:v>408000</c:v>
                </c:pt>
              </c:numCache>
            </c:numRef>
          </c:val>
          <c:extLst>
            <c:ext xmlns:c16="http://schemas.microsoft.com/office/drawing/2014/chart" uri="{C3380CC4-5D6E-409C-BE32-E72D297353CC}">
              <c16:uniqueId val="{00000006-9E5A-4631-A2C2-2AAD71CDED17}"/>
            </c:ext>
          </c:extLst>
        </c:ser>
        <c:dLbls>
          <c:showLegendKey val="0"/>
          <c:showVal val="0"/>
          <c:showCatName val="1"/>
          <c:showSerName val="0"/>
          <c:showPercent val="0"/>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CheckBox" checked="Checked" fmlaLink="D!$U$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CheckBox" checked="Checked" fmlaLink="D!$C$31" lockText="1" noThreeD="1"/>
</file>

<file path=xl/ctrlProps/ctrlProp101.xml><?xml version="1.0" encoding="utf-8"?>
<formControlPr xmlns="http://schemas.microsoft.com/office/spreadsheetml/2009/9/main" objectType="Radio" firstButton="1" fmlaLink="選項!$K$2" lockText="1" noThreeD="1"/>
</file>

<file path=xl/ctrlProps/ctrlProp102.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Checked" fmlaLink="D!$U$6"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checked="Checked" fmlaLink="D!$U$7"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CheckBox" checked="Checked" fmlaLink="D!$C$16" lockText="1" noThreeD="1"/>
</file>

<file path=xl/ctrlProps/ctrlProp35.xml><?xml version="1.0" encoding="utf-8"?>
<formControlPr xmlns="http://schemas.microsoft.com/office/spreadsheetml/2009/9/main" objectType="CheckBox" checked="Checked" fmlaLink="D!$C$17" lockText="1" noThreeD="1"/>
</file>

<file path=xl/ctrlProps/ctrlProp36.xml><?xml version="1.0" encoding="utf-8"?>
<formControlPr xmlns="http://schemas.microsoft.com/office/spreadsheetml/2009/9/main" objectType="CheckBox" checked="Checked" fmlaLink="D!$C$18" lockText="1" noThreeD="1"/>
</file>

<file path=xl/ctrlProps/ctrlProp37.xml><?xml version="1.0" encoding="utf-8"?>
<formControlPr xmlns="http://schemas.microsoft.com/office/spreadsheetml/2009/9/main" objectType="CheckBox" checked="Checked" fmlaLink="D!$C$19" lockText="1" noThreeD="1"/>
</file>

<file path=xl/ctrlProps/ctrlProp38.xml><?xml version="1.0" encoding="utf-8"?>
<formControlPr xmlns="http://schemas.microsoft.com/office/spreadsheetml/2009/9/main" objectType="CheckBox" checked="Checked" fmlaLink="D!$C$21" lockText="1" noThreeD="1"/>
</file>

<file path=xl/ctrlProps/ctrlProp39.xml><?xml version="1.0" encoding="utf-8"?>
<formControlPr xmlns="http://schemas.microsoft.com/office/spreadsheetml/2009/9/main" objectType="CheckBox" checked="Checked" fmlaLink="D!$C$22" lockText="1" noThreeD="1"/>
</file>

<file path=xl/ctrlProps/ctrlProp4.xml><?xml version="1.0" encoding="utf-8"?>
<formControlPr xmlns="http://schemas.microsoft.com/office/spreadsheetml/2009/9/main" objectType="CheckBox" checked="Checked" fmlaLink="D!$S$5" lockText="1" noThreeD="1"/>
</file>

<file path=xl/ctrlProps/ctrlProp40.xml><?xml version="1.0" encoding="utf-8"?>
<formControlPr xmlns="http://schemas.microsoft.com/office/spreadsheetml/2009/9/main" objectType="CheckBox" checked="Checked" fmlaLink="D!$C$25" lockText="1" noThreeD="1"/>
</file>

<file path=xl/ctrlProps/ctrlProp41.xml><?xml version="1.0" encoding="utf-8"?>
<formControlPr xmlns="http://schemas.microsoft.com/office/spreadsheetml/2009/9/main" objectType="CheckBox" checked="Checked" fmlaLink="D!$C$29" lockText="1" noThreeD="1"/>
</file>

<file path=xl/ctrlProps/ctrlProp42.xml><?xml version="1.0" encoding="utf-8"?>
<formControlPr xmlns="http://schemas.microsoft.com/office/spreadsheetml/2009/9/main" objectType="CheckBox" checked="Checked" fmlaLink="D!$C$24" lockText="1" noThreeD="1"/>
</file>

<file path=xl/ctrlProps/ctrlProp43.xml><?xml version="1.0" encoding="utf-8"?>
<formControlPr xmlns="http://schemas.microsoft.com/office/spreadsheetml/2009/9/main" objectType="CheckBox" checked="Checked" fmlaLink="D!$C$26" lockText="1" noThreeD="1"/>
</file>

<file path=xl/ctrlProps/ctrlProp44.xml><?xml version="1.0" encoding="utf-8"?>
<formControlPr xmlns="http://schemas.microsoft.com/office/spreadsheetml/2009/9/main" objectType="CheckBox" checked="Checked" fmlaLink="D!$C$28" lockText="1" noThreeD="1"/>
</file>

<file path=xl/ctrlProps/ctrlProp45.xml><?xml version="1.0" encoding="utf-8"?>
<formControlPr xmlns="http://schemas.microsoft.com/office/spreadsheetml/2009/9/main" objectType="CheckBox" checked="Checked" fmlaLink="D!$C$23" lockText="1" noThreeD="1"/>
</file>

<file path=xl/ctrlProps/ctrlProp46.xml><?xml version="1.0" encoding="utf-8"?>
<formControlPr xmlns="http://schemas.microsoft.com/office/spreadsheetml/2009/9/main" objectType="CheckBox" checked="Checked" fmlaLink="D!$C$27" lockText="1" noThreeD="1"/>
</file>

<file path=xl/ctrlProps/ctrlProp47.xml><?xml version="1.0" encoding="utf-8"?>
<formControlPr xmlns="http://schemas.microsoft.com/office/spreadsheetml/2009/9/main" objectType="CheckBox" checked="Checked" fmlaLink="D!$C$20"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選項!$K$2" lockText="1" noThreeD="1"/>
</file>

<file path=xl/ctrlProps/ctrlProp5.xml><?xml version="1.0" encoding="utf-8"?>
<formControlPr xmlns="http://schemas.microsoft.com/office/spreadsheetml/2009/9/main" objectType="CheckBox" checked="Checked" fmlaLink="D!$S$6" lockText="1" noThreeD="1"/>
</file>

<file path=xl/ctrlProps/ctrlProp50.xml><?xml version="1.0" encoding="utf-8"?>
<formControlPr xmlns="http://schemas.microsoft.com/office/spreadsheetml/2009/9/main" objectType="Radio" checked="Checked" lockText="1" noThreeD="1"/>
</file>

<file path=xl/ctrlProps/ctrlProp51.xml><?xml version="1.0" encoding="utf-8"?>
<formControlPr xmlns="http://schemas.microsoft.com/office/spreadsheetml/2009/9/main" objectType="CheckBox" checked="Checked" fmlaLink="D!$C$30" lockText="1" noThreeD="1"/>
</file>

<file path=xl/ctrlProps/ctrlProp52.xml><?xml version="1.0" encoding="utf-8"?>
<formControlPr xmlns="http://schemas.microsoft.com/office/spreadsheetml/2009/9/main" objectType="CheckBox" checked="Checked" fmlaLink="D!$C$16" lockText="1" noThreeD="1"/>
</file>

<file path=xl/ctrlProps/ctrlProp53.xml><?xml version="1.0" encoding="utf-8"?>
<formControlPr xmlns="http://schemas.microsoft.com/office/spreadsheetml/2009/9/main" objectType="CheckBox" checked="Checked" fmlaLink="D!$C$17" lockText="1" noThreeD="1"/>
</file>

<file path=xl/ctrlProps/ctrlProp54.xml><?xml version="1.0" encoding="utf-8"?>
<formControlPr xmlns="http://schemas.microsoft.com/office/spreadsheetml/2009/9/main" objectType="CheckBox" checked="Checked" fmlaLink="D!$C$18" lockText="1" noThreeD="1"/>
</file>

<file path=xl/ctrlProps/ctrlProp55.xml><?xml version="1.0" encoding="utf-8"?>
<formControlPr xmlns="http://schemas.microsoft.com/office/spreadsheetml/2009/9/main" objectType="CheckBox" checked="Checked" fmlaLink="D!$C$19" lockText="1" noThreeD="1"/>
</file>

<file path=xl/ctrlProps/ctrlProp56.xml><?xml version="1.0" encoding="utf-8"?>
<formControlPr xmlns="http://schemas.microsoft.com/office/spreadsheetml/2009/9/main" objectType="CheckBox" checked="Checked" fmlaLink="D!$C$21" lockText="1" noThreeD="1"/>
</file>

<file path=xl/ctrlProps/ctrlProp57.xml><?xml version="1.0" encoding="utf-8"?>
<formControlPr xmlns="http://schemas.microsoft.com/office/spreadsheetml/2009/9/main" objectType="CheckBox" checked="Checked" fmlaLink="D!$C$22" lockText="1" noThreeD="1"/>
</file>

<file path=xl/ctrlProps/ctrlProp58.xml><?xml version="1.0" encoding="utf-8"?>
<formControlPr xmlns="http://schemas.microsoft.com/office/spreadsheetml/2009/9/main" objectType="CheckBox" checked="Checked" fmlaLink="D!$C$25" lockText="1" noThreeD="1"/>
</file>

<file path=xl/ctrlProps/ctrlProp59.xml><?xml version="1.0" encoding="utf-8"?>
<formControlPr xmlns="http://schemas.microsoft.com/office/spreadsheetml/2009/9/main" objectType="CheckBox" checked="Checked" fmlaLink="D!$C$29" lockText="1" noThreeD="1"/>
</file>

<file path=xl/ctrlProps/ctrlProp6.xml><?xml version="1.0" encoding="utf-8"?>
<formControlPr xmlns="http://schemas.microsoft.com/office/spreadsheetml/2009/9/main" objectType="CheckBox" checked="Checked" fmlaLink="D!$S$7" lockText="1" noThreeD="1"/>
</file>

<file path=xl/ctrlProps/ctrlProp60.xml><?xml version="1.0" encoding="utf-8"?>
<formControlPr xmlns="http://schemas.microsoft.com/office/spreadsheetml/2009/9/main" objectType="CheckBox" checked="Checked" fmlaLink="D!$C$24" lockText="1" noThreeD="1"/>
</file>

<file path=xl/ctrlProps/ctrlProp61.xml><?xml version="1.0" encoding="utf-8"?>
<formControlPr xmlns="http://schemas.microsoft.com/office/spreadsheetml/2009/9/main" objectType="CheckBox" checked="Checked" fmlaLink="D!$C$26" lockText="1" noThreeD="1"/>
</file>

<file path=xl/ctrlProps/ctrlProp62.xml><?xml version="1.0" encoding="utf-8"?>
<formControlPr xmlns="http://schemas.microsoft.com/office/spreadsheetml/2009/9/main" objectType="CheckBox" checked="Checked" fmlaLink="D!$C$28" lockText="1" noThreeD="1"/>
</file>

<file path=xl/ctrlProps/ctrlProp63.xml><?xml version="1.0" encoding="utf-8"?>
<formControlPr xmlns="http://schemas.microsoft.com/office/spreadsheetml/2009/9/main" objectType="CheckBox" checked="Checked" fmlaLink="D!$C$23" lockText="1" noThreeD="1"/>
</file>

<file path=xl/ctrlProps/ctrlProp64.xml><?xml version="1.0" encoding="utf-8"?>
<formControlPr xmlns="http://schemas.microsoft.com/office/spreadsheetml/2009/9/main" objectType="CheckBox" checked="Checked" fmlaLink="D!$C$27" lockText="1" noThreeD="1"/>
</file>

<file path=xl/ctrlProps/ctrlProp65.xml><?xml version="1.0" encoding="utf-8"?>
<formControlPr xmlns="http://schemas.microsoft.com/office/spreadsheetml/2009/9/main" objectType="CheckBox" checked="Checked" fmlaLink="D!$C$20" lockText="1" noThreeD="1"/>
</file>

<file path=xl/ctrlProps/ctrlProp66.xml><?xml version="1.0" encoding="utf-8"?>
<formControlPr xmlns="http://schemas.microsoft.com/office/spreadsheetml/2009/9/main" objectType="CheckBox" checked="Checked" fmlaLink="D!$C$30" lockText="1" noThreeD="1"/>
</file>

<file path=xl/ctrlProps/ctrlProp67.xml><?xml version="1.0" encoding="utf-8"?>
<formControlPr xmlns="http://schemas.microsoft.com/office/spreadsheetml/2009/9/main" objectType="CheckBox" checked="Checked" fmlaLink="D!$C$16" lockText="1" noThreeD="1"/>
</file>

<file path=xl/ctrlProps/ctrlProp68.xml><?xml version="1.0" encoding="utf-8"?>
<formControlPr xmlns="http://schemas.microsoft.com/office/spreadsheetml/2009/9/main" objectType="CheckBox" checked="Checked" fmlaLink="D!$C$17" lockText="1" noThreeD="1"/>
</file>

<file path=xl/ctrlProps/ctrlProp69.xml><?xml version="1.0" encoding="utf-8"?>
<formControlPr xmlns="http://schemas.microsoft.com/office/spreadsheetml/2009/9/main" objectType="CheckBox" checked="Checked" fmlaLink="D!$C$18" lockText="1" noThreeD="1"/>
</file>

<file path=xl/ctrlProps/ctrlProp7.xml><?xml version="1.0" encoding="utf-8"?>
<formControlPr xmlns="http://schemas.microsoft.com/office/spreadsheetml/2009/9/main" objectType="CheckBox" checked="Checked" fmlaLink="D!$S$8" lockText="1" noThreeD="1"/>
</file>

<file path=xl/ctrlProps/ctrlProp70.xml><?xml version="1.0" encoding="utf-8"?>
<formControlPr xmlns="http://schemas.microsoft.com/office/spreadsheetml/2009/9/main" objectType="CheckBox" checked="Checked" fmlaLink="D!$C$19" lockText="1" noThreeD="1"/>
</file>

<file path=xl/ctrlProps/ctrlProp71.xml><?xml version="1.0" encoding="utf-8"?>
<formControlPr xmlns="http://schemas.microsoft.com/office/spreadsheetml/2009/9/main" objectType="CheckBox" checked="Checked" fmlaLink="D!$C$21" lockText="1" noThreeD="1"/>
</file>

<file path=xl/ctrlProps/ctrlProp72.xml><?xml version="1.0" encoding="utf-8"?>
<formControlPr xmlns="http://schemas.microsoft.com/office/spreadsheetml/2009/9/main" objectType="CheckBox" checked="Checked" fmlaLink="D!$C$22" lockText="1" noThreeD="1"/>
</file>

<file path=xl/ctrlProps/ctrlProp73.xml><?xml version="1.0" encoding="utf-8"?>
<formControlPr xmlns="http://schemas.microsoft.com/office/spreadsheetml/2009/9/main" objectType="CheckBox" checked="Checked" fmlaLink="D!$C$25" lockText="1" noThreeD="1"/>
</file>

<file path=xl/ctrlProps/ctrlProp74.xml><?xml version="1.0" encoding="utf-8"?>
<formControlPr xmlns="http://schemas.microsoft.com/office/spreadsheetml/2009/9/main" objectType="CheckBox" checked="Checked" fmlaLink="D!$C$29" lockText="1" noThreeD="1"/>
</file>

<file path=xl/ctrlProps/ctrlProp75.xml><?xml version="1.0" encoding="utf-8"?>
<formControlPr xmlns="http://schemas.microsoft.com/office/spreadsheetml/2009/9/main" objectType="CheckBox" checked="Checked" fmlaLink="D!$C$24" lockText="1" noThreeD="1"/>
</file>

<file path=xl/ctrlProps/ctrlProp76.xml><?xml version="1.0" encoding="utf-8"?>
<formControlPr xmlns="http://schemas.microsoft.com/office/spreadsheetml/2009/9/main" objectType="CheckBox" checked="Checked" fmlaLink="D!$C$26" lockText="1" noThreeD="1"/>
</file>

<file path=xl/ctrlProps/ctrlProp77.xml><?xml version="1.0" encoding="utf-8"?>
<formControlPr xmlns="http://schemas.microsoft.com/office/spreadsheetml/2009/9/main" objectType="CheckBox" checked="Checked" fmlaLink="D!$C$28" lockText="1" noThreeD="1"/>
</file>

<file path=xl/ctrlProps/ctrlProp78.xml><?xml version="1.0" encoding="utf-8"?>
<formControlPr xmlns="http://schemas.microsoft.com/office/spreadsheetml/2009/9/main" objectType="CheckBox" checked="Checked" fmlaLink="D!$C$23" lockText="1" noThreeD="1"/>
</file>

<file path=xl/ctrlProps/ctrlProp79.xml><?xml version="1.0" encoding="utf-8"?>
<formControlPr xmlns="http://schemas.microsoft.com/office/spreadsheetml/2009/9/main" objectType="CheckBox" checked="Checked" fmlaLink="D!$C$27" lockText="1" noThreeD="1"/>
</file>

<file path=xl/ctrlProps/ctrlProp8.xml><?xml version="1.0" encoding="utf-8"?>
<formControlPr xmlns="http://schemas.microsoft.com/office/spreadsheetml/2009/9/main" objectType="Radio" firstButton="1" fmlaLink="選項!$N$2" lockText="1" noThreeD="1"/>
</file>

<file path=xl/ctrlProps/ctrlProp80.xml><?xml version="1.0" encoding="utf-8"?>
<formControlPr xmlns="http://schemas.microsoft.com/office/spreadsheetml/2009/9/main" objectType="CheckBox" checked="Checked" fmlaLink="D!$C$20" lockText="1" noThreeD="1"/>
</file>

<file path=xl/ctrlProps/ctrlProp81.xml><?xml version="1.0" encoding="utf-8"?>
<formControlPr xmlns="http://schemas.microsoft.com/office/spreadsheetml/2009/9/main" objectType="CheckBox" checked="Checked" fmlaLink="D!$C$30" lockText="1" noThreeD="1"/>
</file>

<file path=xl/ctrlProps/ctrlProp82.xml><?xml version="1.0" encoding="utf-8"?>
<formControlPr xmlns="http://schemas.microsoft.com/office/spreadsheetml/2009/9/main" objectType="CheckBox" checked="Checked" fmlaLink="D!$C$16" lockText="1" noThreeD="1"/>
</file>

<file path=xl/ctrlProps/ctrlProp83.xml><?xml version="1.0" encoding="utf-8"?>
<formControlPr xmlns="http://schemas.microsoft.com/office/spreadsheetml/2009/9/main" objectType="CheckBox" checked="Checked" fmlaLink="D!$C$17" lockText="1" noThreeD="1"/>
</file>

<file path=xl/ctrlProps/ctrlProp84.xml><?xml version="1.0" encoding="utf-8"?>
<formControlPr xmlns="http://schemas.microsoft.com/office/spreadsheetml/2009/9/main" objectType="CheckBox" checked="Checked" fmlaLink="D!$C$18" lockText="1" noThreeD="1"/>
</file>

<file path=xl/ctrlProps/ctrlProp85.xml><?xml version="1.0" encoding="utf-8"?>
<formControlPr xmlns="http://schemas.microsoft.com/office/spreadsheetml/2009/9/main" objectType="CheckBox" checked="Checked" fmlaLink="D!$C$19" lockText="1" noThreeD="1"/>
</file>

<file path=xl/ctrlProps/ctrlProp86.xml><?xml version="1.0" encoding="utf-8"?>
<formControlPr xmlns="http://schemas.microsoft.com/office/spreadsheetml/2009/9/main" objectType="CheckBox" checked="Checked" fmlaLink="D!$C$21" lockText="1" noThreeD="1"/>
</file>

<file path=xl/ctrlProps/ctrlProp87.xml><?xml version="1.0" encoding="utf-8"?>
<formControlPr xmlns="http://schemas.microsoft.com/office/spreadsheetml/2009/9/main" objectType="CheckBox" checked="Checked" fmlaLink="D!$C$22" lockText="1" noThreeD="1"/>
</file>

<file path=xl/ctrlProps/ctrlProp88.xml><?xml version="1.0" encoding="utf-8"?>
<formControlPr xmlns="http://schemas.microsoft.com/office/spreadsheetml/2009/9/main" objectType="CheckBox" checked="Checked" fmlaLink="D!$C$25" lockText="1" noThreeD="1"/>
</file>

<file path=xl/ctrlProps/ctrlProp89.xml><?xml version="1.0" encoding="utf-8"?>
<formControlPr xmlns="http://schemas.microsoft.com/office/spreadsheetml/2009/9/main" objectType="CheckBox" checked="Checked" fmlaLink="D!$C$29"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checked="Checked" fmlaLink="D!$C$24" lockText="1" noThreeD="1"/>
</file>

<file path=xl/ctrlProps/ctrlProp91.xml><?xml version="1.0" encoding="utf-8"?>
<formControlPr xmlns="http://schemas.microsoft.com/office/spreadsheetml/2009/9/main" objectType="CheckBox" checked="Checked" fmlaLink="D!$C$26" lockText="1" noThreeD="1"/>
</file>

<file path=xl/ctrlProps/ctrlProp92.xml><?xml version="1.0" encoding="utf-8"?>
<formControlPr xmlns="http://schemas.microsoft.com/office/spreadsheetml/2009/9/main" objectType="CheckBox" checked="Checked" fmlaLink="D!$C$28" lockText="1" noThreeD="1"/>
</file>

<file path=xl/ctrlProps/ctrlProp93.xml><?xml version="1.0" encoding="utf-8"?>
<formControlPr xmlns="http://schemas.microsoft.com/office/spreadsheetml/2009/9/main" objectType="CheckBox" checked="Checked" fmlaLink="D!$C$23" lockText="1" noThreeD="1"/>
</file>

<file path=xl/ctrlProps/ctrlProp94.xml><?xml version="1.0" encoding="utf-8"?>
<formControlPr xmlns="http://schemas.microsoft.com/office/spreadsheetml/2009/9/main" objectType="CheckBox" checked="Checked" fmlaLink="D!$C$27" lockText="1" noThreeD="1"/>
</file>

<file path=xl/ctrlProps/ctrlProp95.xml><?xml version="1.0" encoding="utf-8"?>
<formControlPr xmlns="http://schemas.microsoft.com/office/spreadsheetml/2009/9/main" objectType="CheckBox" checked="Checked" fmlaLink="D!$C$20" lockText="1" noThreeD="1"/>
</file>

<file path=xl/ctrlProps/ctrlProp96.xml><?xml version="1.0" encoding="utf-8"?>
<formControlPr xmlns="http://schemas.microsoft.com/office/spreadsheetml/2009/9/main" objectType="CheckBox" checked="Checked" fmlaLink="D!$C$30" lockText="1" noThreeD="1"/>
</file>

<file path=xl/ctrlProps/ctrlProp97.xml><?xml version="1.0" encoding="utf-8"?>
<formControlPr xmlns="http://schemas.microsoft.com/office/spreadsheetml/2009/9/main" objectType="CheckBox" checked="Checked" fmlaLink="D!$C$31" lockText="1" noThreeD="1"/>
</file>

<file path=xl/ctrlProps/ctrlProp98.xml><?xml version="1.0" encoding="utf-8"?>
<formControlPr xmlns="http://schemas.microsoft.com/office/spreadsheetml/2009/9/main" objectType="CheckBox" checked="Checked" fmlaLink="D!$C$31" lockText="1" noThreeD="1"/>
</file>

<file path=xl/ctrlProps/ctrlProp99.xml><?xml version="1.0" encoding="utf-8"?>
<formControlPr xmlns="http://schemas.microsoft.com/office/spreadsheetml/2009/9/main" objectType="CheckBox" checked="Checked" fmlaLink="D!$C$31"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131253</xdr:colOff>
      <xdr:row>158</xdr:row>
      <xdr:rowOff>8661</xdr:rowOff>
    </xdr:from>
    <xdr:to>
      <xdr:col>12</xdr:col>
      <xdr:colOff>504264</xdr:colOff>
      <xdr:row>181</xdr:row>
      <xdr:rowOff>68315</xdr:rowOff>
    </xdr:to>
    <xdr:graphicFrame macro="">
      <xdr:nvGraphicFramePr>
        <xdr:cNvPr id="31" name="圖表 30">
          <a:extLst>
            <a:ext uri="{FF2B5EF4-FFF2-40B4-BE49-F238E27FC236}">
              <a16:creationId xmlns:a16="http://schemas.microsoft.com/office/drawing/2014/main" id="{00000000-0008-0000-03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56029</xdr:colOff>
      <xdr:row>158</xdr:row>
      <xdr:rowOff>8661</xdr:rowOff>
    </xdr:from>
    <xdr:to>
      <xdr:col>7</xdr:col>
      <xdr:colOff>555966</xdr:colOff>
      <xdr:row>181</xdr:row>
      <xdr:rowOff>68315</xdr:rowOff>
    </xdr:to>
    <xdr:graphicFrame macro="">
      <xdr:nvGraphicFramePr>
        <xdr:cNvPr id="32" name="圖表 31">
          <a:extLst>
            <a:ext uri="{FF2B5EF4-FFF2-40B4-BE49-F238E27FC236}">
              <a16:creationId xmlns:a16="http://schemas.microsoft.com/office/drawing/2014/main" id="{00000000-0008-0000-03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190501</xdr:colOff>
      <xdr:row>213</xdr:row>
      <xdr:rowOff>78441</xdr:rowOff>
    </xdr:from>
    <xdr:to>
      <xdr:col>12</xdr:col>
      <xdr:colOff>73638</xdr:colOff>
      <xdr:row>236</xdr:row>
      <xdr:rowOff>26489</xdr:rowOff>
    </xdr:to>
    <xdr:graphicFrame macro="">
      <xdr:nvGraphicFramePr>
        <xdr:cNvPr id="34" name="圖表 33">
          <a:extLst>
            <a:ext uri="{FF2B5EF4-FFF2-40B4-BE49-F238E27FC236}">
              <a16:creationId xmlns:a16="http://schemas.microsoft.com/office/drawing/2014/main" id="{00000000-0008-0000-03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133</xdr:row>
      <xdr:rowOff>11689</xdr:rowOff>
    </xdr:from>
    <xdr:to>
      <xdr:col>12</xdr:col>
      <xdr:colOff>337746</xdr:colOff>
      <xdr:row>155</xdr:row>
      <xdr:rowOff>100853</xdr:rowOff>
    </xdr:to>
    <xdr:graphicFrame macro="">
      <xdr:nvGraphicFramePr>
        <xdr:cNvPr id="35" name="圖表 34">
          <a:extLst>
            <a:ext uri="{FF2B5EF4-FFF2-40B4-BE49-F238E27FC236}">
              <a16:creationId xmlns:a16="http://schemas.microsoft.com/office/drawing/2014/main" id="{00000000-0008-0000-03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xdr:from>
          <xdr:col>4</xdr:col>
          <xdr:colOff>38100</xdr:colOff>
          <xdr:row>5</xdr:row>
          <xdr:rowOff>43937</xdr:rowOff>
        </xdr:from>
        <xdr:to>
          <xdr:col>5</xdr:col>
          <xdr:colOff>895350</xdr:colOff>
          <xdr:row>8</xdr:row>
          <xdr:rowOff>188595</xdr:rowOff>
        </xdr:to>
        <xdr:grpSp>
          <xdr:nvGrpSpPr>
            <xdr:cNvPr id="2" name="群組 1">
              <a:extLst>
                <a:ext uri="{FF2B5EF4-FFF2-40B4-BE49-F238E27FC236}">
                  <a16:creationId xmlns:a16="http://schemas.microsoft.com/office/drawing/2014/main" id="{00000000-0008-0000-0300-000002000000}"/>
                </a:ext>
              </a:extLst>
            </xdr:cNvPr>
            <xdr:cNvGrpSpPr/>
          </xdr:nvGrpSpPr>
          <xdr:grpSpPr>
            <a:xfrm>
              <a:off x="3267075" y="1101212"/>
              <a:ext cx="1895475" cy="830458"/>
              <a:chOff x="3063240" y="1101207"/>
              <a:chExt cx="1828800" cy="830473"/>
            </a:xfrm>
          </xdr:grpSpPr>
          <xdr:sp macro="" textlink="">
            <xdr:nvSpPr>
              <xdr:cNvPr id="3224" name="Check Box 152" descr="官方費用" hidden="1">
                <a:extLst>
                  <a:ext uri="{63B3BB69-23CF-44E3-9099-C40C66FF867C}">
                    <a14:compatExt spid="_x0000_s3224"/>
                  </a:ext>
                  <a:ext uri="{FF2B5EF4-FFF2-40B4-BE49-F238E27FC236}">
                    <a16:creationId xmlns:a16="http://schemas.microsoft.com/office/drawing/2014/main" id="{00000000-0008-0000-0300-0000980C0000}"/>
                  </a:ext>
                </a:extLst>
              </xdr:cNvPr>
              <xdr:cNvSpPr/>
            </xdr:nvSpPr>
            <xdr:spPr bwMode="auto">
              <a:xfrm>
                <a:off x="4044315" y="1105019"/>
                <a:ext cx="84772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官方費用</a:t>
                </a:r>
              </a:p>
            </xdr:txBody>
          </xdr:sp>
          <xdr:sp macro="" textlink="">
            <xdr:nvSpPr>
              <xdr:cNvPr id="3225" name="Check Box 153" descr="官方費用" hidden="1">
                <a:extLst>
                  <a:ext uri="{63B3BB69-23CF-44E3-9099-C40C66FF867C}">
                    <a14:compatExt spid="_x0000_s3225"/>
                  </a:ext>
                  <a:ext uri="{FF2B5EF4-FFF2-40B4-BE49-F238E27FC236}">
                    <a16:creationId xmlns:a16="http://schemas.microsoft.com/office/drawing/2014/main" id="{00000000-0008-0000-0300-0000990C0000}"/>
                  </a:ext>
                </a:extLst>
              </xdr:cNvPr>
              <xdr:cNvSpPr/>
            </xdr:nvSpPr>
            <xdr:spPr bwMode="auto">
              <a:xfrm>
                <a:off x="4044315" y="1335406"/>
                <a:ext cx="84772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外國代理費</a:t>
                </a:r>
              </a:p>
            </xdr:txBody>
          </xdr:sp>
          <xdr:sp macro="" textlink="">
            <xdr:nvSpPr>
              <xdr:cNvPr id="3227" name="Check Box 155" descr="官方費用" hidden="1">
                <a:extLst>
                  <a:ext uri="{63B3BB69-23CF-44E3-9099-C40C66FF867C}">
                    <a14:compatExt spid="_x0000_s3227"/>
                  </a:ext>
                  <a:ext uri="{FF2B5EF4-FFF2-40B4-BE49-F238E27FC236}">
                    <a16:creationId xmlns:a16="http://schemas.microsoft.com/office/drawing/2014/main" id="{00000000-0008-0000-0300-00009B0C0000}"/>
                  </a:ext>
                </a:extLst>
              </xdr:cNvPr>
              <xdr:cNvSpPr/>
            </xdr:nvSpPr>
            <xdr:spPr bwMode="auto">
              <a:xfrm>
                <a:off x="4044315" y="1554480"/>
                <a:ext cx="847725" cy="152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慧盈服務費</a:t>
                </a:r>
              </a:p>
            </xdr:txBody>
          </xdr:sp>
          <xdr:sp macro="" textlink="">
            <xdr:nvSpPr>
              <xdr:cNvPr id="3293" name="Check Box 221" descr="官方費用" hidden="1">
                <a:extLst>
                  <a:ext uri="{63B3BB69-23CF-44E3-9099-C40C66FF867C}">
                    <a14:compatExt spid="_x0000_s3293"/>
                  </a:ext>
                  <a:ext uri="{FF2B5EF4-FFF2-40B4-BE49-F238E27FC236}">
                    <a16:creationId xmlns:a16="http://schemas.microsoft.com/office/drawing/2014/main" id="{00000000-0008-0000-0300-0000DD0C0000}"/>
                  </a:ext>
                </a:extLst>
              </xdr:cNvPr>
              <xdr:cNvSpPr/>
            </xdr:nvSpPr>
            <xdr:spPr bwMode="auto">
              <a:xfrm>
                <a:off x="3063240" y="110120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申請費</a:t>
                </a:r>
              </a:p>
            </xdr:txBody>
          </xdr:sp>
          <xdr:sp macro="" textlink="">
            <xdr:nvSpPr>
              <xdr:cNvPr id="3294" name="Check Box 222" descr="官方費用" hidden="1">
                <a:extLst>
                  <a:ext uri="{63B3BB69-23CF-44E3-9099-C40C66FF867C}">
                    <a14:compatExt spid="_x0000_s3294"/>
                  </a:ext>
                  <a:ext uri="{FF2B5EF4-FFF2-40B4-BE49-F238E27FC236}">
                    <a16:creationId xmlns:a16="http://schemas.microsoft.com/office/drawing/2014/main" id="{00000000-0008-0000-0300-0000DE0C0000}"/>
                  </a:ext>
                </a:extLst>
              </xdr:cNvPr>
              <xdr:cNvSpPr/>
            </xdr:nvSpPr>
            <xdr:spPr bwMode="auto">
              <a:xfrm>
                <a:off x="3063240" y="1329690"/>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領證費</a:t>
                </a:r>
              </a:p>
            </xdr:txBody>
          </xdr:sp>
          <xdr:sp macro="" textlink="">
            <xdr:nvSpPr>
              <xdr:cNvPr id="3295" name="Check Box 223" descr="官方費用" hidden="1">
                <a:extLst>
                  <a:ext uri="{63B3BB69-23CF-44E3-9099-C40C66FF867C}">
                    <a14:compatExt spid="_x0000_s3295"/>
                  </a:ext>
                  <a:ext uri="{FF2B5EF4-FFF2-40B4-BE49-F238E27FC236}">
                    <a16:creationId xmlns:a16="http://schemas.microsoft.com/office/drawing/2014/main" id="{00000000-0008-0000-0300-0000DF0C0000}"/>
                  </a:ext>
                </a:extLst>
              </xdr:cNvPr>
              <xdr:cNvSpPr/>
            </xdr:nvSpPr>
            <xdr:spPr bwMode="auto">
              <a:xfrm>
                <a:off x="3063240" y="1556385"/>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後續年費</a:t>
                </a:r>
              </a:p>
            </xdr:txBody>
          </xdr:sp>
          <xdr:sp macro="" textlink="">
            <xdr:nvSpPr>
              <xdr:cNvPr id="3296" name="Check Box 224" descr="官方費用" hidden="1">
                <a:extLst>
                  <a:ext uri="{63B3BB69-23CF-44E3-9099-C40C66FF867C}">
                    <a14:compatExt spid="_x0000_s3296"/>
                  </a:ext>
                  <a:ext uri="{FF2B5EF4-FFF2-40B4-BE49-F238E27FC236}">
                    <a16:creationId xmlns:a16="http://schemas.microsoft.com/office/drawing/2014/main" id="{00000000-0008-0000-0300-0000E00C0000}"/>
                  </a:ext>
                </a:extLst>
              </xdr:cNvPr>
              <xdr:cNvSpPr/>
            </xdr:nvSpPr>
            <xdr:spPr bwMode="auto">
              <a:xfrm>
                <a:off x="3063240" y="1788804"/>
                <a:ext cx="742950" cy="142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答辯費</a:t>
                </a:r>
              </a:p>
            </xdr:txBody>
          </xdr:sp>
        </xdr:grpSp>
        <xdr:clientData/>
      </xdr:twoCellAnchor>
    </mc:Choice>
    <mc:Fallback/>
  </mc:AlternateContent>
  <xdr:twoCellAnchor>
    <xdr:from>
      <xdr:col>6</xdr:col>
      <xdr:colOff>132471</xdr:colOff>
      <xdr:row>185</xdr:row>
      <xdr:rowOff>178474</xdr:rowOff>
    </xdr:from>
    <xdr:to>
      <xdr:col>12</xdr:col>
      <xdr:colOff>504264</xdr:colOff>
      <xdr:row>209</xdr:row>
      <xdr:rowOff>47628</xdr:rowOff>
    </xdr:to>
    <xdr:graphicFrame macro="">
      <xdr:nvGraphicFramePr>
        <xdr:cNvPr id="76" name="圖表 75">
          <a:extLst>
            <a:ext uri="{FF2B5EF4-FFF2-40B4-BE49-F238E27FC236}">
              <a16:creationId xmlns:a16="http://schemas.microsoft.com/office/drawing/2014/main" id="{00000000-0008-0000-0300-00004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56029</xdr:colOff>
      <xdr:row>185</xdr:row>
      <xdr:rowOff>178474</xdr:rowOff>
    </xdr:from>
    <xdr:to>
      <xdr:col>7</xdr:col>
      <xdr:colOff>525997</xdr:colOff>
      <xdr:row>209</xdr:row>
      <xdr:rowOff>47628</xdr:rowOff>
    </xdr:to>
    <xdr:graphicFrame macro="">
      <xdr:nvGraphicFramePr>
        <xdr:cNvPr id="77" name="圖表 76">
          <a:extLst>
            <a:ext uri="{FF2B5EF4-FFF2-40B4-BE49-F238E27FC236}">
              <a16:creationId xmlns:a16="http://schemas.microsoft.com/office/drawing/2014/main" id="{00000000-0008-0000-0300-00004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xdr:from>
          <xdr:col>2</xdr:col>
          <xdr:colOff>68996</xdr:colOff>
          <xdr:row>125</xdr:row>
          <xdr:rowOff>14288</xdr:rowOff>
        </xdr:from>
        <xdr:to>
          <xdr:col>12</xdr:col>
          <xdr:colOff>656876</xdr:colOff>
          <xdr:row>125</xdr:row>
          <xdr:rowOff>489904</xdr:rowOff>
        </xdr:to>
        <xdr:grpSp>
          <xdr:nvGrpSpPr>
            <xdr:cNvPr id="6" name="群組 5">
              <a:extLst>
                <a:ext uri="{FF2B5EF4-FFF2-40B4-BE49-F238E27FC236}">
                  <a16:creationId xmlns:a16="http://schemas.microsoft.com/office/drawing/2014/main" id="{00000000-0008-0000-0300-000006000000}"/>
                </a:ext>
              </a:extLst>
            </xdr:cNvPr>
            <xdr:cNvGrpSpPr/>
          </xdr:nvGrpSpPr>
          <xdr:grpSpPr>
            <a:xfrm>
              <a:off x="1964471" y="29056013"/>
              <a:ext cx="9903330" cy="475616"/>
              <a:chOff x="1965713" y="27495984"/>
              <a:chExt cx="9889250" cy="475616"/>
            </a:xfrm>
          </xdr:grpSpPr>
          <xdr:sp macro="" textlink="">
            <xdr:nvSpPr>
              <xdr:cNvPr id="3346" name="Option Button 274" hidden="1">
                <a:extLst>
                  <a:ext uri="{63B3BB69-23CF-44E3-9099-C40C66FF867C}">
                    <a14:compatExt spid="_x0000_s3346"/>
                  </a:ext>
                  <a:ext uri="{FF2B5EF4-FFF2-40B4-BE49-F238E27FC236}">
                    <a16:creationId xmlns:a16="http://schemas.microsoft.com/office/drawing/2014/main" id="{00000000-0008-0000-0300-0000120D0000}"/>
                  </a:ext>
                </a:extLst>
              </xdr:cNvPr>
              <xdr:cNvSpPr/>
            </xdr:nvSpPr>
            <xdr:spPr bwMode="auto">
              <a:xfrm>
                <a:off x="2855595" y="27495984"/>
                <a:ext cx="49667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1年</a:t>
                </a:r>
              </a:p>
            </xdr:txBody>
          </xdr:sp>
          <xdr:sp macro="" textlink="">
            <xdr:nvSpPr>
              <xdr:cNvPr id="3347" name="Option Button 275" hidden="1">
                <a:extLst>
                  <a:ext uri="{63B3BB69-23CF-44E3-9099-C40C66FF867C}">
                    <a14:compatExt spid="_x0000_s3347"/>
                  </a:ext>
                  <a:ext uri="{FF2B5EF4-FFF2-40B4-BE49-F238E27FC236}">
                    <a16:creationId xmlns:a16="http://schemas.microsoft.com/office/drawing/2014/main" id="{00000000-0008-0000-0300-0000130D0000}"/>
                  </a:ext>
                </a:extLst>
              </xdr:cNvPr>
              <xdr:cNvSpPr/>
            </xdr:nvSpPr>
            <xdr:spPr bwMode="auto">
              <a:xfrm>
                <a:off x="3471278" y="27495984"/>
                <a:ext cx="49551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2年</a:t>
                </a:r>
              </a:p>
            </xdr:txBody>
          </xdr:sp>
          <xdr:sp macro="" textlink="">
            <xdr:nvSpPr>
              <xdr:cNvPr id="3348" name="Option Button 276" hidden="1">
                <a:extLst>
                  <a:ext uri="{63B3BB69-23CF-44E3-9099-C40C66FF867C}">
                    <a14:compatExt spid="_x0000_s3348"/>
                  </a:ext>
                  <a:ext uri="{FF2B5EF4-FFF2-40B4-BE49-F238E27FC236}">
                    <a16:creationId xmlns:a16="http://schemas.microsoft.com/office/drawing/2014/main" id="{00000000-0008-0000-0300-0000140D0000}"/>
                  </a:ext>
                </a:extLst>
              </xdr:cNvPr>
              <xdr:cNvSpPr/>
            </xdr:nvSpPr>
            <xdr:spPr bwMode="auto">
              <a:xfrm>
                <a:off x="4083247" y="27495984"/>
                <a:ext cx="49307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3年</a:t>
                </a:r>
              </a:p>
            </xdr:txBody>
          </xdr:sp>
          <xdr:sp macro="" textlink="">
            <xdr:nvSpPr>
              <xdr:cNvPr id="3351" name="Option Button 279" hidden="1">
                <a:extLst>
                  <a:ext uri="{63B3BB69-23CF-44E3-9099-C40C66FF867C}">
                    <a14:compatExt spid="_x0000_s3351"/>
                  </a:ext>
                  <a:ext uri="{FF2B5EF4-FFF2-40B4-BE49-F238E27FC236}">
                    <a16:creationId xmlns:a16="http://schemas.microsoft.com/office/drawing/2014/main" id="{00000000-0008-0000-0300-0000170D0000}"/>
                  </a:ext>
                </a:extLst>
              </xdr:cNvPr>
              <xdr:cNvSpPr/>
            </xdr:nvSpPr>
            <xdr:spPr bwMode="auto">
              <a:xfrm>
                <a:off x="4672116"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4年</a:t>
                </a:r>
              </a:p>
            </xdr:txBody>
          </xdr:sp>
          <xdr:sp macro="" textlink="">
            <xdr:nvSpPr>
              <xdr:cNvPr id="3352" name="Option Button 280" hidden="1">
                <a:extLst>
                  <a:ext uri="{63B3BB69-23CF-44E3-9099-C40C66FF867C}">
                    <a14:compatExt spid="_x0000_s3352"/>
                  </a:ext>
                  <a:ext uri="{FF2B5EF4-FFF2-40B4-BE49-F238E27FC236}">
                    <a16:creationId xmlns:a16="http://schemas.microsoft.com/office/drawing/2014/main" id="{00000000-0008-0000-0300-0000180D0000}"/>
                  </a:ext>
                </a:extLst>
              </xdr:cNvPr>
              <xdr:cNvSpPr/>
            </xdr:nvSpPr>
            <xdr:spPr bwMode="auto">
              <a:xfrm>
                <a:off x="5283709" y="27495984"/>
                <a:ext cx="49674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5年</a:t>
                </a:r>
              </a:p>
            </xdr:txBody>
          </xdr:sp>
          <xdr:sp macro="" textlink="">
            <xdr:nvSpPr>
              <xdr:cNvPr id="3372" name="Option Button 300" hidden="1">
                <a:extLst>
                  <a:ext uri="{63B3BB69-23CF-44E3-9099-C40C66FF867C}">
                    <a14:compatExt spid="_x0000_s3372"/>
                  </a:ext>
                  <a:ext uri="{FF2B5EF4-FFF2-40B4-BE49-F238E27FC236}">
                    <a16:creationId xmlns:a16="http://schemas.microsoft.com/office/drawing/2014/main" id="{00000000-0008-0000-0300-00002C0D0000}"/>
                  </a:ext>
                </a:extLst>
              </xdr:cNvPr>
              <xdr:cNvSpPr/>
            </xdr:nvSpPr>
            <xdr:spPr bwMode="auto">
              <a:xfrm>
                <a:off x="5907795"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6年</a:t>
                </a:r>
              </a:p>
            </xdr:txBody>
          </xdr:sp>
          <xdr:sp macro="" textlink="">
            <xdr:nvSpPr>
              <xdr:cNvPr id="3373" name="Option Button 301" hidden="1">
                <a:extLst>
                  <a:ext uri="{63B3BB69-23CF-44E3-9099-C40C66FF867C}">
                    <a14:compatExt spid="_x0000_s3373"/>
                  </a:ext>
                  <a:ext uri="{FF2B5EF4-FFF2-40B4-BE49-F238E27FC236}">
                    <a16:creationId xmlns:a16="http://schemas.microsoft.com/office/drawing/2014/main" id="{00000000-0008-0000-0300-00002D0D0000}"/>
                  </a:ext>
                </a:extLst>
              </xdr:cNvPr>
              <xdr:cNvSpPr/>
            </xdr:nvSpPr>
            <xdr:spPr bwMode="auto">
              <a:xfrm>
                <a:off x="6505067" y="27495984"/>
                <a:ext cx="49562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7年</a:t>
                </a:r>
              </a:p>
            </xdr:txBody>
          </xdr:sp>
          <xdr:sp macro="" textlink="">
            <xdr:nvSpPr>
              <xdr:cNvPr id="3374" name="Option Button 302" hidden="1">
                <a:extLst>
                  <a:ext uri="{63B3BB69-23CF-44E3-9099-C40C66FF867C}">
                    <a14:compatExt spid="_x0000_s3374"/>
                  </a:ext>
                  <a:ext uri="{FF2B5EF4-FFF2-40B4-BE49-F238E27FC236}">
                    <a16:creationId xmlns:a16="http://schemas.microsoft.com/office/drawing/2014/main" id="{00000000-0008-0000-0300-00002E0D0000}"/>
                  </a:ext>
                </a:extLst>
              </xdr:cNvPr>
              <xdr:cNvSpPr/>
            </xdr:nvSpPr>
            <xdr:spPr bwMode="auto">
              <a:xfrm>
                <a:off x="7117151" y="27495984"/>
                <a:ext cx="49580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8年</a:t>
                </a:r>
              </a:p>
            </xdr:txBody>
          </xdr:sp>
          <xdr:sp macro="" textlink="">
            <xdr:nvSpPr>
              <xdr:cNvPr id="3375" name="Option Button 303" hidden="1">
                <a:extLst>
                  <a:ext uri="{63B3BB69-23CF-44E3-9099-C40C66FF867C}">
                    <a14:compatExt spid="_x0000_s3375"/>
                  </a:ext>
                  <a:ext uri="{FF2B5EF4-FFF2-40B4-BE49-F238E27FC236}">
                    <a16:creationId xmlns:a16="http://schemas.microsoft.com/office/drawing/2014/main" id="{00000000-0008-0000-0300-00002F0D0000}"/>
                  </a:ext>
                </a:extLst>
              </xdr:cNvPr>
              <xdr:cNvSpPr/>
            </xdr:nvSpPr>
            <xdr:spPr bwMode="auto">
              <a:xfrm>
                <a:off x="7719659"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9年</a:t>
                </a:r>
              </a:p>
            </xdr:txBody>
          </xdr:sp>
          <xdr:sp macro="" textlink="">
            <xdr:nvSpPr>
              <xdr:cNvPr id="3376" name="Option Button 304" hidden="1">
                <a:extLst>
                  <a:ext uri="{63B3BB69-23CF-44E3-9099-C40C66FF867C}">
                    <a14:compatExt spid="_x0000_s3376"/>
                  </a:ext>
                  <a:ext uri="{FF2B5EF4-FFF2-40B4-BE49-F238E27FC236}">
                    <a16:creationId xmlns:a16="http://schemas.microsoft.com/office/drawing/2014/main" id="{00000000-0008-0000-0300-0000300D0000}"/>
                  </a:ext>
                </a:extLst>
              </xdr:cNvPr>
              <xdr:cNvSpPr/>
            </xdr:nvSpPr>
            <xdr:spPr bwMode="auto">
              <a:xfrm>
                <a:off x="8335116" y="27495984"/>
                <a:ext cx="494476"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10年</a:t>
                </a:r>
              </a:p>
            </xdr:txBody>
          </xdr:sp>
          <xdr:sp macro="" textlink="">
            <xdr:nvSpPr>
              <xdr:cNvPr id="3377" name="Option Button 305" hidden="1">
                <a:extLst>
                  <a:ext uri="{63B3BB69-23CF-44E3-9099-C40C66FF867C}">
                    <a14:compatExt spid="_x0000_s3377"/>
                  </a:ext>
                  <a:ext uri="{FF2B5EF4-FFF2-40B4-BE49-F238E27FC236}">
                    <a16:creationId xmlns:a16="http://schemas.microsoft.com/office/drawing/2014/main" id="{00000000-0008-0000-0300-0000310D0000}"/>
                  </a:ext>
                </a:extLst>
              </xdr:cNvPr>
              <xdr:cNvSpPr/>
            </xdr:nvSpPr>
            <xdr:spPr bwMode="auto">
              <a:xfrm>
                <a:off x="8949656" y="27495984"/>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11年</a:t>
                </a:r>
              </a:p>
            </xdr:txBody>
          </xdr:sp>
          <xdr:sp macro="" textlink="">
            <xdr:nvSpPr>
              <xdr:cNvPr id="3378" name="Option Button 306" hidden="1">
                <a:extLst>
                  <a:ext uri="{63B3BB69-23CF-44E3-9099-C40C66FF867C}">
                    <a14:compatExt spid="_x0000_s3378"/>
                  </a:ext>
                  <a:ext uri="{FF2B5EF4-FFF2-40B4-BE49-F238E27FC236}">
                    <a16:creationId xmlns:a16="http://schemas.microsoft.com/office/drawing/2014/main" id="{00000000-0008-0000-0300-0000320D0000}"/>
                  </a:ext>
                </a:extLst>
              </xdr:cNvPr>
              <xdr:cNvSpPr/>
            </xdr:nvSpPr>
            <xdr:spPr bwMode="auto">
              <a:xfrm>
                <a:off x="9554200" y="27495984"/>
                <a:ext cx="49438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12年</a:t>
                </a:r>
              </a:p>
            </xdr:txBody>
          </xdr:sp>
          <xdr:sp macro="" textlink="">
            <xdr:nvSpPr>
              <xdr:cNvPr id="3379" name="Option Button 307" hidden="1">
                <a:extLst>
                  <a:ext uri="{63B3BB69-23CF-44E3-9099-C40C66FF867C}">
                    <a14:compatExt spid="_x0000_s3379"/>
                  </a:ext>
                  <a:ext uri="{FF2B5EF4-FFF2-40B4-BE49-F238E27FC236}">
                    <a16:creationId xmlns:a16="http://schemas.microsoft.com/office/drawing/2014/main" id="{00000000-0008-0000-0300-0000330D0000}"/>
                  </a:ext>
                </a:extLst>
              </xdr:cNvPr>
              <xdr:cNvSpPr/>
            </xdr:nvSpPr>
            <xdr:spPr bwMode="auto">
              <a:xfrm>
                <a:off x="10154123" y="27495984"/>
                <a:ext cx="496034"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13年</a:t>
                </a:r>
              </a:p>
            </xdr:txBody>
          </xdr:sp>
          <xdr:sp macro="" textlink="">
            <xdr:nvSpPr>
              <xdr:cNvPr id="3380" name="Option Button 308" hidden="1">
                <a:extLst>
                  <a:ext uri="{63B3BB69-23CF-44E3-9099-C40C66FF867C}">
                    <a14:compatExt spid="_x0000_s3380"/>
                  </a:ext>
                  <a:ext uri="{FF2B5EF4-FFF2-40B4-BE49-F238E27FC236}">
                    <a16:creationId xmlns:a16="http://schemas.microsoft.com/office/drawing/2014/main" id="{00000000-0008-0000-0300-0000340D0000}"/>
                  </a:ext>
                </a:extLst>
              </xdr:cNvPr>
              <xdr:cNvSpPr/>
            </xdr:nvSpPr>
            <xdr:spPr bwMode="auto">
              <a:xfrm>
                <a:off x="10756861" y="27495984"/>
                <a:ext cx="493495"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14年</a:t>
                </a:r>
              </a:p>
            </xdr:txBody>
          </xdr:sp>
          <xdr:sp macro="" textlink="">
            <xdr:nvSpPr>
              <xdr:cNvPr id="3381" name="Option Button 309" hidden="1">
                <a:extLst>
                  <a:ext uri="{63B3BB69-23CF-44E3-9099-C40C66FF867C}">
                    <a14:compatExt spid="_x0000_s3381"/>
                  </a:ext>
                  <a:ext uri="{FF2B5EF4-FFF2-40B4-BE49-F238E27FC236}">
                    <a16:creationId xmlns:a16="http://schemas.microsoft.com/office/drawing/2014/main" id="{00000000-0008-0000-0300-0000350D0000}"/>
                  </a:ext>
                </a:extLst>
              </xdr:cNvPr>
              <xdr:cNvSpPr/>
            </xdr:nvSpPr>
            <xdr:spPr bwMode="auto">
              <a:xfrm>
                <a:off x="11358441" y="27495984"/>
                <a:ext cx="496522"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15年</a:t>
                </a:r>
              </a:p>
            </xdr:txBody>
          </xdr:sp>
          <xdr:sp macro="" textlink="">
            <xdr:nvSpPr>
              <xdr:cNvPr id="3382" name="Option Button 310" hidden="1">
                <a:extLst>
                  <a:ext uri="{63B3BB69-23CF-44E3-9099-C40C66FF867C}">
                    <a14:compatExt spid="_x0000_s3382"/>
                  </a:ext>
                  <a:ext uri="{FF2B5EF4-FFF2-40B4-BE49-F238E27FC236}">
                    <a16:creationId xmlns:a16="http://schemas.microsoft.com/office/drawing/2014/main" id="{00000000-0008-0000-0300-0000360D0000}"/>
                  </a:ext>
                </a:extLst>
              </xdr:cNvPr>
              <xdr:cNvSpPr/>
            </xdr:nvSpPr>
            <xdr:spPr bwMode="auto">
              <a:xfrm>
                <a:off x="2855595" y="27742320"/>
                <a:ext cx="49667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16年</a:t>
                </a:r>
              </a:p>
            </xdr:txBody>
          </xdr:sp>
          <xdr:sp macro="" textlink="">
            <xdr:nvSpPr>
              <xdr:cNvPr id="3383" name="Option Button 311" hidden="1">
                <a:extLst>
                  <a:ext uri="{63B3BB69-23CF-44E3-9099-C40C66FF867C}">
                    <a14:compatExt spid="_x0000_s3383"/>
                  </a:ext>
                  <a:ext uri="{FF2B5EF4-FFF2-40B4-BE49-F238E27FC236}">
                    <a16:creationId xmlns:a16="http://schemas.microsoft.com/office/drawing/2014/main" id="{00000000-0008-0000-0300-0000370D0000}"/>
                  </a:ext>
                </a:extLst>
              </xdr:cNvPr>
              <xdr:cNvSpPr/>
            </xdr:nvSpPr>
            <xdr:spPr bwMode="auto">
              <a:xfrm>
                <a:off x="3471278" y="27742320"/>
                <a:ext cx="49551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17年</a:t>
                </a:r>
              </a:p>
            </xdr:txBody>
          </xdr:sp>
          <xdr:sp macro="" textlink="">
            <xdr:nvSpPr>
              <xdr:cNvPr id="3384" name="Option Button 312" hidden="1">
                <a:extLst>
                  <a:ext uri="{63B3BB69-23CF-44E3-9099-C40C66FF867C}">
                    <a14:compatExt spid="_x0000_s3384"/>
                  </a:ext>
                  <a:ext uri="{FF2B5EF4-FFF2-40B4-BE49-F238E27FC236}">
                    <a16:creationId xmlns:a16="http://schemas.microsoft.com/office/drawing/2014/main" id="{00000000-0008-0000-0300-0000380D0000}"/>
                  </a:ext>
                </a:extLst>
              </xdr:cNvPr>
              <xdr:cNvSpPr/>
            </xdr:nvSpPr>
            <xdr:spPr bwMode="auto">
              <a:xfrm>
                <a:off x="4072336" y="27742320"/>
                <a:ext cx="49307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18年</a:t>
                </a:r>
              </a:p>
            </xdr:txBody>
          </xdr:sp>
          <xdr:sp macro="" textlink="">
            <xdr:nvSpPr>
              <xdr:cNvPr id="3385" name="Option Button 313" hidden="1">
                <a:extLst>
                  <a:ext uri="{63B3BB69-23CF-44E3-9099-C40C66FF867C}">
                    <a14:compatExt spid="_x0000_s3385"/>
                  </a:ext>
                  <a:ext uri="{FF2B5EF4-FFF2-40B4-BE49-F238E27FC236}">
                    <a16:creationId xmlns:a16="http://schemas.microsoft.com/office/drawing/2014/main" id="{00000000-0008-0000-0300-0000390D0000}"/>
                  </a:ext>
                </a:extLst>
              </xdr:cNvPr>
              <xdr:cNvSpPr/>
            </xdr:nvSpPr>
            <xdr:spPr bwMode="auto">
              <a:xfrm>
                <a:off x="4672116"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19年</a:t>
                </a:r>
              </a:p>
            </xdr:txBody>
          </xdr:sp>
          <xdr:sp macro="" textlink="">
            <xdr:nvSpPr>
              <xdr:cNvPr id="3386" name="Option Button 314" hidden="1">
                <a:extLst>
                  <a:ext uri="{63B3BB69-23CF-44E3-9099-C40C66FF867C}">
                    <a14:compatExt spid="_x0000_s3386"/>
                  </a:ext>
                  <a:ext uri="{FF2B5EF4-FFF2-40B4-BE49-F238E27FC236}">
                    <a16:creationId xmlns:a16="http://schemas.microsoft.com/office/drawing/2014/main" id="{00000000-0008-0000-0300-00003A0D0000}"/>
                  </a:ext>
                </a:extLst>
              </xdr:cNvPr>
              <xdr:cNvSpPr/>
            </xdr:nvSpPr>
            <xdr:spPr bwMode="auto">
              <a:xfrm>
                <a:off x="5283709" y="27742320"/>
                <a:ext cx="49674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20年</a:t>
                </a:r>
              </a:p>
            </xdr:txBody>
          </xdr:sp>
          <xdr:sp macro="" textlink="">
            <xdr:nvSpPr>
              <xdr:cNvPr id="3387" name="Option Button 315" hidden="1">
                <a:extLst>
                  <a:ext uri="{63B3BB69-23CF-44E3-9099-C40C66FF867C}">
                    <a14:compatExt spid="_x0000_s3387"/>
                  </a:ext>
                  <a:ext uri="{FF2B5EF4-FFF2-40B4-BE49-F238E27FC236}">
                    <a16:creationId xmlns:a16="http://schemas.microsoft.com/office/drawing/2014/main" id="{00000000-0008-0000-0300-00003B0D0000}"/>
                  </a:ext>
                </a:extLst>
              </xdr:cNvPr>
              <xdr:cNvSpPr/>
            </xdr:nvSpPr>
            <xdr:spPr bwMode="auto">
              <a:xfrm>
                <a:off x="5907795"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21年</a:t>
                </a:r>
              </a:p>
            </xdr:txBody>
          </xdr:sp>
          <xdr:sp macro="" textlink="">
            <xdr:nvSpPr>
              <xdr:cNvPr id="3388" name="Option Button 316" hidden="1">
                <a:extLst>
                  <a:ext uri="{63B3BB69-23CF-44E3-9099-C40C66FF867C}">
                    <a14:compatExt spid="_x0000_s3388"/>
                  </a:ext>
                  <a:ext uri="{FF2B5EF4-FFF2-40B4-BE49-F238E27FC236}">
                    <a16:creationId xmlns:a16="http://schemas.microsoft.com/office/drawing/2014/main" id="{00000000-0008-0000-0300-00003C0D0000}"/>
                  </a:ext>
                </a:extLst>
              </xdr:cNvPr>
              <xdr:cNvSpPr/>
            </xdr:nvSpPr>
            <xdr:spPr bwMode="auto">
              <a:xfrm>
                <a:off x="6505067" y="27742320"/>
                <a:ext cx="49562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22年</a:t>
                </a:r>
              </a:p>
            </xdr:txBody>
          </xdr:sp>
          <xdr:sp macro="" textlink="">
            <xdr:nvSpPr>
              <xdr:cNvPr id="3389" name="Option Button 317" hidden="1">
                <a:extLst>
                  <a:ext uri="{63B3BB69-23CF-44E3-9099-C40C66FF867C}">
                    <a14:compatExt spid="_x0000_s3389"/>
                  </a:ext>
                  <a:ext uri="{FF2B5EF4-FFF2-40B4-BE49-F238E27FC236}">
                    <a16:creationId xmlns:a16="http://schemas.microsoft.com/office/drawing/2014/main" id="{00000000-0008-0000-0300-00003D0D0000}"/>
                  </a:ext>
                </a:extLst>
              </xdr:cNvPr>
              <xdr:cNvSpPr/>
            </xdr:nvSpPr>
            <xdr:spPr bwMode="auto">
              <a:xfrm>
                <a:off x="7117151" y="27742320"/>
                <a:ext cx="495807"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23年</a:t>
                </a:r>
              </a:p>
            </xdr:txBody>
          </xdr:sp>
          <xdr:sp macro="" textlink="">
            <xdr:nvSpPr>
              <xdr:cNvPr id="3390" name="Option Button 318" hidden="1">
                <a:extLst>
                  <a:ext uri="{63B3BB69-23CF-44E3-9099-C40C66FF867C}">
                    <a14:compatExt spid="_x0000_s3390"/>
                  </a:ext>
                  <a:ext uri="{FF2B5EF4-FFF2-40B4-BE49-F238E27FC236}">
                    <a16:creationId xmlns:a16="http://schemas.microsoft.com/office/drawing/2014/main" id="{00000000-0008-0000-0300-00003E0D0000}"/>
                  </a:ext>
                </a:extLst>
              </xdr:cNvPr>
              <xdr:cNvSpPr/>
            </xdr:nvSpPr>
            <xdr:spPr bwMode="auto">
              <a:xfrm>
                <a:off x="7719659" y="27742320"/>
                <a:ext cx="496450"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24年</a:t>
                </a:r>
              </a:p>
            </xdr:txBody>
          </xdr:sp>
          <xdr:sp macro="" textlink="">
            <xdr:nvSpPr>
              <xdr:cNvPr id="3391" name="Option Button 319" hidden="1">
                <a:extLst>
                  <a:ext uri="{63B3BB69-23CF-44E3-9099-C40C66FF867C}">
                    <a14:compatExt spid="_x0000_s3391"/>
                  </a:ext>
                  <a:ext uri="{FF2B5EF4-FFF2-40B4-BE49-F238E27FC236}">
                    <a16:creationId xmlns:a16="http://schemas.microsoft.com/office/drawing/2014/main" id="{00000000-0008-0000-0300-00003F0D0000}"/>
                  </a:ext>
                </a:extLst>
              </xdr:cNvPr>
              <xdr:cNvSpPr/>
            </xdr:nvSpPr>
            <xdr:spPr bwMode="auto">
              <a:xfrm>
                <a:off x="8335116" y="27742320"/>
                <a:ext cx="494476"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25年</a:t>
                </a:r>
              </a:p>
            </xdr:txBody>
          </xdr:sp>
          <xdr:sp macro="" textlink="">
            <xdr:nvSpPr>
              <xdr:cNvPr id="3397" name="Option Button 325" hidden="1">
                <a:extLst>
                  <a:ext uri="{63B3BB69-23CF-44E3-9099-C40C66FF867C}">
                    <a14:compatExt spid="_x0000_s3397"/>
                  </a:ext>
                  <a:ext uri="{FF2B5EF4-FFF2-40B4-BE49-F238E27FC236}">
                    <a16:creationId xmlns:a16="http://schemas.microsoft.com/office/drawing/2014/main" id="{00000000-0008-0000-0300-0000450D0000}"/>
                  </a:ext>
                </a:extLst>
              </xdr:cNvPr>
              <xdr:cNvSpPr/>
            </xdr:nvSpPr>
            <xdr:spPr bwMode="auto">
              <a:xfrm>
                <a:off x="1965713" y="27495984"/>
                <a:ext cx="853499" cy="2292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最大年限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200025</xdr:rowOff>
        </xdr:from>
        <xdr:to>
          <xdr:col>2</xdr:col>
          <xdr:colOff>0</xdr:colOff>
          <xdr:row>11</xdr:row>
          <xdr:rowOff>0</xdr:rowOff>
        </xdr:to>
        <xdr:sp macro="" textlink="">
          <xdr:nvSpPr>
            <xdr:cNvPr id="3482" name="Group Box 410" hidden="1">
              <a:extLst>
                <a:ext uri="{63B3BB69-23CF-44E3-9099-C40C66FF867C}">
                  <a14:compatExt spid="_x0000_s3482"/>
                </a:ext>
                <a:ext uri="{FF2B5EF4-FFF2-40B4-BE49-F238E27FC236}">
                  <a16:creationId xmlns:a16="http://schemas.microsoft.com/office/drawing/2014/main" id="{00000000-0008-0000-0300-00009A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94884</xdr:colOff>
          <xdr:row>6</xdr:row>
          <xdr:rowOff>38528</xdr:rowOff>
        </xdr:from>
        <xdr:to>
          <xdr:col>1</xdr:col>
          <xdr:colOff>819150</xdr:colOff>
          <xdr:row>7</xdr:row>
          <xdr:rowOff>199621</xdr:rowOff>
        </xdr:to>
        <xdr:grpSp>
          <xdr:nvGrpSpPr>
            <xdr:cNvPr id="7" name="群組 6">
              <a:extLst>
                <a:ext uri="{FF2B5EF4-FFF2-40B4-BE49-F238E27FC236}">
                  <a16:creationId xmlns:a16="http://schemas.microsoft.com/office/drawing/2014/main" id="{00000000-0008-0000-0300-000007000000}"/>
                </a:ext>
              </a:extLst>
            </xdr:cNvPr>
            <xdr:cNvGrpSpPr/>
          </xdr:nvGrpSpPr>
          <xdr:grpSpPr>
            <a:xfrm>
              <a:off x="1095009" y="1324403"/>
              <a:ext cx="724266" cy="389693"/>
              <a:chOff x="1056542" y="1322478"/>
              <a:chExt cx="763466" cy="389066"/>
            </a:xfrm>
          </xdr:grpSpPr>
          <xdr:sp macro="" textlink="">
            <xdr:nvSpPr>
              <xdr:cNvPr id="3485" name="Option Button 413" hidden="1">
                <a:extLst>
                  <a:ext uri="{63B3BB69-23CF-44E3-9099-C40C66FF867C}">
                    <a14:compatExt spid="_x0000_s3485"/>
                  </a:ext>
                  <a:ext uri="{FF2B5EF4-FFF2-40B4-BE49-F238E27FC236}">
                    <a16:creationId xmlns:a16="http://schemas.microsoft.com/office/drawing/2014/main" id="{00000000-0008-0000-0300-00009D0D0000}"/>
                  </a:ext>
                </a:extLst>
              </xdr:cNvPr>
              <xdr:cNvSpPr/>
            </xdr:nvSpPr>
            <xdr:spPr bwMode="auto">
              <a:xfrm>
                <a:off x="1056542" y="1322478"/>
                <a:ext cx="763466"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圖像設計</a:t>
                </a:r>
              </a:p>
            </xdr:txBody>
          </xdr:sp>
          <xdr:sp macro="" textlink="">
            <xdr:nvSpPr>
              <xdr:cNvPr id="3486" name="Option Button 414" hidden="1">
                <a:extLst>
                  <a:ext uri="{63B3BB69-23CF-44E3-9099-C40C66FF867C}">
                    <a14:compatExt spid="_x0000_s3486"/>
                  </a:ext>
                  <a:ext uri="{FF2B5EF4-FFF2-40B4-BE49-F238E27FC236}">
                    <a16:creationId xmlns:a16="http://schemas.microsoft.com/office/drawing/2014/main" id="{00000000-0008-0000-0300-00009E0D0000}"/>
                  </a:ext>
                </a:extLst>
              </xdr:cNvPr>
              <xdr:cNvSpPr/>
            </xdr:nvSpPr>
            <xdr:spPr bwMode="auto">
              <a:xfrm>
                <a:off x="1056542" y="1530569"/>
                <a:ext cx="763466"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物品設計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15</xdr:row>
          <xdr:rowOff>47625</xdr:rowOff>
        </xdr:from>
        <xdr:to>
          <xdr:col>2</xdr:col>
          <xdr:colOff>695325</xdr:colOff>
          <xdr:row>30</xdr:row>
          <xdr:rowOff>190500</xdr:rowOff>
        </xdr:to>
        <xdr:grpSp>
          <xdr:nvGrpSpPr>
            <xdr:cNvPr id="3" name="群組 2">
              <a:extLst>
                <a:ext uri="{FF2B5EF4-FFF2-40B4-BE49-F238E27FC236}">
                  <a16:creationId xmlns:a16="http://schemas.microsoft.com/office/drawing/2014/main" id="{13CAFACA-FF1A-20A6-36EA-0F61FC9F9E38}"/>
                </a:ext>
              </a:extLst>
            </xdr:cNvPr>
            <xdr:cNvGrpSpPr/>
          </xdr:nvGrpSpPr>
          <xdr:grpSpPr>
            <a:xfrm>
              <a:off x="2066925" y="3581400"/>
              <a:ext cx="523875" cy="3571875"/>
              <a:chOff x="2065244" y="3532656"/>
              <a:chExt cx="523875" cy="3504638"/>
            </a:xfrm>
          </xdr:grpSpPr>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300-0000BE0D0000}"/>
                  </a:ext>
                </a:extLst>
              </xdr:cNvPr>
              <xdr:cNvSpPr/>
            </xdr:nvSpPr>
            <xdr:spPr bwMode="auto">
              <a:xfrm>
                <a:off x="2065244" y="353265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300-0000BF0D0000}"/>
                  </a:ext>
                </a:extLst>
              </xdr:cNvPr>
              <xdr:cNvSpPr/>
            </xdr:nvSpPr>
            <xdr:spPr bwMode="auto">
              <a:xfrm>
                <a:off x="2065244" y="375677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0" name="Check Box 448" hidden="1">
                <a:extLst>
                  <a:ext uri="{63B3BB69-23CF-44E3-9099-C40C66FF867C}">
                    <a14:compatExt spid="_x0000_s3520"/>
                  </a:ext>
                  <a:ext uri="{FF2B5EF4-FFF2-40B4-BE49-F238E27FC236}">
                    <a16:creationId xmlns:a16="http://schemas.microsoft.com/office/drawing/2014/main" id="{00000000-0008-0000-0300-0000C00D0000}"/>
                  </a:ext>
                </a:extLst>
              </xdr:cNvPr>
              <xdr:cNvSpPr/>
            </xdr:nvSpPr>
            <xdr:spPr bwMode="auto">
              <a:xfrm>
                <a:off x="2065244" y="39808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1" name="Check Box 449" hidden="1">
                <a:extLst>
                  <a:ext uri="{63B3BB69-23CF-44E3-9099-C40C66FF867C}">
                    <a14:compatExt spid="_x0000_s3521"/>
                  </a:ext>
                  <a:ext uri="{FF2B5EF4-FFF2-40B4-BE49-F238E27FC236}">
                    <a16:creationId xmlns:a16="http://schemas.microsoft.com/office/drawing/2014/main" id="{00000000-0008-0000-0300-0000C10D0000}"/>
                  </a:ext>
                </a:extLst>
              </xdr:cNvPr>
              <xdr:cNvSpPr/>
            </xdr:nvSpPr>
            <xdr:spPr bwMode="auto">
              <a:xfrm>
                <a:off x="2065244" y="420500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2" name="Check Box 450" hidden="1">
                <a:extLst>
                  <a:ext uri="{63B3BB69-23CF-44E3-9099-C40C66FF867C}">
                    <a14:compatExt spid="_x0000_s3522"/>
                  </a:ext>
                  <a:ext uri="{FF2B5EF4-FFF2-40B4-BE49-F238E27FC236}">
                    <a16:creationId xmlns:a16="http://schemas.microsoft.com/office/drawing/2014/main" id="{00000000-0008-0000-0300-0000C20D0000}"/>
                  </a:ext>
                </a:extLst>
              </xdr:cNvPr>
              <xdr:cNvSpPr/>
            </xdr:nvSpPr>
            <xdr:spPr bwMode="auto">
              <a:xfrm>
                <a:off x="2065244" y="465324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3" name="Check Box 451" hidden="1">
                <a:extLst>
                  <a:ext uri="{63B3BB69-23CF-44E3-9099-C40C66FF867C}">
                    <a14:compatExt spid="_x0000_s3523"/>
                  </a:ext>
                  <a:ext uri="{FF2B5EF4-FFF2-40B4-BE49-F238E27FC236}">
                    <a16:creationId xmlns:a16="http://schemas.microsoft.com/office/drawing/2014/main" id="{00000000-0008-0000-0300-0000C30D0000}"/>
                  </a:ext>
                </a:extLst>
              </xdr:cNvPr>
              <xdr:cNvSpPr/>
            </xdr:nvSpPr>
            <xdr:spPr bwMode="auto">
              <a:xfrm>
                <a:off x="2065244" y="48773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4" name="Check Box 452" hidden="1">
                <a:extLst>
                  <a:ext uri="{63B3BB69-23CF-44E3-9099-C40C66FF867C}">
                    <a14:compatExt spid="_x0000_s3524"/>
                  </a:ext>
                  <a:ext uri="{FF2B5EF4-FFF2-40B4-BE49-F238E27FC236}">
                    <a16:creationId xmlns:a16="http://schemas.microsoft.com/office/drawing/2014/main" id="{00000000-0008-0000-0300-0000C40D0000}"/>
                  </a:ext>
                </a:extLst>
              </xdr:cNvPr>
              <xdr:cNvSpPr/>
            </xdr:nvSpPr>
            <xdr:spPr bwMode="auto">
              <a:xfrm>
                <a:off x="2065244" y="55497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5" name="Check Box 453" hidden="1">
                <a:extLst>
                  <a:ext uri="{63B3BB69-23CF-44E3-9099-C40C66FF867C}">
                    <a14:compatExt spid="_x0000_s3525"/>
                  </a:ext>
                  <a:ext uri="{FF2B5EF4-FFF2-40B4-BE49-F238E27FC236}">
                    <a16:creationId xmlns:a16="http://schemas.microsoft.com/office/drawing/2014/main" id="{00000000-0008-0000-0300-0000C50D0000}"/>
                  </a:ext>
                </a:extLst>
              </xdr:cNvPr>
              <xdr:cNvSpPr/>
            </xdr:nvSpPr>
            <xdr:spPr bwMode="auto">
              <a:xfrm>
                <a:off x="2065244" y="644618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300-0000C60D0000}"/>
                  </a:ext>
                </a:extLst>
              </xdr:cNvPr>
              <xdr:cNvSpPr/>
            </xdr:nvSpPr>
            <xdr:spPr bwMode="auto">
              <a:xfrm>
                <a:off x="2065244" y="532559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7" name="Check Box 455" hidden="1">
                <a:extLst>
                  <a:ext uri="{63B3BB69-23CF-44E3-9099-C40C66FF867C}">
                    <a14:compatExt spid="_x0000_s3527"/>
                  </a:ext>
                  <a:ext uri="{FF2B5EF4-FFF2-40B4-BE49-F238E27FC236}">
                    <a16:creationId xmlns:a16="http://schemas.microsoft.com/office/drawing/2014/main" id="{00000000-0008-0000-0300-0000C70D0000}"/>
                  </a:ext>
                </a:extLst>
              </xdr:cNvPr>
              <xdr:cNvSpPr/>
            </xdr:nvSpPr>
            <xdr:spPr bwMode="auto">
              <a:xfrm>
                <a:off x="2065244" y="577383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8" name="Check Box 456" hidden="1">
                <a:extLst>
                  <a:ext uri="{63B3BB69-23CF-44E3-9099-C40C66FF867C}">
                    <a14:compatExt spid="_x0000_s3528"/>
                  </a:ext>
                  <a:ext uri="{FF2B5EF4-FFF2-40B4-BE49-F238E27FC236}">
                    <a16:creationId xmlns:a16="http://schemas.microsoft.com/office/drawing/2014/main" id="{00000000-0008-0000-0300-0000C80D0000}"/>
                  </a:ext>
                </a:extLst>
              </xdr:cNvPr>
              <xdr:cNvSpPr/>
            </xdr:nvSpPr>
            <xdr:spPr bwMode="auto">
              <a:xfrm>
                <a:off x="2065244" y="62220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300-0000C90D0000}"/>
                  </a:ext>
                </a:extLst>
              </xdr:cNvPr>
              <xdr:cNvSpPr/>
            </xdr:nvSpPr>
            <xdr:spPr bwMode="auto">
              <a:xfrm>
                <a:off x="2065244" y="510147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0" name="Check Box 458" hidden="1">
                <a:extLst>
                  <a:ext uri="{63B3BB69-23CF-44E3-9099-C40C66FF867C}">
                    <a14:compatExt spid="_x0000_s3530"/>
                  </a:ext>
                  <a:ext uri="{FF2B5EF4-FFF2-40B4-BE49-F238E27FC236}">
                    <a16:creationId xmlns:a16="http://schemas.microsoft.com/office/drawing/2014/main" id="{00000000-0008-0000-0300-0000CA0D0000}"/>
                  </a:ext>
                </a:extLst>
              </xdr:cNvPr>
              <xdr:cNvSpPr/>
            </xdr:nvSpPr>
            <xdr:spPr bwMode="auto">
              <a:xfrm>
                <a:off x="2065244" y="599794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1" name="Check Box 459" hidden="1">
                <a:extLst>
                  <a:ext uri="{63B3BB69-23CF-44E3-9099-C40C66FF867C}">
                    <a14:compatExt spid="_x0000_s3531"/>
                  </a:ext>
                  <a:ext uri="{FF2B5EF4-FFF2-40B4-BE49-F238E27FC236}">
                    <a16:creationId xmlns:a16="http://schemas.microsoft.com/office/drawing/2014/main" id="{00000000-0008-0000-0300-0000CB0D0000}"/>
                  </a:ext>
                </a:extLst>
              </xdr:cNvPr>
              <xdr:cNvSpPr/>
            </xdr:nvSpPr>
            <xdr:spPr bwMode="auto">
              <a:xfrm>
                <a:off x="2065244" y="44291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2" name="Check Box 460" hidden="1">
                <a:extLst>
                  <a:ext uri="{63B3BB69-23CF-44E3-9099-C40C66FF867C}">
                    <a14:compatExt spid="_x0000_s3532"/>
                  </a:ext>
                  <a:ext uri="{FF2B5EF4-FFF2-40B4-BE49-F238E27FC236}">
                    <a16:creationId xmlns:a16="http://schemas.microsoft.com/office/drawing/2014/main" id="{00000000-0008-0000-0300-0000CC0D0000}"/>
                  </a:ext>
                </a:extLst>
              </xdr:cNvPr>
              <xdr:cNvSpPr/>
            </xdr:nvSpPr>
            <xdr:spPr bwMode="auto">
              <a:xfrm>
                <a:off x="2065244" y="667030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300-0000CD0D0000}"/>
                  </a:ext>
                </a:extLst>
              </xdr:cNvPr>
              <xdr:cNvSpPr/>
            </xdr:nvSpPr>
            <xdr:spPr bwMode="auto">
              <a:xfrm>
                <a:off x="2065244" y="689441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55</xdr:row>
          <xdr:rowOff>47625</xdr:rowOff>
        </xdr:from>
        <xdr:to>
          <xdr:col>2</xdr:col>
          <xdr:colOff>695325</xdr:colOff>
          <xdr:row>70</xdr:row>
          <xdr:rowOff>190500</xdr:rowOff>
        </xdr:to>
        <xdr:grpSp>
          <xdr:nvGrpSpPr>
            <xdr:cNvPr id="4" name="群組 3">
              <a:extLst>
                <a:ext uri="{FF2B5EF4-FFF2-40B4-BE49-F238E27FC236}">
                  <a16:creationId xmlns:a16="http://schemas.microsoft.com/office/drawing/2014/main" id="{1B3DB342-C28E-2AAB-BDCA-1774D8B20E98}"/>
                </a:ext>
              </a:extLst>
            </xdr:cNvPr>
            <xdr:cNvGrpSpPr/>
          </xdr:nvGrpSpPr>
          <xdr:grpSpPr>
            <a:xfrm>
              <a:off x="2066925" y="12896850"/>
              <a:ext cx="523875" cy="3571875"/>
              <a:chOff x="2068167" y="13051324"/>
              <a:chExt cx="523875" cy="3621572"/>
            </a:xfrm>
          </xdr:grpSpPr>
          <xdr:sp macro="" textlink="">
            <xdr:nvSpPr>
              <xdr:cNvPr id="3503" name="Check Box 431" hidden="1">
                <a:extLst>
                  <a:ext uri="{63B3BB69-23CF-44E3-9099-C40C66FF867C}">
                    <a14:compatExt spid="_x0000_s3503"/>
                  </a:ext>
                  <a:ext uri="{FF2B5EF4-FFF2-40B4-BE49-F238E27FC236}">
                    <a16:creationId xmlns:a16="http://schemas.microsoft.com/office/drawing/2014/main" id="{00000000-0008-0000-0300-0000AF0D0000}"/>
                  </a:ext>
                </a:extLst>
              </xdr:cNvPr>
              <xdr:cNvSpPr/>
            </xdr:nvSpPr>
            <xdr:spPr bwMode="auto">
              <a:xfrm>
                <a:off x="2068167" y="1305132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4" name="Check Box 432" hidden="1">
                <a:extLst>
                  <a:ext uri="{63B3BB69-23CF-44E3-9099-C40C66FF867C}">
                    <a14:compatExt spid="_x0000_s3504"/>
                  </a:ext>
                  <a:ext uri="{FF2B5EF4-FFF2-40B4-BE49-F238E27FC236}">
                    <a16:creationId xmlns:a16="http://schemas.microsoft.com/office/drawing/2014/main" id="{00000000-0008-0000-0300-0000B00D0000}"/>
                  </a:ext>
                </a:extLst>
              </xdr:cNvPr>
              <xdr:cNvSpPr/>
            </xdr:nvSpPr>
            <xdr:spPr bwMode="auto">
              <a:xfrm>
                <a:off x="2068167" y="1328323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300-0000B10D0000}"/>
                  </a:ext>
                </a:extLst>
              </xdr:cNvPr>
              <xdr:cNvSpPr/>
            </xdr:nvSpPr>
            <xdr:spPr bwMode="auto">
              <a:xfrm>
                <a:off x="2068167" y="1351514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6" name="Check Box 434" hidden="1">
                <a:extLst>
                  <a:ext uri="{63B3BB69-23CF-44E3-9099-C40C66FF867C}">
                    <a14:compatExt spid="_x0000_s3506"/>
                  </a:ext>
                  <a:ext uri="{FF2B5EF4-FFF2-40B4-BE49-F238E27FC236}">
                    <a16:creationId xmlns:a16="http://schemas.microsoft.com/office/drawing/2014/main" id="{00000000-0008-0000-0300-0000B20D0000}"/>
                  </a:ext>
                </a:extLst>
              </xdr:cNvPr>
              <xdr:cNvSpPr/>
            </xdr:nvSpPr>
            <xdr:spPr bwMode="auto">
              <a:xfrm>
                <a:off x="2068167" y="137470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7" name="Check Box 435" hidden="1">
                <a:extLst>
                  <a:ext uri="{63B3BB69-23CF-44E3-9099-C40C66FF867C}">
                    <a14:compatExt spid="_x0000_s3507"/>
                  </a:ext>
                  <a:ext uri="{FF2B5EF4-FFF2-40B4-BE49-F238E27FC236}">
                    <a16:creationId xmlns:a16="http://schemas.microsoft.com/office/drawing/2014/main" id="{00000000-0008-0000-0300-0000B30D0000}"/>
                  </a:ext>
                </a:extLst>
              </xdr:cNvPr>
              <xdr:cNvSpPr/>
            </xdr:nvSpPr>
            <xdr:spPr bwMode="auto">
              <a:xfrm>
                <a:off x="2068167" y="1421088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8" name="Check Box 436" hidden="1">
                <a:extLst>
                  <a:ext uri="{63B3BB69-23CF-44E3-9099-C40C66FF867C}">
                    <a14:compatExt spid="_x0000_s3508"/>
                  </a:ext>
                  <a:ext uri="{FF2B5EF4-FFF2-40B4-BE49-F238E27FC236}">
                    <a16:creationId xmlns:a16="http://schemas.microsoft.com/office/drawing/2014/main" id="{00000000-0008-0000-0300-0000B40D0000}"/>
                  </a:ext>
                </a:extLst>
              </xdr:cNvPr>
              <xdr:cNvSpPr/>
            </xdr:nvSpPr>
            <xdr:spPr bwMode="auto">
              <a:xfrm>
                <a:off x="2068167" y="1444279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9" name="Check Box 437" hidden="1">
                <a:extLst>
                  <a:ext uri="{63B3BB69-23CF-44E3-9099-C40C66FF867C}">
                    <a14:compatExt spid="_x0000_s3509"/>
                  </a:ext>
                  <a:ext uri="{FF2B5EF4-FFF2-40B4-BE49-F238E27FC236}">
                    <a16:creationId xmlns:a16="http://schemas.microsoft.com/office/drawing/2014/main" id="{00000000-0008-0000-0300-0000B50D0000}"/>
                  </a:ext>
                </a:extLst>
              </xdr:cNvPr>
              <xdr:cNvSpPr/>
            </xdr:nvSpPr>
            <xdr:spPr bwMode="auto">
              <a:xfrm>
                <a:off x="2068167" y="1513853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0" name="Check Box 438" hidden="1">
                <a:extLst>
                  <a:ext uri="{63B3BB69-23CF-44E3-9099-C40C66FF867C}">
                    <a14:compatExt spid="_x0000_s3510"/>
                  </a:ext>
                  <a:ext uri="{FF2B5EF4-FFF2-40B4-BE49-F238E27FC236}">
                    <a16:creationId xmlns:a16="http://schemas.microsoft.com/office/drawing/2014/main" id="{00000000-0008-0000-0300-0000B60D0000}"/>
                  </a:ext>
                </a:extLst>
              </xdr:cNvPr>
              <xdr:cNvSpPr/>
            </xdr:nvSpPr>
            <xdr:spPr bwMode="auto">
              <a:xfrm>
                <a:off x="2068167" y="16066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1" name="Check Box 439" hidden="1">
                <a:extLst>
                  <a:ext uri="{63B3BB69-23CF-44E3-9099-C40C66FF867C}">
                    <a14:compatExt spid="_x0000_s3511"/>
                  </a:ext>
                  <a:ext uri="{FF2B5EF4-FFF2-40B4-BE49-F238E27FC236}">
                    <a16:creationId xmlns:a16="http://schemas.microsoft.com/office/drawing/2014/main" id="{00000000-0008-0000-0300-0000B70D0000}"/>
                  </a:ext>
                </a:extLst>
              </xdr:cNvPr>
              <xdr:cNvSpPr/>
            </xdr:nvSpPr>
            <xdr:spPr bwMode="auto">
              <a:xfrm>
                <a:off x="2068167" y="149066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300-0000B80D0000}"/>
                  </a:ext>
                </a:extLst>
              </xdr:cNvPr>
              <xdr:cNvSpPr/>
            </xdr:nvSpPr>
            <xdr:spPr bwMode="auto">
              <a:xfrm>
                <a:off x="2068167" y="15370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3" name="Check Box 441" hidden="1">
                <a:extLst>
                  <a:ext uri="{63B3BB69-23CF-44E3-9099-C40C66FF867C}">
                    <a14:compatExt spid="_x0000_s3513"/>
                  </a:ext>
                  <a:ext uri="{FF2B5EF4-FFF2-40B4-BE49-F238E27FC236}">
                    <a16:creationId xmlns:a16="http://schemas.microsoft.com/office/drawing/2014/main" id="{00000000-0008-0000-0300-0000B90D0000}"/>
                  </a:ext>
                </a:extLst>
              </xdr:cNvPr>
              <xdr:cNvSpPr/>
            </xdr:nvSpPr>
            <xdr:spPr bwMode="auto">
              <a:xfrm>
                <a:off x="2068167" y="15834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4" name="Check Box 442" hidden="1">
                <a:extLst>
                  <a:ext uri="{63B3BB69-23CF-44E3-9099-C40C66FF867C}">
                    <a14:compatExt spid="_x0000_s3514"/>
                  </a:ext>
                  <a:ext uri="{FF2B5EF4-FFF2-40B4-BE49-F238E27FC236}">
                    <a16:creationId xmlns:a16="http://schemas.microsoft.com/office/drawing/2014/main" id="{00000000-0008-0000-0300-0000BA0D0000}"/>
                  </a:ext>
                </a:extLst>
              </xdr:cNvPr>
              <xdr:cNvSpPr/>
            </xdr:nvSpPr>
            <xdr:spPr bwMode="auto">
              <a:xfrm>
                <a:off x="2068167" y="1467471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5" name="Check Box 443" hidden="1">
                <a:extLst>
                  <a:ext uri="{63B3BB69-23CF-44E3-9099-C40C66FF867C}">
                    <a14:compatExt spid="_x0000_s3515"/>
                  </a:ext>
                  <a:ext uri="{FF2B5EF4-FFF2-40B4-BE49-F238E27FC236}">
                    <a16:creationId xmlns:a16="http://schemas.microsoft.com/office/drawing/2014/main" id="{00000000-0008-0000-0300-0000BB0D0000}"/>
                  </a:ext>
                </a:extLst>
              </xdr:cNvPr>
              <xdr:cNvSpPr/>
            </xdr:nvSpPr>
            <xdr:spPr bwMode="auto">
              <a:xfrm>
                <a:off x="2068167" y="15602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6" name="Check Box 444" hidden="1">
                <a:extLst>
                  <a:ext uri="{63B3BB69-23CF-44E3-9099-C40C66FF867C}">
                    <a14:compatExt spid="_x0000_s3516"/>
                  </a:ext>
                  <a:ext uri="{FF2B5EF4-FFF2-40B4-BE49-F238E27FC236}">
                    <a16:creationId xmlns:a16="http://schemas.microsoft.com/office/drawing/2014/main" id="{00000000-0008-0000-0300-0000BC0D0000}"/>
                  </a:ext>
                </a:extLst>
              </xdr:cNvPr>
              <xdr:cNvSpPr/>
            </xdr:nvSpPr>
            <xdr:spPr bwMode="auto">
              <a:xfrm>
                <a:off x="2068167" y="1397897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17" name="Check Box 445" hidden="1">
                <a:extLst>
                  <a:ext uri="{63B3BB69-23CF-44E3-9099-C40C66FF867C}">
                    <a14:compatExt spid="_x0000_s3517"/>
                  </a:ext>
                  <a:ext uri="{FF2B5EF4-FFF2-40B4-BE49-F238E27FC236}">
                    <a16:creationId xmlns:a16="http://schemas.microsoft.com/office/drawing/2014/main" id="{00000000-0008-0000-0300-0000BD0D0000}"/>
                  </a:ext>
                </a:extLst>
              </xdr:cNvPr>
              <xdr:cNvSpPr/>
            </xdr:nvSpPr>
            <xdr:spPr bwMode="auto">
              <a:xfrm>
                <a:off x="2068167" y="1629810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4" name="Check Box 462" hidden="1">
                <a:extLst>
                  <a:ext uri="{63B3BB69-23CF-44E3-9099-C40C66FF867C}">
                    <a14:compatExt spid="_x0000_s3534"/>
                  </a:ext>
                  <a:ext uri="{FF2B5EF4-FFF2-40B4-BE49-F238E27FC236}">
                    <a16:creationId xmlns:a16="http://schemas.microsoft.com/office/drawing/2014/main" id="{00000000-0008-0000-0300-0000CE0D0000}"/>
                  </a:ext>
                </a:extLst>
              </xdr:cNvPr>
              <xdr:cNvSpPr/>
            </xdr:nvSpPr>
            <xdr:spPr bwMode="auto">
              <a:xfrm>
                <a:off x="2068167" y="1653002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80</xdr:row>
          <xdr:rowOff>47625</xdr:rowOff>
        </xdr:from>
        <xdr:to>
          <xdr:col>2</xdr:col>
          <xdr:colOff>695325</xdr:colOff>
          <xdr:row>95</xdr:row>
          <xdr:rowOff>190500</xdr:rowOff>
        </xdr:to>
        <xdr:grpSp>
          <xdr:nvGrpSpPr>
            <xdr:cNvPr id="5" name="群組 4">
              <a:extLst>
                <a:ext uri="{FF2B5EF4-FFF2-40B4-BE49-F238E27FC236}">
                  <a16:creationId xmlns:a16="http://schemas.microsoft.com/office/drawing/2014/main" id="{B8031E7E-6587-B63D-DCEA-827208603185}"/>
                </a:ext>
              </a:extLst>
            </xdr:cNvPr>
            <xdr:cNvGrpSpPr/>
          </xdr:nvGrpSpPr>
          <xdr:grpSpPr>
            <a:xfrm>
              <a:off x="2066925" y="18716625"/>
              <a:ext cx="523875" cy="3571875"/>
              <a:chOff x="2068167" y="18915412"/>
              <a:chExt cx="523875" cy="3621572"/>
            </a:xfrm>
          </xdr:grpSpPr>
          <xdr:sp macro="" textlink="">
            <xdr:nvSpPr>
              <xdr:cNvPr id="3488" name="Check Box 416" hidden="1">
                <a:extLst>
                  <a:ext uri="{63B3BB69-23CF-44E3-9099-C40C66FF867C}">
                    <a14:compatExt spid="_x0000_s3488"/>
                  </a:ext>
                  <a:ext uri="{FF2B5EF4-FFF2-40B4-BE49-F238E27FC236}">
                    <a16:creationId xmlns:a16="http://schemas.microsoft.com/office/drawing/2014/main" id="{00000000-0008-0000-0300-0000A00D0000}"/>
                  </a:ext>
                </a:extLst>
              </xdr:cNvPr>
              <xdr:cNvSpPr/>
            </xdr:nvSpPr>
            <xdr:spPr bwMode="auto">
              <a:xfrm>
                <a:off x="2068167" y="1891541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9" name="Check Box 417" hidden="1">
                <a:extLst>
                  <a:ext uri="{63B3BB69-23CF-44E3-9099-C40C66FF867C}">
                    <a14:compatExt spid="_x0000_s3489"/>
                  </a:ext>
                  <a:ext uri="{FF2B5EF4-FFF2-40B4-BE49-F238E27FC236}">
                    <a16:creationId xmlns:a16="http://schemas.microsoft.com/office/drawing/2014/main" id="{00000000-0008-0000-0300-0000A10D0000}"/>
                  </a:ext>
                </a:extLst>
              </xdr:cNvPr>
              <xdr:cNvSpPr/>
            </xdr:nvSpPr>
            <xdr:spPr bwMode="auto">
              <a:xfrm>
                <a:off x="2068167" y="1914732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0" name="Check Box 418" hidden="1">
                <a:extLst>
                  <a:ext uri="{63B3BB69-23CF-44E3-9099-C40C66FF867C}">
                    <a14:compatExt spid="_x0000_s3490"/>
                  </a:ext>
                  <a:ext uri="{FF2B5EF4-FFF2-40B4-BE49-F238E27FC236}">
                    <a16:creationId xmlns:a16="http://schemas.microsoft.com/office/drawing/2014/main" id="{00000000-0008-0000-0300-0000A20D0000}"/>
                  </a:ext>
                </a:extLst>
              </xdr:cNvPr>
              <xdr:cNvSpPr/>
            </xdr:nvSpPr>
            <xdr:spPr bwMode="auto">
              <a:xfrm>
                <a:off x="2068167" y="1937923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1" name="Check Box 419" hidden="1">
                <a:extLst>
                  <a:ext uri="{63B3BB69-23CF-44E3-9099-C40C66FF867C}">
                    <a14:compatExt spid="_x0000_s3491"/>
                  </a:ext>
                  <a:ext uri="{FF2B5EF4-FFF2-40B4-BE49-F238E27FC236}">
                    <a16:creationId xmlns:a16="http://schemas.microsoft.com/office/drawing/2014/main" id="{00000000-0008-0000-0300-0000A30D0000}"/>
                  </a:ext>
                </a:extLst>
              </xdr:cNvPr>
              <xdr:cNvSpPr/>
            </xdr:nvSpPr>
            <xdr:spPr bwMode="auto">
              <a:xfrm>
                <a:off x="2068167" y="1961114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2" name="Check Box 420" hidden="1">
                <a:extLst>
                  <a:ext uri="{63B3BB69-23CF-44E3-9099-C40C66FF867C}">
                    <a14:compatExt spid="_x0000_s3492"/>
                  </a:ext>
                  <a:ext uri="{FF2B5EF4-FFF2-40B4-BE49-F238E27FC236}">
                    <a16:creationId xmlns:a16="http://schemas.microsoft.com/office/drawing/2014/main" id="{00000000-0008-0000-0300-0000A40D0000}"/>
                  </a:ext>
                </a:extLst>
              </xdr:cNvPr>
              <xdr:cNvSpPr/>
            </xdr:nvSpPr>
            <xdr:spPr bwMode="auto">
              <a:xfrm>
                <a:off x="2068167" y="2007497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300-0000A50D0000}"/>
                  </a:ext>
                </a:extLst>
              </xdr:cNvPr>
              <xdr:cNvSpPr/>
            </xdr:nvSpPr>
            <xdr:spPr bwMode="auto">
              <a:xfrm>
                <a:off x="2068167" y="2030688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300-0000A60D0000}"/>
                  </a:ext>
                </a:extLst>
              </xdr:cNvPr>
              <xdr:cNvSpPr/>
            </xdr:nvSpPr>
            <xdr:spPr bwMode="auto">
              <a:xfrm>
                <a:off x="2068167" y="2100262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5" name="Check Box 423" hidden="1">
                <a:extLst>
                  <a:ext uri="{63B3BB69-23CF-44E3-9099-C40C66FF867C}">
                    <a14:compatExt spid="_x0000_s3495"/>
                  </a:ext>
                  <a:ext uri="{FF2B5EF4-FFF2-40B4-BE49-F238E27FC236}">
                    <a16:creationId xmlns:a16="http://schemas.microsoft.com/office/drawing/2014/main" id="{00000000-0008-0000-0300-0000A70D0000}"/>
                  </a:ext>
                </a:extLst>
              </xdr:cNvPr>
              <xdr:cNvSpPr/>
            </xdr:nvSpPr>
            <xdr:spPr bwMode="auto">
              <a:xfrm>
                <a:off x="2068167" y="21930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6" name="Check Box 424" hidden="1">
                <a:extLst>
                  <a:ext uri="{63B3BB69-23CF-44E3-9099-C40C66FF867C}">
                    <a14:compatExt spid="_x0000_s3496"/>
                  </a:ext>
                  <a:ext uri="{FF2B5EF4-FFF2-40B4-BE49-F238E27FC236}">
                    <a16:creationId xmlns:a16="http://schemas.microsoft.com/office/drawing/2014/main" id="{00000000-0008-0000-0300-0000A80D0000}"/>
                  </a:ext>
                </a:extLst>
              </xdr:cNvPr>
              <xdr:cNvSpPr/>
            </xdr:nvSpPr>
            <xdr:spPr bwMode="auto">
              <a:xfrm>
                <a:off x="2068167" y="2077071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7" name="Check Box 425" hidden="1">
                <a:extLst>
                  <a:ext uri="{63B3BB69-23CF-44E3-9099-C40C66FF867C}">
                    <a14:compatExt spid="_x0000_s3497"/>
                  </a:ext>
                  <a:ext uri="{FF2B5EF4-FFF2-40B4-BE49-F238E27FC236}">
                    <a16:creationId xmlns:a16="http://schemas.microsoft.com/office/drawing/2014/main" id="{00000000-0008-0000-0300-0000A90D0000}"/>
                  </a:ext>
                </a:extLst>
              </xdr:cNvPr>
              <xdr:cNvSpPr/>
            </xdr:nvSpPr>
            <xdr:spPr bwMode="auto">
              <a:xfrm>
                <a:off x="2068167" y="2123453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300-0000AA0D0000}"/>
                  </a:ext>
                </a:extLst>
              </xdr:cNvPr>
              <xdr:cNvSpPr/>
            </xdr:nvSpPr>
            <xdr:spPr bwMode="auto">
              <a:xfrm>
                <a:off x="2068167" y="21698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99" name="Check Box 427" hidden="1">
                <a:extLst>
                  <a:ext uri="{63B3BB69-23CF-44E3-9099-C40C66FF867C}">
                    <a14:compatExt spid="_x0000_s3499"/>
                  </a:ext>
                  <a:ext uri="{FF2B5EF4-FFF2-40B4-BE49-F238E27FC236}">
                    <a16:creationId xmlns:a16="http://schemas.microsoft.com/office/drawing/2014/main" id="{00000000-0008-0000-0300-0000AB0D0000}"/>
                  </a:ext>
                </a:extLst>
              </xdr:cNvPr>
              <xdr:cNvSpPr/>
            </xdr:nvSpPr>
            <xdr:spPr bwMode="auto">
              <a:xfrm>
                <a:off x="2068167" y="2053879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0" name="Check Box 428" hidden="1">
                <a:extLst>
                  <a:ext uri="{63B3BB69-23CF-44E3-9099-C40C66FF867C}">
                    <a14:compatExt spid="_x0000_s3500"/>
                  </a:ext>
                  <a:ext uri="{FF2B5EF4-FFF2-40B4-BE49-F238E27FC236}">
                    <a16:creationId xmlns:a16="http://schemas.microsoft.com/office/drawing/2014/main" id="{00000000-0008-0000-0300-0000AC0D0000}"/>
                  </a:ext>
                </a:extLst>
              </xdr:cNvPr>
              <xdr:cNvSpPr/>
            </xdr:nvSpPr>
            <xdr:spPr bwMode="auto">
              <a:xfrm>
                <a:off x="2068167" y="21466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300-0000AD0D0000}"/>
                  </a:ext>
                </a:extLst>
              </xdr:cNvPr>
              <xdr:cNvSpPr/>
            </xdr:nvSpPr>
            <xdr:spPr bwMode="auto">
              <a:xfrm>
                <a:off x="2068167" y="1984306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300-0000AE0D0000}"/>
                  </a:ext>
                </a:extLst>
              </xdr:cNvPr>
              <xdr:cNvSpPr/>
            </xdr:nvSpPr>
            <xdr:spPr bwMode="auto">
              <a:xfrm>
                <a:off x="2068167" y="22162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5" name="Check Box 463" hidden="1">
                <a:extLst>
                  <a:ext uri="{63B3BB69-23CF-44E3-9099-C40C66FF867C}">
                    <a14:compatExt spid="_x0000_s3535"/>
                  </a:ext>
                  <a:ext uri="{FF2B5EF4-FFF2-40B4-BE49-F238E27FC236}">
                    <a16:creationId xmlns:a16="http://schemas.microsoft.com/office/drawing/2014/main" id="{00000000-0008-0000-0300-0000CF0D0000}"/>
                  </a:ext>
                </a:extLst>
              </xdr:cNvPr>
              <xdr:cNvSpPr/>
            </xdr:nvSpPr>
            <xdr:spPr bwMode="auto">
              <a:xfrm>
                <a:off x="2068167" y="2239410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108</xdr:row>
          <xdr:rowOff>47625</xdr:rowOff>
        </xdr:from>
        <xdr:to>
          <xdr:col>2</xdr:col>
          <xdr:colOff>695325</xdr:colOff>
          <xdr:row>123</xdr:row>
          <xdr:rowOff>190500</xdr:rowOff>
        </xdr:to>
        <xdr:grpSp>
          <xdr:nvGrpSpPr>
            <xdr:cNvPr id="8" name="群組 7">
              <a:extLst>
                <a:ext uri="{FF2B5EF4-FFF2-40B4-BE49-F238E27FC236}">
                  <a16:creationId xmlns:a16="http://schemas.microsoft.com/office/drawing/2014/main" id="{84C5E16A-B5B2-E3F1-9566-CBE1CD431126}"/>
                </a:ext>
              </a:extLst>
            </xdr:cNvPr>
            <xdr:cNvGrpSpPr/>
          </xdr:nvGrpSpPr>
          <xdr:grpSpPr>
            <a:xfrm>
              <a:off x="2066925" y="25184100"/>
              <a:ext cx="523875" cy="3571875"/>
              <a:chOff x="2068167" y="25425544"/>
              <a:chExt cx="523875" cy="3621574"/>
            </a:xfrm>
          </xdr:grpSpPr>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300-00008C0D0000}"/>
                  </a:ext>
                </a:extLst>
              </xdr:cNvPr>
              <xdr:cNvSpPr/>
            </xdr:nvSpPr>
            <xdr:spPr bwMode="auto">
              <a:xfrm>
                <a:off x="2068167" y="2542554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300-00008D0D0000}"/>
                  </a:ext>
                </a:extLst>
              </xdr:cNvPr>
              <xdr:cNvSpPr/>
            </xdr:nvSpPr>
            <xdr:spPr bwMode="auto">
              <a:xfrm>
                <a:off x="2068167" y="2565745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0" name="Check Box 398" hidden="1">
                <a:extLst>
                  <a:ext uri="{63B3BB69-23CF-44E3-9099-C40C66FF867C}">
                    <a14:compatExt spid="_x0000_s3470"/>
                  </a:ext>
                  <a:ext uri="{FF2B5EF4-FFF2-40B4-BE49-F238E27FC236}">
                    <a16:creationId xmlns:a16="http://schemas.microsoft.com/office/drawing/2014/main" id="{00000000-0008-0000-0300-00008E0D0000}"/>
                  </a:ext>
                </a:extLst>
              </xdr:cNvPr>
              <xdr:cNvSpPr/>
            </xdr:nvSpPr>
            <xdr:spPr bwMode="auto">
              <a:xfrm>
                <a:off x="2068167" y="2588936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300-00008F0D0000}"/>
                  </a:ext>
                </a:extLst>
              </xdr:cNvPr>
              <xdr:cNvSpPr/>
            </xdr:nvSpPr>
            <xdr:spPr bwMode="auto">
              <a:xfrm>
                <a:off x="2068167" y="26121277"/>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300-0000900D0000}"/>
                  </a:ext>
                </a:extLst>
              </xdr:cNvPr>
              <xdr:cNvSpPr/>
            </xdr:nvSpPr>
            <xdr:spPr bwMode="auto">
              <a:xfrm>
                <a:off x="2068167" y="2658510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300-0000910D0000}"/>
                  </a:ext>
                </a:extLst>
              </xdr:cNvPr>
              <xdr:cNvSpPr/>
            </xdr:nvSpPr>
            <xdr:spPr bwMode="auto">
              <a:xfrm>
                <a:off x="2068167" y="2681701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4" name="Check Box 402" hidden="1">
                <a:extLst>
                  <a:ext uri="{63B3BB69-23CF-44E3-9099-C40C66FF867C}">
                    <a14:compatExt spid="_x0000_s3474"/>
                  </a:ext>
                  <a:ext uri="{FF2B5EF4-FFF2-40B4-BE49-F238E27FC236}">
                    <a16:creationId xmlns:a16="http://schemas.microsoft.com/office/drawing/2014/main" id="{00000000-0008-0000-0300-0000920D0000}"/>
                  </a:ext>
                </a:extLst>
              </xdr:cNvPr>
              <xdr:cNvSpPr/>
            </xdr:nvSpPr>
            <xdr:spPr bwMode="auto">
              <a:xfrm>
                <a:off x="2068167" y="2751275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5" name="Check Box 403" hidden="1">
                <a:extLst>
                  <a:ext uri="{63B3BB69-23CF-44E3-9099-C40C66FF867C}">
                    <a14:compatExt spid="_x0000_s3475"/>
                  </a:ext>
                  <a:ext uri="{FF2B5EF4-FFF2-40B4-BE49-F238E27FC236}">
                    <a16:creationId xmlns:a16="http://schemas.microsoft.com/office/drawing/2014/main" id="{00000000-0008-0000-0300-0000930D0000}"/>
                  </a:ext>
                </a:extLst>
              </xdr:cNvPr>
              <xdr:cNvSpPr/>
            </xdr:nvSpPr>
            <xdr:spPr bwMode="auto">
              <a:xfrm>
                <a:off x="2068167" y="2844040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6" name="Check Box 404" hidden="1">
                <a:extLst>
                  <a:ext uri="{63B3BB69-23CF-44E3-9099-C40C66FF867C}">
                    <a14:compatExt spid="_x0000_s3476"/>
                  </a:ext>
                  <a:ext uri="{FF2B5EF4-FFF2-40B4-BE49-F238E27FC236}">
                    <a16:creationId xmlns:a16="http://schemas.microsoft.com/office/drawing/2014/main" id="{00000000-0008-0000-0300-0000940D0000}"/>
                  </a:ext>
                </a:extLst>
              </xdr:cNvPr>
              <xdr:cNvSpPr/>
            </xdr:nvSpPr>
            <xdr:spPr bwMode="auto">
              <a:xfrm>
                <a:off x="2068167" y="2728084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7" name="Check Box 405" hidden="1">
                <a:extLst>
                  <a:ext uri="{63B3BB69-23CF-44E3-9099-C40C66FF867C}">
                    <a14:compatExt spid="_x0000_s3477"/>
                  </a:ext>
                  <a:ext uri="{FF2B5EF4-FFF2-40B4-BE49-F238E27FC236}">
                    <a16:creationId xmlns:a16="http://schemas.microsoft.com/office/drawing/2014/main" id="{00000000-0008-0000-0300-0000950D0000}"/>
                  </a:ext>
                </a:extLst>
              </xdr:cNvPr>
              <xdr:cNvSpPr/>
            </xdr:nvSpPr>
            <xdr:spPr bwMode="auto">
              <a:xfrm>
                <a:off x="2068167" y="2774466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8" name="Check Box 406" hidden="1">
                <a:extLst>
                  <a:ext uri="{63B3BB69-23CF-44E3-9099-C40C66FF867C}">
                    <a14:compatExt spid="_x0000_s3478"/>
                  </a:ext>
                  <a:ext uri="{FF2B5EF4-FFF2-40B4-BE49-F238E27FC236}">
                    <a16:creationId xmlns:a16="http://schemas.microsoft.com/office/drawing/2014/main" id="{00000000-0008-0000-0300-0000960D0000}"/>
                  </a:ext>
                </a:extLst>
              </xdr:cNvPr>
              <xdr:cNvSpPr/>
            </xdr:nvSpPr>
            <xdr:spPr bwMode="auto">
              <a:xfrm>
                <a:off x="2068167" y="28208495"/>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79" name="Check Box 407" hidden="1">
                <a:extLst>
                  <a:ext uri="{63B3BB69-23CF-44E3-9099-C40C66FF867C}">
                    <a14:compatExt spid="_x0000_s3479"/>
                  </a:ext>
                  <a:ext uri="{FF2B5EF4-FFF2-40B4-BE49-F238E27FC236}">
                    <a16:creationId xmlns:a16="http://schemas.microsoft.com/office/drawing/2014/main" id="{00000000-0008-0000-0300-0000970D0000}"/>
                  </a:ext>
                </a:extLst>
              </xdr:cNvPr>
              <xdr:cNvSpPr/>
            </xdr:nvSpPr>
            <xdr:spPr bwMode="auto">
              <a:xfrm>
                <a:off x="2068167" y="2704892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300-0000980D0000}"/>
                  </a:ext>
                </a:extLst>
              </xdr:cNvPr>
              <xdr:cNvSpPr/>
            </xdr:nvSpPr>
            <xdr:spPr bwMode="auto">
              <a:xfrm>
                <a:off x="2068167" y="2797658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1" name="Check Box 409" hidden="1">
                <a:extLst>
                  <a:ext uri="{63B3BB69-23CF-44E3-9099-C40C66FF867C}">
                    <a14:compatExt spid="_x0000_s3481"/>
                  </a:ext>
                  <a:ext uri="{FF2B5EF4-FFF2-40B4-BE49-F238E27FC236}">
                    <a16:creationId xmlns:a16="http://schemas.microsoft.com/office/drawing/2014/main" id="{00000000-0008-0000-0300-0000990D0000}"/>
                  </a:ext>
                </a:extLst>
              </xdr:cNvPr>
              <xdr:cNvSpPr/>
            </xdr:nvSpPr>
            <xdr:spPr bwMode="auto">
              <a:xfrm>
                <a:off x="2068167" y="2635319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300-00009F0D0000}"/>
                  </a:ext>
                </a:extLst>
              </xdr:cNvPr>
              <xdr:cNvSpPr/>
            </xdr:nvSpPr>
            <xdr:spPr bwMode="auto">
              <a:xfrm>
                <a:off x="2068167" y="2867232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3536" name="Check Box 464" hidden="1">
                <a:extLst>
                  <a:ext uri="{63B3BB69-23CF-44E3-9099-C40C66FF867C}">
                    <a14:compatExt spid="_x0000_s3536"/>
                  </a:ext>
                  <a:ext uri="{FF2B5EF4-FFF2-40B4-BE49-F238E27FC236}">
                    <a16:creationId xmlns:a16="http://schemas.microsoft.com/office/drawing/2014/main" id="{00000000-0008-0000-0300-0000D00D0000}"/>
                  </a:ext>
                </a:extLst>
              </xdr:cNvPr>
              <xdr:cNvSpPr/>
            </xdr:nvSpPr>
            <xdr:spPr bwMode="auto">
              <a:xfrm>
                <a:off x="2068167" y="2890424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6</xdr:row>
          <xdr:rowOff>57150</xdr:rowOff>
        </xdr:from>
        <xdr:to>
          <xdr:col>2</xdr:col>
          <xdr:colOff>19050</xdr:colOff>
          <xdr:row>6</xdr:row>
          <xdr:rowOff>190500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圖像設計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xdr:row>
          <xdr:rowOff>38100</xdr:rowOff>
        </xdr:from>
        <xdr:to>
          <xdr:col>2</xdr:col>
          <xdr:colOff>19050</xdr:colOff>
          <xdr:row>7</xdr:row>
          <xdr:rowOff>180975</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物品設計</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6" Type="http://schemas.openxmlformats.org/officeDocument/2006/relationships/ctrlProp" Target="../ctrlProps/ctrlProp12.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103" Type="http://schemas.openxmlformats.org/officeDocument/2006/relationships/ctrlProp" Target="../ctrlProps/ctrlProp99.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88" Type="http://schemas.openxmlformats.org/officeDocument/2006/relationships/ctrlProp" Target="../ctrlProps/ctrlProp84.xml"/><Relationship Id="rId91" Type="http://schemas.openxmlformats.org/officeDocument/2006/relationships/ctrlProp" Target="../ctrlProps/ctrlProp87.xml"/><Relationship Id="rId96" Type="http://schemas.openxmlformats.org/officeDocument/2006/relationships/ctrlProp" Target="../ctrlProps/ctrlProp9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 Id="rId86" Type="http://schemas.openxmlformats.org/officeDocument/2006/relationships/ctrlProp" Target="../ctrlProps/ctrlProp82.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4" Type="http://schemas.openxmlformats.org/officeDocument/2006/relationships/vmlDrawing" Target="../drawings/vmlDrawing2.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02.xml"/><Relationship Id="rId4" Type="http://schemas.openxmlformats.org/officeDocument/2006/relationships/ctrlProp" Target="../ctrlProps/ctrlProp10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11">
    <pageSetUpPr fitToPage="1"/>
  </sheetPr>
  <dimension ref="A1:DJ626"/>
  <sheetViews>
    <sheetView tabSelected="1" view="pageBreakPreview" topLeftCell="A4" zoomScaleNormal="115" zoomScaleSheetLayoutView="100" workbookViewId="0">
      <selection activeCell="M11" sqref="M11"/>
    </sheetView>
  </sheetViews>
  <sheetFormatPr defaultColWidth="9" defaultRowHeight="15.75" x14ac:dyDescent="0.25"/>
  <cols>
    <col min="1" max="1" width="13.125" style="39" customWidth="1"/>
    <col min="2" max="2" width="11.75" style="39" customWidth="1"/>
    <col min="3" max="3" width="11.625" style="39" customWidth="1"/>
    <col min="4" max="4" width="5.875" style="39" customWidth="1"/>
    <col min="5" max="6" width="13.625" style="39" customWidth="1"/>
    <col min="7" max="7" width="5.875" style="39" customWidth="1"/>
    <col min="8" max="11" width="13.625" style="39" customWidth="1"/>
    <col min="12" max="12" width="17.125" style="39" customWidth="1"/>
    <col min="13" max="13" width="12.125" style="39" customWidth="1"/>
    <col min="14" max="14" width="9" style="39"/>
    <col min="15" max="15" width="9" style="34"/>
    <col min="16" max="16" width="9.125" style="34" bestFit="1" customWidth="1"/>
    <col min="17" max="16384" width="9" style="34"/>
  </cols>
  <sheetData>
    <row r="1" spans="1:82" s="33" customFormat="1" ht="15.95" customHeight="1" x14ac:dyDescent="0.25">
      <c r="A1" s="35"/>
      <c r="B1" s="35"/>
      <c r="C1" s="35"/>
      <c r="D1" s="35"/>
      <c r="E1" s="35"/>
      <c r="F1" s="35"/>
      <c r="G1" s="35"/>
      <c r="H1" s="35"/>
      <c r="I1" s="35"/>
      <c r="J1" s="35"/>
      <c r="K1" s="35"/>
      <c r="L1" s="35"/>
      <c r="M1" s="35"/>
    </row>
    <row r="2" spans="1:82" ht="15.95" customHeight="1" x14ac:dyDescent="0.25">
      <c r="A2" s="48" t="s">
        <v>121</v>
      </c>
      <c r="B2" s="48"/>
      <c r="C2" s="48"/>
      <c r="D2" s="48"/>
      <c r="E2" s="48"/>
      <c r="F2" s="48"/>
      <c r="G2" s="48"/>
      <c r="H2" s="48"/>
      <c r="I2" s="48"/>
      <c r="J2" s="48"/>
      <c r="K2" s="48"/>
      <c r="L2" s="48"/>
      <c r="M2" s="35"/>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row>
    <row r="3" spans="1:82" ht="15.95" customHeight="1" x14ac:dyDescent="0.25">
      <c r="A3" s="48"/>
      <c r="B3" s="48"/>
      <c r="C3" s="48"/>
      <c r="D3" s="48"/>
      <c r="E3" s="48"/>
      <c r="F3" s="48"/>
      <c r="G3" s="48"/>
      <c r="H3" s="48"/>
      <c r="I3" s="48"/>
      <c r="J3" s="48"/>
      <c r="K3" s="48"/>
      <c r="L3" s="48"/>
      <c r="M3" s="35"/>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row>
    <row r="4" spans="1:82" ht="18" customHeight="1" x14ac:dyDescent="0.25">
      <c r="A4" s="202" t="s">
        <v>122</v>
      </c>
      <c r="B4" s="203"/>
      <c r="C4" s="48"/>
      <c r="D4" s="48"/>
      <c r="E4" s="117" t="s">
        <v>190</v>
      </c>
      <c r="F4" s="118" t="s">
        <v>123</v>
      </c>
      <c r="G4" s="48"/>
      <c r="H4" s="48"/>
      <c r="I4" s="48"/>
      <c r="J4" s="159" t="s">
        <v>124</v>
      </c>
      <c r="K4" s="159"/>
      <c r="L4" s="162"/>
      <c r="M4" s="162"/>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row>
    <row r="5" spans="1:82" ht="18" customHeight="1" x14ac:dyDescent="0.25">
      <c r="A5" s="119" t="s">
        <v>125</v>
      </c>
      <c r="B5" s="124">
        <v>1</v>
      </c>
      <c r="C5" s="103"/>
      <c r="D5" s="48"/>
      <c r="E5" s="120" t="s">
        <v>260</v>
      </c>
      <c r="F5" s="120" t="s">
        <v>126</v>
      </c>
      <c r="G5" s="48"/>
      <c r="H5" s="48"/>
      <c r="I5" s="48"/>
      <c r="J5" s="121" t="s">
        <v>127</v>
      </c>
      <c r="K5" s="46">
        <v>32</v>
      </c>
      <c r="L5" s="121" t="s">
        <v>128</v>
      </c>
      <c r="M5" s="46">
        <v>4.75</v>
      </c>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row>
    <row r="6" spans="1:82" ht="18" customHeight="1" x14ac:dyDescent="0.25">
      <c r="A6" s="119" t="s">
        <v>129</v>
      </c>
      <c r="B6" s="124">
        <v>8</v>
      </c>
      <c r="C6" s="103"/>
      <c r="D6" s="48"/>
      <c r="E6" s="52"/>
      <c r="F6" s="52"/>
      <c r="G6" s="48"/>
      <c r="H6" s="48"/>
      <c r="I6" s="48"/>
      <c r="J6" s="121" t="s">
        <v>130</v>
      </c>
      <c r="K6" s="46">
        <v>37.5</v>
      </c>
      <c r="L6" s="121" t="s">
        <v>131</v>
      </c>
      <c r="M6" s="46">
        <v>25</v>
      </c>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row>
    <row r="7" spans="1:82" ht="18" customHeight="1" x14ac:dyDescent="0.25">
      <c r="A7" s="204" t="s">
        <v>132</v>
      </c>
      <c r="B7" s="206"/>
      <c r="C7" s="103"/>
      <c r="D7" s="48"/>
      <c r="E7" s="52"/>
      <c r="F7" s="52"/>
      <c r="G7" s="48"/>
      <c r="H7" s="133"/>
      <c r="I7" s="48"/>
      <c r="J7" s="121" t="s">
        <v>133</v>
      </c>
      <c r="K7" s="46">
        <v>0.21</v>
      </c>
      <c r="L7" s="121" t="s">
        <v>134</v>
      </c>
      <c r="M7" s="46">
        <v>1.4E-3</v>
      </c>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row>
    <row r="8" spans="1:82" ht="18" customHeight="1" x14ac:dyDescent="0.25">
      <c r="A8" s="205"/>
      <c r="B8" s="207"/>
      <c r="C8" s="103"/>
      <c r="D8" s="48"/>
      <c r="E8" s="52"/>
      <c r="F8" s="52"/>
      <c r="G8" s="48"/>
      <c r="H8" s="133"/>
      <c r="I8" s="48"/>
      <c r="J8" s="121" t="s">
        <v>135</v>
      </c>
      <c r="K8" s="46">
        <v>2.5000000000000001E-2</v>
      </c>
      <c r="L8" s="121" t="s">
        <v>136</v>
      </c>
      <c r="M8" s="46">
        <v>8.3000000000000007</v>
      </c>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row>
    <row r="9" spans="1:82" ht="18" customHeight="1" x14ac:dyDescent="0.25">
      <c r="A9" s="119" t="s">
        <v>137</v>
      </c>
      <c r="B9" s="69" t="s">
        <v>305</v>
      </c>
      <c r="C9" s="103"/>
      <c r="D9" s="48"/>
      <c r="E9" s="52"/>
      <c r="F9" s="48"/>
      <c r="G9" s="48"/>
      <c r="H9" s="48"/>
      <c r="I9" s="48"/>
      <c r="J9" s="121" t="s">
        <v>138</v>
      </c>
      <c r="K9" s="46">
        <v>1.1000000000000001</v>
      </c>
      <c r="L9" s="121" t="s">
        <v>139</v>
      </c>
      <c r="M9" s="46">
        <v>23.5</v>
      </c>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row>
    <row r="10" spans="1:82" ht="18" customHeight="1" x14ac:dyDescent="0.25">
      <c r="A10" s="119" t="s">
        <v>140</v>
      </c>
      <c r="B10" s="69" t="s">
        <v>165</v>
      </c>
      <c r="C10" s="103"/>
      <c r="D10" s="48"/>
      <c r="E10" s="48"/>
      <c r="F10" s="48"/>
      <c r="G10" s="48"/>
      <c r="H10" s="48"/>
      <c r="I10" s="48"/>
      <c r="J10" s="122" t="s">
        <v>228</v>
      </c>
      <c r="K10" s="46">
        <v>43.5</v>
      </c>
      <c r="L10" s="122" t="s">
        <v>316</v>
      </c>
      <c r="M10" s="46">
        <v>23</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row>
    <row r="11" spans="1:82" ht="18" customHeight="1" x14ac:dyDescent="0.25">
      <c r="A11" s="129" t="s">
        <v>280</v>
      </c>
      <c r="B11" s="130">
        <f>B72</f>
        <v>16</v>
      </c>
      <c r="C11" s="48"/>
      <c r="D11" s="48"/>
      <c r="E11" s="48"/>
      <c r="F11" s="48"/>
      <c r="G11" s="48"/>
      <c r="H11" s="48"/>
      <c r="I11" s="48"/>
      <c r="J11" s="48"/>
      <c r="K11" s="48"/>
      <c r="L11" s="48"/>
      <c r="M11" s="48"/>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row>
    <row r="12" spans="1:82" ht="18" customHeight="1" x14ac:dyDescent="0.25">
      <c r="A12" s="48"/>
      <c r="B12" s="48"/>
      <c r="C12" s="48"/>
      <c r="D12" s="48"/>
      <c r="E12" s="48"/>
      <c r="F12" s="48"/>
      <c r="G12" s="48"/>
      <c r="H12" s="48"/>
      <c r="I12" s="48"/>
      <c r="J12" s="48"/>
      <c r="K12" s="48"/>
      <c r="L12" s="48"/>
      <c r="M12" s="48"/>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row>
    <row r="13" spans="1:82" s="64" customFormat="1" ht="18" customHeight="1" x14ac:dyDescent="0.25">
      <c r="A13" s="208" t="s">
        <v>230</v>
      </c>
      <c r="B13" s="209"/>
      <c r="C13" s="209"/>
      <c r="D13" s="209"/>
      <c r="E13" s="209"/>
      <c r="F13" s="209"/>
      <c r="G13" s="209"/>
      <c r="H13" s="209"/>
      <c r="I13" s="209"/>
      <c r="J13" s="209"/>
      <c r="K13" s="209"/>
      <c r="L13" s="209"/>
      <c r="M13" s="209"/>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row>
    <row r="14" spans="1:82" ht="33" customHeight="1" x14ac:dyDescent="0.25">
      <c r="A14" s="152" t="s">
        <v>141</v>
      </c>
      <c r="B14" s="152" t="s">
        <v>142</v>
      </c>
      <c r="C14" s="160" t="s">
        <v>143</v>
      </c>
      <c r="D14" s="153" t="s">
        <v>144</v>
      </c>
      <c r="E14" s="154"/>
      <c r="F14" s="155"/>
      <c r="G14" s="153" t="s">
        <v>145</v>
      </c>
      <c r="H14" s="154"/>
      <c r="I14" s="155"/>
      <c r="J14" s="99" t="s">
        <v>231</v>
      </c>
      <c r="K14" s="161" t="s">
        <v>192</v>
      </c>
      <c r="L14" s="161" t="s">
        <v>233</v>
      </c>
      <c r="M14" s="160" t="s">
        <v>141</v>
      </c>
      <c r="N14" s="40"/>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row>
    <row r="15" spans="1:82" ht="18" customHeight="1" x14ac:dyDescent="0.25">
      <c r="A15" s="152"/>
      <c r="B15" s="152"/>
      <c r="C15" s="152"/>
      <c r="D15" s="100" t="s">
        <v>146</v>
      </c>
      <c r="E15" s="100" t="s">
        <v>147</v>
      </c>
      <c r="F15" s="100" t="s">
        <v>148</v>
      </c>
      <c r="G15" s="100" t="s">
        <v>146</v>
      </c>
      <c r="H15" s="100" t="s">
        <v>147</v>
      </c>
      <c r="I15" s="100" t="s">
        <v>148</v>
      </c>
      <c r="J15" s="100" t="s">
        <v>148</v>
      </c>
      <c r="K15" s="152"/>
      <c r="L15" s="152"/>
      <c r="M15" s="152"/>
      <c r="N15" s="32"/>
      <c r="O15" s="33"/>
      <c r="P15" s="41"/>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row>
    <row r="16" spans="1:82" ht="18" customHeight="1" x14ac:dyDescent="0.25">
      <c r="A16" s="66" t="s">
        <v>2</v>
      </c>
      <c r="B16" s="60" t="s">
        <v>150</v>
      </c>
      <c r="C16" s="141"/>
      <c r="D16" s="60" t="s">
        <v>13</v>
      </c>
      <c r="E16" s="62">
        <f>D!I16</f>
        <v>2400</v>
      </c>
      <c r="F16" s="98">
        <f>E16</f>
        <v>2400</v>
      </c>
      <c r="G16" s="60" t="s">
        <v>13</v>
      </c>
      <c r="H16" s="62">
        <f>D!R16</f>
        <v>0</v>
      </c>
      <c r="I16" s="98">
        <f>H16</f>
        <v>0</v>
      </c>
      <c r="J16" s="98">
        <f>F16+I16</f>
        <v>2400</v>
      </c>
      <c r="K16" s="38">
        <f>D!Z16</f>
        <v>23000</v>
      </c>
      <c r="L16" s="98">
        <f>J16+K16</f>
        <v>25400</v>
      </c>
      <c r="M16" s="66" t="str">
        <f>A16</f>
        <v>台灣</v>
      </c>
      <c r="N16" s="32"/>
      <c r="O16" s="33"/>
      <c r="P16" s="42"/>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row>
    <row r="17" spans="1:82" ht="18" customHeight="1" x14ac:dyDescent="0.25">
      <c r="A17" s="66" t="s">
        <v>3</v>
      </c>
      <c r="B17" s="60" t="s">
        <v>150</v>
      </c>
      <c r="C17" s="141"/>
      <c r="D17" s="60" t="s">
        <v>14</v>
      </c>
      <c r="E17" s="62">
        <f>D!I17</f>
        <v>500</v>
      </c>
      <c r="F17" s="98">
        <f>E17*$M$5</f>
        <v>2375</v>
      </c>
      <c r="G17" s="60" t="s">
        <v>14</v>
      </c>
      <c r="H17" s="62">
        <f>D!R17</f>
        <v>950</v>
      </c>
      <c r="I17" s="98">
        <f>H17*$M$5</f>
        <v>4512.5</v>
      </c>
      <c r="J17" s="98">
        <f t="shared" ref="J17:J29" si="0">F17+I17</f>
        <v>6887.5</v>
      </c>
      <c r="K17" s="38">
        <f>D!Z17</f>
        <v>26000</v>
      </c>
      <c r="L17" s="98">
        <f t="shared" ref="L17:L29" si="1">J17+K17</f>
        <v>32887.5</v>
      </c>
      <c r="M17" s="66" t="str">
        <f t="shared" ref="M17:M29" si="2">A17</f>
        <v>大陸</v>
      </c>
      <c r="N17" s="32"/>
      <c r="O17" s="33"/>
      <c r="P17" s="42"/>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row>
    <row r="18" spans="1:82" ht="18" customHeight="1" x14ac:dyDescent="0.25">
      <c r="A18" s="66" t="s">
        <v>4</v>
      </c>
      <c r="B18" s="60" t="s">
        <v>150</v>
      </c>
      <c r="C18" s="141"/>
      <c r="D18" s="60" t="s">
        <v>15</v>
      </c>
      <c r="E18" s="62">
        <f>D!I18</f>
        <v>520</v>
      </c>
      <c r="F18" s="98">
        <f>E18*$K$5</f>
        <v>16640</v>
      </c>
      <c r="G18" s="60" t="s">
        <v>15</v>
      </c>
      <c r="H18" s="62">
        <f>D!R18</f>
        <v>650</v>
      </c>
      <c r="I18" s="98">
        <f>H18*$K$5</f>
        <v>20800</v>
      </c>
      <c r="J18" s="98">
        <f t="shared" si="0"/>
        <v>37440</v>
      </c>
      <c r="K18" s="38">
        <f>D!Z18</f>
        <v>40000</v>
      </c>
      <c r="L18" s="98">
        <f t="shared" si="1"/>
        <v>77440</v>
      </c>
      <c r="M18" s="66" t="str">
        <f t="shared" si="2"/>
        <v>美國</v>
      </c>
      <c r="N18" s="32"/>
      <c r="O18" s="33"/>
      <c r="P18" s="42"/>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row>
    <row r="19" spans="1:82" ht="18" customHeight="1" x14ac:dyDescent="0.25">
      <c r="A19" s="66" t="s">
        <v>107</v>
      </c>
      <c r="B19" s="60" t="s">
        <v>150</v>
      </c>
      <c r="C19" s="141"/>
      <c r="D19" s="60" t="s">
        <v>16</v>
      </c>
      <c r="E19" s="62">
        <f>D!I19</f>
        <v>350</v>
      </c>
      <c r="F19" s="98">
        <f>E19*$K$6</f>
        <v>13125</v>
      </c>
      <c r="G19" s="60" t="s">
        <v>16</v>
      </c>
      <c r="H19" s="62">
        <f>D!R19</f>
        <v>150</v>
      </c>
      <c r="I19" s="98">
        <f>H19*$K$6</f>
        <v>5625</v>
      </c>
      <c r="J19" s="98">
        <f t="shared" si="0"/>
        <v>18750</v>
      </c>
      <c r="K19" s="38">
        <f>D!Z19</f>
        <v>30000</v>
      </c>
      <c r="L19" s="98">
        <f t="shared" si="1"/>
        <v>48750</v>
      </c>
      <c r="M19" s="66" t="str">
        <f t="shared" si="2"/>
        <v>歐盟</v>
      </c>
      <c r="N19" s="32"/>
      <c r="O19" s="33"/>
      <c r="P19" s="42"/>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row>
    <row r="20" spans="1:82" ht="18" customHeight="1" x14ac:dyDescent="0.25">
      <c r="A20" s="66" t="s">
        <v>224</v>
      </c>
      <c r="B20" s="60" t="s">
        <v>150</v>
      </c>
      <c r="C20" s="141"/>
      <c r="D20" s="60" t="s">
        <v>225</v>
      </c>
      <c r="E20" s="62">
        <f>D!I20</f>
        <v>50</v>
      </c>
      <c r="F20" s="98">
        <f>E20*$K$10</f>
        <v>2175</v>
      </c>
      <c r="G20" s="60" t="s">
        <v>16</v>
      </c>
      <c r="H20" s="62">
        <f>D!R20</f>
        <v>160</v>
      </c>
      <c r="I20" s="98">
        <f>H20*$K$6</f>
        <v>6000</v>
      </c>
      <c r="J20" s="98">
        <f t="shared" si="0"/>
        <v>8175</v>
      </c>
      <c r="K20" s="38">
        <f>D!Z20</f>
        <v>30000</v>
      </c>
      <c r="L20" s="98">
        <f t="shared" si="1"/>
        <v>38175</v>
      </c>
      <c r="M20" s="66" t="str">
        <f>A20</f>
        <v>英國</v>
      </c>
      <c r="N20" s="32"/>
      <c r="O20" s="33"/>
      <c r="P20" s="42"/>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row>
    <row r="21" spans="1:82" ht="18" customHeight="1" x14ac:dyDescent="0.25">
      <c r="A21" s="66" t="s">
        <v>5</v>
      </c>
      <c r="B21" s="60" t="s">
        <v>150</v>
      </c>
      <c r="C21" s="141"/>
      <c r="D21" s="60" t="s">
        <v>17</v>
      </c>
      <c r="E21" s="62">
        <f>D!I21</f>
        <v>16000</v>
      </c>
      <c r="F21" s="98">
        <f>E21*$K$7</f>
        <v>3360</v>
      </c>
      <c r="G21" s="60" t="s">
        <v>17</v>
      </c>
      <c r="H21" s="62">
        <f>D!R21</f>
        <v>93200</v>
      </c>
      <c r="I21" s="98">
        <f>H21*$K$7</f>
        <v>19572</v>
      </c>
      <c r="J21" s="98">
        <f t="shared" si="0"/>
        <v>22932</v>
      </c>
      <c r="K21" s="38">
        <f>D!Z21</f>
        <v>30000</v>
      </c>
      <c r="L21" s="98">
        <f t="shared" si="1"/>
        <v>52932</v>
      </c>
      <c r="M21" s="66" t="str">
        <f t="shared" si="2"/>
        <v>日本</v>
      </c>
      <c r="N21" s="32"/>
      <c r="O21" s="33"/>
      <c r="P21" s="42"/>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row>
    <row r="22" spans="1:82" ht="18" customHeight="1" x14ac:dyDescent="0.25">
      <c r="A22" s="66" t="s">
        <v>6</v>
      </c>
      <c r="B22" s="60" t="s">
        <v>150</v>
      </c>
      <c r="C22" s="141"/>
      <c r="D22" s="60" t="s">
        <v>18</v>
      </c>
      <c r="E22" s="62">
        <f>D!I22</f>
        <v>94000</v>
      </c>
      <c r="F22" s="98">
        <f>E22*$K$8</f>
        <v>2350</v>
      </c>
      <c r="G22" s="60" t="s">
        <v>15</v>
      </c>
      <c r="H22" s="62">
        <f>D!R22</f>
        <v>700</v>
      </c>
      <c r="I22" s="98">
        <f>H22*$K$5</f>
        <v>22400</v>
      </c>
      <c r="J22" s="98">
        <f t="shared" si="0"/>
        <v>24750</v>
      </c>
      <c r="K22" s="38">
        <f>D!Z22</f>
        <v>30000</v>
      </c>
      <c r="L22" s="98">
        <f t="shared" si="1"/>
        <v>54750</v>
      </c>
      <c r="M22" s="66" t="str">
        <f t="shared" si="2"/>
        <v>韓國</v>
      </c>
      <c r="N22" s="32"/>
      <c r="O22" s="33"/>
      <c r="P22" s="42"/>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row>
    <row r="23" spans="1:82" ht="18" customHeight="1" x14ac:dyDescent="0.25">
      <c r="A23" s="102" t="s">
        <v>35</v>
      </c>
      <c r="B23" s="101" t="s">
        <v>163</v>
      </c>
      <c r="C23" s="141"/>
      <c r="D23" s="60" t="s">
        <v>36</v>
      </c>
      <c r="E23" s="62">
        <f>D!I23</f>
        <v>591.95000000000005</v>
      </c>
      <c r="F23" s="98">
        <f>E23*$M$9</f>
        <v>13910.825000000001</v>
      </c>
      <c r="G23" s="60" t="s">
        <v>36</v>
      </c>
      <c r="H23" s="62">
        <f>D!R23</f>
        <v>915</v>
      </c>
      <c r="I23" s="98">
        <f>H23*$M$9</f>
        <v>21502.5</v>
      </c>
      <c r="J23" s="98">
        <f>F23+I23</f>
        <v>35413.324999999997</v>
      </c>
      <c r="K23" s="38">
        <f>D!Z23</f>
        <v>30000</v>
      </c>
      <c r="L23" s="98">
        <f>J23+K23</f>
        <v>65413.324999999997</v>
      </c>
      <c r="M23" s="102" t="str">
        <f>A23</f>
        <v>加拿大</v>
      </c>
      <c r="N23" s="37"/>
      <c r="O23" s="33"/>
      <c r="P23" s="42"/>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row>
    <row r="24" spans="1:82" ht="18" customHeight="1" x14ac:dyDescent="0.25">
      <c r="A24" s="66" t="s">
        <v>315</v>
      </c>
      <c r="B24" s="60" t="s">
        <v>150</v>
      </c>
      <c r="C24" s="141"/>
      <c r="D24" s="60" t="s">
        <v>317</v>
      </c>
      <c r="E24" s="62">
        <f>D!I24</f>
        <v>200</v>
      </c>
      <c r="F24" s="98">
        <f>E24*$M$10</f>
        <v>4600</v>
      </c>
      <c r="G24" s="60" t="s">
        <v>317</v>
      </c>
      <c r="H24" s="62">
        <f>D!R24</f>
        <v>1390</v>
      </c>
      <c r="I24" s="98">
        <f>H24*$M$10</f>
        <v>31970</v>
      </c>
      <c r="J24" s="98">
        <f>F24+I24</f>
        <v>36570</v>
      </c>
      <c r="K24" s="38">
        <f>D!Z24</f>
        <v>30000</v>
      </c>
      <c r="L24" s="98">
        <f>J24+K24</f>
        <v>66570</v>
      </c>
      <c r="M24" s="66" t="str">
        <f>A24</f>
        <v>澳洲</v>
      </c>
      <c r="N24" s="131" t="str">
        <f>IF(D!$C$24=FALSE,"",IF(選項!$K$2=1,"注意：澳洲尚未開放申請各種「圖像設計」之設計專利",""))</f>
        <v/>
      </c>
      <c r="O24" s="33"/>
      <c r="P24" s="42"/>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row>
    <row r="25" spans="1:82" ht="18" customHeight="1" x14ac:dyDescent="0.25">
      <c r="A25" s="66" t="s">
        <v>7</v>
      </c>
      <c r="B25" s="60" t="s">
        <v>150</v>
      </c>
      <c r="C25" s="141"/>
      <c r="D25" s="60" t="s">
        <v>19</v>
      </c>
      <c r="E25" s="62">
        <f>D!I25</f>
        <v>200</v>
      </c>
      <c r="F25" s="98">
        <f>E25*$M$6</f>
        <v>5000</v>
      </c>
      <c r="G25" s="60" t="s">
        <v>19</v>
      </c>
      <c r="H25" s="62">
        <f>D!R25</f>
        <v>550</v>
      </c>
      <c r="I25" s="98">
        <f>H25*$M$6</f>
        <v>13750</v>
      </c>
      <c r="J25" s="98">
        <f t="shared" si="0"/>
        <v>18750</v>
      </c>
      <c r="K25" s="38">
        <f>D!Z25</f>
        <v>30000</v>
      </c>
      <c r="L25" s="98">
        <f t="shared" si="1"/>
        <v>48750</v>
      </c>
      <c r="M25" s="66" t="str">
        <f t="shared" si="2"/>
        <v>新加坡</v>
      </c>
      <c r="N25" s="32"/>
      <c r="O25" s="33"/>
      <c r="P25" s="42"/>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row>
    <row r="26" spans="1:82" ht="18" customHeight="1" x14ac:dyDescent="0.25">
      <c r="A26" s="66" t="s">
        <v>10</v>
      </c>
      <c r="B26" s="60" t="s">
        <v>150</v>
      </c>
      <c r="C26" s="141"/>
      <c r="D26" s="60" t="s">
        <v>22</v>
      </c>
      <c r="E26" s="62">
        <f>D!I26</f>
        <v>2100</v>
      </c>
      <c r="F26" s="98">
        <f>E26*$M$8</f>
        <v>17430</v>
      </c>
      <c r="G26" s="60" t="s">
        <v>22</v>
      </c>
      <c r="H26" s="62">
        <f>D!R26</f>
        <v>1100</v>
      </c>
      <c r="I26" s="98">
        <f>H26*$M$8</f>
        <v>9130</v>
      </c>
      <c r="J26" s="98">
        <f>F26+I26</f>
        <v>26560</v>
      </c>
      <c r="K26" s="38">
        <f>D!Z26</f>
        <v>30000</v>
      </c>
      <c r="L26" s="98">
        <f>J26+K26</f>
        <v>56560</v>
      </c>
      <c r="M26" s="66" t="str">
        <f>A26</f>
        <v>馬來西亞</v>
      </c>
      <c r="N26" s="131" t="str">
        <f>IF(D!$C$26=FALSE,"",IF(選項!$K$2=1,"注意：馬來西亞不允許申請「動態GUI」之設計專利",""))</f>
        <v/>
      </c>
      <c r="O26" s="33"/>
      <c r="P26" s="42"/>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row>
    <row r="27" spans="1:82" ht="18" customHeight="1" x14ac:dyDescent="0.25">
      <c r="A27" s="66" t="s">
        <v>116</v>
      </c>
      <c r="B27" s="60" t="s">
        <v>150</v>
      </c>
      <c r="C27" s="141"/>
      <c r="D27" s="60" t="s">
        <v>15</v>
      </c>
      <c r="E27" s="62">
        <f>D!I27</f>
        <v>103</v>
      </c>
      <c r="F27" s="98">
        <f>E27*$K$5</f>
        <v>3296</v>
      </c>
      <c r="G27" s="60" t="s">
        <v>15</v>
      </c>
      <c r="H27" s="62">
        <f>D!R27</f>
        <v>430</v>
      </c>
      <c r="I27" s="98">
        <f>H27*$K$5</f>
        <v>13760</v>
      </c>
      <c r="J27" s="98">
        <f t="shared" si="0"/>
        <v>17056</v>
      </c>
      <c r="K27" s="38">
        <f>D!Z27</f>
        <v>40000</v>
      </c>
      <c r="L27" s="98">
        <f t="shared" si="1"/>
        <v>57056</v>
      </c>
      <c r="M27" s="66" t="str">
        <f>A27</f>
        <v>菲律賓</v>
      </c>
      <c r="N27" s="32"/>
      <c r="O27" s="33"/>
      <c r="P27" s="42"/>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row>
    <row r="28" spans="1:82" ht="18" customHeight="1" x14ac:dyDescent="0.25">
      <c r="A28" s="66" t="s">
        <v>96</v>
      </c>
      <c r="B28" s="60" t="s">
        <v>150</v>
      </c>
      <c r="C28" s="141"/>
      <c r="D28" s="60" t="s">
        <v>15</v>
      </c>
      <c r="E28" s="62">
        <f>D!I28</f>
        <v>80</v>
      </c>
      <c r="F28" s="98">
        <f>E28*$K$5</f>
        <v>2560</v>
      </c>
      <c r="G28" s="60" t="s">
        <v>15</v>
      </c>
      <c r="H28" s="62">
        <f>D!R28</f>
        <v>580</v>
      </c>
      <c r="I28" s="98">
        <f>H28*$K$5</f>
        <v>18560</v>
      </c>
      <c r="J28" s="98">
        <f>F28+I28</f>
        <v>21120</v>
      </c>
      <c r="K28" s="38">
        <f>D!Z28</f>
        <v>30000</v>
      </c>
      <c r="L28" s="98">
        <f>J28+K28</f>
        <v>51120</v>
      </c>
      <c r="M28" s="66" t="str">
        <f>A28</f>
        <v>印尼</v>
      </c>
      <c r="N28" s="32"/>
      <c r="O28" s="33"/>
      <c r="P28" s="42"/>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row>
    <row r="29" spans="1:82" ht="18" customHeight="1" x14ac:dyDescent="0.25">
      <c r="A29" s="66" t="s">
        <v>8</v>
      </c>
      <c r="B29" s="60" t="s">
        <v>150</v>
      </c>
      <c r="C29" s="141"/>
      <c r="D29" s="60" t="s">
        <v>20</v>
      </c>
      <c r="E29" s="62">
        <f>D!I29</f>
        <v>1870000</v>
      </c>
      <c r="F29" s="98">
        <f>E29*$M$7</f>
        <v>2618</v>
      </c>
      <c r="G29" s="60" t="s">
        <v>15</v>
      </c>
      <c r="H29" s="62">
        <f>D!R29</f>
        <v>539</v>
      </c>
      <c r="I29" s="98">
        <f>H29*$K$5</f>
        <v>17248</v>
      </c>
      <c r="J29" s="98">
        <f t="shared" si="0"/>
        <v>19866</v>
      </c>
      <c r="K29" s="38">
        <f>D!Z29</f>
        <v>30000</v>
      </c>
      <c r="L29" s="98">
        <f t="shared" si="1"/>
        <v>49866</v>
      </c>
      <c r="M29" s="66" t="str">
        <f t="shared" si="2"/>
        <v>越南</v>
      </c>
      <c r="N29" s="131" t="str">
        <f>IF(D!$C$29=FALSE,"",IF(選項!$K$2=1,"注意：越南尚未開放申請各種「圖像設計」之設計專利",""))</f>
        <v/>
      </c>
      <c r="O29" s="33"/>
      <c r="P29" s="42"/>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row>
    <row r="30" spans="1:82" ht="18" customHeight="1" x14ac:dyDescent="0.25">
      <c r="A30" s="66" t="s">
        <v>9</v>
      </c>
      <c r="B30" s="60" t="s">
        <v>150</v>
      </c>
      <c r="C30" s="141"/>
      <c r="D30" s="60" t="s">
        <v>21</v>
      </c>
      <c r="E30" s="62">
        <f>D!I30</f>
        <v>250</v>
      </c>
      <c r="F30" s="98">
        <f>E30*$K$9</f>
        <v>275</v>
      </c>
      <c r="G30" s="60" t="s">
        <v>21</v>
      </c>
      <c r="H30" s="62">
        <f>D!R30</f>
        <v>18500</v>
      </c>
      <c r="I30" s="98">
        <f>H30*$K$9</f>
        <v>20350</v>
      </c>
      <c r="J30" s="98">
        <f t="shared" ref="J30:J31" si="3">F30+I30</f>
        <v>20625</v>
      </c>
      <c r="K30" s="38">
        <f>D!Z30</f>
        <v>30000</v>
      </c>
      <c r="L30" s="98">
        <f t="shared" ref="L30:L31" si="4">J30+K30</f>
        <v>50625</v>
      </c>
      <c r="M30" s="66" t="str">
        <f t="shared" ref="M30:M31" si="5">A30</f>
        <v>泰國</v>
      </c>
      <c r="N30" s="131" t="str">
        <f>IF(D!$C$30=FALSE,"",IF(選項!$K$2=1,"注意：泰國不允許申請「動態GUI」之設計專利",""))</f>
        <v/>
      </c>
      <c r="O30" s="33"/>
      <c r="P30" s="42"/>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row>
    <row r="31" spans="1:82" ht="18" customHeight="1" x14ac:dyDescent="0.25">
      <c r="A31" s="66" t="s">
        <v>309</v>
      </c>
      <c r="B31" s="60" t="s">
        <v>150</v>
      </c>
      <c r="C31" s="141"/>
      <c r="D31" s="60" t="s">
        <v>15</v>
      </c>
      <c r="E31" s="62">
        <f>D!I31</f>
        <v>57</v>
      </c>
      <c r="F31" s="98">
        <f>E31*$K$5</f>
        <v>1824</v>
      </c>
      <c r="G31" s="60" t="s">
        <v>15</v>
      </c>
      <c r="H31" s="62">
        <f>D!R31</f>
        <v>250</v>
      </c>
      <c r="I31" s="98">
        <f>H31*$K$5</f>
        <v>8000</v>
      </c>
      <c r="J31" s="98">
        <f t="shared" si="3"/>
        <v>9824</v>
      </c>
      <c r="K31" s="38">
        <f>D!Z31</f>
        <v>30000</v>
      </c>
      <c r="L31" s="98">
        <f t="shared" si="4"/>
        <v>39824</v>
      </c>
      <c r="M31" s="66" t="str">
        <f t="shared" si="5"/>
        <v>印度</v>
      </c>
      <c r="N31" s="131"/>
      <c r="O31" s="33"/>
      <c r="P31" s="42"/>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row>
    <row r="32" spans="1:82" ht="18.75" x14ac:dyDescent="0.25">
      <c r="A32" s="66" t="s">
        <v>280</v>
      </c>
      <c r="B32" s="128">
        <f>B72</f>
        <v>16</v>
      </c>
      <c r="C32" s="53"/>
      <c r="D32" s="53"/>
      <c r="E32" s="54" t="s">
        <v>164</v>
      </c>
      <c r="F32" s="55">
        <f>SUM(F16:F31)</f>
        <v>93938.824999999997</v>
      </c>
      <c r="G32" s="53"/>
      <c r="H32" s="54" t="s">
        <v>164</v>
      </c>
      <c r="I32" s="56">
        <f>SUM(I16:I31)</f>
        <v>233180</v>
      </c>
      <c r="J32" s="57">
        <f>SUM(J16:J31)</f>
        <v>327118.82500000001</v>
      </c>
      <c r="K32" s="58">
        <f>SUM(K16:K31)</f>
        <v>489000</v>
      </c>
      <c r="L32" s="59">
        <f>SUM(L16:L31)</f>
        <v>816118.82499999995</v>
      </c>
      <c r="M32" s="66"/>
      <c r="N32" s="32"/>
      <c r="O32" s="33"/>
      <c r="P32" s="4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row>
    <row r="33" spans="1:114" s="137" customFormat="1" ht="18" customHeight="1" x14ac:dyDescent="0.25">
      <c r="A33" s="103" t="s">
        <v>42</v>
      </c>
      <c r="B33" s="103"/>
      <c r="C33" s="103"/>
      <c r="D33" s="103"/>
      <c r="E33" s="103"/>
      <c r="F33" s="103"/>
      <c r="G33" s="103"/>
      <c r="H33" s="103"/>
      <c r="I33" s="103"/>
      <c r="J33" s="103"/>
      <c r="K33" s="103"/>
      <c r="L33" s="103"/>
      <c r="M33" s="103"/>
      <c r="N33" s="135"/>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row>
    <row r="34" spans="1:114" s="137" customFormat="1" ht="18" customHeight="1" x14ac:dyDescent="0.25">
      <c r="A34" s="104" t="s">
        <v>307</v>
      </c>
      <c r="B34" s="103"/>
      <c r="C34" s="103"/>
      <c r="D34" s="103"/>
      <c r="E34" s="103"/>
      <c r="F34" s="103"/>
      <c r="G34" s="103"/>
      <c r="H34" s="103"/>
      <c r="I34" s="103"/>
      <c r="J34" s="103"/>
      <c r="K34" s="103"/>
      <c r="L34" s="103"/>
      <c r="M34" s="103"/>
      <c r="N34" s="135"/>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row>
    <row r="35" spans="1:114" s="137" customFormat="1" ht="18" customHeight="1" x14ac:dyDescent="0.25">
      <c r="A35" s="103" t="s">
        <v>290</v>
      </c>
      <c r="B35" s="103"/>
      <c r="C35" s="103"/>
      <c r="D35" s="103"/>
      <c r="E35" s="103"/>
      <c r="F35" s="103"/>
      <c r="G35" s="103"/>
      <c r="H35" s="103"/>
      <c r="I35" s="103"/>
      <c r="J35" s="103"/>
      <c r="K35" s="103"/>
      <c r="L35" s="103"/>
      <c r="M35" s="103"/>
      <c r="N35" s="135"/>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row>
    <row r="36" spans="1:114" s="137" customFormat="1" ht="18" customHeight="1" x14ac:dyDescent="0.25">
      <c r="A36" s="103" t="s">
        <v>291</v>
      </c>
      <c r="B36" s="103"/>
      <c r="C36" s="103"/>
      <c r="D36" s="103"/>
      <c r="E36" s="103"/>
      <c r="F36" s="103"/>
      <c r="G36" s="103"/>
      <c r="H36" s="103"/>
      <c r="I36" s="103"/>
      <c r="J36" s="103"/>
      <c r="K36" s="103"/>
      <c r="L36" s="103"/>
      <c r="M36" s="103"/>
      <c r="N36" s="135"/>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row>
    <row r="37" spans="1:114" s="137" customFormat="1" ht="18" customHeight="1" x14ac:dyDescent="0.25">
      <c r="A37" s="103" t="s">
        <v>292</v>
      </c>
      <c r="B37" s="103"/>
      <c r="C37" s="103"/>
      <c r="D37" s="103"/>
      <c r="E37" s="103"/>
      <c r="F37" s="103"/>
      <c r="G37" s="103"/>
      <c r="H37" s="103"/>
      <c r="I37" s="103"/>
      <c r="J37" s="103"/>
      <c r="K37" s="103"/>
      <c r="L37" s="103"/>
      <c r="M37" s="103"/>
      <c r="N37" s="135"/>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row>
    <row r="38" spans="1:114" s="137" customFormat="1" ht="18" customHeight="1" x14ac:dyDescent="0.25">
      <c r="A38" s="103" t="s">
        <v>293</v>
      </c>
      <c r="B38" s="103"/>
      <c r="C38" s="103"/>
      <c r="D38" s="103"/>
      <c r="E38" s="103"/>
      <c r="F38" s="103"/>
      <c r="G38" s="103"/>
      <c r="H38" s="103"/>
      <c r="I38" s="103"/>
      <c r="J38" s="103"/>
      <c r="K38" s="103"/>
      <c r="L38" s="103"/>
      <c r="M38" s="103"/>
      <c r="N38" s="134"/>
      <c r="O38" s="134"/>
      <c r="P38" s="134"/>
      <c r="Q38" s="134"/>
      <c r="R38" s="134"/>
      <c r="S38" s="134"/>
      <c r="T38" s="134"/>
      <c r="U38" s="134"/>
      <c r="V38" s="134"/>
      <c r="W38" s="134"/>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row>
    <row r="39" spans="1:114" s="137" customFormat="1" ht="18" customHeight="1" x14ac:dyDescent="0.25">
      <c r="A39" s="105" t="s">
        <v>283</v>
      </c>
      <c r="B39" s="103"/>
      <c r="C39" s="103"/>
      <c r="D39" s="103"/>
      <c r="E39" s="103"/>
      <c r="F39" s="103"/>
      <c r="G39" s="103"/>
      <c r="H39" s="103"/>
      <c r="I39" s="103"/>
      <c r="J39" s="103"/>
      <c r="K39" s="103"/>
      <c r="L39" s="103"/>
      <c r="M39" s="103"/>
      <c r="N39" s="134"/>
      <c r="O39" s="134"/>
      <c r="P39" s="134"/>
      <c r="Q39" s="134"/>
      <c r="R39" s="134"/>
      <c r="S39" s="134"/>
      <c r="T39" s="134"/>
      <c r="U39" s="134"/>
      <c r="V39" s="134"/>
      <c r="W39" s="134"/>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row>
    <row r="40" spans="1:114" s="137" customFormat="1" ht="18" customHeight="1" x14ac:dyDescent="0.25">
      <c r="A40" s="103" t="s">
        <v>318</v>
      </c>
      <c r="B40" s="103"/>
      <c r="C40" s="103"/>
      <c r="D40" s="103"/>
      <c r="E40" s="103"/>
      <c r="F40" s="103"/>
      <c r="G40" s="103"/>
      <c r="H40" s="103"/>
      <c r="I40" s="103"/>
      <c r="J40" s="103"/>
      <c r="K40" s="103"/>
      <c r="L40" s="103"/>
      <c r="M40" s="103"/>
      <c r="N40" s="134"/>
      <c r="O40" s="134"/>
      <c r="P40" s="134"/>
      <c r="Q40" s="134"/>
      <c r="R40" s="134"/>
      <c r="S40" s="134"/>
      <c r="T40" s="134"/>
      <c r="U40" s="134"/>
      <c r="V40" s="134"/>
      <c r="W40" s="134"/>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row>
    <row r="41" spans="1:114" s="137" customFormat="1" ht="18" customHeight="1" x14ac:dyDescent="0.25">
      <c r="A41" s="103" t="s">
        <v>310</v>
      </c>
      <c r="B41" s="103"/>
      <c r="C41" s="103"/>
      <c r="D41" s="103"/>
      <c r="E41" s="103"/>
      <c r="F41" s="103"/>
      <c r="G41" s="103"/>
      <c r="H41" s="103"/>
      <c r="I41" s="103"/>
      <c r="J41" s="103"/>
      <c r="K41" s="103"/>
      <c r="L41" s="103"/>
      <c r="M41" s="103"/>
      <c r="N41" s="134"/>
      <c r="O41" s="134"/>
      <c r="P41" s="134"/>
      <c r="Q41" s="134"/>
      <c r="R41" s="134"/>
      <c r="S41" s="134"/>
      <c r="T41" s="134"/>
      <c r="U41" s="134"/>
      <c r="V41" s="134"/>
      <c r="W41" s="134"/>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row>
    <row r="42" spans="1:114" s="137" customFormat="1" ht="18" customHeight="1" x14ac:dyDescent="0.25">
      <c r="A42" s="103" t="s">
        <v>284</v>
      </c>
      <c r="B42" s="103"/>
      <c r="C42" s="103"/>
      <c r="D42" s="103"/>
      <c r="E42" s="103"/>
      <c r="F42" s="103"/>
      <c r="G42" s="103"/>
      <c r="H42" s="103"/>
      <c r="I42" s="103"/>
      <c r="J42" s="103"/>
      <c r="K42" s="103"/>
      <c r="L42" s="103"/>
      <c r="M42" s="103"/>
      <c r="N42" s="134"/>
      <c r="O42" s="134"/>
      <c r="P42" s="134"/>
      <c r="Q42" s="134"/>
      <c r="R42" s="134"/>
      <c r="S42" s="134"/>
      <c r="T42" s="134"/>
      <c r="U42" s="134"/>
      <c r="V42" s="134"/>
      <c r="W42" s="134"/>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c r="BM42" s="136"/>
      <c r="BN42" s="136"/>
      <c r="BO42" s="136"/>
      <c r="BP42" s="136"/>
      <c r="BQ42" s="136"/>
      <c r="BR42" s="136"/>
      <c r="BS42" s="136"/>
      <c r="BT42" s="136"/>
      <c r="BU42" s="136"/>
      <c r="BV42" s="136"/>
      <c r="BW42" s="136"/>
      <c r="BX42" s="136"/>
      <c r="BY42" s="136"/>
      <c r="BZ42" s="136"/>
      <c r="CA42" s="136"/>
      <c r="CB42" s="136"/>
      <c r="CC42" s="136"/>
      <c r="CD42" s="136"/>
    </row>
    <row r="43" spans="1:114" s="137" customFormat="1" ht="18" customHeight="1" x14ac:dyDescent="0.25">
      <c r="A43" s="103" t="s">
        <v>285</v>
      </c>
      <c r="B43" s="103"/>
      <c r="C43" s="103"/>
      <c r="D43" s="103"/>
      <c r="E43" s="103"/>
      <c r="F43" s="103"/>
      <c r="G43" s="103"/>
      <c r="H43" s="103"/>
      <c r="I43" s="103"/>
      <c r="J43" s="103"/>
      <c r="K43" s="103"/>
      <c r="L43" s="103"/>
      <c r="M43" s="103"/>
      <c r="N43" s="134"/>
      <c r="O43" s="134"/>
      <c r="P43" s="134"/>
      <c r="Q43" s="134"/>
      <c r="R43" s="134"/>
      <c r="S43" s="134"/>
      <c r="T43" s="134"/>
      <c r="U43" s="134"/>
      <c r="V43" s="134"/>
      <c r="W43" s="134"/>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row>
    <row r="44" spans="1:114" s="137" customFormat="1" ht="18" customHeight="1" x14ac:dyDescent="0.25">
      <c r="A44" s="106" t="s">
        <v>286</v>
      </c>
      <c r="B44" s="103"/>
      <c r="C44" s="103"/>
      <c r="D44" s="103"/>
      <c r="E44" s="103"/>
      <c r="F44" s="103"/>
      <c r="G44" s="103"/>
      <c r="H44" s="103"/>
      <c r="I44" s="103"/>
      <c r="J44" s="103"/>
      <c r="K44" s="103"/>
      <c r="L44" s="103"/>
      <c r="M44" s="103"/>
      <c r="N44" s="134"/>
      <c r="O44" s="134"/>
      <c r="P44" s="134"/>
      <c r="Q44" s="134"/>
      <c r="R44" s="134"/>
      <c r="S44" s="134"/>
      <c r="T44" s="134"/>
      <c r="U44" s="134"/>
      <c r="V44" s="134"/>
      <c r="W44" s="134"/>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row>
    <row r="45" spans="1:114" s="137" customFormat="1" ht="18" customHeight="1" x14ac:dyDescent="0.25">
      <c r="A45" s="106" t="s">
        <v>287</v>
      </c>
      <c r="B45" s="103"/>
      <c r="C45" s="103"/>
      <c r="D45" s="103"/>
      <c r="E45" s="103"/>
      <c r="F45" s="103"/>
      <c r="G45" s="103"/>
      <c r="H45" s="103"/>
      <c r="I45" s="103"/>
      <c r="J45" s="103"/>
      <c r="K45" s="103"/>
      <c r="L45" s="103"/>
      <c r="M45" s="103"/>
      <c r="N45" s="134"/>
      <c r="O45" s="134"/>
      <c r="P45" s="134"/>
      <c r="Q45" s="134"/>
      <c r="R45" s="134"/>
      <c r="S45" s="134"/>
      <c r="T45" s="134"/>
      <c r="U45" s="134"/>
      <c r="V45" s="134"/>
      <c r="W45" s="134"/>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row>
    <row r="46" spans="1:114" s="140" customFormat="1" ht="18" customHeight="1" x14ac:dyDescent="0.25">
      <c r="A46" s="106" t="s">
        <v>320</v>
      </c>
      <c r="B46" s="138"/>
      <c r="C46" s="139"/>
      <c r="D46" s="138"/>
      <c r="E46" s="138"/>
      <c r="F46" s="138"/>
      <c r="G46" s="138"/>
      <c r="H46" s="138"/>
      <c r="I46" s="138"/>
      <c r="J46" s="138"/>
      <c r="K46" s="138"/>
      <c r="L46" s="138"/>
      <c r="M46" s="138"/>
      <c r="N46" s="134"/>
      <c r="O46" s="134"/>
      <c r="P46" s="134"/>
      <c r="Q46" s="134"/>
      <c r="R46" s="134"/>
      <c r="S46" s="134"/>
      <c r="T46" s="134"/>
      <c r="U46" s="134"/>
      <c r="V46" s="134"/>
      <c r="W46" s="134"/>
      <c r="X46" s="134"/>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c r="AV46" s="134"/>
      <c r="AW46" s="134"/>
      <c r="AX46" s="134"/>
      <c r="AY46" s="134"/>
      <c r="AZ46" s="134"/>
      <c r="BA46" s="134"/>
      <c r="BB46" s="134"/>
      <c r="BC46" s="134"/>
      <c r="BD46" s="134"/>
      <c r="BE46" s="134"/>
      <c r="BF46" s="134"/>
      <c r="BG46" s="134"/>
      <c r="BH46" s="134"/>
      <c r="BI46" s="134"/>
      <c r="BJ46" s="134"/>
      <c r="BK46" s="134"/>
      <c r="BL46" s="134"/>
      <c r="BM46" s="134"/>
      <c r="BN46" s="134"/>
      <c r="BO46" s="134"/>
      <c r="BP46" s="134"/>
      <c r="BQ46" s="134"/>
      <c r="BR46" s="134"/>
      <c r="BS46" s="134"/>
      <c r="BT46" s="134"/>
      <c r="BU46" s="134"/>
      <c r="BV46" s="134"/>
      <c r="BW46" s="134"/>
      <c r="BX46" s="134"/>
      <c r="BY46" s="134"/>
      <c r="BZ46" s="134"/>
      <c r="CA46" s="134"/>
      <c r="CB46" s="134"/>
      <c r="CC46" s="134"/>
      <c r="CD46" s="134"/>
    </row>
    <row r="47" spans="1:114" s="137" customFormat="1" ht="16.5" x14ac:dyDescent="0.25">
      <c r="A47" s="103" t="s">
        <v>311</v>
      </c>
      <c r="B47" s="103"/>
      <c r="C47" s="103"/>
      <c r="D47" s="103"/>
      <c r="E47" s="103"/>
      <c r="F47" s="103"/>
      <c r="G47" s="103"/>
      <c r="H47" s="103"/>
      <c r="I47" s="103"/>
      <c r="J47" s="103"/>
      <c r="K47" s="103"/>
      <c r="L47" s="103"/>
      <c r="M47" s="103"/>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row>
    <row r="48" spans="1:114" s="137" customFormat="1" ht="18" customHeight="1" x14ac:dyDescent="0.25">
      <c r="A48" s="103" t="s">
        <v>319</v>
      </c>
      <c r="B48" s="103"/>
      <c r="C48" s="103"/>
      <c r="D48" s="103"/>
      <c r="E48" s="103"/>
      <c r="F48" s="103"/>
      <c r="G48" s="103"/>
      <c r="H48" s="103"/>
      <c r="I48" s="103"/>
      <c r="J48" s="103"/>
      <c r="K48" s="103"/>
      <c r="L48" s="103"/>
      <c r="M48" s="103"/>
      <c r="N48" s="134"/>
      <c r="O48" s="134"/>
      <c r="P48" s="134"/>
      <c r="Q48" s="134"/>
      <c r="R48" s="134"/>
      <c r="S48" s="134"/>
      <c r="T48" s="134"/>
      <c r="U48" s="134"/>
      <c r="V48" s="134"/>
      <c r="W48" s="134"/>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row>
    <row r="49" spans="1:82" s="137" customFormat="1" ht="18" customHeight="1" x14ac:dyDescent="0.25">
      <c r="A49" s="103" t="s">
        <v>288</v>
      </c>
      <c r="B49" s="103"/>
      <c r="C49" s="103"/>
      <c r="D49" s="103"/>
      <c r="E49" s="103"/>
      <c r="F49" s="103"/>
      <c r="G49" s="103"/>
      <c r="H49" s="103"/>
      <c r="I49" s="103"/>
      <c r="J49" s="103"/>
      <c r="K49" s="103"/>
      <c r="L49" s="103"/>
      <c r="M49" s="103"/>
      <c r="N49" s="134"/>
      <c r="O49" s="134"/>
      <c r="P49" s="134"/>
      <c r="Q49" s="134"/>
      <c r="R49" s="134"/>
      <c r="S49" s="134"/>
      <c r="T49" s="134"/>
      <c r="U49" s="134"/>
      <c r="V49" s="134"/>
      <c r="W49" s="134"/>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row>
    <row r="50" spans="1:82" s="140" customFormat="1" ht="18" customHeight="1" x14ac:dyDescent="0.25">
      <c r="A50" s="106" t="s">
        <v>289</v>
      </c>
      <c r="B50" s="138"/>
      <c r="C50" s="139"/>
      <c r="D50" s="138"/>
      <c r="E50" s="138"/>
      <c r="F50" s="138"/>
      <c r="G50" s="138"/>
      <c r="H50" s="138"/>
      <c r="I50" s="138"/>
      <c r="J50" s="138"/>
      <c r="K50" s="138"/>
      <c r="L50" s="138"/>
      <c r="M50" s="138"/>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34"/>
      <c r="AM50" s="134"/>
      <c r="AN50" s="134"/>
      <c r="AO50" s="134"/>
      <c r="AP50" s="134"/>
      <c r="AQ50" s="134"/>
      <c r="AR50" s="134"/>
      <c r="AS50" s="134"/>
      <c r="AT50" s="134"/>
      <c r="AU50" s="134"/>
      <c r="AV50" s="134"/>
      <c r="AW50" s="134"/>
      <c r="AX50" s="134"/>
      <c r="AY50" s="134"/>
      <c r="AZ50" s="134"/>
      <c r="BA50" s="134"/>
      <c r="BB50" s="134"/>
      <c r="BC50" s="134"/>
      <c r="BD50" s="134"/>
      <c r="BE50" s="134"/>
      <c r="BF50" s="134"/>
      <c r="BG50" s="134"/>
      <c r="BH50" s="134"/>
      <c r="BI50" s="134"/>
      <c r="BJ50" s="134"/>
      <c r="BK50" s="134"/>
      <c r="BL50" s="134"/>
      <c r="BM50" s="134"/>
      <c r="BN50" s="134"/>
      <c r="BO50" s="134"/>
      <c r="BP50" s="134"/>
      <c r="BQ50" s="134"/>
      <c r="BR50" s="134"/>
      <c r="BS50" s="134"/>
      <c r="BT50" s="134"/>
      <c r="BU50" s="134"/>
      <c r="BV50" s="134"/>
      <c r="BW50" s="134"/>
      <c r="BX50" s="134"/>
      <c r="BY50" s="134"/>
      <c r="BZ50" s="134"/>
      <c r="CA50" s="134"/>
      <c r="CB50" s="134"/>
      <c r="CC50" s="134"/>
      <c r="CD50" s="134"/>
    </row>
    <row r="51" spans="1:82" ht="18" customHeight="1" x14ac:dyDescent="0.25">
      <c r="A51" s="35"/>
      <c r="B51" s="35"/>
      <c r="C51" s="45"/>
      <c r="D51" s="35"/>
      <c r="E51" s="35"/>
      <c r="F51" s="35"/>
      <c r="G51" s="35"/>
      <c r="H51" s="35"/>
      <c r="I51" s="35"/>
      <c r="J51" s="35"/>
      <c r="K51" s="35"/>
      <c r="L51" s="35"/>
      <c r="M51" s="3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row>
    <row r="52" spans="1:82" ht="18" customHeight="1" x14ac:dyDescent="0.25">
      <c r="A52" s="35"/>
      <c r="B52" s="35"/>
      <c r="C52" s="45"/>
      <c r="D52" s="35"/>
      <c r="E52" s="35"/>
      <c r="F52" s="35"/>
      <c r="G52" s="35"/>
      <c r="H52" s="35"/>
      <c r="I52" s="35"/>
      <c r="J52" s="35"/>
      <c r="K52" s="35"/>
      <c r="L52" s="35"/>
      <c r="M52" s="3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row>
    <row r="53" spans="1:82" s="64" customFormat="1" ht="18" customHeight="1" x14ac:dyDescent="0.25">
      <c r="A53" s="107" t="s">
        <v>261</v>
      </c>
      <c r="B53" s="108"/>
      <c r="C53" s="108"/>
      <c r="D53" s="108"/>
      <c r="E53" s="108"/>
      <c r="F53" s="108"/>
      <c r="G53" s="108"/>
      <c r="H53" s="108"/>
      <c r="I53" s="108"/>
      <c r="J53" s="108"/>
      <c r="K53" s="108"/>
      <c r="L53" s="108"/>
      <c r="M53" s="108"/>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row>
    <row r="54" spans="1:82" ht="32.25" customHeight="1" x14ac:dyDescent="0.25">
      <c r="A54" s="148" t="s">
        <v>141</v>
      </c>
      <c r="B54" s="157" t="s">
        <v>279</v>
      </c>
      <c r="C54" s="147" t="s">
        <v>143</v>
      </c>
      <c r="D54" s="212" t="s">
        <v>239</v>
      </c>
      <c r="E54" s="213"/>
      <c r="F54" s="214"/>
      <c r="G54" s="212" t="s">
        <v>240</v>
      </c>
      <c r="H54" s="213"/>
      <c r="I54" s="214"/>
      <c r="J54" s="109" t="s">
        <v>241</v>
      </c>
      <c r="K54" s="156" t="s">
        <v>242</v>
      </c>
      <c r="L54" s="156" t="s">
        <v>256</v>
      </c>
      <c r="M54" s="147" t="s">
        <v>141</v>
      </c>
      <c r="N54" s="32"/>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row>
    <row r="55" spans="1:82" ht="18" customHeight="1" x14ac:dyDescent="0.25">
      <c r="A55" s="148"/>
      <c r="B55" s="158"/>
      <c r="C55" s="148"/>
      <c r="D55" s="110" t="s">
        <v>146</v>
      </c>
      <c r="E55" s="110" t="s">
        <v>147</v>
      </c>
      <c r="F55" s="110" t="s">
        <v>148</v>
      </c>
      <c r="G55" s="110" t="s">
        <v>146</v>
      </c>
      <c r="H55" s="110" t="s">
        <v>147</v>
      </c>
      <c r="I55" s="110" t="s">
        <v>148</v>
      </c>
      <c r="J55" s="110" t="s">
        <v>148</v>
      </c>
      <c r="K55" s="148"/>
      <c r="L55" s="148"/>
      <c r="M55" s="148"/>
      <c r="N55" s="32"/>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row>
    <row r="56" spans="1:82" ht="18" customHeight="1" x14ac:dyDescent="0.25">
      <c r="A56" s="60" t="s">
        <v>149</v>
      </c>
      <c r="B56" s="142">
        <f>D!AH16</f>
        <v>1</v>
      </c>
      <c r="C56" s="141"/>
      <c r="D56" s="60" t="s">
        <v>13</v>
      </c>
      <c r="E56" s="62">
        <f>D!AM16</f>
        <v>1000</v>
      </c>
      <c r="F56" s="98">
        <f>E56</f>
        <v>1000</v>
      </c>
      <c r="G56" s="60" t="s">
        <v>13</v>
      </c>
      <c r="H56" s="62">
        <f>D!AS16</f>
        <v>0</v>
      </c>
      <c r="I56" s="98">
        <f>H56</f>
        <v>0</v>
      </c>
      <c r="J56" s="98">
        <f>F56+I56</f>
        <v>1000</v>
      </c>
      <c r="K56" s="38">
        <f>D!AW16</f>
        <v>0</v>
      </c>
      <c r="L56" s="98">
        <f>J56+K56</f>
        <v>1000</v>
      </c>
      <c r="M56" s="66" t="str">
        <f>A56</f>
        <v>台灣</v>
      </c>
      <c r="N56" s="32"/>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row>
    <row r="57" spans="1:82" ht="18" customHeight="1" x14ac:dyDescent="0.25">
      <c r="A57" s="60" t="s">
        <v>151</v>
      </c>
      <c r="B57" s="142">
        <f>D!AH17</f>
        <v>1</v>
      </c>
      <c r="C57" s="141"/>
      <c r="D57" s="60" t="s">
        <v>14</v>
      </c>
      <c r="E57" s="62">
        <f>D!AM17</f>
        <v>605</v>
      </c>
      <c r="F57" s="98">
        <f>E57*$M$5</f>
        <v>2873.75</v>
      </c>
      <c r="G57" s="60" t="s">
        <v>14</v>
      </c>
      <c r="H57" s="62">
        <f>D!AS17</f>
        <v>200</v>
      </c>
      <c r="I57" s="98">
        <f>H57*$M$5</f>
        <v>950</v>
      </c>
      <c r="J57" s="98">
        <f t="shared" ref="J57:J69" si="6">F57+I57</f>
        <v>3823.75</v>
      </c>
      <c r="K57" s="38">
        <f>D!AW17</f>
        <v>2000</v>
      </c>
      <c r="L57" s="98">
        <f t="shared" ref="L57:L69" si="7">J57+K57</f>
        <v>5823.75</v>
      </c>
      <c r="M57" s="66" t="str">
        <f t="shared" ref="M57:M69" si="8">A57</f>
        <v>大陸</v>
      </c>
      <c r="N57" s="32"/>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row>
    <row r="58" spans="1:82" ht="18" customHeight="1" x14ac:dyDescent="0.25">
      <c r="A58" s="60" t="s">
        <v>152</v>
      </c>
      <c r="B58" s="142">
        <f>D!AH18</f>
        <v>1</v>
      </c>
      <c r="C58" s="141"/>
      <c r="D58" s="60" t="s">
        <v>15</v>
      </c>
      <c r="E58" s="62">
        <f>D!AM18</f>
        <v>520</v>
      </c>
      <c r="F58" s="98">
        <f>E58*$K$5</f>
        <v>16640</v>
      </c>
      <c r="G58" s="60" t="s">
        <v>15</v>
      </c>
      <c r="H58" s="62">
        <f>D!AS18</f>
        <v>370</v>
      </c>
      <c r="I58" s="98">
        <f>H58*$K$5</f>
        <v>11840</v>
      </c>
      <c r="J58" s="98">
        <f t="shared" si="6"/>
        <v>28480</v>
      </c>
      <c r="K58" s="38">
        <f>D!AW18</f>
        <v>2000</v>
      </c>
      <c r="L58" s="98">
        <f t="shared" si="7"/>
        <v>30480</v>
      </c>
      <c r="M58" s="66" t="str">
        <f t="shared" si="8"/>
        <v>美國</v>
      </c>
      <c r="N58" s="32"/>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row>
    <row r="59" spans="1:82" ht="18" customHeight="1" x14ac:dyDescent="0.25">
      <c r="A59" s="60" t="s">
        <v>153</v>
      </c>
      <c r="B59" s="142">
        <f>D!AH19</f>
        <v>1</v>
      </c>
      <c r="C59" s="141"/>
      <c r="D59" s="60" t="s">
        <v>16</v>
      </c>
      <c r="E59" s="62">
        <f>D!AM19</f>
        <v>0</v>
      </c>
      <c r="F59" s="98">
        <f>E59*$K$6</f>
        <v>0</v>
      </c>
      <c r="G59" s="60" t="s">
        <v>16</v>
      </c>
      <c r="H59" s="62">
        <f>D!AS19</f>
        <v>0</v>
      </c>
      <c r="I59" s="98">
        <f>H59*$K$6</f>
        <v>0</v>
      </c>
      <c r="J59" s="98">
        <f t="shared" si="6"/>
        <v>0</v>
      </c>
      <c r="K59" s="38">
        <f>D!AW19</f>
        <v>2000</v>
      </c>
      <c r="L59" s="98">
        <f t="shared" si="7"/>
        <v>2000</v>
      </c>
      <c r="M59" s="66" t="str">
        <f t="shared" si="8"/>
        <v>歐盟</v>
      </c>
      <c r="N59" s="32"/>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row>
    <row r="60" spans="1:82" ht="18" customHeight="1" x14ac:dyDescent="0.25">
      <c r="A60" s="66" t="s">
        <v>224</v>
      </c>
      <c r="B60" s="142">
        <f>D!AH20</f>
        <v>1</v>
      </c>
      <c r="C60" s="141"/>
      <c r="D60" s="60" t="s">
        <v>225</v>
      </c>
      <c r="E60" s="62">
        <f>D!AM20</f>
        <v>0</v>
      </c>
      <c r="F60" s="98">
        <f>E60*$K$10</f>
        <v>0</v>
      </c>
      <c r="G60" s="60" t="s">
        <v>16</v>
      </c>
      <c r="H60" s="62">
        <f>D!R59</f>
        <v>0</v>
      </c>
      <c r="I60" s="98">
        <f>H60*$K$6</f>
        <v>0</v>
      </c>
      <c r="J60" s="98">
        <f t="shared" si="6"/>
        <v>0</v>
      </c>
      <c r="K60" s="38">
        <f>D!AW20</f>
        <v>2000</v>
      </c>
      <c r="L60" s="98">
        <f t="shared" si="7"/>
        <v>2000</v>
      </c>
      <c r="M60" s="66" t="str">
        <f t="shared" si="8"/>
        <v>英國</v>
      </c>
      <c r="N60" s="32"/>
      <c r="O60" s="33"/>
      <c r="P60" s="42"/>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row>
    <row r="61" spans="1:82" ht="18" customHeight="1" x14ac:dyDescent="0.25">
      <c r="A61" s="60" t="s">
        <v>154</v>
      </c>
      <c r="B61" s="142">
        <f>D!AH21</f>
        <v>1</v>
      </c>
      <c r="C61" s="141"/>
      <c r="D61" s="60" t="s">
        <v>17</v>
      </c>
      <c r="E61" s="62">
        <f>D!AM21</f>
        <v>25500</v>
      </c>
      <c r="F61" s="98">
        <f>E61*$K$7</f>
        <v>5355</v>
      </c>
      <c r="G61" s="60" t="s">
        <v>17</v>
      </c>
      <c r="H61" s="62">
        <f>D!AS21</f>
        <v>8000</v>
      </c>
      <c r="I61" s="98">
        <f>H61*$K$7</f>
        <v>1680</v>
      </c>
      <c r="J61" s="98">
        <f t="shared" si="6"/>
        <v>7035</v>
      </c>
      <c r="K61" s="38">
        <f>D!AW21</f>
        <v>2000</v>
      </c>
      <c r="L61" s="98">
        <f t="shared" si="7"/>
        <v>9035</v>
      </c>
      <c r="M61" s="66" t="str">
        <f t="shared" si="8"/>
        <v>日本</v>
      </c>
      <c r="N61" s="32"/>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row>
    <row r="62" spans="1:82" ht="18" customHeight="1" x14ac:dyDescent="0.25">
      <c r="A62" s="60" t="s">
        <v>155</v>
      </c>
      <c r="B62" s="142">
        <f>D!AH22</f>
        <v>1</v>
      </c>
      <c r="C62" s="141"/>
      <c r="D62" s="60" t="s">
        <v>18</v>
      </c>
      <c r="E62" s="62">
        <f>D!AM22</f>
        <v>75000</v>
      </c>
      <c r="F62" s="98">
        <f>E62*$K$8</f>
        <v>1875</v>
      </c>
      <c r="G62" s="60" t="s">
        <v>15</v>
      </c>
      <c r="H62" s="62">
        <f>D!AS22</f>
        <v>200</v>
      </c>
      <c r="I62" s="98">
        <f>H62*$K$5</f>
        <v>6400</v>
      </c>
      <c r="J62" s="98">
        <f t="shared" si="6"/>
        <v>8275</v>
      </c>
      <c r="K62" s="38">
        <f>D!AW22</f>
        <v>2000</v>
      </c>
      <c r="L62" s="98">
        <f t="shared" si="7"/>
        <v>10275</v>
      </c>
      <c r="M62" s="66" t="str">
        <f t="shared" si="8"/>
        <v>韓國</v>
      </c>
      <c r="N62" s="32"/>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row>
    <row r="63" spans="1:82" ht="18" customHeight="1" x14ac:dyDescent="0.25">
      <c r="A63" s="101" t="s">
        <v>162</v>
      </c>
      <c r="B63" s="142">
        <f>D!AH23</f>
        <v>1</v>
      </c>
      <c r="C63" s="141"/>
      <c r="D63" s="60" t="s">
        <v>36</v>
      </c>
      <c r="E63" s="62">
        <f>D!AM23</f>
        <v>0</v>
      </c>
      <c r="F63" s="98">
        <f>E63*$M$9</f>
        <v>0</v>
      </c>
      <c r="G63" s="60" t="s">
        <v>36</v>
      </c>
      <c r="H63" s="62">
        <f>D!AS23</f>
        <v>315</v>
      </c>
      <c r="I63" s="98">
        <f>H63*$M$9</f>
        <v>7402.5</v>
      </c>
      <c r="J63" s="98">
        <f>F63+I63</f>
        <v>7402.5</v>
      </c>
      <c r="K63" s="38">
        <f>D!AW23</f>
        <v>2000</v>
      </c>
      <c r="L63" s="98">
        <f>J63+K63</f>
        <v>9402.5</v>
      </c>
      <c r="M63" s="102" t="str">
        <f>A63</f>
        <v>加拿大</v>
      </c>
      <c r="N63" s="37"/>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row>
    <row r="64" spans="1:82" ht="18" customHeight="1" x14ac:dyDescent="0.25">
      <c r="A64" s="66" t="s">
        <v>315</v>
      </c>
      <c r="B64" s="142">
        <f>D!AH24</f>
        <v>1</v>
      </c>
      <c r="C64" s="141"/>
      <c r="D64" s="60" t="s">
        <v>317</v>
      </c>
      <c r="E64" s="62">
        <f>D!AM24</f>
        <v>0</v>
      </c>
      <c r="F64" s="98">
        <f>E64*$M$10</f>
        <v>0</v>
      </c>
      <c r="G64" s="60" t="s">
        <v>317</v>
      </c>
      <c r="H64" s="62">
        <f>D!AS24</f>
        <v>555</v>
      </c>
      <c r="I64" s="98">
        <f>H64*$M$10</f>
        <v>12765</v>
      </c>
      <c r="J64" s="98">
        <f>F64+I64</f>
        <v>12765</v>
      </c>
      <c r="K64" s="38">
        <f>D!AW24</f>
        <v>2000</v>
      </c>
      <c r="L64" s="98">
        <f>J64+K64</f>
        <v>14765</v>
      </c>
      <c r="M64" s="66" t="str">
        <f>A64</f>
        <v>澳洲</v>
      </c>
      <c r="N64" s="131" t="str">
        <f>IF(D!$C$24=FALSE,"",IF(選項!$K$2=1,"注意：澳洲尚未開放申請各種「圖像設計」之設計專利",""))</f>
        <v/>
      </c>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row>
    <row r="65" spans="1:82" ht="18" customHeight="1" x14ac:dyDescent="0.25">
      <c r="A65" s="60" t="s">
        <v>156</v>
      </c>
      <c r="B65" s="142">
        <f>D!AH25</f>
        <v>1</v>
      </c>
      <c r="C65" s="141"/>
      <c r="D65" s="60" t="s">
        <v>19</v>
      </c>
      <c r="E65" s="62">
        <f>D!AM25</f>
        <v>0</v>
      </c>
      <c r="F65" s="98">
        <f>E65*$M$6</f>
        <v>0</v>
      </c>
      <c r="G65" s="60" t="s">
        <v>19</v>
      </c>
      <c r="H65" s="62">
        <f>D!AS25</f>
        <v>300</v>
      </c>
      <c r="I65" s="98">
        <f>H65*$M$6</f>
        <v>7500</v>
      </c>
      <c r="J65" s="98">
        <f t="shared" si="6"/>
        <v>7500</v>
      </c>
      <c r="K65" s="38">
        <f>D!AW25</f>
        <v>2000</v>
      </c>
      <c r="L65" s="98">
        <f t="shared" si="7"/>
        <v>9500</v>
      </c>
      <c r="M65" s="66" t="str">
        <f t="shared" si="8"/>
        <v>新加坡</v>
      </c>
      <c r="N65" s="32"/>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row>
    <row r="66" spans="1:82" ht="18" customHeight="1" x14ac:dyDescent="0.25">
      <c r="A66" s="60" t="s">
        <v>160</v>
      </c>
      <c r="B66" s="142">
        <f>D!AH26</f>
        <v>1</v>
      </c>
      <c r="C66" s="141"/>
      <c r="D66" s="60" t="s">
        <v>22</v>
      </c>
      <c r="E66" s="62">
        <f>D!AM26</f>
        <v>0</v>
      </c>
      <c r="F66" s="98">
        <f>E66*$M$8</f>
        <v>0</v>
      </c>
      <c r="G66" s="60" t="s">
        <v>22</v>
      </c>
      <c r="H66" s="62">
        <f>D!AS26</f>
        <v>500</v>
      </c>
      <c r="I66" s="98">
        <f>H66*$M$8</f>
        <v>4150</v>
      </c>
      <c r="J66" s="98">
        <f>F66+I66</f>
        <v>4150</v>
      </c>
      <c r="K66" s="38">
        <f>D!AW26</f>
        <v>2000</v>
      </c>
      <c r="L66" s="98">
        <f>J66+K66</f>
        <v>6150</v>
      </c>
      <c r="M66" s="66" t="str">
        <f>A66</f>
        <v>馬來西亞</v>
      </c>
      <c r="N66" s="131" t="str">
        <f>IF(D!$C$26=FALSE,"",IF(選項!$K$2=1,"注意：馬來西亞不允許申請「動態GUI」之設計專利",""))</f>
        <v/>
      </c>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row>
    <row r="67" spans="1:82" ht="18" customHeight="1" x14ac:dyDescent="0.25">
      <c r="A67" s="60" t="s">
        <v>157</v>
      </c>
      <c r="B67" s="142">
        <f>D!AH27</f>
        <v>1</v>
      </c>
      <c r="C67" s="141"/>
      <c r="D67" s="60" t="s">
        <v>15</v>
      </c>
      <c r="E67" s="62">
        <f>D!AM27</f>
        <v>49</v>
      </c>
      <c r="F67" s="98">
        <f>E67*$K$5</f>
        <v>1568</v>
      </c>
      <c r="G67" s="60" t="s">
        <v>15</v>
      </c>
      <c r="H67" s="62">
        <f>D!AS27</f>
        <v>250</v>
      </c>
      <c r="I67" s="98">
        <f>H67*$K$5</f>
        <v>8000</v>
      </c>
      <c r="J67" s="98">
        <f t="shared" si="6"/>
        <v>9568</v>
      </c>
      <c r="K67" s="38">
        <f>D!AW27</f>
        <v>2000</v>
      </c>
      <c r="L67" s="98">
        <f t="shared" si="7"/>
        <v>11568</v>
      </c>
      <c r="M67" s="66" t="str">
        <f>A67</f>
        <v>菲律賓</v>
      </c>
      <c r="N67" s="32"/>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row>
    <row r="68" spans="1:82" ht="18" customHeight="1" x14ac:dyDescent="0.25">
      <c r="A68" s="60" t="s">
        <v>161</v>
      </c>
      <c r="B68" s="142">
        <f>D!AH28</f>
        <v>1</v>
      </c>
      <c r="C68" s="141"/>
      <c r="D68" s="60" t="s">
        <v>15</v>
      </c>
      <c r="E68" s="62">
        <f>D!AM28</f>
        <v>0</v>
      </c>
      <c r="F68" s="98">
        <f>E68*$K$5</f>
        <v>0</v>
      </c>
      <c r="G68" s="60" t="s">
        <v>15</v>
      </c>
      <c r="H68" s="62">
        <f>D!AS28</f>
        <v>150</v>
      </c>
      <c r="I68" s="98">
        <f>H68*$K$5</f>
        <v>4800</v>
      </c>
      <c r="J68" s="98">
        <f>F68+I68</f>
        <v>4800</v>
      </c>
      <c r="K68" s="38">
        <f>D!AW28</f>
        <v>2000</v>
      </c>
      <c r="L68" s="98">
        <f>J68+K68</f>
        <v>6800</v>
      </c>
      <c r="M68" s="66" t="str">
        <f>A68</f>
        <v>印尼</v>
      </c>
      <c r="N68" s="32"/>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row>
    <row r="69" spans="1:82" ht="18" customHeight="1" x14ac:dyDescent="0.25">
      <c r="A69" s="60" t="s">
        <v>158</v>
      </c>
      <c r="B69" s="142">
        <f>D!AH29</f>
        <v>1</v>
      </c>
      <c r="C69" s="141"/>
      <c r="D69" s="60" t="s">
        <v>20</v>
      </c>
      <c r="E69" s="62">
        <f>D!AM29</f>
        <v>780000</v>
      </c>
      <c r="F69" s="98">
        <f>E69*$M$7</f>
        <v>1092</v>
      </c>
      <c r="G69" s="60" t="s">
        <v>15</v>
      </c>
      <c r="H69" s="62">
        <f>D!AS29</f>
        <v>214</v>
      </c>
      <c r="I69" s="98">
        <f>H69*$K$5</f>
        <v>6848</v>
      </c>
      <c r="J69" s="98">
        <f t="shared" si="6"/>
        <v>7940</v>
      </c>
      <c r="K69" s="38">
        <f>D!AW29</f>
        <v>2000</v>
      </c>
      <c r="L69" s="98">
        <f t="shared" si="7"/>
        <v>9940</v>
      </c>
      <c r="M69" s="66" t="str">
        <f t="shared" si="8"/>
        <v>越南</v>
      </c>
      <c r="N69" s="131" t="str">
        <f>IF(D!$C$29=FALSE,"",IF(選項!$K$2=1,"注意：越南尚未開放申請各種「圖像設計」之設計專利",""))</f>
        <v/>
      </c>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row>
    <row r="70" spans="1:82" ht="18" customHeight="1" x14ac:dyDescent="0.25">
      <c r="A70" s="60" t="s">
        <v>159</v>
      </c>
      <c r="B70" s="142">
        <f>D!AH30</f>
        <v>1</v>
      </c>
      <c r="C70" s="141"/>
      <c r="D70" s="60" t="s">
        <v>21</v>
      </c>
      <c r="E70" s="62">
        <f>D!AM30</f>
        <v>500</v>
      </c>
      <c r="F70" s="98">
        <f>E70*$K$9</f>
        <v>550</v>
      </c>
      <c r="G70" s="60" t="s">
        <v>21</v>
      </c>
      <c r="H70" s="62">
        <f>D!AS30</f>
        <v>3500</v>
      </c>
      <c r="I70" s="98">
        <f>H70*$K$9</f>
        <v>3850.0000000000005</v>
      </c>
      <c r="J70" s="98">
        <f t="shared" ref="J70:J71" si="9">F70+I70</f>
        <v>4400</v>
      </c>
      <c r="K70" s="38">
        <f>D!AW30</f>
        <v>2000</v>
      </c>
      <c r="L70" s="98">
        <f t="shared" ref="L70:L71" si="10">J70+K70</f>
        <v>6400</v>
      </c>
      <c r="M70" s="66" t="str">
        <f t="shared" ref="M70:M71" si="11">A70</f>
        <v>泰國</v>
      </c>
      <c r="N70" s="131" t="str">
        <f>IF(D!$C$30=FALSE,"",IF(選項!$K$2=1,"注意：泰國不允許申請「動態GUI」之設計專利",""))</f>
        <v/>
      </c>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row>
    <row r="71" spans="1:82" ht="18" customHeight="1" x14ac:dyDescent="0.25">
      <c r="A71" s="66" t="s">
        <v>309</v>
      </c>
      <c r="B71" s="142">
        <f>D!AH31</f>
        <v>1</v>
      </c>
      <c r="C71" s="141"/>
      <c r="D71" s="60" t="s">
        <v>15</v>
      </c>
      <c r="E71" s="62">
        <f>D!AM31</f>
        <v>0</v>
      </c>
      <c r="F71" s="98">
        <f>E71*$K$5</f>
        <v>0</v>
      </c>
      <c r="G71" s="60" t="s">
        <v>15</v>
      </c>
      <c r="H71" s="62">
        <f>D!AS31</f>
        <v>100</v>
      </c>
      <c r="I71" s="98">
        <f>H71*$K$5</f>
        <v>3200</v>
      </c>
      <c r="J71" s="98">
        <f t="shared" si="9"/>
        <v>3200</v>
      </c>
      <c r="K71" s="38">
        <f>D!AW31</f>
        <v>2000</v>
      </c>
      <c r="L71" s="98">
        <f t="shared" si="10"/>
        <v>5200</v>
      </c>
      <c r="M71" s="66" t="str">
        <f t="shared" si="11"/>
        <v>印度</v>
      </c>
      <c r="N71" s="131"/>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row>
    <row r="72" spans="1:82" ht="20.100000000000001" customHeight="1" x14ac:dyDescent="0.25">
      <c r="A72" s="66" t="s">
        <v>280</v>
      </c>
      <c r="B72" s="128">
        <f>SUM(B56:B71)</f>
        <v>16</v>
      </c>
      <c r="C72" s="53"/>
      <c r="D72" s="53"/>
      <c r="E72" s="54" t="s">
        <v>164</v>
      </c>
      <c r="F72" s="55">
        <f>SUM(F56:F71)</f>
        <v>30953.75</v>
      </c>
      <c r="G72" s="53"/>
      <c r="H72" s="54" t="s">
        <v>164</v>
      </c>
      <c r="I72" s="56">
        <f>SUM(I56:I71)</f>
        <v>79385.5</v>
      </c>
      <c r="J72" s="57">
        <f>SUM(J56:J71)</f>
        <v>110339.25</v>
      </c>
      <c r="K72" s="58">
        <f>SUM(K56:K71)</f>
        <v>30000</v>
      </c>
      <c r="L72" s="61">
        <f>SUM(L56:L71)</f>
        <v>140339.25</v>
      </c>
      <c r="M72" s="66"/>
      <c r="N72" s="32"/>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row>
    <row r="73" spans="1:82" s="47" customFormat="1" ht="16.5" x14ac:dyDescent="0.25">
      <c r="A73" s="106" t="s">
        <v>259</v>
      </c>
      <c r="B73" s="48"/>
      <c r="C73" s="48"/>
      <c r="D73" s="48"/>
      <c r="E73" s="48"/>
      <c r="F73" s="48"/>
      <c r="G73" s="48"/>
      <c r="H73" s="48"/>
      <c r="I73" s="48"/>
      <c r="J73" s="48"/>
      <c r="K73" s="48"/>
      <c r="L73" s="48"/>
      <c r="M73" s="48"/>
      <c r="N73" s="40"/>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row>
    <row r="74" spans="1:82" s="47" customFormat="1" ht="16.5" x14ac:dyDescent="0.25">
      <c r="A74" s="106" t="s">
        <v>301</v>
      </c>
      <c r="B74" s="48"/>
      <c r="C74" s="48"/>
      <c r="D74" s="48"/>
      <c r="E74" s="48"/>
      <c r="F74" s="48"/>
      <c r="G74" s="48"/>
      <c r="H74" s="48"/>
      <c r="I74" s="48"/>
      <c r="J74" s="48"/>
      <c r="K74" s="48"/>
      <c r="L74" s="48"/>
      <c r="M74" s="48"/>
      <c r="N74" s="40"/>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row>
    <row r="75" spans="1:82" s="111" customFormat="1" ht="16.5" x14ac:dyDescent="0.25">
      <c r="A75" s="105"/>
      <c r="B75" s="35"/>
      <c r="C75" s="35"/>
      <c r="D75" s="35"/>
      <c r="E75" s="35"/>
      <c r="F75" s="35"/>
      <c r="G75" s="35"/>
      <c r="H75" s="35"/>
      <c r="I75" s="35"/>
      <c r="J75" s="35"/>
      <c r="K75" s="35"/>
      <c r="L75" s="35"/>
      <c r="M75" s="35"/>
      <c r="N75" s="35"/>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row>
    <row r="76" spans="1:82" s="111" customFormat="1" ht="16.5" x14ac:dyDescent="0.25">
      <c r="A76" s="105"/>
      <c r="B76" s="35"/>
      <c r="C76" s="35"/>
      <c r="D76" s="35"/>
      <c r="E76" s="35"/>
      <c r="F76" s="35"/>
      <c r="G76" s="35"/>
      <c r="H76" s="35"/>
      <c r="I76" s="35"/>
      <c r="J76" s="35"/>
      <c r="K76" s="35"/>
      <c r="L76" s="35"/>
      <c r="M76" s="35"/>
      <c r="N76" s="35"/>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row>
    <row r="77" spans="1:82" s="111" customFormat="1" ht="16.5" x14ac:dyDescent="0.25">
      <c r="A77" s="105"/>
      <c r="B77" s="35"/>
      <c r="C77" s="35"/>
      <c r="D77" s="35"/>
      <c r="E77" s="35"/>
      <c r="F77" s="35"/>
      <c r="G77" s="35"/>
      <c r="H77" s="35"/>
      <c r="I77" s="35"/>
      <c r="J77" s="35"/>
      <c r="K77" s="35"/>
      <c r="L77" s="35"/>
      <c r="M77" s="35"/>
      <c r="N77" s="35"/>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row>
    <row r="78" spans="1:82" s="113" customFormat="1" ht="18" customHeight="1" x14ac:dyDescent="0.25">
      <c r="A78" s="107" t="s">
        <v>262</v>
      </c>
      <c r="B78" s="108"/>
      <c r="C78" s="108"/>
      <c r="D78" s="108"/>
      <c r="E78" s="108"/>
      <c r="F78" s="108"/>
      <c r="G78" s="108"/>
      <c r="H78" s="108"/>
      <c r="I78" s="108"/>
      <c r="J78" s="108"/>
      <c r="K78" s="108"/>
      <c r="L78" s="108"/>
      <c r="M78" s="108"/>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c r="BO78" s="112"/>
      <c r="BP78" s="112"/>
      <c r="BQ78" s="112"/>
      <c r="BR78" s="112"/>
      <c r="BS78" s="112"/>
      <c r="BT78" s="112"/>
      <c r="BU78" s="112"/>
      <c r="BV78" s="112"/>
      <c r="BW78" s="112"/>
      <c r="BX78" s="112"/>
      <c r="BY78" s="112"/>
      <c r="BZ78" s="112"/>
      <c r="CA78" s="112"/>
      <c r="CB78" s="112"/>
      <c r="CC78" s="112"/>
      <c r="CD78" s="112"/>
    </row>
    <row r="79" spans="1:82" s="111" customFormat="1" ht="32.25" customHeight="1" x14ac:dyDescent="0.25">
      <c r="A79" s="148" t="s">
        <v>141</v>
      </c>
      <c r="B79" s="157" t="s">
        <v>274</v>
      </c>
      <c r="C79" s="147" t="s">
        <v>143</v>
      </c>
      <c r="D79" s="212" t="s">
        <v>197</v>
      </c>
      <c r="E79" s="213"/>
      <c r="F79" s="214"/>
      <c r="G79" s="212" t="s">
        <v>198</v>
      </c>
      <c r="H79" s="213"/>
      <c r="I79" s="214"/>
      <c r="J79" s="109" t="s">
        <v>199</v>
      </c>
      <c r="K79" s="156" t="s">
        <v>200</v>
      </c>
      <c r="L79" s="156" t="s">
        <v>234</v>
      </c>
      <c r="M79" s="147" t="s">
        <v>141</v>
      </c>
      <c r="N79" s="35"/>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row>
    <row r="80" spans="1:82" s="111" customFormat="1" ht="18" customHeight="1" x14ac:dyDescent="0.25">
      <c r="A80" s="148"/>
      <c r="B80" s="148"/>
      <c r="C80" s="148"/>
      <c r="D80" s="110" t="s">
        <v>146</v>
      </c>
      <c r="E80" s="110" t="s">
        <v>147</v>
      </c>
      <c r="F80" s="110" t="s">
        <v>148</v>
      </c>
      <c r="G80" s="110" t="s">
        <v>146</v>
      </c>
      <c r="H80" s="110" t="s">
        <v>147</v>
      </c>
      <c r="I80" s="110" t="s">
        <v>148</v>
      </c>
      <c r="J80" s="110" t="s">
        <v>148</v>
      </c>
      <c r="K80" s="148"/>
      <c r="L80" s="148"/>
      <c r="M80" s="148"/>
      <c r="N80" s="35"/>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row>
    <row r="81" spans="1:82" ht="18" customHeight="1" x14ac:dyDescent="0.25">
      <c r="A81" s="60" t="s">
        <v>149</v>
      </c>
      <c r="B81" s="125" t="s">
        <v>269</v>
      </c>
      <c r="C81" s="141"/>
      <c r="D81" s="60" t="s">
        <v>13</v>
      </c>
      <c r="E81" s="62">
        <f>D!I40</f>
        <v>0</v>
      </c>
      <c r="F81" s="98">
        <f>E81</f>
        <v>0</v>
      </c>
      <c r="G81" s="60" t="s">
        <v>13</v>
      </c>
      <c r="H81" s="62">
        <f>D!R40</f>
        <v>0</v>
      </c>
      <c r="I81" s="98">
        <f>H81</f>
        <v>0</v>
      </c>
      <c r="J81" s="98">
        <f>F81+I81</f>
        <v>0</v>
      </c>
      <c r="K81" s="38">
        <f>D!Z40</f>
        <v>20000</v>
      </c>
      <c r="L81" s="98">
        <f>J81+K81</f>
        <v>20000</v>
      </c>
      <c r="M81" s="66" t="str">
        <f>A81</f>
        <v>台灣</v>
      </c>
      <c r="N81" s="32"/>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row>
    <row r="82" spans="1:82" ht="18" customHeight="1" x14ac:dyDescent="0.25">
      <c r="A82" s="60" t="s">
        <v>151</v>
      </c>
      <c r="B82" s="125" t="s">
        <v>268</v>
      </c>
      <c r="C82" s="141"/>
      <c r="D82" s="60" t="s">
        <v>14</v>
      </c>
      <c r="E82" s="62">
        <f>D!I41</f>
        <v>0</v>
      </c>
      <c r="F82" s="98">
        <f>E82*$M$5</f>
        <v>0</v>
      </c>
      <c r="G82" s="60" t="s">
        <v>14</v>
      </c>
      <c r="H82" s="62">
        <f>D!R41</f>
        <v>0</v>
      </c>
      <c r="I82" s="98">
        <f>H82*$M$5</f>
        <v>0</v>
      </c>
      <c r="J82" s="98">
        <f t="shared" ref="J82:J94" si="12">F82+I82</f>
        <v>0</v>
      </c>
      <c r="K82" s="38">
        <f>D!Z41</f>
        <v>0</v>
      </c>
      <c r="L82" s="98">
        <f t="shared" ref="L82:L94" si="13">J82+K82</f>
        <v>0</v>
      </c>
      <c r="M82" s="66" t="str">
        <f t="shared" ref="M82:M94" si="14">A82</f>
        <v>大陸</v>
      </c>
      <c r="N82" s="32"/>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row>
    <row r="83" spans="1:82" ht="18" customHeight="1" x14ac:dyDescent="0.25">
      <c r="A83" s="60" t="s">
        <v>152</v>
      </c>
      <c r="B83" s="125" t="s">
        <v>269</v>
      </c>
      <c r="C83" s="141"/>
      <c r="D83" s="60" t="s">
        <v>15</v>
      </c>
      <c r="E83" s="62">
        <f>D!I42</f>
        <v>0</v>
      </c>
      <c r="F83" s="98">
        <f>E83*$K$5</f>
        <v>0</v>
      </c>
      <c r="G83" s="60" t="s">
        <v>15</v>
      </c>
      <c r="H83" s="62">
        <f>D!R42</f>
        <v>1235</v>
      </c>
      <c r="I83" s="98">
        <f>H83*$K$5</f>
        <v>39520</v>
      </c>
      <c r="J83" s="98">
        <f t="shared" si="12"/>
        <v>39520</v>
      </c>
      <c r="K83" s="38">
        <f>D!Z42</f>
        <v>25000</v>
      </c>
      <c r="L83" s="98">
        <f t="shared" si="13"/>
        <v>64520</v>
      </c>
      <c r="M83" s="66" t="str">
        <f t="shared" si="14"/>
        <v>美國</v>
      </c>
      <c r="N83" s="32"/>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row>
    <row r="84" spans="1:82" ht="18" customHeight="1" x14ac:dyDescent="0.25">
      <c r="A84" s="60" t="s">
        <v>153</v>
      </c>
      <c r="B84" s="125" t="s">
        <v>268</v>
      </c>
      <c r="C84" s="141"/>
      <c r="D84" s="60" t="s">
        <v>16</v>
      </c>
      <c r="E84" s="62">
        <f>D!I43</f>
        <v>0</v>
      </c>
      <c r="F84" s="98">
        <f>E84*$K$6</f>
        <v>0</v>
      </c>
      <c r="G84" s="60" t="s">
        <v>16</v>
      </c>
      <c r="H84" s="62">
        <f>D!R43</f>
        <v>0</v>
      </c>
      <c r="I84" s="98">
        <f>H84*$K$6</f>
        <v>0</v>
      </c>
      <c r="J84" s="98">
        <f t="shared" si="12"/>
        <v>0</v>
      </c>
      <c r="K84" s="38">
        <f>D!Z43</f>
        <v>0</v>
      </c>
      <c r="L84" s="98">
        <f t="shared" si="13"/>
        <v>0</v>
      </c>
      <c r="M84" s="66" t="str">
        <f t="shared" si="14"/>
        <v>歐盟</v>
      </c>
      <c r="N84" s="32"/>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row>
    <row r="85" spans="1:82" ht="18" customHeight="1" x14ac:dyDescent="0.25">
      <c r="A85" s="66" t="s">
        <v>224</v>
      </c>
      <c r="B85" s="125" t="s">
        <v>268</v>
      </c>
      <c r="C85" s="141"/>
      <c r="D85" s="60" t="s">
        <v>225</v>
      </c>
      <c r="E85" s="62">
        <f>D!I44</f>
        <v>0</v>
      </c>
      <c r="F85" s="98">
        <f>E85*$K$10</f>
        <v>0</v>
      </c>
      <c r="G85" s="60" t="s">
        <v>16</v>
      </c>
      <c r="H85" s="62">
        <f>D!R44</f>
        <v>0</v>
      </c>
      <c r="I85" s="98">
        <f>H85*$K$6</f>
        <v>0</v>
      </c>
      <c r="J85" s="98">
        <f t="shared" si="12"/>
        <v>0</v>
      </c>
      <c r="K85" s="38">
        <f>D!Z44</f>
        <v>0</v>
      </c>
      <c r="L85" s="98">
        <f t="shared" si="13"/>
        <v>0</v>
      </c>
      <c r="M85" s="66" t="str">
        <f t="shared" si="14"/>
        <v>英國</v>
      </c>
      <c r="N85" s="32"/>
      <c r="O85" s="33"/>
      <c r="P85" s="42"/>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row>
    <row r="86" spans="1:82" ht="18" customHeight="1" x14ac:dyDescent="0.25">
      <c r="A86" s="60" t="s">
        <v>154</v>
      </c>
      <c r="B86" s="125" t="s">
        <v>269</v>
      </c>
      <c r="C86" s="141"/>
      <c r="D86" s="60" t="s">
        <v>17</v>
      </c>
      <c r="E86" s="62">
        <f>D!I45</f>
        <v>0</v>
      </c>
      <c r="F86" s="98">
        <f>E86*$K$7</f>
        <v>0</v>
      </c>
      <c r="G86" s="60" t="s">
        <v>17</v>
      </c>
      <c r="H86" s="62">
        <f>D!R45</f>
        <v>110000</v>
      </c>
      <c r="I86" s="98">
        <f>H86*$K$7</f>
        <v>23100</v>
      </c>
      <c r="J86" s="98">
        <f t="shared" si="12"/>
        <v>23100</v>
      </c>
      <c r="K86" s="38">
        <f>D!Z45</f>
        <v>25000</v>
      </c>
      <c r="L86" s="98">
        <f t="shared" si="13"/>
        <v>48100</v>
      </c>
      <c r="M86" s="66" t="str">
        <f t="shared" si="14"/>
        <v>日本</v>
      </c>
      <c r="N86" s="32"/>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row>
    <row r="87" spans="1:82" ht="18" customHeight="1" x14ac:dyDescent="0.25">
      <c r="A87" s="60" t="s">
        <v>155</v>
      </c>
      <c r="B87" s="125" t="s">
        <v>269</v>
      </c>
      <c r="C87" s="141"/>
      <c r="D87" s="60" t="s">
        <v>18</v>
      </c>
      <c r="E87" s="62">
        <f>D!I46</f>
        <v>0</v>
      </c>
      <c r="F87" s="98">
        <f>E87*$K$8</f>
        <v>0</v>
      </c>
      <c r="G87" s="60" t="s">
        <v>15</v>
      </c>
      <c r="H87" s="62">
        <f>D!R46</f>
        <v>2800</v>
      </c>
      <c r="I87" s="98">
        <f>H87*$K$5</f>
        <v>89600</v>
      </c>
      <c r="J87" s="98">
        <f t="shared" si="12"/>
        <v>89600</v>
      </c>
      <c r="K87" s="38">
        <f>D!Z46</f>
        <v>25000</v>
      </c>
      <c r="L87" s="98">
        <f t="shared" si="13"/>
        <v>114600</v>
      </c>
      <c r="M87" s="66" t="str">
        <f t="shared" si="14"/>
        <v>韓國</v>
      </c>
      <c r="N87" s="32"/>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row>
    <row r="88" spans="1:82" ht="18" customHeight="1" x14ac:dyDescent="0.25">
      <c r="A88" s="101" t="s">
        <v>162</v>
      </c>
      <c r="B88" s="125" t="s">
        <v>269</v>
      </c>
      <c r="C88" s="141"/>
      <c r="D88" s="60" t="s">
        <v>36</v>
      </c>
      <c r="E88" s="62">
        <f>D!I47</f>
        <v>0</v>
      </c>
      <c r="F88" s="98">
        <f>E88*$M$9</f>
        <v>0</v>
      </c>
      <c r="G88" s="60" t="s">
        <v>36</v>
      </c>
      <c r="H88" s="62">
        <f>D!R47</f>
        <v>800</v>
      </c>
      <c r="I88" s="98">
        <f>H88*$M$9</f>
        <v>18800</v>
      </c>
      <c r="J88" s="98">
        <f>F88+I88</f>
        <v>18800</v>
      </c>
      <c r="K88" s="38">
        <f>D!Z47</f>
        <v>25000</v>
      </c>
      <c r="L88" s="98">
        <f>J88+K88</f>
        <v>43800</v>
      </c>
      <c r="M88" s="102" t="str">
        <f>A88</f>
        <v>加拿大</v>
      </c>
      <c r="N88" s="37"/>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row>
    <row r="89" spans="1:82" ht="18" customHeight="1" x14ac:dyDescent="0.25">
      <c r="A89" s="66" t="s">
        <v>315</v>
      </c>
      <c r="B89" s="125" t="s">
        <v>269</v>
      </c>
      <c r="C89" s="141"/>
      <c r="D89" s="60" t="s">
        <v>317</v>
      </c>
      <c r="E89" s="62">
        <f>D!I48</f>
        <v>0</v>
      </c>
      <c r="F89" s="98">
        <f>E89*$M$10</f>
        <v>0</v>
      </c>
      <c r="G89" s="60" t="s">
        <v>317</v>
      </c>
      <c r="H89" s="62">
        <f>D!R48</f>
        <v>985</v>
      </c>
      <c r="I89" s="98">
        <f>H89*$M$10</f>
        <v>22655</v>
      </c>
      <c r="J89" s="98">
        <f>F89+I89</f>
        <v>22655</v>
      </c>
      <c r="K89" s="38">
        <f>D!Z48</f>
        <v>25000</v>
      </c>
      <c r="L89" s="98">
        <f>J89+K89</f>
        <v>47655</v>
      </c>
      <c r="M89" s="66" t="str">
        <f>A89</f>
        <v>澳洲</v>
      </c>
      <c r="N89" s="131" t="str">
        <f>IF(D!$C$24=FALSE,"",IF(選項!$K$2=1,"注意：澳洲尚未開放申請各種「圖像設計」之設計專利",""))</f>
        <v/>
      </c>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row>
    <row r="90" spans="1:82" ht="18" customHeight="1" x14ac:dyDescent="0.25">
      <c r="A90" s="60" t="s">
        <v>156</v>
      </c>
      <c r="B90" s="125" t="s">
        <v>268</v>
      </c>
      <c r="C90" s="141"/>
      <c r="D90" s="60" t="s">
        <v>19</v>
      </c>
      <c r="E90" s="62">
        <f>D!I49</f>
        <v>0</v>
      </c>
      <c r="F90" s="98">
        <f>E90*$M$6</f>
        <v>0</v>
      </c>
      <c r="G90" s="60" t="s">
        <v>19</v>
      </c>
      <c r="H90" s="62">
        <f>D!R49</f>
        <v>0</v>
      </c>
      <c r="I90" s="98">
        <f>H90*$M$6</f>
        <v>0</v>
      </c>
      <c r="J90" s="98">
        <f t="shared" si="12"/>
        <v>0</v>
      </c>
      <c r="K90" s="38">
        <f>D!Z49</f>
        <v>0</v>
      </c>
      <c r="L90" s="98">
        <f t="shared" si="13"/>
        <v>0</v>
      </c>
      <c r="M90" s="66" t="str">
        <f t="shared" si="14"/>
        <v>新加坡</v>
      </c>
      <c r="N90" s="32"/>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row>
    <row r="91" spans="1:82" ht="18" customHeight="1" x14ac:dyDescent="0.25">
      <c r="A91" s="60" t="s">
        <v>160</v>
      </c>
      <c r="B91" s="125" t="s">
        <v>269</v>
      </c>
      <c r="C91" s="141"/>
      <c r="D91" s="60" t="s">
        <v>22</v>
      </c>
      <c r="E91" s="62">
        <f>D!I50</f>
        <v>0</v>
      </c>
      <c r="F91" s="98">
        <f>E91*$M$8</f>
        <v>0</v>
      </c>
      <c r="G91" s="60" t="s">
        <v>22</v>
      </c>
      <c r="H91" s="62">
        <f>D!R50</f>
        <v>1300</v>
      </c>
      <c r="I91" s="98">
        <f>H91*$M$8</f>
        <v>10790.000000000002</v>
      </c>
      <c r="J91" s="98">
        <f>F91+I91</f>
        <v>10790.000000000002</v>
      </c>
      <c r="K91" s="38">
        <f>D!Z50</f>
        <v>25000</v>
      </c>
      <c r="L91" s="98">
        <f>J91+K91</f>
        <v>35790</v>
      </c>
      <c r="M91" s="66" t="str">
        <f>A91</f>
        <v>馬來西亞</v>
      </c>
      <c r="N91" s="131" t="str">
        <f>IF(D!$C$26=FALSE,"",IF(選項!$K$2=1,"注意：馬來西亞不允許申請「動態GUI」之設計專利",""))</f>
        <v/>
      </c>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row>
    <row r="92" spans="1:82" ht="18" customHeight="1" x14ac:dyDescent="0.25">
      <c r="A92" s="60" t="s">
        <v>157</v>
      </c>
      <c r="B92" s="125" t="s">
        <v>268</v>
      </c>
      <c r="C92" s="141"/>
      <c r="D92" s="60" t="s">
        <v>15</v>
      </c>
      <c r="E92" s="62">
        <f>D!I51</f>
        <v>0</v>
      </c>
      <c r="F92" s="98">
        <f>E92*$K$5</f>
        <v>0</v>
      </c>
      <c r="G92" s="60" t="s">
        <v>15</v>
      </c>
      <c r="H92" s="62">
        <f>D!R51</f>
        <v>0</v>
      </c>
      <c r="I92" s="98">
        <f>H92*$K$5</f>
        <v>0</v>
      </c>
      <c r="J92" s="98">
        <f t="shared" si="12"/>
        <v>0</v>
      </c>
      <c r="K92" s="38">
        <f>D!Z51</f>
        <v>0</v>
      </c>
      <c r="L92" s="98">
        <f t="shared" si="13"/>
        <v>0</v>
      </c>
      <c r="M92" s="66" t="str">
        <f t="shared" si="14"/>
        <v>菲律賓</v>
      </c>
      <c r="N92" s="32"/>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row>
    <row r="93" spans="1:82" ht="18" customHeight="1" x14ac:dyDescent="0.25">
      <c r="A93" s="60" t="s">
        <v>161</v>
      </c>
      <c r="B93" s="125" t="s">
        <v>269</v>
      </c>
      <c r="C93" s="141"/>
      <c r="D93" s="60" t="s">
        <v>15</v>
      </c>
      <c r="E93" s="62">
        <f>D!I52</f>
        <v>100</v>
      </c>
      <c r="F93" s="98">
        <f>E93*$K$5</f>
        <v>3200</v>
      </c>
      <c r="G93" s="60" t="s">
        <v>15</v>
      </c>
      <c r="H93" s="62">
        <f>D!R52</f>
        <v>450</v>
      </c>
      <c r="I93" s="98">
        <f>H93*$K$5</f>
        <v>14400</v>
      </c>
      <c r="J93" s="98">
        <f>F93+I93</f>
        <v>17600</v>
      </c>
      <c r="K93" s="38">
        <f>D!Z52</f>
        <v>25000</v>
      </c>
      <c r="L93" s="98">
        <f>J93+K93</f>
        <v>42600</v>
      </c>
      <c r="M93" s="66" t="str">
        <f>A93</f>
        <v>印尼</v>
      </c>
      <c r="N93" s="32"/>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row>
    <row r="94" spans="1:82" ht="18" customHeight="1" x14ac:dyDescent="0.25">
      <c r="A94" s="60" t="s">
        <v>158</v>
      </c>
      <c r="B94" s="125" t="s">
        <v>269</v>
      </c>
      <c r="C94" s="141"/>
      <c r="D94" s="60" t="s">
        <v>20</v>
      </c>
      <c r="E94" s="62">
        <f>D!I53</f>
        <v>160000</v>
      </c>
      <c r="F94" s="98">
        <f>E94*$M$7</f>
        <v>224</v>
      </c>
      <c r="G94" s="60" t="s">
        <v>15</v>
      </c>
      <c r="H94" s="62">
        <f>D!R53</f>
        <v>1110</v>
      </c>
      <c r="I94" s="98">
        <f>H94*$K$5</f>
        <v>35520</v>
      </c>
      <c r="J94" s="98">
        <f t="shared" si="12"/>
        <v>35744</v>
      </c>
      <c r="K94" s="38">
        <f>D!Z53</f>
        <v>25000</v>
      </c>
      <c r="L94" s="98">
        <f t="shared" si="13"/>
        <v>60744</v>
      </c>
      <c r="M94" s="66" t="str">
        <f t="shared" si="14"/>
        <v>越南</v>
      </c>
      <c r="N94" s="131" t="str">
        <f>IF(D!$C$29=FALSE,"",IF(選項!$K$2=1,"注意：越南尚未開放申請各種「圖像設計」之設計專利",""))</f>
        <v/>
      </c>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row>
    <row r="95" spans="1:82" ht="18" customHeight="1" x14ac:dyDescent="0.25">
      <c r="A95" s="60" t="s">
        <v>159</v>
      </c>
      <c r="B95" s="125" t="s">
        <v>269</v>
      </c>
      <c r="C95" s="141"/>
      <c r="D95" s="60" t="s">
        <v>21</v>
      </c>
      <c r="E95" s="62">
        <f>D!I54</f>
        <v>50</v>
      </c>
      <c r="F95" s="98">
        <f>E95*$K$9</f>
        <v>55.000000000000007</v>
      </c>
      <c r="G95" s="60" t="s">
        <v>21</v>
      </c>
      <c r="H95" s="62">
        <f>D!R54</f>
        <v>14800</v>
      </c>
      <c r="I95" s="98">
        <f>H95*$K$9</f>
        <v>16280.000000000002</v>
      </c>
      <c r="J95" s="98">
        <f t="shared" ref="J95:J96" si="15">F95+I95</f>
        <v>16335.000000000002</v>
      </c>
      <c r="K95" s="38">
        <f>D!Z54</f>
        <v>25000</v>
      </c>
      <c r="L95" s="98">
        <f t="shared" ref="L95:L96" si="16">J95+K95</f>
        <v>41335</v>
      </c>
      <c r="M95" s="66" t="str">
        <f t="shared" ref="M95:M96" si="17">A95</f>
        <v>泰國</v>
      </c>
      <c r="N95" s="131" t="str">
        <f>IF(D!$C$30=FALSE,"",IF(選項!$K$2=1,"注意：泰國不允許申請「動態GUI」之設計專利",""))</f>
        <v/>
      </c>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row>
    <row r="96" spans="1:82" ht="18" customHeight="1" x14ac:dyDescent="0.25">
      <c r="A96" s="66" t="s">
        <v>309</v>
      </c>
      <c r="B96" s="125" t="s">
        <v>269</v>
      </c>
      <c r="C96" s="141"/>
      <c r="D96" s="60" t="s">
        <v>15</v>
      </c>
      <c r="E96" s="62">
        <f>D!I55</f>
        <v>0</v>
      </c>
      <c r="F96" s="98">
        <f>E96*$K$5</f>
        <v>0</v>
      </c>
      <c r="G96" s="60" t="s">
        <v>15</v>
      </c>
      <c r="H96" s="62">
        <f>D!R55</f>
        <v>450</v>
      </c>
      <c r="I96" s="98">
        <f>H96*$K$5</f>
        <v>14400</v>
      </c>
      <c r="J96" s="98">
        <f t="shared" si="15"/>
        <v>14400</v>
      </c>
      <c r="K96" s="38">
        <f>D!Z55</f>
        <v>25000</v>
      </c>
      <c r="L96" s="98">
        <f t="shared" si="16"/>
        <v>39400</v>
      </c>
      <c r="M96" s="66" t="str">
        <f t="shared" si="17"/>
        <v>印度</v>
      </c>
      <c r="N96" s="131"/>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row>
    <row r="97" spans="1:114" ht="20.100000000000001" customHeight="1" x14ac:dyDescent="0.25">
      <c r="A97" s="66" t="s">
        <v>280</v>
      </c>
      <c r="B97" s="128">
        <f>B72</f>
        <v>16</v>
      </c>
      <c r="C97" s="53"/>
      <c r="D97" s="53"/>
      <c r="E97" s="54" t="s">
        <v>164</v>
      </c>
      <c r="F97" s="55">
        <f>SUM(F81:F96)</f>
        <v>3479</v>
      </c>
      <c r="G97" s="53"/>
      <c r="H97" s="54" t="s">
        <v>164</v>
      </c>
      <c r="I97" s="56">
        <f>SUM(I81:I96)</f>
        <v>285065</v>
      </c>
      <c r="J97" s="57">
        <f>SUM(J81:J96)</f>
        <v>288544</v>
      </c>
      <c r="K97" s="58">
        <f>SUM(K81:K96)</f>
        <v>270000</v>
      </c>
      <c r="L97" s="61">
        <f>SUM(L81:L96)</f>
        <v>558544</v>
      </c>
      <c r="M97" s="66"/>
      <c r="N97" s="32"/>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row>
    <row r="98" spans="1:114" s="115" customFormat="1" ht="16.5" x14ac:dyDescent="0.25">
      <c r="A98" s="106" t="s">
        <v>259</v>
      </c>
      <c r="B98" s="48"/>
      <c r="C98" s="48"/>
      <c r="D98" s="48"/>
      <c r="E98" s="48"/>
      <c r="F98" s="48"/>
      <c r="G98" s="48"/>
      <c r="H98" s="48"/>
      <c r="I98" s="48"/>
      <c r="J98" s="48"/>
      <c r="K98" s="48"/>
      <c r="L98" s="48"/>
      <c r="M98" s="48"/>
      <c r="N98" s="48"/>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row>
    <row r="99" spans="1:114" s="115" customFormat="1" ht="16.5" x14ac:dyDescent="0.25">
      <c r="A99" s="103" t="s">
        <v>298</v>
      </c>
      <c r="B99" s="48"/>
      <c r="C99" s="48"/>
      <c r="D99" s="48"/>
      <c r="E99" s="48"/>
      <c r="F99" s="48"/>
      <c r="G99" s="48"/>
      <c r="H99" s="48"/>
      <c r="I99" s="48"/>
      <c r="J99" s="48"/>
      <c r="K99" s="48"/>
      <c r="L99" s="48"/>
      <c r="M99" s="48"/>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115" customFormat="1" ht="16.5" x14ac:dyDescent="0.25">
      <c r="A100" s="103" t="s">
        <v>294</v>
      </c>
      <c r="B100" s="48"/>
      <c r="C100" s="48"/>
      <c r="D100" s="48"/>
      <c r="E100" s="48"/>
      <c r="F100" s="48"/>
      <c r="G100" s="48"/>
      <c r="H100" s="48"/>
      <c r="I100" s="48"/>
      <c r="J100" s="48"/>
      <c r="K100" s="48"/>
      <c r="L100" s="48"/>
      <c r="M100" s="48"/>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115" customFormat="1" ht="18" customHeight="1" x14ac:dyDescent="0.25">
      <c r="A101" s="103" t="s">
        <v>296</v>
      </c>
      <c r="B101" s="48"/>
      <c r="C101" s="48"/>
      <c r="D101" s="48"/>
      <c r="E101" s="48"/>
      <c r="F101" s="48"/>
      <c r="G101" s="48"/>
      <c r="H101" s="48"/>
      <c r="I101" s="48"/>
      <c r="J101" s="48"/>
      <c r="K101" s="48"/>
      <c r="L101" s="48"/>
      <c r="M101" s="48"/>
      <c r="N101" s="43"/>
      <c r="O101" s="43"/>
      <c r="P101" s="43"/>
      <c r="Q101" s="43"/>
      <c r="R101" s="43"/>
      <c r="S101" s="43"/>
      <c r="T101" s="43"/>
      <c r="U101" s="43"/>
      <c r="V101" s="43"/>
      <c r="W101" s="43"/>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row>
    <row r="102" spans="1:114" s="115" customFormat="1" ht="16.5" x14ac:dyDescent="0.25">
      <c r="A102" s="103" t="s">
        <v>295</v>
      </c>
      <c r="B102" s="48"/>
      <c r="C102" s="48"/>
      <c r="D102" s="48"/>
      <c r="E102" s="48"/>
      <c r="F102" s="48"/>
      <c r="G102" s="48"/>
      <c r="H102" s="48"/>
      <c r="I102" s="48"/>
      <c r="J102" s="48"/>
      <c r="K102" s="48"/>
      <c r="L102" s="48"/>
      <c r="M102" s="48"/>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115" customFormat="1" ht="16.5" x14ac:dyDescent="0.25">
      <c r="A103" s="103" t="s">
        <v>297</v>
      </c>
      <c r="B103" s="48"/>
      <c r="C103" s="48"/>
      <c r="D103" s="48"/>
      <c r="E103" s="48"/>
      <c r="F103" s="48"/>
      <c r="G103" s="48"/>
      <c r="H103" s="48"/>
      <c r="I103" s="48"/>
      <c r="J103" s="48"/>
      <c r="K103" s="48"/>
      <c r="L103" s="48"/>
      <c r="M103" s="48"/>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115" customFormat="1" ht="16.5" x14ac:dyDescent="0.25">
      <c r="A104" s="103"/>
      <c r="B104" s="48"/>
      <c r="C104" s="48"/>
      <c r="D104" s="48"/>
      <c r="E104" s="48"/>
      <c r="F104" s="48"/>
      <c r="G104" s="48"/>
      <c r="H104" s="48"/>
      <c r="I104" s="48"/>
      <c r="J104" s="48"/>
      <c r="K104" s="48"/>
      <c r="L104" s="48"/>
      <c r="M104" s="48"/>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111" customFormat="1" ht="16.5" x14ac:dyDescent="0.25">
      <c r="A105" s="103"/>
      <c r="B105" s="35"/>
      <c r="C105" s="35"/>
      <c r="D105" s="35"/>
      <c r="E105" s="35"/>
      <c r="F105" s="35"/>
      <c r="G105" s="35"/>
      <c r="H105" s="35"/>
      <c r="I105" s="35"/>
      <c r="J105" s="35"/>
      <c r="K105" s="35"/>
      <c r="L105" s="35"/>
      <c r="M105" s="35"/>
      <c r="N105" s="35"/>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row>
    <row r="106" spans="1:114" s="113" customFormat="1" ht="18" customHeight="1" x14ac:dyDescent="0.25">
      <c r="A106" s="107" t="s">
        <v>263</v>
      </c>
      <c r="B106" s="108"/>
      <c r="C106" s="108"/>
      <c r="D106" s="108"/>
      <c r="E106" s="108"/>
      <c r="F106" s="108"/>
      <c r="G106" s="108"/>
      <c r="H106" s="108"/>
      <c r="I106" s="108"/>
      <c r="J106" s="108"/>
      <c r="K106" s="108"/>
      <c r="L106" s="108"/>
      <c r="M106" s="108"/>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row>
    <row r="107" spans="1:114" s="111" customFormat="1" ht="32.25" customHeight="1" x14ac:dyDescent="0.25">
      <c r="A107" s="148" t="s">
        <v>141</v>
      </c>
      <c r="B107" s="157" t="s">
        <v>275</v>
      </c>
      <c r="C107" s="147" t="s">
        <v>143</v>
      </c>
      <c r="D107" s="212" t="s">
        <v>193</v>
      </c>
      <c r="E107" s="213"/>
      <c r="F107" s="214"/>
      <c r="G107" s="212" t="s">
        <v>194</v>
      </c>
      <c r="H107" s="213"/>
      <c r="I107" s="214"/>
      <c r="J107" s="109" t="s">
        <v>195</v>
      </c>
      <c r="K107" s="156" t="s">
        <v>196</v>
      </c>
      <c r="L107" s="163" t="s">
        <v>232</v>
      </c>
      <c r="M107" s="147" t="s">
        <v>141</v>
      </c>
      <c r="N107" s="35"/>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row>
    <row r="108" spans="1:114" s="111" customFormat="1" ht="18" customHeight="1" x14ac:dyDescent="0.25">
      <c r="A108" s="148"/>
      <c r="B108" s="148"/>
      <c r="C108" s="148"/>
      <c r="D108" s="110" t="s">
        <v>146</v>
      </c>
      <c r="E108" s="110" t="s">
        <v>147</v>
      </c>
      <c r="F108" s="110" t="s">
        <v>148</v>
      </c>
      <c r="G108" s="110" t="s">
        <v>146</v>
      </c>
      <c r="H108" s="110" t="s">
        <v>147</v>
      </c>
      <c r="I108" s="110" t="s">
        <v>148</v>
      </c>
      <c r="J108" s="110" t="s">
        <v>148</v>
      </c>
      <c r="K108" s="148"/>
      <c r="L108" s="164"/>
      <c r="M108" s="148"/>
      <c r="N108" s="35"/>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row>
    <row r="109" spans="1:114" ht="18" customHeight="1" x14ac:dyDescent="0.25">
      <c r="A109" s="60" t="s">
        <v>149</v>
      </c>
      <c r="B109" s="126" t="s">
        <v>270</v>
      </c>
      <c r="C109" s="141"/>
      <c r="D109" s="60" t="s">
        <v>13</v>
      </c>
      <c r="E109" s="62">
        <f>D!AM40</f>
        <v>29400</v>
      </c>
      <c r="F109" s="98">
        <f>E109</f>
        <v>29400</v>
      </c>
      <c r="G109" s="60" t="s">
        <v>13</v>
      </c>
      <c r="H109" s="62">
        <f>D!AS40</f>
        <v>0</v>
      </c>
      <c r="I109" s="98">
        <f>H109</f>
        <v>0</v>
      </c>
      <c r="J109" s="98">
        <f>F109+I109</f>
        <v>29400</v>
      </c>
      <c r="K109" s="38">
        <f>D!AW40</f>
        <v>36000</v>
      </c>
      <c r="L109" s="98">
        <f>J109+K109</f>
        <v>65400</v>
      </c>
      <c r="M109" s="66" t="str">
        <f>A109</f>
        <v>台灣</v>
      </c>
      <c r="N109" s="32"/>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row>
    <row r="110" spans="1:114" ht="18" customHeight="1" x14ac:dyDescent="0.25">
      <c r="A110" s="60" t="s">
        <v>151</v>
      </c>
      <c r="B110" s="126" t="s">
        <v>270</v>
      </c>
      <c r="C110" s="141"/>
      <c r="D110" s="60" t="s">
        <v>14</v>
      </c>
      <c r="E110" s="62">
        <f>D!AM41</f>
        <v>25600</v>
      </c>
      <c r="F110" s="98">
        <f>E110*$M$5</f>
        <v>121600</v>
      </c>
      <c r="G110" s="60" t="s">
        <v>14</v>
      </c>
      <c r="H110" s="62">
        <f>D!AS41</f>
        <v>2800</v>
      </c>
      <c r="I110" s="98">
        <f>H110*$M$5</f>
        <v>13300</v>
      </c>
      <c r="J110" s="98">
        <f t="shared" ref="J110:J122" si="18">F110+I110</f>
        <v>134900</v>
      </c>
      <c r="K110" s="38">
        <f>D!AW41</f>
        <v>42000</v>
      </c>
      <c r="L110" s="98">
        <f t="shared" ref="L110:L122" si="19">J110+K110</f>
        <v>176900</v>
      </c>
      <c r="M110" s="66" t="str">
        <f t="shared" ref="M110:M122" si="20">A110</f>
        <v>大陸</v>
      </c>
      <c r="N110" s="32"/>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row>
    <row r="111" spans="1:114" ht="18" customHeight="1" x14ac:dyDescent="0.25">
      <c r="A111" s="60" t="s">
        <v>152</v>
      </c>
      <c r="B111" s="126" t="s">
        <v>270</v>
      </c>
      <c r="C111" s="141"/>
      <c r="D111" s="60" t="s">
        <v>15</v>
      </c>
      <c r="E111" s="62">
        <f>D!AM42</f>
        <v>0</v>
      </c>
      <c r="F111" s="98">
        <f>E111*$K$5</f>
        <v>0</v>
      </c>
      <c r="G111" s="60" t="s">
        <v>15</v>
      </c>
      <c r="H111" s="62">
        <f>D!AS42</f>
        <v>0</v>
      </c>
      <c r="I111" s="98">
        <f>H111*$K$5</f>
        <v>0</v>
      </c>
      <c r="J111" s="98">
        <f t="shared" si="18"/>
        <v>0</v>
      </c>
      <c r="K111" s="38">
        <f>D!AW42</f>
        <v>0</v>
      </c>
      <c r="L111" s="98">
        <f t="shared" si="19"/>
        <v>0</v>
      </c>
      <c r="M111" s="66" t="str">
        <f t="shared" si="20"/>
        <v>美國</v>
      </c>
      <c r="N111" s="32"/>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row>
    <row r="112" spans="1:114" ht="18" customHeight="1" x14ac:dyDescent="0.25">
      <c r="A112" s="60" t="s">
        <v>153</v>
      </c>
      <c r="B112" s="126" t="s">
        <v>273</v>
      </c>
      <c r="C112" s="141"/>
      <c r="D112" s="60" t="s">
        <v>16</v>
      </c>
      <c r="E112" s="62">
        <f>D!AM43</f>
        <v>1500</v>
      </c>
      <c r="F112" s="98">
        <f>E112*$K$6</f>
        <v>56250</v>
      </c>
      <c r="G112" s="60" t="s">
        <v>16</v>
      </c>
      <c r="H112" s="62">
        <f>D!AS43</f>
        <v>400</v>
      </c>
      <c r="I112" s="98">
        <f>H112*$K$6</f>
        <v>15000</v>
      </c>
      <c r="J112" s="98">
        <f t="shared" si="18"/>
        <v>71250</v>
      </c>
      <c r="K112" s="38">
        <f>D!AW43</f>
        <v>20000</v>
      </c>
      <c r="L112" s="98">
        <f t="shared" si="19"/>
        <v>91250</v>
      </c>
      <c r="M112" s="66" t="str">
        <f t="shared" si="20"/>
        <v>歐盟</v>
      </c>
      <c r="N112" s="32"/>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row>
    <row r="113" spans="1:82" ht="18" customHeight="1" x14ac:dyDescent="0.25">
      <c r="A113" s="66" t="s">
        <v>224</v>
      </c>
      <c r="B113" s="126" t="s">
        <v>273</v>
      </c>
      <c r="C113" s="141"/>
      <c r="D113" s="60" t="s">
        <v>16</v>
      </c>
      <c r="E113" s="62">
        <f>D!AM44</f>
        <v>520</v>
      </c>
      <c r="F113" s="98">
        <f>E113*$K$6</f>
        <v>19500</v>
      </c>
      <c r="G113" s="60" t="s">
        <v>16</v>
      </c>
      <c r="H113" s="62">
        <f>D!AS44</f>
        <v>600</v>
      </c>
      <c r="I113" s="98">
        <f>H113*$K$6</f>
        <v>22500</v>
      </c>
      <c r="J113" s="98">
        <f t="shared" si="18"/>
        <v>42000</v>
      </c>
      <c r="K113" s="38">
        <f>D!AW44</f>
        <v>20000</v>
      </c>
      <c r="L113" s="98">
        <f t="shared" si="19"/>
        <v>62000</v>
      </c>
      <c r="M113" s="66" t="str">
        <f t="shared" si="20"/>
        <v>英國</v>
      </c>
      <c r="N113" s="32"/>
      <c r="O113" s="33"/>
      <c r="P113" s="42"/>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row>
    <row r="114" spans="1:82" ht="18" customHeight="1" x14ac:dyDescent="0.25">
      <c r="A114" s="60" t="s">
        <v>154</v>
      </c>
      <c r="B114" s="126" t="s">
        <v>273</v>
      </c>
      <c r="C114" s="141"/>
      <c r="D114" s="60" t="s">
        <v>17</v>
      </c>
      <c r="E114" s="62">
        <f>D!AM45</f>
        <v>371800</v>
      </c>
      <c r="F114" s="98">
        <f>E114*$K$7</f>
        <v>78078</v>
      </c>
      <c r="G114" s="60" t="s">
        <v>17</v>
      </c>
      <c r="H114" s="62">
        <f>D!AS45</f>
        <v>213000</v>
      </c>
      <c r="I114" s="98">
        <f>H114*$K$7</f>
        <v>44730</v>
      </c>
      <c r="J114" s="98">
        <f t="shared" si="18"/>
        <v>122808</v>
      </c>
      <c r="K114" s="38">
        <f>D!AW45</f>
        <v>110000</v>
      </c>
      <c r="L114" s="98">
        <f t="shared" si="19"/>
        <v>232808</v>
      </c>
      <c r="M114" s="66" t="str">
        <f t="shared" si="20"/>
        <v>日本</v>
      </c>
      <c r="N114" s="32"/>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row>
    <row r="115" spans="1:82" ht="18" customHeight="1" x14ac:dyDescent="0.25">
      <c r="A115" s="60" t="s">
        <v>155</v>
      </c>
      <c r="B115" s="126" t="s">
        <v>272</v>
      </c>
      <c r="C115" s="141"/>
      <c r="D115" s="60" t="s">
        <v>18</v>
      </c>
      <c r="E115" s="62">
        <f>D!AM46</f>
        <v>2415000</v>
      </c>
      <c r="F115" s="98">
        <f>E115*$K$8</f>
        <v>60375</v>
      </c>
      <c r="G115" s="60" t="s">
        <v>15</v>
      </c>
      <c r="H115" s="62">
        <f>D!AS46</f>
        <v>3210</v>
      </c>
      <c r="I115" s="98">
        <f>H115*$K$5</f>
        <v>102720</v>
      </c>
      <c r="J115" s="98">
        <f t="shared" si="18"/>
        <v>163095</v>
      </c>
      <c r="K115" s="38">
        <f>D!AW46</f>
        <v>85000</v>
      </c>
      <c r="L115" s="98">
        <f t="shared" si="19"/>
        <v>248095</v>
      </c>
      <c r="M115" s="66" t="str">
        <f t="shared" si="20"/>
        <v>韓國</v>
      </c>
      <c r="N115" s="32"/>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row>
    <row r="116" spans="1:82" ht="18" customHeight="1" x14ac:dyDescent="0.25">
      <c r="A116" s="101" t="s">
        <v>162</v>
      </c>
      <c r="B116" s="126" t="s">
        <v>271</v>
      </c>
      <c r="C116" s="141"/>
      <c r="D116" s="60" t="s">
        <v>36</v>
      </c>
      <c r="E116" s="62">
        <f>D!AM47</f>
        <v>517.82000000000005</v>
      </c>
      <c r="F116" s="98">
        <f>E116*$M$9</f>
        <v>12168.77</v>
      </c>
      <c r="G116" s="60" t="s">
        <v>36</v>
      </c>
      <c r="H116" s="62">
        <f>D!AS47</f>
        <v>315</v>
      </c>
      <c r="I116" s="98">
        <f>H116*$M$9</f>
        <v>7402.5</v>
      </c>
      <c r="J116" s="98">
        <f>F116+I116</f>
        <v>19571.27</v>
      </c>
      <c r="K116" s="38">
        <f>D!AW47</f>
        <v>5000</v>
      </c>
      <c r="L116" s="98">
        <f>J116+K116</f>
        <v>24571.27</v>
      </c>
      <c r="M116" s="102" t="str">
        <f>A116</f>
        <v>加拿大</v>
      </c>
      <c r="N116" s="37"/>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row>
    <row r="117" spans="1:82" ht="18" customHeight="1" x14ac:dyDescent="0.25">
      <c r="A117" s="66" t="s">
        <v>315</v>
      </c>
      <c r="B117" s="126" t="s">
        <v>271</v>
      </c>
      <c r="C117" s="141"/>
      <c r="D117" s="60" t="s">
        <v>317</v>
      </c>
      <c r="E117" s="62">
        <f>D!AM48</f>
        <v>400</v>
      </c>
      <c r="F117" s="98">
        <f>E117*$M$10</f>
        <v>9200</v>
      </c>
      <c r="G117" s="60" t="s">
        <v>317</v>
      </c>
      <c r="H117" s="62">
        <f>D!AS48</f>
        <v>570</v>
      </c>
      <c r="I117" s="98">
        <f>H117*$M$10</f>
        <v>13110</v>
      </c>
      <c r="J117" s="98">
        <f>F117+I117</f>
        <v>22310</v>
      </c>
      <c r="K117" s="38">
        <f>D!AW48</f>
        <v>5000</v>
      </c>
      <c r="L117" s="98">
        <f>J117+K117</f>
        <v>27310</v>
      </c>
      <c r="M117" s="66" t="str">
        <f>A117</f>
        <v>澳洲</v>
      </c>
      <c r="N117" s="131" t="str">
        <f>IF(D!$C$24=FALSE,"",IF(選項!$K$2=1,"注意：澳洲尚未開放申請各種「圖像設計」之設計專利",""))</f>
        <v/>
      </c>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row>
    <row r="118" spans="1:82" ht="18" customHeight="1" x14ac:dyDescent="0.25">
      <c r="A118" s="60" t="s">
        <v>156</v>
      </c>
      <c r="B118" s="126" t="s">
        <v>270</v>
      </c>
      <c r="C118" s="141"/>
      <c r="D118" s="60" t="s">
        <v>19</v>
      </c>
      <c r="E118" s="62">
        <f>D!AM49</f>
        <v>550</v>
      </c>
      <c r="F118" s="98">
        <f>E118*$M$6</f>
        <v>13750</v>
      </c>
      <c r="G118" s="60" t="s">
        <v>19</v>
      </c>
      <c r="H118" s="62">
        <f>D!AS49</f>
        <v>900</v>
      </c>
      <c r="I118" s="98">
        <f>H118*$M$6</f>
        <v>22500</v>
      </c>
      <c r="J118" s="98">
        <f t="shared" si="18"/>
        <v>36250</v>
      </c>
      <c r="K118" s="38">
        <f>D!AW49</f>
        <v>10000</v>
      </c>
      <c r="L118" s="98">
        <f t="shared" si="19"/>
        <v>46250</v>
      </c>
      <c r="M118" s="66" t="str">
        <f t="shared" si="20"/>
        <v>新加坡</v>
      </c>
      <c r="N118" s="32"/>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row>
    <row r="119" spans="1:82" ht="18" customHeight="1" x14ac:dyDescent="0.25">
      <c r="A119" s="60" t="s">
        <v>160</v>
      </c>
      <c r="B119" s="126" t="s">
        <v>273</v>
      </c>
      <c r="C119" s="141"/>
      <c r="D119" s="60" t="s">
        <v>22</v>
      </c>
      <c r="E119" s="62">
        <f>D!AM50</f>
        <v>3200</v>
      </c>
      <c r="F119" s="98">
        <f>E119*$M$8</f>
        <v>26560.000000000004</v>
      </c>
      <c r="G119" s="60" t="s">
        <v>22</v>
      </c>
      <c r="H119" s="62">
        <f>D!AS50</f>
        <v>2400</v>
      </c>
      <c r="I119" s="98">
        <f>H119*$M$8</f>
        <v>19920</v>
      </c>
      <c r="J119" s="98">
        <f>F119+I119</f>
        <v>46480</v>
      </c>
      <c r="K119" s="38">
        <f>D!AW50</f>
        <v>20000</v>
      </c>
      <c r="L119" s="98">
        <f>J119+K119</f>
        <v>66480</v>
      </c>
      <c r="M119" s="66" t="str">
        <f>A119</f>
        <v>馬來西亞</v>
      </c>
      <c r="N119" s="131" t="str">
        <f>IF(D!$C$26=FALSE,"",IF(選項!$K$2=1,"注意：馬來西亞不允許申請「動態GUI」之設計專利",""))</f>
        <v/>
      </c>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row>
    <row r="120" spans="1:82" ht="18" customHeight="1" x14ac:dyDescent="0.25">
      <c r="A120" s="60" t="s">
        <v>157</v>
      </c>
      <c r="B120" s="126" t="s">
        <v>270</v>
      </c>
      <c r="C120" s="141"/>
      <c r="D120" s="60" t="s">
        <v>15</v>
      </c>
      <c r="E120" s="62">
        <f>D!AM51</f>
        <v>190</v>
      </c>
      <c r="F120" s="98">
        <f>E120*$K$5</f>
        <v>6080</v>
      </c>
      <c r="G120" s="60" t="s">
        <v>15</v>
      </c>
      <c r="H120" s="62">
        <f>D!AS51</f>
        <v>200</v>
      </c>
      <c r="I120" s="98">
        <f>H120*$K$5</f>
        <v>6400</v>
      </c>
      <c r="J120" s="98">
        <f t="shared" si="18"/>
        <v>12480</v>
      </c>
      <c r="K120" s="38">
        <f>D!AW51</f>
        <v>10000</v>
      </c>
      <c r="L120" s="98">
        <f t="shared" si="19"/>
        <v>22480</v>
      </c>
      <c r="M120" s="66" t="str">
        <f t="shared" si="20"/>
        <v>菲律賓</v>
      </c>
      <c r="N120" s="32"/>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row>
    <row r="121" spans="1:82" ht="18" customHeight="1" x14ac:dyDescent="0.25">
      <c r="A121" s="60" t="s">
        <v>161</v>
      </c>
      <c r="B121" s="126" t="s">
        <v>271</v>
      </c>
      <c r="C121" s="141"/>
      <c r="D121" s="60" t="s">
        <v>15</v>
      </c>
      <c r="E121" s="62">
        <f>D!AM52</f>
        <v>0</v>
      </c>
      <c r="F121" s="98">
        <f>E121*$K$5</f>
        <v>0</v>
      </c>
      <c r="G121" s="60" t="s">
        <v>15</v>
      </c>
      <c r="H121" s="62">
        <f>D!AS52</f>
        <v>0</v>
      </c>
      <c r="I121" s="98">
        <f>H121*$K$5</f>
        <v>0</v>
      </c>
      <c r="J121" s="98">
        <f>F121+I121</f>
        <v>0</v>
      </c>
      <c r="K121" s="38">
        <f>D!AW52</f>
        <v>0</v>
      </c>
      <c r="L121" s="98">
        <f>J121+K121</f>
        <v>0</v>
      </c>
      <c r="M121" s="66" t="str">
        <f>A121</f>
        <v>印尼</v>
      </c>
      <c r="N121" s="32"/>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row>
    <row r="122" spans="1:82" ht="18" customHeight="1" x14ac:dyDescent="0.25">
      <c r="A122" s="60" t="s">
        <v>158</v>
      </c>
      <c r="B122" s="126" t="s">
        <v>270</v>
      </c>
      <c r="C122" s="141"/>
      <c r="D122" s="60" t="s">
        <v>20</v>
      </c>
      <c r="E122" s="62">
        <f>D!AM53</f>
        <v>2400000</v>
      </c>
      <c r="F122" s="98">
        <f>E122*$M$7</f>
        <v>3360</v>
      </c>
      <c r="G122" s="60" t="s">
        <v>15</v>
      </c>
      <c r="H122" s="62">
        <f>D!AS53</f>
        <v>320</v>
      </c>
      <c r="I122" s="98">
        <f>H122*$K$5</f>
        <v>10240</v>
      </c>
      <c r="J122" s="98">
        <f t="shared" si="18"/>
        <v>13600</v>
      </c>
      <c r="K122" s="38">
        <f>D!AW53</f>
        <v>10000</v>
      </c>
      <c r="L122" s="98">
        <f t="shared" si="19"/>
        <v>23600</v>
      </c>
      <c r="M122" s="66" t="str">
        <f t="shared" si="20"/>
        <v>越南</v>
      </c>
      <c r="N122" s="131" t="str">
        <f>IF(D!$C$29=FALSE,"",IF(選項!$K$2=1,"注意：越南尚未開放申請各種「圖像設計」之設計專利",""))</f>
        <v/>
      </c>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row>
    <row r="123" spans="1:82" ht="18" customHeight="1" x14ac:dyDescent="0.25">
      <c r="A123" s="60" t="s">
        <v>159</v>
      </c>
      <c r="B123" s="126" t="s">
        <v>271</v>
      </c>
      <c r="C123" s="141"/>
      <c r="D123" s="60" t="s">
        <v>21</v>
      </c>
      <c r="E123" s="62">
        <f>D!AM54</f>
        <v>8250</v>
      </c>
      <c r="F123" s="98">
        <f>E123*$K$9</f>
        <v>9075</v>
      </c>
      <c r="G123" s="60" t="s">
        <v>21</v>
      </c>
      <c r="H123" s="62">
        <f>D!AS54</f>
        <v>19200</v>
      </c>
      <c r="I123" s="98">
        <f>H123*$K$9</f>
        <v>21120</v>
      </c>
      <c r="J123" s="98">
        <f t="shared" ref="J123:J124" si="21">F123+I123</f>
        <v>30195</v>
      </c>
      <c r="K123" s="38">
        <f>D!AW54</f>
        <v>30000</v>
      </c>
      <c r="L123" s="98">
        <f t="shared" ref="L123:L124" si="22">J123+K123</f>
        <v>60195</v>
      </c>
      <c r="M123" s="66" t="str">
        <f t="shared" ref="M123:M124" si="23">A123</f>
        <v>泰國</v>
      </c>
      <c r="N123" s="131" t="str">
        <f>IF(D!$C$30=FALSE,"",IF(選項!$K$2=1,"注意：泰國不允許申請「動態GUI」之設計專利",""))</f>
        <v/>
      </c>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33"/>
      <c r="CC123" s="33"/>
      <c r="CD123" s="33"/>
    </row>
    <row r="124" spans="1:82" ht="18" customHeight="1" x14ac:dyDescent="0.25">
      <c r="A124" s="66" t="s">
        <v>309</v>
      </c>
      <c r="B124" s="126" t="s">
        <v>312</v>
      </c>
      <c r="C124" s="141"/>
      <c r="D124" s="60" t="s">
        <v>15</v>
      </c>
      <c r="E124" s="62">
        <f>D!AM55</f>
        <v>114</v>
      </c>
      <c r="F124" s="98">
        <f>E124*$K$5</f>
        <v>3648</v>
      </c>
      <c r="G124" s="60" t="s">
        <v>15</v>
      </c>
      <c r="H124" s="62">
        <f>D!AS55</f>
        <v>100</v>
      </c>
      <c r="I124" s="98">
        <f>H124*$K$5</f>
        <v>3200</v>
      </c>
      <c r="J124" s="98">
        <f t="shared" si="21"/>
        <v>6848</v>
      </c>
      <c r="K124" s="38">
        <f>D!AW55</f>
        <v>5000</v>
      </c>
      <c r="L124" s="98">
        <f t="shared" si="22"/>
        <v>11848</v>
      </c>
      <c r="M124" s="66" t="str">
        <f t="shared" si="23"/>
        <v>印度</v>
      </c>
      <c r="N124" s="131"/>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row>
    <row r="125" spans="1:82" ht="20.100000000000001" customHeight="1" x14ac:dyDescent="0.25">
      <c r="A125" s="66" t="s">
        <v>280</v>
      </c>
      <c r="B125" s="128">
        <f>B72</f>
        <v>16</v>
      </c>
      <c r="C125" s="53"/>
      <c r="D125" s="53"/>
      <c r="E125" s="54" t="s">
        <v>164</v>
      </c>
      <c r="F125" s="55">
        <f>SUM(F109:F124)</f>
        <v>449044.77</v>
      </c>
      <c r="G125" s="53"/>
      <c r="H125" s="54" t="s">
        <v>164</v>
      </c>
      <c r="I125" s="56">
        <f>SUM(I109:I124)</f>
        <v>302142.5</v>
      </c>
      <c r="J125" s="57">
        <f>SUM(J109:J124)</f>
        <v>751187.27</v>
      </c>
      <c r="K125" s="58">
        <f>SUM(K109:K124)</f>
        <v>408000</v>
      </c>
      <c r="L125" s="61">
        <f>SUM(L109:L124)</f>
        <v>1159187.27</v>
      </c>
      <c r="M125" s="66"/>
      <c r="N125" s="32"/>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c r="BW125" s="33"/>
      <c r="BX125" s="33"/>
      <c r="BY125" s="33"/>
      <c r="BZ125" s="33"/>
      <c r="CA125" s="33"/>
      <c r="CB125" s="33"/>
      <c r="CC125" s="33"/>
      <c r="CD125" s="33"/>
    </row>
    <row r="126" spans="1:82" ht="40.15" customHeight="1" x14ac:dyDescent="0.25">
      <c r="A126" s="215" t="s">
        <v>265</v>
      </c>
      <c r="B126" s="216"/>
      <c r="C126" s="217"/>
      <c r="D126" s="216"/>
      <c r="E126" s="216"/>
      <c r="F126" s="216"/>
      <c r="G126" s="216"/>
      <c r="H126" s="216"/>
      <c r="I126" s="216"/>
      <c r="J126" s="216"/>
      <c r="K126" s="216"/>
      <c r="L126" s="216"/>
      <c r="M126" s="216"/>
      <c r="N126" s="32"/>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c r="BX126" s="33"/>
      <c r="BY126" s="33"/>
      <c r="BZ126" s="33"/>
      <c r="CA126" s="33"/>
      <c r="CB126" s="33"/>
      <c r="CC126" s="33"/>
      <c r="CD126" s="33"/>
    </row>
    <row r="127" spans="1:82" s="115" customFormat="1" ht="16.5" x14ac:dyDescent="0.25">
      <c r="A127" s="106" t="s">
        <v>259</v>
      </c>
      <c r="B127" s="48"/>
      <c r="C127" s="48"/>
      <c r="D127" s="48"/>
      <c r="E127" s="48"/>
      <c r="F127" s="48"/>
      <c r="G127" s="48"/>
      <c r="H127" s="48"/>
      <c r="I127" s="48"/>
      <c r="J127" s="48"/>
      <c r="K127" s="48"/>
      <c r="L127" s="48"/>
      <c r="M127" s="48"/>
      <c r="N127" s="48"/>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row>
    <row r="128" spans="1:82" s="115" customFormat="1" ht="18" customHeight="1" x14ac:dyDescent="0.25">
      <c r="A128" s="103" t="s">
        <v>299</v>
      </c>
      <c r="B128" s="48"/>
      <c r="C128" s="48"/>
      <c r="D128" s="48"/>
      <c r="E128" s="48"/>
      <c r="F128" s="48"/>
      <c r="G128" s="48"/>
      <c r="H128" s="48"/>
      <c r="I128" s="48"/>
      <c r="J128" s="48"/>
      <c r="K128" s="48"/>
      <c r="L128" s="48"/>
      <c r="M128" s="48"/>
      <c r="N128" s="43"/>
      <c r="O128" s="43"/>
      <c r="P128" s="43"/>
      <c r="Q128" s="43"/>
      <c r="R128" s="43"/>
      <c r="S128" s="43"/>
      <c r="T128" s="43"/>
      <c r="U128" s="43"/>
      <c r="V128" s="43"/>
      <c r="W128" s="43"/>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row>
    <row r="129" spans="1:82" s="115" customFormat="1" ht="16.5" x14ac:dyDescent="0.25">
      <c r="A129" s="103" t="s">
        <v>300</v>
      </c>
      <c r="B129" s="48"/>
      <c r="C129" s="48"/>
      <c r="D129" s="48"/>
      <c r="E129" s="48"/>
      <c r="F129" s="48"/>
      <c r="G129" s="48"/>
      <c r="H129" s="48"/>
      <c r="I129" s="48"/>
      <c r="J129" s="48"/>
      <c r="K129" s="48"/>
      <c r="L129" s="48"/>
      <c r="M129" s="48"/>
      <c r="N129" s="48"/>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row>
    <row r="130" spans="1:82" s="115" customFormat="1" ht="16.5" x14ac:dyDescent="0.25">
      <c r="A130" s="103"/>
      <c r="B130" s="48"/>
      <c r="C130" s="48"/>
      <c r="D130" s="48"/>
      <c r="E130" s="48"/>
      <c r="F130" s="48"/>
      <c r="G130" s="48"/>
      <c r="H130" s="48"/>
      <c r="I130" s="48"/>
      <c r="J130" s="48"/>
      <c r="K130" s="48"/>
      <c r="L130" s="48"/>
      <c r="M130" s="48"/>
      <c r="N130" s="48"/>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row>
    <row r="131" spans="1:82" s="111" customFormat="1" x14ac:dyDescent="0.25">
      <c r="A131" s="35"/>
      <c r="B131" s="35"/>
      <c r="C131" s="35"/>
      <c r="D131" s="35"/>
      <c r="E131" s="35"/>
      <c r="F131" s="35"/>
      <c r="G131" s="35"/>
      <c r="H131" s="35"/>
      <c r="I131" s="35"/>
      <c r="J131" s="35"/>
      <c r="K131" s="35"/>
      <c r="L131" s="35"/>
      <c r="M131" s="35"/>
      <c r="N131" s="35"/>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row>
    <row r="132" spans="1:82" s="113" customFormat="1" ht="18" customHeight="1" x14ac:dyDescent="0.25">
      <c r="A132" s="107" t="s">
        <v>302</v>
      </c>
      <c r="B132" s="108"/>
      <c r="C132" s="108"/>
      <c r="D132" s="108"/>
      <c r="E132" s="108"/>
      <c r="F132" s="108"/>
      <c r="G132" s="108"/>
      <c r="H132" s="108"/>
      <c r="I132" s="108"/>
      <c r="J132" s="108"/>
      <c r="K132" s="108"/>
      <c r="L132" s="108"/>
      <c r="M132" s="108"/>
      <c r="N132" s="116"/>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c r="AP132" s="112"/>
      <c r="AQ132" s="112"/>
      <c r="AR132" s="112"/>
      <c r="AS132" s="112"/>
      <c r="AT132" s="112"/>
      <c r="AU132" s="112"/>
      <c r="AV132" s="112"/>
      <c r="AW132" s="112"/>
      <c r="AX132" s="112"/>
      <c r="AY132" s="112"/>
      <c r="AZ132" s="112"/>
      <c r="BA132" s="112"/>
      <c r="BB132" s="112"/>
      <c r="BC132" s="112"/>
      <c r="BD132" s="112"/>
      <c r="BE132" s="112"/>
      <c r="BF132" s="112"/>
      <c r="BG132" s="112"/>
      <c r="BH132" s="112"/>
      <c r="BI132" s="112"/>
      <c r="BJ132" s="112"/>
      <c r="BK132" s="112"/>
      <c r="BL132" s="112"/>
      <c r="BM132" s="112"/>
      <c r="BN132" s="112"/>
      <c r="BO132" s="112"/>
      <c r="BP132" s="112"/>
      <c r="BQ132" s="112"/>
      <c r="BR132" s="112"/>
      <c r="BS132" s="112"/>
      <c r="BT132" s="112"/>
      <c r="BU132" s="112"/>
      <c r="BV132" s="112"/>
      <c r="BW132" s="112"/>
      <c r="BX132" s="112"/>
      <c r="BY132" s="112"/>
      <c r="BZ132" s="112"/>
      <c r="CA132" s="112"/>
      <c r="CB132" s="112"/>
      <c r="CC132" s="112"/>
      <c r="CD132" s="112"/>
    </row>
    <row r="133" spans="1:82" x14ac:dyDescent="0.25">
      <c r="A133" s="32"/>
      <c r="B133" s="32"/>
      <c r="C133" s="32"/>
      <c r="D133" s="32"/>
      <c r="E133" s="32"/>
      <c r="F133" s="32"/>
      <c r="G133" s="32"/>
      <c r="H133" s="32"/>
      <c r="I133" s="32"/>
      <c r="J133" s="32"/>
      <c r="K133" s="32"/>
      <c r="L133" s="32"/>
      <c r="M133" s="32"/>
      <c r="N133" s="32"/>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33"/>
      <c r="BX133" s="33"/>
      <c r="BY133" s="33"/>
      <c r="BZ133" s="33"/>
      <c r="CA133" s="33"/>
      <c r="CB133" s="33"/>
      <c r="CC133" s="33"/>
      <c r="CD133" s="33"/>
    </row>
    <row r="134" spans="1:82" x14ac:dyDescent="0.25">
      <c r="A134" s="32"/>
      <c r="B134" s="32"/>
      <c r="C134" s="32"/>
      <c r="D134" s="32"/>
      <c r="E134" s="32"/>
      <c r="F134" s="32"/>
      <c r="G134" s="32"/>
      <c r="H134" s="32"/>
      <c r="I134" s="32"/>
      <c r="J134" s="32"/>
      <c r="K134" s="32"/>
      <c r="L134" s="32"/>
      <c r="M134" s="32"/>
      <c r="N134" s="32"/>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33"/>
      <c r="BX134" s="33"/>
      <c r="BY134" s="33"/>
      <c r="BZ134" s="33"/>
      <c r="CA134" s="33"/>
      <c r="CB134" s="33"/>
      <c r="CC134" s="33"/>
      <c r="CD134" s="33"/>
    </row>
    <row r="135" spans="1:82" x14ac:dyDescent="0.25">
      <c r="A135" s="32"/>
      <c r="B135" s="32"/>
      <c r="C135" s="32"/>
      <c r="D135" s="32"/>
      <c r="E135" s="32"/>
      <c r="F135" s="32"/>
      <c r="G135" s="32"/>
      <c r="H135" s="32"/>
      <c r="I135" s="32"/>
      <c r="J135" s="32"/>
      <c r="K135" s="32"/>
      <c r="L135" s="32"/>
      <c r="M135" s="32"/>
      <c r="N135" s="32"/>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33"/>
      <c r="CD135" s="33"/>
    </row>
    <row r="136" spans="1:82" x14ac:dyDescent="0.25">
      <c r="A136" s="32"/>
      <c r="B136" s="32"/>
      <c r="C136" s="32"/>
      <c r="D136" s="32"/>
      <c r="E136" s="32"/>
      <c r="F136" s="32"/>
      <c r="G136" s="32"/>
      <c r="H136" s="32"/>
      <c r="I136" s="32"/>
      <c r="J136" s="32"/>
      <c r="K136" s="32"/>
      <c r="L136" s="32"/>
      <c r="M136" s="32"/>
      <c r="N136" s="32"/>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row>
    <row r="137" spans="1:82" x14ac:dyDescent="0.25">
      <c r="A137" s="32"/>
      <c r="B137" s="32"/>
      <c r="C137" s="32"/>
      <c r="D137" s="32"/>
      <c r="E137" s="32"/>
      <c r="F137" s="32"/>
      <c r="G137" s="32"/>
      <c r="H137" s="32"/>
      <c r="I137" s="32"/>
      <c r="J137" s="32"/>
      <c r="K137" s="32"/>
      <c r="L137" s="32"/>
      <c r="M137" s="32"/>
      <c r="N137" s="32"/>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33"/>
      <c r="BX137" s="33"/>
      <c r="BY137" s="33"/>
      <c r="BZ137" s="33"/>
      <c r="CA137" s="33"/>
      <c r="CB137" s="33"/>
      <c r="CC137" s="33"/>
      <c r="CD137" s="33"/>
    </row>
    <row r="138" spans="1:82" x14ac:dyDescent="0.25">
      <c r="A138" s="32"/>
      <c r="B138" s="32"/>
      <c r="C138" s="32"/>
      <c r="D138" s="32"/>
      <c r="E138" s="32"/>
      <c r="F138" s="32"/>
      <c r="G138" s="32"/>
      <c r="H138" s="32"/>
      <c r="I138" s="32"/>
      <c r="J138" s="32"/>
      <c r="K138" s="32"/>
      <c r="L138" s="32"/>
      <c r="M138" s="32"/>
      <c r="N138" s="32"/>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row>
    <row r="139" spans="1:82" x14ac:dyDescent="0.25">
      <c r="A139" s="32"/>
      <c r="B139" s="32"/>
      <c r="C139" s="32"/>
      <c r="D139" s="32"/>
      <c r="E139" s="32"/>
      <c r="F139" s="32"/>
      <c r="G139" s="32"/>
      <c r="H139" s="32"/>
      <c r="I139" s="32"/>
      <c r="J139" s="32"/>
      <c r="K139" s="32"/>
      <c r="L139" s="32"/>
      <c r="M139" s="32"/>
      <c r="N139" s="32"/>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row>
    <row r="140" spans="1:82" x14ac:dyDescent="0.25">
      <c r="A140" s="32"/>
      <c r="B140" s="32"/>
      <c r="C140" s="32"/>
      <c r="D140" s="32"/>
      <c r="E140" s="32"/>
      <c r="F140" s="32"/>
      <c r="G140" s="32"/>
      <c r="H140" s="32"/>
      <c r="I140" s="32"/>
      <c r="J140" s="32"/>
      <c r="K140" s="32"/>
      <c r="L140" s="32"/>
      <c r="M140" s="32"/>
      <c r="N140" s="32"/>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33"/>
      <c r="BX140" s="33"/>
      <c r="BY140" s="33"/>
      <c r="BZ140" s="33"/>
      <c r="CA140" s="33"/>
      <c r="CB140" s="33"/>
      <c r="CC140" s="33"/>
      <c r="CD140" s="33"/>
    </row>
    <row r="141" spans="1:82" x14ac:dyDescent="0.25">
      <c r="A141" s="32"/>
      <c r="B141" s="32"/>
      <c r="C141" s="32"/>
      <c r="D141" s="32"/>
      <c r="E141" s="32"/>
      <c r="F141" s="32"/>
      <c r="G141" s="32"/>
      <c r="H141" s="32"/>
      <c r="I141" s="32"/>
      <c r="J141" s="32"/>
      <c r="K141" s="32"/>
      <c r="L141" s="32"/>
      <c r="M141" s="32"/>
      <c r="N141" s="32"/>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row>
    <row r="142" spans="1:82" x14ac:dyDescent="0.25">
      <c r="A142" s="32"/>
      <c r="B142" s="32"/>
      <c r="C142" s="32"/>
      <c r="D142" s="32"/>
      <c r="E142" s="32"/>
      <c r="F142" s="32"/>
      <c r="G142" s="32"/>
      <c r="H142" s="32"/>
      <c r="I142" s="32"/>
      <c r="J142" s="32"/>
      <c r="K142" s="32"/>
      <c r="L142" s="32"/>
      <c r="M142" s="32"/>
      <c r="N142" s="32"/>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c r="BW142" s="33"/>
      <c r="BX142" s="33"/>
      <c r="BY142" s="33"/>
      <c r="BZ142" s="33"/>
      <c r="CA142" s="33"/>
      <c r="CB142" s="33"/>
      <c r="CC142" s="33"/>
      <c r="CD142" s="33"/>
    </row>
    <row r="143" spans="1:82" x14ac:dyDescent="0.25">
      <c r="A143" s="32"/>
      <c r="B143" s="32"/>
      <c r="C143" s="32"/>
      <c r="D143" s="32"/>
      <c r="E143" s="32"/>
      <c r="F143" s="32"/>
      <c r="G143" s="32"/>
      <c r="H143" s="32"/>
      <c r="I143" s="32"/>
      <c r="J143" s="32"/>
      <c r="K143" s="32"/>
      <c r="L143" s="32"/>
      <c r="M143" s="32"/>
      <c r="N143" s="32"/>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c r="BW143" s="33"/>
      <c r="BX143" s="33"/>
      <c r="BY143" s="33"/>
      <c r="BZ143" s="33"/>
      <c r="CA143" s="33"/>
      <c r="CB143" s="33"/>
      <c r="CC143" s="33"/>
      <c r="CD143" s="33"/>
    </row>
    <row r="144" spans="1:82" x14ac:dyDescent="0.25">
      <c r="A144" s="32"/>
      <c r="B144" s="32"/>
      <c r="C144" s="32"/>
      <c r="D144" s="32"/>
      <c r="E144" s="32"/>
      <c r="F144" s="32"/>
      <c r="G144" s="32"/>
      <c r="H144" s="32"/>
      <c r="I144" s="32"/>
      <c r="J144" s="32"/>
      <c r="K144" s="32"/>
      <c r="L144" s="32"/>
      <c r="M144" s="32"/>
      <c r="N144" s="32"/>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row>
    <row r="145" spans="1:82" x14ac:dyDescent="0.25">
      <c r="A145" s="32"/>
      <c r="B145" s="32"/>
      <c r="C145" s="32"/>
      <c r="D145" s="32"/>
      <c r="E145" s="32"/>
      <c r="F145" s="32"/>
      <c r="G145" s="32"/>
      <c r="H145" s="32"/>
      <c r="I145" s="32"/>
      <c r="J145" s="32"/>
      <c r="K145" s="32"/>
      <c r="L145" s="32"/>
      <c r="M145" s="32"/>
      <c r="N145" s="32"/>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33"/>
      <c r="BX145" s="33"/>
      <c r="BY145" s="33"/>
      <c r="BZ145" s="33"/>
      <c r="CA145" s="33"/>
      <c r="CB145" s="33"/>
      <c r="CC145" s="33"/>
      <c r="CD145" s="33"/>
    </row>
    <row r="146" spans="1:82" x14ac:dyDescent="0.25">
      <c r="A146" s="32"/>
      <c r="B146" s="32"/>
      <c r="C146" s="32"/>
      <c r="D146" s="32"/>
      <c r="E146" s="32"/>
      <c r="F146" s="32"/>
      <c r="G146" s="32"/>
      <c r="H146" s="32"/>
      <c r="I146" s="32"/>
      <c r="J146" s="32"/>
      <c r="K146" s="32"/>
      <c r="L146" s="32"/>
      <c r="M146" s="32"/>
      <c r="N146" s="32"/>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row>
    <row r="147" spans="1:82" x14ac:dyDescent="0.25">
      <c r="A147" s="32"/>
      <c r="B147" s="32"/>
      <c r="C147" s="32"/>
      <c r="D147" s="32"/>
      <c r="E147" s="32"/>
      <c r="F147" s="32"/>
      <c r="G147" s="32"/>
      <c r="H147" s="32"/>
      <c r="I147" s="32"/>
      <c r="J147" s="32"/>
      <c r="K147" s="32"/>
      <c r="L147" s="32"/>
      <c r="M147" s="32"/>
      <c r="N147" s="32"/>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33"/>
      <c r="BX147" s="33"/>
      <c r="BY147" s="33"/>
      <c r="BZ147" s="33"/>
      <c r="CA147" s="33"/>
      <c r="CB147" s="33"/>
      <c r="CC147" s="33"/>
      <c r="CD147" s="33"/>
    </row>
    <row r="148" spans="1:82" x14ac:dyDescent="0.25">
      <c r="A148" s="32"/>
      <c r="B148" s="32"/>
      <c r="C148" s="32"/>
      <c r="D148" s="32"/>
      <c r="E148" s="32"/>
      <c r="F148" s="32"/>
      <c r="G148" s="32"/>
      <c r="H148" s="32"/>
      <c r="I148" s="32"/>
      <c r="J148" s="32"/>
      <c r="K148" s="32"/>
      <c r="L148" s="32"/>
      <c r="M148" s="32"/>
      <c r="N148" s="32"/>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c r="BW148" s="33"/>
      <c r="BX148" s="33"/>
      <c r="BY148" s="33"/>
      <c r="BZ148" s="33"/>
      <c r="CA148" s="33"/>
      <c r="CB148" s="33"/>
      <c r="CC148" s="33"/>
      <c r="CD148" s="33"/>
    </row>
    <row r="149" spans="1:82" x14ac:dyDescent="0.25">
      <c r="A149" s="32"/>
      <c r="B149" s="32"/>
      <c r="C149" s="32"/>
      <c r="D149" s="32"/>
      <c r="E149" s="32"/>
      <c r="F149" s="32"/>
      <c r="G149" s="32"/>
      <c r="H149" s="32"/>
      <c r="I149" s="32"/>
      <c r="J149" s="32"/>
      <c r="K149" s="32"/>
      <c r="L149" s="32"/>
      <c r="M149" s="32"/>
      <c r="N149" s="32"/>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c r="BW149" s="33"/>
      <c r="BX149" s="33"/>
      <c r="BY149" s="33"/>
      <c r="BZ149" s="33"/>
      <c r="CA149" s="33"/>
      <c r="CB149" s="33"/>
      <c r="CC149" s="33"/>
      <c r="CD149" s="33"/>
    </row>
    <row r="150" spans="1:82" x14ac:dyDescent="0.25">
      <c r="A150" s="32"/>
      <c r="B150" s="32"/>
      <c r="C150" s="32"/>
      <c r="D150" s="32"/>
      <c r="E150" s="32"/>
      <c r="F150" s="32"/>
      <c r="G150" s="32"/>
      <c r="H150" s="32"/>
      <c r="I150" s="32"/>
      <c r="J150" s="32"/>
      <c r="K150" s="32"/>
      <c r="L150" s="32"/>
      <c r="M150" s="32"/>
      <c r="N150" s="32"/>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33"/>
      <c r="CA150" s="33"/>
      <c r="CB150" s="33"/>
      <c r="CC150" s="33"/>
      <c r="CD150" s="33"/>
    </row>
    <row r="151" spans="1:82" x14ac:dyDescent="0.25">
      <c r="A151" s="32"/>
      <c r="B151" s="32"/>
      <c r="C151" s="32"/>
      <c r="D151" s="32"/>
      <c r="E151" s="32"/>
      <c r="F151" s="32"/>
      <c r="G151" s="32"/>
      <c r="H151" s="32"/>
      <c r="I151" s="32"/>
      <c r="J151" s="32"/>
      <c r="K151" s="32"/>
      <c r="L151" s="32"/>
      <c r="M151" s="32"/>
      <c r="N151" s="32"/>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33"/>
      <c r="BX151" s="33"/>
      <c r="BY151" s="33"/>
      <c r="BZ151" s="33"/>
      <c r="CA151" s="33"/>
      <c r="CB151" s="33"/>
      <c r="CC151" s="33"/>
      <c r="CD151" s="33"/>
    </row>
    <row r="152" spans="1:82" x14ac:dyDescent="0.25">
      <c r="A152" s="32"/>
      <c r="B152" s="32"/>
      <c r="C152" s="32"/>
      <c r="D152" s="32"/>
      <c r="E152" s="32"/>
      <c r="F152" s="32"/>
      <c r="G152" s="32"/>
      <c r="H152" s="32"/>
      <c r="I152" s="32"/>
      <c r="J152" s="32"/>
      <c r="K152" s="32"/>
      <c r="L152" s="32"/>
      <c r="M152" s="32"/>
      <c r="N152" s="32"/>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c r="BW152" s="33"/>
      <c r="BX152" s="33"/>
      <c r="BY152" s="33"/>
      <c r="BZ152" s="33"/>
      <c r="CA152" s="33"/>
      <c r="CB152" s="33"/>
      <c r="CC152" s="33"/>
      <c r="CD152" s="33"/>
    </row>
    <row r="153" spans="1:82" x14ac:dyDescent="0.25">
      <c r="A153" s="32"/>
      <c r="B153" s="32"/>
      <c r="C153" s="32"/>
      <c r="D153" s="32"/>
      <c r="E153" s="32"/>
      <c r="F153" s="32"/>
      <c r="G153" s="32"/>
      <c r="H153" s="32"/>
      <c r="I153" s="32"/>
      <c r="J153" s="32"/>
      <c r="K153" s="32"/>
      <c r="L153" s="32"/>
      <c r="M153" s="32"/>
      <c r="N153" s="32"/>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c r="BW153" s="33"/>
      <c r="BX153" s="33"/>
      <c r="BY153" s="33"/>
      <c r="BZ153" s="33"/>
      <c r="CA153" s="33"/>
      <c r="CB153" s="33"/>
      <c r="CC153" s="33"/>
      <c r="CD153" s="33"/>
    </row>
    <row r="154" spans="1:82" x14ac:dyDescent="0.25">
      <c r="A154" s="32"/>
      <c r="B154" s="32"/>
      <c r="C154" s="32"/>
      <c r="D154" s="32"/>
      <c r="E154" s="32"/>
      <c r="F154" s="32"/>
      <c r="G154" s="32"/>
      <c r="H154" s="32"/>
      <c r="I154" s="32"/>
      <c r="J154" s="32"/>
      <c r="K154" s="32"/>
      <c r="L154" s="32"/>
      <c r="M154" s="32"/>
      <c r="N154" s="32"/>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row>
    <row r="155" spans="1:82" x14ac:dyDescent="0.25">
      <c r="A155" s="32"/>
      <c r="B155" s="32"/>
      <c r="C155" s="32"/>
      <c r="D155" s="32"/>
      <c r="E155" s="32"/>
      <c r="F155" s="32"/>
      <c r="G155" s="32"/>
      <c r="H155" s="32"/>
      <c r="I155" s="32"/>
      <c r="J155" s="32"/>
      <c r="K155" s="32"/>
      <c r="L155" s="32"/>
      <c r="M155" s="32"/>
      <c r="N155" s="32"/>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row>
    <row r="156" spans="1:82" x14ac:dyDescent="0.25">
      <c r="A156" s="32"/>
      <c r="B156" s="32"/>
      <c r="C156" s="32"/>
      <c r="D156" s="32"/>
      <c r="E156" s="32"/>
      <c r="F156" s="32"/>
      <c r="G156" s="32"/>
      <c r="H156" s="32"/>
      <c r="I156" s="32"/>
      <c r="J156" s="32"/>
      <c r="K156" s="32"/>
      <c r="L156" s="32"/>
      <c r="M156" s="32"/>
      <c r="N156" s="32"/>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row>
    <row r="157" spans="1:82" x14ac:dyDescent="0.25">
      <c r="A157" s="32"/>
      <c r="B157" s="32"/>
      <c r="C157" s="32"/>
      <c r="D157" s="32"/>
      <c r="E157" s="32"/>
      <c r="F157" s="32"/>
      <c r="G157" s="32"/>
      <c r="H157" s="32"/>
      <c r="I157" s="32"/>
      <c r="J157" s="32"/>
      <c r="K157" s="32"/>
      <c r="L157" s="32"/>
      <c r="M157" s="32"/>
      <c r="N157" s="32"/>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c r="BW157" s="33"/>
      <c r="BX157" s="33"/>
      <c r="BY157" s="33"/>
      <c r="BZ157" s="33"/>
      <c r="CA157" s="33"/>
      <c r="CB157" s="33"/>
      <c r="CC157" s="33"/>
      <c r="CD157" s="33"/>
    </row>
    <row r="158" spans="1:82" x14ac:dyDescent="0.25">
      <c r="A158" s="32"/>
      <c r="B158" s="32"/>
      <c r="C158" s="32"/>
      <c r="D158" s="32"/>
      <c r="E158" s="32"/>
      <c r="F158" s="32"/>
      <c r="G158" s="32"/>
      <c r="H158" s="32"/>
      <c r="I158" s="32"/>
      <c r="J158" s="32"/>
      <c r="K158" s="32"/>
      <c r="L158" s="32"/>
      <c r="M158" s="32"/>
      <c r="N158" s="32"/>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c r="BP158" s="33"/>
      <c r="BQ158" s="33"/>
      <c r="BR158" s="33"/>
      <c r="BS158" s="33"/>
      <c r="BT158" s="33"/>
      <c r="BU158" s="33"/>
      <c r="BV158" s="33"/>
      <c r="BW158" s="33"/>
      <c r="BX158" s="33"/>
      <c r="BY158" s="33"/>
      <c r="BZ158" s="33"/>
      <c r="CA158" s="33"/>
      <c r="CB158" s="33"/>
      <c r="CC158" s="33"/>
      <c r="CD158" s="33"/>
    </row>
    <row r="159" spans="1:82" x14ac:dyDescent="0.25">
      <c r="A159" s="32"/>
      <c r="B159" s="32"/>
      <c r="C159" s="32"/>
      <c r="D159" s="32"/>
      <c r="E159" s="32"/>
      <c r="F159" s="32"/>
      <c r="G159" s="32"/>
      <c r="H159" s="32"/>
      <c r="I159" s="32"/>
      <c r="J159" s="32"/>
      <c r="K159" s="32"/>
      <c r="L159" s="32"/>
      <c r="M159" s="32"/>
      <c r="N159" s="32"/>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row>
    <row r="160" spans="1:82" x14ac:dyDescent="0.25">
      <c r="A160" s="32"/>
      <c r="B160" s="32"/>
      <c r="C160" s="32"/>
      <c r="D160" s="32"/>
      <c r="E160" s="32"/>
      <c r="F160" s="32"/>
      <c r="G160" s="32"/>
      <c r="H160" s="32"/>
      <c r="I160" s="32"/>
      <c r="J160" s="32"/>
      <c r="K160" s="32"/>
      <c r="L160" s="32"/>
      <c r="M160" s="32"/>
      <c r="N160" s="32"/>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row>
    <row r="161" spans="1:82" x14ac:dyDescent="0.25">
      <c r="A161" s="32"/>
      <c r="B161" s="32"/>
      <c r="C161" s="32"/>
      <c r="D161" s="32"/>
      <c r="E161" s="32"/>
      <c r="F161" s="32"/>
      <c r="G161" s="32"/>
      <c r="H161" s="32"/>
      <c r="I161" s="32"/>
      <c r="J161" s="32"/>
      <c r="K161" s="32"/>
      <c r="L161" s="32"/>
      <c r="M161" s="32"/>
      <c r="N161" s="32"/>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row>
    <row r="162" spans="1:82" x14ac:dyDescent="0.25">
      <c r="A162" s="32"/>
      <c r="B162" s="32"/>
      <c r="C162" s="32"/>
      <c r="D162" s="32"/>
      <c r="E162" s="32"/>
      <c r="F162" s="32"/>
      <c r="G162" s="32"/>
      <c r="H162" s="32"/>
      <c r="I162" s="32"/>
      <c r="J162" s="32"/>
      <c r="K162" s="32"/>
      <c r="L162" s="32"/>
      <c r="M162" s="32"/>
      <c r="N162" s="32"/>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row>
    <row r="163" spans="1:82" x14ac:dyDescent="0.25">
      <c r="A163" s="32"/>
      <c r="B163" s="32"/>
      <c r="C163" s="32"/>
      <c r="D163" s="32"/>
      <c r="E163" s="32"/>
      <c r="F163" s="32"/>
      <c r="G163" s="32"/>
      <c r="H163" s="32"/>
      <c r="I163" s="32"/>
      <c r="J163" s="32"/>
      <c r="K163" s="32"/>
      <c r="L163" s="32"/>
      <c r="M163" s="32"/>
      <c r="N163" s="32"/>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row>
    <row r="164" spans="1:82" x14ac:dyDescent="0.25">
      <c r="A164" s="32"/>
      <c r="B164" s="32"/>
      <c r="C164" s="32"/>
      <c r="D164" s="32"/>
      <c r="E164" s="32"/>
      <c r="F164" s="32"/>
      <c r="G164" s="32"/>
      <c r="H164" s="32"/>
      <c r="I164" s="32"/>
      <c r="J164" s="32"/>
      <c r="K164" s="32"/>
      <c r="L164" s="32"/>
      <c r="M164" s="32"/>
      <c r="N164" s="32"/>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c r="BW164" s="33"/>
      <c r="BX164" s="33"/>
      <c r="BY164" s="33"/>
      <c r="BZ164" s="33"/>
      <c r="CA164" s="33"/>
      <c r="CB164" s="33"/>
      <c r="CC164" s="33"/>
      <c r="CD164" s="33"/>
    </row>
    <row r="165" spans="1:82" x14ac:dyDescent="0.25">
      <c r="A165" s="32"/>
      <c r="B165" s="32"/>
      <c r="C165" s="32"/>
      <c r="D165" s="32"/>
      <c r="E165" s="32"/>
      <c r="F165" s="32"/>
      <c r="G165" s="32"/>
      <c r="H165" s="32"/>
      <c r="I165" s="32"/>
      <c r="J165" s="32"/>
      <c r="K165" s="32"/>
      <c r="L165" s="32"/>
      <c r="M165" s="32"/>
      <c r="N165" s="32"/>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c r="BW165" s="33"/>
      <c r="BX165" s="33"/>
      <c r="BY165" s="33"/>
      <c r="BZ165" s="33"/>
      <c r="CA165" s="33"/>
      <c r="CB165" s="33"/>
      <c r="CC165" s="33"/>
      <c r="CD165" s="33"/>
    </row>
    <row r="166" spans="1:82" x14ac:dyDescent="0.25">
      <c r="A166" s="32"/>
      <c r="B166" s="32"/>
      <c r="C166" s="32"/>
      <c r="D166" s="32"/>
      <c r="E166" s="32"/>
      <c r="F166" s="32"/>
      <c r="G166" s="32"/>
      <c r="H166" s="32"/>
      <c r="I166" s="32"/>
      <c r="J166" s="32"/>
      <c r="K166" s="32"/>
      <c r="L166" s="32"/>
      <c r="M166" s="32"/>
      <c r="N166" s="32"/>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row>
    <row r="167" spans="1:82" x14ac:dyDescent="0.25">
      <c r="A167" s="32"/>
      <c r="B167" s="32"/>
      <c r="C167" s="32"/>
      <c r="D167" s="32"/>
      <c r="E167" s="32"/>
      <c r="F167" s="32"/>
      <c r="G167" s="32"/>
      <c r="H167" s="32"/>
      <c r="I167" s="32"/>
      <c r="J167" s="32"/>
      <c r="K167" s="32"/>
      <c r="L167" s="32"/>
      <c r="M167" s="32"/>
      <c r="N167" s="32"/>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c r="BW167" s="33"/>
      <c r="BX167" s="33"/>
      <c r="BY167" s="33"/>
      <c r="BZ167" s="33"/>
      <c r="CA167" s="33"/>
      <c r="CB167" s="33"/>
      <c r="CC167" s="33"/>
      <c r="CD167" s="33"/>
    </row>
    <row r="168" spans="1:82" x14ac:dyDescent="0.25">
      <c r="A168" s="32"/>
      <c r="B168" s="32"/>
      <c r="C168" s="32"/>
      <c r="D168" s="32"/>
      <c r="E168" s="32"/>
      <c r="F168" s="32"/>
      <c r="G168" s="32"/>
      <c r="H168" s="32"/>
      <c r="I168" s="32"/>
      <c r="J168" s="32"/>
      <c r="K168" s="32"/>
      <c r="L168" s="32"/>
      <c r="M168" s="32"/>
      <c r="N168" s="32"/>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row>
    <row r="169" spans="1:82" x14ac:dyDescent="0.25">
      <c r="A169" s="32"/>
      <c r="B169" s="32"/>
      <c r="C169" s="32"/>
      <c r="D169" s="32"/>
      <c r="E169" s="32"/>
      <c r="F169" s="32"/>
      <c r="G169" s="32"/>
      <c r="H169" s="32"/>
      <c r="I169" s="32"/>
      <c r="J169" s="32"/>
      <c r="K169" s="32"/>
      <c r="L169" s="32"/>
      <c r="M169" s="32"/>
      <c r="N169" s="32"/>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row>
    <row r="170" spans="1:82" x14ac:dyDescent="0.25">
      <c r="A170" s="32"/>
      <c r="B170" s="32"/>
      <c r="C170" s="32"/>
      <c r="D170" s="32"/>
      <c r="E170" s="32"/>
      <c r="F170" s="32"/>
      <c r="G170" s="32"/>
      <c r="H170" s="32"/>
      <c r="I170" s="32"/>
      <c r="J170" s="32"/>
      <c r="K170" s="32"/>
      <c r="L170" s="32"/>
      <c r="M170" s="32"/>
      <c r="N170" s="32"/>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row>
    <row r="171" spans="1:82" x14ac:dyDescent="0.25">
      <c r="A171" s="32"/>
      <c r="B171" s="32"/>
      <c r="C171" s="32"/>
      <c r="D171" s="32"/>
      <c r="E171" s="32"/>
      <c r="F171" s="32"/>
      <c r="G171" s="32"/>
      <c r="H171" s="32"/>
      <c r="I171" s="32"/>
      <c r="J171" s="32"/>
      <c r="K171" s="32"/>
      <c r="L171" s="32"/>
      <c r="M171" s="32"/>
      <c r="N171" s="32"/>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row>
    <row r="172" spans="1:82" x14ac:dyDescent="0.25">
      <c r="A172" s="32"/>
      <c r="B172" s="32"/>
      <c r="C172" s="32"/>
      <c r="D172" s="32"/>
      <c r="E172" s="32"/>
      <c r="F172" s="32"/>
      <c r="G172" s="32"/>
      <c r="H172" s="32"/>
      <c r="I172" s="32"/>
      <c r="J172" s="32"/>
      <c r="K172" s="32"/>
      <c r="L172" s="32"/>
      <c r="M172" s="32"/>
      <c r="N172" s="32"/>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row>
    <row r="173" spans="1:82" x14ac:dyDescent="0.25">
      <c r="A173" s="32"/>
      <c r="B173" s="32"/>
      <c r="C173" s="32"/>
      <c r="D173" s="32"/>
      <c r="E173" s="32"/>
      <c r="F173" s="32"/>
      <c r="G173" s="32"/>
      <c r="H173" s="32"/>
      <c r="I173" s="32"/>
      <c r="J173" s="32"/>
      <c r="K173" s="32"/>
      <c r="L173" s="32"/>
      <c r="M173" s="32"/>
      <c r="N173" s="32"/>
      <c r="O173" s="33"/>
      <c r="P173" s="33"/>
      <c r="Q173" s="33"/>
      <c r="R173" s="33"/>
      <c r="S173" s="33"/>
      <c r="T173" s="33"/>
      <c r="U173" s="33"/>
      <c r="V173" s="33"/>
      <c r="W173" s="33"/>
      <c r="X173" s="33"/>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row>
    <row r="174" spans="1:82" x14ac:dyDescent="0.25">
      <c r="A174" s="32"/>
      <c r="B174" s="32"/>
      <c r="C174" s="32"/>
      <c r="D174" s="32"/>
      <c r="E174" s="32"/>
      <c r="F174" s="32"/>
      <c r="G174" s="32"/>
      <c r="H174" s="32"/>
      <c r="I174" s="32"/>
      <c r="J174" s="32"/>
      <c r="K174" s="32"/>
      <c r="L174" s="32"/>
      <c r="M174" s="32"/>
      <c r="N174" s="32"/>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33"/>
      <c r="BX174" s="33"/>
      <c r="BY174" s="33"/>
      <c r="BZ174" s="33"/>
      <c r="CA174" s="33"/>
      <c r="CB174" s="33"/>
      <c r="CC174" s="33"/>
      <c r="CD174" s="33"/>
    </row>
    <row r="175" spans="1:82" x14ac:dyDescent="0.25">
      <c r="A175" s="32"/>
      <c r="B175" s="32"/>
      <c r="C175" s="32"/>
      <c r="D175" s="32"/>
      <c r="E175" s="32"/>
      <c r="F175" s="32"/>
      <c r="G175" s="32"/>
      <c r="H175" s="32"/>
      <c r="I175" s="32"/>
      <c r="J175" s="32"/>
      <c r="K175" s="32"/>
      <c r="L175" s="32"/>
      <c r="M175" s="32"/>
      <c r="N175" s="32"/>
      <c r="O175" s="33"/>
      <c r="P175" s="33"/>
      <c r="Q175" s="33"/>
      <c r="R175" s="33"/>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row>
    <row r="176" spans="1:82" x14ac:dyDescent="0.25">
      <c r="A176" s="32"/>
      <c r="B176" s="32"/>
      <c r="C176" s="32"/>
      <c r="D176" s="32"/>
      <c r="E176" s="32"/>
      <c r="F176" s="32"/>
      <c r="G176" s="32"/>
      <c r="H176" s="32"/>
      <c r="I176" s="32"/>
      <c r="J176" s="32"/>
      <c r="K176" s="32"/>
      <c r="L176" s="32"/>
      <c r="M176" s="32"/>
      <c r="N176" s="32"/>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row>
    <row r="177" spans="1:82" x14ac:dyDescent="0.25">
      <c r="A177" s="32"/>
      <c r="B177" s="32"/>
      <c r="C177" s="32"/>
      <c r="D177" s="32"/>
      <c r="E177" s="32"/>
      <c r="F177" s="32"/>
      <c r="G177" s="32"/>
      <c r="H177" s="32"/>
      <c r="I177" s="32"/>
      <c r="J177" s="32"/>
      <c r="K177" s="32"/>
      <c r="L177" s="32"/>
      <c r="M177" s="32"/>
      <c r="N177" s="32"/>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c r="BW177" s="33"/>
      <c r="BX177" s="33"/>
      <c r="BY177" s="33"/>
      <c r="BZ177" s="33"/>
      <c r="CA177" s="33"/>
      <c r="CB177" s="33"/>
      <c r="CC177" s="33"/>
      <c r="CD177" s="33"/>
    </row>
    <row r="178" spans="1:82" x14ac:dyDescent="0.25">
      <c r="A178" s="32"/>
      <c r="B178" s="32"/>
      <c r="C178" s="32"/>
      <c r="D178" s="32"/>
      <c r="E178" s="32"/>
      <c r="F178" s="32"/>
      <c r="G178" s="32"/>
      <c r="H178" s="32"/>
      <c r="I178" s="32"/>
      <c r="J178" s="32"/>
      <c r="K178" s="32"/>
      <c r="L178" s="32"/>
      <c r="M178" s="32"/>
      <c r="N178" s="32"/>
      <c r="O178" s="33"/>
      <c r="P178" s="33"/>
      <c r="Q178" s="33"/>
      <c r="R178" s="33"/>
      <c r="S178" s="33"/>
      <c r="T178" s="33"/>
      <c r="U178" s="33"/>
      <c r="V178" s="33"/>
      <c r="W178" s="33"/>
      <c r="X178" s="33"/>
      <c r="Y178" s="33"/>
      <c r="Z178" s="33"/>
      <c r="AA178" s="33"/>
      <c r="AB178" s="3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c r="BW178" s="33"/>
      <c r="BX178" s="33"/>
      <c r="BY178" s="33"/>
      <c r="BZ178" s="33"/>
      <c r="CA178" s="33"/>
      <c r="CB178" s="33"/>
      <c r="CC178" s="33"/>
      <c r="CD178" s="33"/>
    </row>
    <row r="179" spans="1:82" x14ac:dyDescent="0.25">
      <c r="A179" s="32"/>
      <c r="B179" s="32"/>
      <c r="C179" s="32"/>
      <c r="D179" s="32"/>
      <c r="E179" s="32"/>
      <c r="F179" s="32"/>
      <c r="G179" s="32"/>
      <c r="H179" s="32"/>
      <c r="I179" s="32"/>
      <c r="J179" s="32"/>
      <c r="K179" s="32"/>
      <c r="L179" s="32"/>
      <c r="M179" s="32"/>
      <c r="N179" s="32"/>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c r="BW179" s="33"/>
      <c r="BX179" s="33"/>
      <c r="BY179" s="33"/>
      <c r="BZ179" s="33"/>
      <c r="CA179" s="33"/>
      <c r="CB179" s="33"/>
      <c r="CC179" s="33"/>
      <c r="CD179" s="33"/>
    </row>
    <row r="180" spans="1:82" x14ac:dyDescent="0.25">
      <c r="A180" s="32"/>
      <c r="B180" s="32"/>
      <c r="C180" s="32"/>
      <c r="D180" s="32"/>
      <c r="E180" s="32"/>
      <c r="F180" s="32"/>
      <c r="G180" s="32"/>
      <c r="H180" s="32"/>
      <c r="I180" s="32"/>
      <c r="J180" s="32"/>
      <c r="K180" s="32"/>
      <c r="L180" s="32"/>
      <c r="M180" s="32"/>
      <c r="N180" s="32"/>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33"/>
      <c r="BN180" s="33"/>
      <c r="BO180" s="33"/>
      <c r="BP180" s="33"/>
      <c r="BQ180" s="33"/>
      <c r="BR180" s="33"/>
      <c r="BS180" s="33"/>
      <c r="BT180" s="33"/>
      <c r="BU180" s="33"/>
      <c r="BV180" s="33"/>
      <c r="BW180" s="33"/>
      <c r="BX180" s="33"/>
      <c r="BY180" s="33"/>
      <c r="BZ180" s="33"/>
      <c r="CA180" s="33"/>
      <c r="CB180" s="33"/>
      <c r="CC180" s="33"/>
      <c r="CD180" s="33"/>
    </row>
    <row r="181" spans="1:82" x14ac:dyDescent="0.25">
      <c r="A181" s="32"/>
      <c r="B181" s="32"/>
      <c r="C181" s="32"/>
      <c r="D181" s="32"/>
      <c r="E181" s="32"/>
      <c r="F181" s="32"/>
      <c r="G181" s="32"/>
      <c r="H181" s="32"/>
      <c r="I181" s="32"/>
      <c r="J181" s="32"/>
      <c r="K181" s="32"/>
      <c r="L181" s="32"/>
      <c r="M181" s="32"/>
      <c r="N181" s="32"/>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33"/>
      <c r="BX181" s="33"/>
      <c r="BY181" s="33"/>
      <c r="BZ181" s="33"/>
      <c r="CA181" s="33"/>
      <c r="CB181" s="33"/>
      <c r="CC181" s="33"/>
      <c r="CD181" s="33"/>
    </row>
    <row r="182" spans="1:82" x14ac:dyDescent="0.25">
      <c r="A182" s="32"/>
      <c r="B182" s="32"/>
      <c r="C182" s="32"/>
      <c r="D182" s="32"/>
      <c r="E182" s="32"/>
      <c r="F182" s="32"/>
      <c r="G182" s="32"/>
      <c r="H182" s="32"/>
      <c r="I182" s="32"/>
      <c r="J182" s="32"/>
      <c r="K182" s="32"/>
      <c r="L182" s="32"/>
      <c r="M182" s="32"/>
      <c r="N182" s="32"/>
      <c r="O182" s="33"/>
      <c r="P182" s="33"/>
      <c r="Q182" s="33"/>
      <c r="R182" s="33"/>
      <c r="S182" s="33"/>
      <c r="T182" s="33"/>
      <c r="U182" s="33"/>
      <c r="V182" s="33"/>
      <c r="W182" s="33"/>
      <c r="X182" s="33"/>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33"/>
      <c r="BN182" s="33"/>
      <c r="BO182" s="33"/>
      <c r="BP182" s="33"/>
      <c r="BQ182" s="33"/>
      <c r="BR182" s="33"/>
      <c r="BS182" s="33"/>
      <c r="BT182" s="33"/>
      <c r="BU182" s="33"/>
      <c r="BV182" s="33"/>
      <c r="BW182" s="33"/>
      <c r="BX182" s="33"/>
      <c r="BY182" s="33"/>
      <c r="BZ182" s="33"/>
      <c r="CA182" s="33"/>
      <c r="CB182" s="33"/>
      <c r="CC182" s="33"/>
      <c r="CD182" s="33"/>
    </row>
    <row r="183" spans="1:82" x14ac:dyDescent="0.25">
      <c r="A183" s="32"/>
      <c r="B183" s="32"/>
      <c r="C183" s="32"/>
      <c r="D183" s="32"/>
      <c r="E183" s="32"/>
      <c r="F183" s="32"/>
      <c r="G183" s="32"/>
      <c r="H183" s="32"/>
      <c r="I183" s="32"/>
      <c r="J183" s="32"/>
      <c r="K183" s="32"/>
      <c r="L183" s="32"/>
      <c r="M183" s="32"/>
      <c r="N183" s="32"/>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c r="BW183" s="33"/>
      <c r="BX183" s="33"/>
      <c r="BY183" s="33"/>
      <c r="BZ183" s="33"/>
      <c r="CA183" s="33"/>
      <c r="CB183" s="33"/>
      <c r="CC183" s="33"/>
      <c r="CD183" s="33"/>
    </row>
    <row r="184" spans="1:82" x14ac:dyDescent="0.25">
      <c r="A184" s="32"/>
      <c r="B184" s="32"/>
      <c r="C184" s="32"/>
      <c r="D184" s="32"/>
      <c r="E184" s="32"/>
      <c r="F184" s="32"/>
      <c r="G184" s="32"/>
      <c r="H184" s="32"/>
      <c r="I184" s="32"/>
      <c r="J184" s="32"/>
      <c r="K184" s="32"/>
      <c r="L184" s="32"/>
      <c r="M184" s="32"/>
      <c r="N184" s="32"/>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c r="BW184" s="33"/>
      <c r="BX184" s="33"/>
      <c r="BY184" s="33"/>
      <c r="BZ184" s="33"/>
      <c r="CA184" s="33"/>
      <c r="CB184" s="33"/>
      <c r="CC184" s="33"/>
      <c r="CD184" s="33"/>
    </row>
    <row r="185" spans="1:82" x14ac:dyDescent="0.25">
      <c r="A185" s="32"/>
      <c r="B185" s="32"/>
      <c r="C185" s="32"/>
      <c r="D185" s="32"/>
      <c r="E185" s="32"/>
      <c r="F185" s="32"/>
      <c r="G185" s="32"/>
      <c r="H185" s="32"/>
      <c r="I185" s="32"/>
      <c r="J185" s="32"/>
      <c r="K185" s="32"/>
      <c r="L185" s="32"/>
      <c r="M185" s="32"/>
      <c r="N185" s="32"/>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33"/>
      <c r="BX185" s="33"/>
      <c r="BY185" s="33"/>
      <c r="BZ185" s="33"/>
      <c r="CA185" s="33"/>
      <c r="CB185" s="33"/>
      <c r="CC185" s="33"/>
      <c r="CD185" s="33"/>
    </row>
    <row r="186" spans="1:82" x14ac:dyDescent="0.25">
      <c r="A186" s="32"/>
      <c r="B186" s="32"/>
      <c r="C186" s="32"/>
      <c r="D186" s="32"/>
      <c r="E186" s="32"/>
      <c r="F186" s="32"/>
      <c r="G186" s="32"/>
      <c r="H186" s="32"/>
      <c r="I186" s="32"/>
      <c r="J186" s="32"/>
      <c r="K186" s="32"/>
      <c r="L186" s="32"/>
      <c r="M186" s="32"/>
      <c r="N186" s="32"/>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row>
    <row r="187" spans="1:82" x14ac:dyDescent="0.25">
      <c r="A187" s="32"/>
      <c r="B187" s="32"/>
      <c r="C187" s="32"/>
      <c r="D187" s="32"/>
      <c r="E187" s="32"/>
      <c r="F187" s="32"/>
      <c r="G187" s="32"/>
      <c r="H187" s="32"/>
      <c r="I187" s="32"/>
      <c r="J187" s="32"/>
      <c r="K187" s="32"/>
      <c r="L187" s="32"/>
      <c r="M187" s="32"/>
      <c r="N187" s="32"/>
      <c r="O187" s="33"/>
      <c r="P187" s="33"/>
      <c r="Q187" s="33"/>
      <c r="R187" s="33"/>
      <c r="S187" s="33"/>
      <c r="T187" s="33"/>
      <c r="U187" s="33"/>
      <c r="V187" s="33"/>
      <c r="W187" s="33"/>
      <c r="X187" s="33"/>
      <c r="Y187" s="33"/>
      <c r="Z187" s="33"/>
      <c r="AA187" s="33"/>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c r="BW187" s="33"/>
      <c r="BX187" s="33"/>
      <c r="BY187" s="33"/>
      <c r="BZ187" s="33"/>
      <c r="CA187" s="33"/>
      <c r="CB187" s="33"/>
      <c r="CC187" s="33"/>
      <c r="CD187" s="33"/>
    </row>
    <row r="188" spans="1:82" x14ac:dyDescent="0.25">
      <c r="A188" s="32"/>
      <c r="B188" s="32"/>
      <c r="C188" s="32"/>
      <c r="D188" s="32"/>
      <c r="E188" s="32"/>
      <c r="F188" s="32"/>
      <c r="G188" s="32"/>
      <c r="H188" s="32"/>
      <c r="I188" s="32"/>
      <c r="J188" s="32"/>
      <c r="K188" s="32"/>
      <c r="L188" s="32"/>
      <c r="M188" s="32"/>
      <c r="N188" s="32"/>
      <c r="O188" s="33"/>
      <c r="P188" s="33"/>
      <c r="Q188" s="33"/>
      <c r="R188" s="33"/>
      <c r="S188" s="33"/>
      <c r="T188" s="33"/>
      <c r="U188" s="33"/>
      <c r="V188" s="33"/>
      <c r="W188" s="33"/>
      <c r="X188" s="33"/>
      <c r="Y188" s="33"/>
      <c r="Z188" s="33"/>
      <c r="AA188" s="33"/>
      <c r="AB188" s="3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33"/>
      <c r="BX188" s="33"/>
      <c r="BY188" s="33"/>
      <c r="BZ188" s="33"/>
      <c r="CA188" s="33"/>
      <c r="CB188" s="33"/>
      <c r="CC188" s="33"/>
      <c r="CD188" s="33"/>
    </row>
    <row r="189" spans="1:82" x14ac:dyDescent="0.25">
      <c r="A189" s="32"/>
      <c r="B189" s="32"/>
      <c r="C189" s="32"/>
      <c r="D189" s="32"/>
      <c r="E189" s="32"/>
      <c r="F189" s="32"/>
      <c r="G189" s="32"/>
      <c r="H189" s="32"/>
      <c r="I189" s="32"/>
      <c r="J189" s="32"/>
      <c r="K189" s="32"/>
      <c r="L189" s="32"/>
      <c r="M189" s="32"/>
      <c r="N189" s="32"/>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c r="BW189" s="33"/>
      <c r="BX189" s="33"/>
      <c r="BY189" s="33"/>
      <c r="BZ189" s="33"/>
      <c r="CA189" s="33"/>
      <c r="CB189" s="33"/>
      <c r="CC189" s="33"/>
      <c r="CD189" s="33"/>
    </row>
    <row r="190" spans="1:82" x14ac:dyDescent="0.25">
      <c r="A190" s="32"/>
      <c r="B190" s="32"/>
      <c r="C190" s="32"/>
      <c r="D190" s="32"/>
      <c r="E190" s="32"/>
      <c r="F190" s="32"/>
      <c r="G190" s="32"/>
      <c r="H190" s="32"/>
      <c r="I190" s="32"/>
      <c r="J190" s="32"/>
      <c r="K190" s="32"/>
      <c r="L190" s="32"/>
      <c r="M190" s="32"/>
      <c r="N190" s="32"/>
      <c r="O190" s="33"/>
      <c r="P190" s="33"/>
      <c r="Q190" s="33"/>
      <c r="R190" s="33"/>
      <c r="S190" s="33"/>
      <c r="T190" s="33"/>
      <c r="U190" s="33"/>
      <c r="V190" s="33"/>
      <c r="W190" s="33"/>
      <c r="X190" s="33"/>
      <c r="Y190" s="33"/>
      <c r="Z190" s="33"/>
      <c r="AA190" s="33"/>
      <c r="AB190" s="3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33"/>
      <c r="BX190" s="33"/>
      <c r="BY190" s="33"/>
      <c r="BZ190" s="33"/>
      <c r="CA190" s="33"/>
      <c r="CB190" s="33"/>
      <c r="CC190" s="33"/>
      <c r="CD190" s="33"/>
    </row>
    <row r="191" spans="1:82" x14ac:dyDescent="0.25">
      <c r="A191" s="32"/>
      <c r="B191" s="32"/>
      <c r="C191" s="32"/>
      <c r="D191" s="32"/>
      <c r="E191" s="32"/>
      <c r="F191" s="32"/>
      <c r="G191" s="32"/>
      <c r="H191" s="32"/>
      <c r="I191" s="32"/>
      <c r="J191" s="32"/>
      <c r="K191" s="32"/>
      <c r="L191" s="32"/>
      <c r="M191" s="32"/>
      <c r="N191" s="32"/>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c r="BW191" s="33"/>
      <c r="BX191" s="33"/>
      <c r="BY191" s="33"/>
      <c r="BZ191" s="33"/>
      <c r="CA191" s="33"/>
      <c r="CB191" s="33"/>
      <c r="CC191" s="33"/>
      <c r="CD191" s="33"/>
    </row>
    <row r="192" spans="1:82" x14ac:dyDescent="0.25">
      <c r="A192" s="32"/>
      <c r="B192" s="32"/>
      <c r="C192" s="32"/>
      <c r="D192" s="32"/>
      <c r="E192" s="32"/>
      <c r="F192" s="32"/>
      <c r="G192" s="32"/>
      <c r="H192" s="32"/>
      <c r="I192" s="32"/>
      <c r="J192" s="32"/>
      <c r="K192" s="32"/>
      <c r="L192" s="32"/>
      <c r="M192" s="32"/>
      <c r="N192" s="32"/>
      <c r="O192" s="33"/>
      <c r="P192" s="33"/>
      <c r="Q192" s="33"/>
      <c r="R192" s="33"/>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c r="BW192" s="33"/>
      <c r="BX192" s="33"/>
      <c r="BY192" s="33"/>
      <c r="BZ192" s="33"/>
      <c r="CA192" s="33"/>
      <c r="CB192" s="33"/>
      <c r="CC192" s="33"/>
      <c r="CD192" s="33"/>
    </row>
    <row r="193" spans="1:82" x14ac:dyDescent="0.25">
      <c r="A193" s="32"/>
      <c r="B193" s="32"/>
      <c r="C193" s="32"/>
      <c r="D193" s="32"/>
      <c r="E193" s="32"/>
      <c r="F193" s="32"/>
      <c r="G193" s="32"/>
      <c r="H193" s="32"/>
      <c r="I193" s="32"/>
      <c r="J193" s="32"/>
      <c r="K193" s="32"/>
      <c r="L193" s="32"/>
      <c r="M193" s="32"/>
      <c r="N193" s="32"/>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c r="BW193" s="33"/>
      <c r="BX193" s="33"/>
      <c r="BY193" s="33"/>
      <c r="BZ193" s="33"/>
      <c r="CA193" s="33"/>
      <c r="CB193" s="33"/>
      <c r="CC193" s="33"/>
      <c r="CD193" s="33"/>
    </row>
    <row r="194" spans="1:82" x14ac:dyDescent="0.25">
      <c r="A194" s="32"/>
      <c r="B194" s="32"/>
      <c r="C194" s="32"/>
      <c r="D194" s="32"/>
      <c r="E194" s="32"/>
      <c r="F194" s="32"/>
      <c r="G194" s="32"/>
      <c r="H194" s="32"/>
      <c r="I194" s="32"/>
      <c r="J194" s="32"/>
      <c r="K194" s="32"/>
      <c r="L194" s="32"/>
      <c r="M194" s="32"/>
      <c r="N194" s="32"/>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c r="BW194" s="33"/>
      <c r="BX194" s="33"/>
      <c r="BY194" s="33"/>
      <c r="BZ194" s="33"/>
      <c r="CA194" s="33"/>
      <c r="CB194" s="33"/>
      <c r="CC194" s="33"/>
      <c r="CD194" s="33"/>
    </row>
    <row r="195" spans="1:82" x14ac:dyDescent="0.25">
      <c r="A195" s="32"/>
      <c r="B195" s="32"/>
      <c r="C195" s="32"/>
      <c r="D195" s="32"/>
      <c r="E195" s="32"/>
      <c r="F195" s="32"/>
      <c r="G195" s="32"/>
      <c r="H195" s="32"/>
      <c r="I195" s="32"/>
      <c r="J195" s="32"/>
      <c r="K195" s="32"/>
      <c r="L195" s="32"/>
      <c r="M195" s="32"/>
      <c r="N195" s="32"/>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c r="BW195" s="33"/>
      <c r="BX195" s="33"/>
      <c r="BY195" s="33"/>
      <c r="BZ195" s="33"/>
      <c r="CA195" s="33"/>
      <c r="CB195" s="33"/>
      <c r="CC195" s="33"/>
      <c r="CD195" s="33"/>
    </row>
    <row r="196" spans="1:82" x14ac:dyDescent="0.25">
      <c r="A196" s="32"/>
      <c r="B196" s="32"/>
      <c r="C196" s="32"/>
      <c r="D196" s="32"/>
      <c r="E196" s="32"/>
      <c r="F196" s="32"/>
      <c r="G196" s="32"/>
      <c r="H196" s="32"/>
      <c r="I196" s="32"/>
      <c r="J196" s="32"/>
      <c r="K196" s="32"/>
      <c r="L196" s="32"/>
      <c r="M196" s="32"/>
      <c r="N196" s="32"/>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row>
    <row r="197" spans="1:82" x14ac:dyDescent="0.25">
      <c r="A197" s="32"/>
      <c r="B197" s="32"/>
      <c r="C197" s="32"/>
      <c r="D197" s="32"/>
      <c r="E197" s="32"/>
      <c r="F197" s="32"/>
      <c r="G197" s="32"/>
      <c r="H197" s="32"/>
      <c r="I197" s="32"/>
      <c r="J197" s="32"/>
      <c r="K197" s="32"/>
      <c r="L197" s="32"/>
      <c r="M197" s="32"/>
      <c r="N197" s="32"/>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row>
    <row r="198" spans="1:82" x14ac:dyDescent="0.25">
      <c r="A198" s="32"/>
      <c r="B198" s="32"/>
      <c r="C198" s="32"/>
      <c r="D198" s="32"/>
      <c r="E198" s="32"/>
      <c r="F198" s="32"/>
      <c r="G198" s="32"/>
      <c r="H198" s="32"/>
      <c r="I198" s="32"/>
      <c r="J198" s="32"/>
      <c r="K198" s="32"/>
      <c r="L198" s="32"/>
      <c r="M198" s="32"/>
      <c r="N198" s="32"/>
      <c r="O198" s="33"/>
      <c r="P198" s="33"/>
      <c r="Q198" s="33"/>
      <c r="R198" s="33"/>
      <c r="S198" s="33"/>
      <c r="T198" s="33"/>
      <c r="U198" s="33"/>
      <c r="V198" s="33"/>
      <c r="W198" s="33"/>
      <c r="X198" s="33"/>
      <c r="Y198" s="33"/>
      <c r="Z198" s="33"/>
      <c r="AA198" s="33"/>
      <c r="AB198" s="3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33"/>
      <c r="CD198" s="33"/>
    </row>
    <row r="199" spans="1:82" x14ac:dyDescent="0.25">
      <c r="A199" s="32"/>
      <c r="B199" s="32"/>
      <c r="C199" s="32"/>
      <c r="D199" s="32"/>
      <c r="E199" s="32"/>
      <c r="F199" s="32"/>
      <c r="G199" s="32"/>
      <c r="H199" s="32"/>
      <c r="I199" s="32"/>
      <c r="J199" s="32"/>
      <c r="K199" s="32"/>
      <c r="L199" s="32"/>
      <c r="M199" s="32"/>
      <c r="N199" s="32"/>
      <c r="O199" s="33"/>
      <c r="P199" s="33"/>
      <c r="Q199" s="33"/>
      <c r="R199" s="33"/>
      <c r="S199" s="33"/>
      <c r="T199" s="33"/>
      <c r="U199" s="33"/>
      <c r="V199" s="33"/>
      <c r="W199" s="33"/>
      <c r="X199" s="33"/>
      <c r="Y199" s="33"/>
      <c r="Z199" s="33"/>
      <c r="AA199" s="3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33"/>
      <c r="CD199" s="33"/>
    </row>
    <row r="200" spans="1:82" x14ac:dyDescent="0.25">
      <c r="A200" s="32"/>
      <c r="B200" s="32"/>
      <c r="C200" s="32"/>
      <c r="D200" s="32"/>
      <c r="E200" s="32"/>
      <c r="F200" s="32"/>
      <c r="G200" s="32"/>
      <c r="H200" s="32"/>
      <c r="I200" s="32"/>
      <c r="J200" s="32"/>
      <c r="K200" s="32"/>
      <c r="L200" s="32"/>
      <c r="M200" s="32"/>
      <c r="N200" s="32"/>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33"/>
      <c r="BX200" s="33"/>
      <c r="BY200" s="33"/>
      <c r="BZ200" s="33"/>
      <c r="CA200" s="33"/>
      <c r="CB200" s="33"/>
      <c r="CC200" s="33"/>
      <c r="CD200" s="33"/>
    </row>
    <row r="201" spans="1:82" x14ac:dyDescent="0.25">
      <c r="A201" s="32"/>
      <c r="B201" s="32"/>
      <c r="C201" s="32"/>
      <c r="D201" s="32"/>
      <c r="E201" s="32"/>
      <c r="F201" s="32"/>
      <c r="G201" s="32"/>
      <c r="H201" s="32"/>
      <c r="I201" s="32"/>
      <c r="J201" s="32"/>
      <c r="K201" s="32"/>
      <c r="L201" s="32"/>
      <c r="M201" s="32"/>
      <c r="N201" s="32"/>
      <c r="O201" s="33"/>
      <c r="P201" s="33"/>
      <c r="Q201" s="33"/>
      <c r="R201" s="33"/>
      <c r="S201" s="33"/>
      <c r="T201" s="33"/>
      <c r="U201" s="33"/>
      <c r="V201" s="33"/>
      <c r="W201" s="33"/>
      <c r="X201" s="33"/>
      <c r="Y201" s="33"/>
      <c r="Z201" s="33"/>
      <c r="AA201" s="33"/>
      <c r="AB201" s="3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c r="BW201" s="33"/>
      <c r="BX201" s="33"/>
      <c r="BY201" s="33"/>
      <c r="BZ201" s="33"/>
      <c r="CA201" s="33"/>
      <c r="CB201" s="33"/>
      <c r="CC201" s="33"/>
      <c r="CD201" s="33"/>
    </row>
    <row r="202" spans="1:82" x14ac:dyDescent="0.25">
      <c r="A202" s="32"/>
      <c r="B202" s="32"/>
      <c r="C202" s="32"/>
      <c r="D202" s="32"/>
      <c r="E202" s="32"/>
      <c r="F202" s="32"/>
      <c r="G202" s="32"/>
      <c r="H202" s="32"/>
      <c r="I202" s="32"/>
      <c r="J202" s="32"/>
      <c r="K202" s="32"/>
      <c r="L202" s="32"/>
      <c r="M202" s="32"/>
      <c r="N202" s="32"/>
      <c r="O202" s="33"/>
      <c r="P202" s="33"/>
      <c r="Q202" s="33"/>
      <c r="R202" s="33"/>
      <c r="S202" s="33"/>
      <c r="T202" s="33"/>
      <c r="U202" s="33"/>
      <c r="V202" s="33"/>
      <c r="W202" s="33"/>
      <c r="X202" s="33"/>
      <c r="Y202" s="33"/>
      <c r="Z202" s="33"/>
      <c r="AA202" s="3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row>
    <row r="203" spans="1:82" x14ac:dyDescent="0.25">
      <c r="A203" s="32"/>
      <c r="B203" s="32"/>
      <c r="C203" s="32"/>
      <c r="D203" s="32"/>
      <c r="E203" s="32"/>
      <c r="F203" s="32"/>
      <c r="G203" s="32"/>
      <c r="H203" s="32"/>
      <c r="I203" s="32"/>
      <c r="J203" s="32"/>
      <c r="K203" s="32"/>
      <c r="L203" s="32"/>
      <c r="M203" s="32"/>
      <c r="N203" s="32"/>
      <c r="O203" s="33"/>
      <c r="P203" s="33"/>
      <c r="Q203" s="33"/>
      <c r="R203" s="33"/>
      <c r="S203" s="33"/>
      <c r="T203" s="33"/>
      <c r="U203" s="33"/>
      <c r="V203" s="33"/>
      <c r="W203" s="33"/>
      <c r="X203" s="33"/>
      <c r="Y203" s="33"/>
      <c r="Z203" s="33"/>
      <c r="AA203" s="3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row>
    <row r="204" spans="1:82" x14ac:dyDescent="0.25">
      <c r="A204" s="32"/>
      <c r="B204" s="32"/>
      <c r="C204" s="32"/>
      <c r="D204" s="32"/>
      <c r="E204" s="32"/>
      <c r="F204" s="32"/>
      <c r="G204" s="32"/>
      <c r="H204" s="32"/>
      <c r="I204" s="32"/>
      <c r="J204" s="32"/>
      <c r="K204" s="32"/>
      <c r="L204" s="32"/>
      <c r="M204" s="32"/>
      <c r="N204" s="32"/>
      <c r="O204" s="33"/>
      <c r="P204" s="33"/>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row>
    <row r="205" spans="1:82" x14ac:dyDescent="0.25">
      <c r="A205" s="32"/>
      <c r="B205" s="32"/>
      <c r="C205" s="32"/>
      <c r="D205" s="32"/>
      <c r="E205" s="32"/>
      <c r="F205" s="32"/>
      <c r="G205" s="32"/>
      <c r="H205" s="32"/>
      <c r="I205" s="32"/>
      <c r="J205" s="32"/>
      <c r="K205" s="32"/>
      <c r="L205" s="32"/>
      <c r="M205" s="32"/>
      <c r="N205" s="32"/>
      <c r="O205" s="33"/>
      <c r="P205" s="33"/>
      <c r="Q205" s="33"/>
      <c r="R205" s="33"/>
      <c r="S205" s="33"/>
      <c r="T205" s="33"/>
      <c r="U205" s="33"/>
      <c r="V205" s="33"/>
      <c r="W205" s="33"/>
      <c r="X205" s="33"/>
      <c r="Y205" s="33"/>
      <c r="Z205" s="33"/>
      <c r="AA205" s="33"/>
      <c r="AB205" s="3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c r="BW205" s="33"/>
      <c r="BX205" s="33"/>
      <c r="BY205" s="33"/>
      <c r="BZ205" s="33"/>
      <c r="CA205" s="33"/>
      <c r="CB205" s="33"/>
      <c r="CC205" s="33"/>
      <c r="CD205" s="33"/>
    </row>
    <row r="206" spans="1:82" x14ac:dyDescent="0.25">
      <c r="A206" s="32"/>
      <c r="B206" s="32"/>
      <c r="C206" s="32"/>
      <c r="D206" s="32"/>
      <c r="E206" s="32"/>
      <c r="F206" s="32"/>
      <c r="G206" s="32"/>
      <c r="H206" s="32"/>
      <c r="I206" s="32"/>
      <c r="J206" s="32"/>
      <c r="K206" s="32"/>
      <c r="L206" s="32"/>
      <c r="M206" s="32"/>
      <c r="N206" s="32"/>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row>
    <row r="207" spans="1:82" x14ac:dyDescent="0.25">
      <c r="A207" s="32"/>
      <c r="B207" s="32"/>
      <c r="C207" s="32"/>
      <c r="D207" s="32"/>
      <c r="E207" s="32"/>
      <c r="F207" s="32"/>
      <c r="G207" s="32"/>
      <c r="H207" s="32"/>
      <c r="I207" s="32"/>
      <c r="J207" s="32"/>
      <c r="K207" s="32"/>
      <c r="L207" s="32"/>
      <c r="M207" s="32"/>
      <c r="N207" s="32"/>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c r="BW207" s="33"/>
      <c r="BX207" s="33"/>
      <c r="BY207" s="33"/>
      <c r="BZ207" s="33"/>
      <c r="CA207" s="33"/>
      <c r="CB207" s="33"/>
      <c r="CC207" s="33"/>
      <c r="CD207" s="33"/>
    </row>
    <row r="208" spans="1:82" x14ac:dyDescent="0.25">
      <c r="A208" s="32"/>
      <c r="B208" s="32"/>
      <c r="C208" s="32"/>
      <c r="D208" s="32"/>
      <c r="E208" s="32"/>
      <c r="F208" s="32"/>
      <c r="G208" s="32"/>
      <c r="H208" s="32"/>
      <c r="I208" s="32"/>
      <c r="J208" s="32"/>
      <c r="K208" s="32"/>
      <c r="L208" s="32"/>
      <c r="M208" s="32"/>
      <c r="N208" s="32"/>
      <c r="O208" s="33"/>
      <c r="P208" s="33"/>
      <c r="Q208" s="33"/>
      <c r="R208" s="33"/>
      <c r="S208" s="33"/>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c r="BW208" s="33"/>
      <c r="BX208" s="33"/>
      <c r="BY208" s="33"/>
      <c r="BZ208" s="33"/>
      <c r="CA208" s="33"/>
      <c r="CB208" s="33"/>
      <c r="CC208" s="33"/>
      <c r="CD208" s="33"/>
    </row>
    <row r="209" spans="1:82" x14ac:dyDescent="0.25">
      <c r="A209" s="32"/>
      <c r="B209" s="32"/>
      <c r="C209" s="32"/>
      <c r="D209" s="32"/>
      <c r="E209" s="32"/>
      <c r="F209" s="32"/>
      <c r="G209" s="32"/>
      <c r="H209" s="32"/>
      <c r="I209" s="32"/>
      <c r="J209" s="32"/>
      <c r="K209" s="32"/>
      <c r="L209" s="32"/>
      <c r="M209" s="32"/>
      <c r="N209" s="32"/>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c r="BW209" s="33"/>
      <c r="BX209" s="33"/>
      <c r="BY209" s="33"/>
      <c r="BZ209" s="33"/>
      <c r="CA209" s="33"/>
      <c r="CB209" s="33"/>
      <c r="CC209" s="33"/>
      <c r="CD209" s="33"/>
    </row>
    <row r="210" spans="1:82" x14ac:dyDescent="0.25">
      <c r="A210" s="32"/>
      <c r="B210" s="32"/>
      <c r="C210" s="32"/>
      <c r="D210" s="32"/>
      <c r="E210" s="32"/>
      <c r="F210" s="32"/>
      <c r="G210" s="32"/>
      <c r="H210" s="32"/>
      <c r="I210" s="32"/>
      <c r="J210" s="32"/>
      <c r="K210" s="32"/>
      <c r="L210" s="32"/>
      <c r="M210" s="32"/>
      <c r="N210" s="32"/>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c r="BW210" s="33"/>
      <c r="BX210" s="33"/>
      <c r="BY210" s="33"/>
      <c r="BZ210" s="33"/>
      <c r="CA210" s="33"/>
      <c r="CB210" s="33"/>
      <c r="CC210" s="33"/>
      <c r="CD210" s="33"/>
    </row>
    <row r="211" spans="1:82" x14ac:dyDescent="0.25">
      <c r="A211" s="32"/>
      <c r="B211" s="32"/>
      <c r="C211" s="32"/>
      <c r="D211" s="32"/>
      <c r="E211" s="32"/>
      <c r="F211" s="32"/>
      <c r="G211" s="32"/>
      <c r="H211" s="32"/>
      <c r="I211" s="32"/>
      <c r="J211" s="32"/>
      <c r="K211" s="32"/>
      <c r="L211" s="32"/>
      <c r="M211" s="32"/>
      <c r="N211" s="32"/>
      <c r="O211" s="33"/>
      <c r="P211" s="33"/>
      <c r="Q211" s="33"/>
      <c r="R211" s="33"/>
      <c r="S211" s="33"/>
      <c r="T211" s="33"/>
      <c r="U211" s="33"/>
      <c r="V211" s="33"/>
      <c r="W211" s="33"/>
      <c r="X211" s="33"/>
      <c r="Y211" s="33"/>
      <c r="Z211" s="33"/>
      <c r="AA211" s="33"/>
      <c r="AB211" s="33"/>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c r="BW211" s="33"/>
      <c r="BX211" s="33"/>
      <c r="BY211" s="33"/>
      <c r="BZ211" s="33"/>
      <c r="CA211" s="33"/>
      <c r="CB211" s="33"/>
      <c r="CC211" s="33"/>
      <c r="CD211" s="33"/>
    </row>
    <row r="212" spans="1:82" x14ac:dyDescent="0.25">
      <c r="A212" s="32"/>
      <c r="B212" s="32"/>
      <c r="C212" s="32"/>
      <c r="D212" s="32"/>
      <c r="E212" s="32"/>
      <c r="F212" s="32"/>
      <c r="G212" s="32"/>
      <c r="H212" s="32"/>
      <c r="I212" s="32"/>
      <c r="J212" s="32"/>
      <c r="K212" s="32"/>
      <c r="L212" s="32"/>
      <c r="M212" s="32"/>
      <c r="N212" s="32"/>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c r="BW212" s="33"/>
      <c r="BX212" s="33"/>
      <c r="BY212" s="33"/>
      <c r="BZ212" s="33"/>
      <c r="CA212" s="33"/>
      <c r="CB212" s="33"/>
      <c r="CC212" s="33"/>
      <c r="CD212" s="33"/>
    </row>
    <row r="213" spans="1:82" x14ac:dyDescent="0.25">
      <c r="A213" s="32"/>
      <c r="B213" s="32"/>
      <c r="C213" s="32"/>
      <c r="D213" s="32"/>
      <c r="E213" s="32"/>
      <c r="F213" s="32"/>
      <c r="G213" s="32"/>
      <c r="H213" s="32"/>
      <c r="I213" s="32"/>
      <c r="J213" s="32"/>
      <c r="K213" s="32"/>
      <c r="L213" s="32"/>
      <c r="M213" s="32"/>
      <c r="N213" s="32"/>
      <c r="O213" s="33"/>
      <c r="P213" s="33"/>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c r="BW213" s="33"/>
      <c r="BX213" s="33"/>
      <c r="BY213" s="33"/>
      <c r="BZ213" s="33"/>
      <c r="CA213" s="33"/>
      <c r="CB213" s="33"/>
      <c r="CC213" s="33"/>
      <c r="CD213" s="33"/>
    </row>
    <row r="214" spans="1:82" x14ac:dyDescent="0.25">
      <c r="A214" s="32"/>
      <c r="B214" s="32"/>
      <c r="C214" s="32"/>
      <c r="D214" s="32"/>
      <c r="E214" s="32"/>
      <c r="F214" s="32"/>
      <c r="G214" s="32"/>
      <c r="H214" s="32"/>
      <c r="I214" s="32"/>
      <c r="J214" s="32"/>
      <c r="K214" s="32"/>
      <c r="L214" s="32"/>
      <c r="M214" s="32"/>
      <c r="N214" s="32"/>
      <c r="O214" s="33"/>
      <c r="P214" s="33"/>
      <c r="Q214" s="33"/>
      <c r="R214" s="33"/>
      <c r="S214" s="33"/>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c r="BW214" s="33"/>
      <c r="BX214" s="33"/>
      <c r="BY214" s="33"/>
      <c r="BZ214" s="33"/>
      <c r="CA214" s="33"/>
      <c r="CB214" s="33"/>
      <c r="CC214" s="33"/>
      <c r="CD214" s="33"/>
    </row>
    <row r="215" spans="1:82" x14ac:dyDescent="0.25">
      <c r="A215" s="32"/>
      <c r="B215" s="32"/>
      <c r="C215" s="32"/>
      <c r="D215" s="32"/>
      <c r="E215" s="32"/>
      <c r="F215" s="32"/>
      <c r="G215" s="32"/>
      <c r="H215" s="32"/>
      <c r="I215" s="32"/>
      <c r="J215" s="32"/>
      <c r="K215" s="32"/>
      <c r="L215" s="32"/>
      <c r="M215" s="32"/>
      <c r="N215" s="32"/>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33"/>
      <c r="BX215" s="33"/>
      <c r="BY215" s="33"/>
      <c r="BZ215" s="33"/>
      <c r="CA215" s="33"/>
      <c r="CB215" s="33"/>
      <c r="CC215" s="33"/>
      <c r="CD215" s="33"/>
    </row>
    <row r="216" spans="1:82" x14ac:dyDescent="0.25">
      <c r="A216" s="32"/>
      <c r="B216" s="32"/>
      <c r="C216" s="32"/>
      <c r="D216" s="32"/>
      <c r="E216" s="32"/>
      <c r="F216" s="32"/>
      <c r="G216" s="32"/>
      <c r="H216" s="32"/>
      <c r="I216" s="32"/>
      <c r="J216" s="32"/>
      <c r="K216" s="32"/>
      <c r="L216" s="32"/>
      <c r="M216" s="32"/>
      <c r="N216" s="32"/>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row>
    <row r="217" spans="1:82" x14ac:dyDescent="0.25">
      <c r="A217" s="32"/>
      <c r="B217" s="32"/>
      <c r="C217" s="32"/>
      <c r="D217" s="32"/>
      <c r="E217" s="32"/>
      <c r="F217" s="32"/>
      <c r="G217" s="32"/>
      <c r="H217" s="32"/>
      <c r="I217" s="32"/>
      <c r="J217" s="32"/>
      <c r="K217" s="32"/>
      <c r="L217" s="32"/>
      <c r="M217" s="32"/>
      <c r="N217" s="32"/>
      <c r="O217" s="33"/>
      <c r="P217" s="33"/>
      <c r="Q217" s="33"/>
      <c r="R217" s="33"/>
      <c r="S217" s="33"/>
      <c r="T217" s="33"/>
      <c r="U217" s="33"/>
      <c r="V217" s="33"/>
      <c r="W217" s="33"/>
      <c r="X217" s="33"/>
      <c r="Y217" s="33"/>
      <c r="Z217" s="33"/>
      <c r="AA217" s="33"/>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33"/>
      <c r="BX217" s="33"/>
      <c r="BY217" s="33"/>
      <c r="BZ217" s="33"/>
      <c r="CA217" s="33"/>
      <c r="CB217" s="33"/>
      <c r="CC217" s="33"/>
      <c r="CD217" s="33"/>
    </row>
    <row r="218" spans="1:82" x14ac:dyDescent="0.25">
      <c r="A218" s="32"/>
      <c r="B218" s="32"/>
      <c r="C218" s="32"/>
      <c r="D218" s="32"/>
      <c r="E218" s="32"/>
      <c r="F218" s="32"/>
      <c r="G218" s="32"/>
      <c r="H218" s="32"/>
      <c r="I218" s="32"/>
      <c r="J218" s="32"/>
      <c r="K218" s="32"/>
      <c r="L218" s="32"/>
      <c r="M218" s="32"/>
      <c r="N218" s="32"/>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c r="BW218" s="33"/>
      <c r="BX218" s="33"/>
      <c r="BY218" s="33"/>
      <c r="BZ218" s="33"/>
      <c r="CA218" s="33"/>
      <c r="CB218" s="33"/>
      <c r="CC218" s="33"/>
      <c r="CD218" s="33"/>
    </row>
    <row r="219" spans="1:82" x14ac:dyDescent="0.25">
      <c r="A219" s="32"/>
      <c r="B219" s="32"/>
      <c r="C219" s="32"/>
      <c r="D219" s="32"/>
      <c r="E219" s="32"/>
      <c r="F219" s="32"/>
      <c r="G219" s="32"/>
      <c r="H219" s="32"/>
      <c r="I219" s="32"/>
      <c r="J219" s="32"/>
      <c r="K219" s="32"/>
      <c r="L219" s="32"/>
      <c r="M219" s="32"/>
      <c r="N219" s="32"/>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c r="BW219" s="33"/>
      <c r="BX219" s="33"/>
      <c r="BY219" s="33"/>
      <c r="BZ219" s="33"/>
      <c r="CA219" s="33"/>
      <c r="CB219" s="33"/>
      <c r="CC219" s="33"/>
      <c r="CD219" s="33"/>
    </row>
    <row r="220" spans="1:82" x14ac:dyDescent="0.25">
      <c r="A220" s="32"/>
      <c r="B220" s="32"/>
      <c r="C220" s="32"/>
      <c r="D220" s="32"/>
      <c r="E220" s="32"/>
      <c r="F220" s="32"/>
      <c r="G220" s="32"/>
      <c r="H220" s="32"/>
      <c r="I220" s="32"/>
      <c r="J220" s="32"/>
      <c r="K220" s="32"/>
      <c r="L220" s="32"/>
      <c r="M220" s="32"/>
      <c r="N220" s="32"/>
      <c r="O220" s="33"/>
      <c r="P220" s="33"/>
      <c r="Q220" s="33"/>
      <c r="R220" s="33"/>
      <c r="S220" s="33"/>
      <c r="T220" s="33"/>
      <c r="U220" s="33"/>
      <c r="V220" s="33"/>
      <c r="W220" s="33"/>
      <c r="X220" s="33"/>
      <c r="Y220" s="33"/>
      <c r="Z220" s="33"/>
      <c r="AA220" s="3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c r="BW220" s="33"/>
      <c r="BX220" s="33"/>
      <c r="BY220" s="33"/>
      <c r="BZ220" s="33"/>
      <c r="CA220" s="33"/>
      <c r="CB220" s="33"/>
      <c r="CC220" s="33"/>
      <c r="CD220" s="33"/>
    </row>
    <row r="221" spans="1:82" x14ac:dyDescent="0.25">
      <c r="A221" s="32"/>
      <c r="B221" s="32"/>
      <c r="C221" s="32"/>
      <c r="D221" s="32"/>
      <c r="E221" s="32"/>
      <c r="F221" s="32"/>
      <c r="G221" s="32"/>
      <c r="H221" s="32"/>
      <c r="I221" s="32"/>
      <c r="J221" s="32"/>
      <c r="K221" s="32"/>
      <c r="L221" s="32"/>
      <c r="M221" s="32"/>
      <c r="N221" s="32"/>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row>
    <row r="222" spans="1:82" x14ac:dyDescent="0.25">
      <c r="A222" s="32"/>
      <c r="B222" s="32"/>
      <c r="C222" s="32"/>
      <c r="D222" s="32"/>
      <c r="E222" s="32"/>
      <c r="F222" s="32"/>
      <c r="G222" s="32"/>
      <c r="H222" s="32"/>
      <c r="I222" s="32"/>
      <c r="J222" s="32"/>
      <c r="K222" s="32"/>
      <c r="L222" s="32"/>
      <c r="M222" s="32"/>
      <c r="N222" s="32"/>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row>
    <row r="223" spans="1:82" x14ac:dyDescent="0.25">
      <c r="A223" s="32"/>
      <c r="B223" s="32"/>
      <c r="C223" s="32"/>
      <c r="D223" s="32"/>
      <c r="E223" s="32"/>
      <c r="F223" s="32"/>
      <c r="G223" s="32"/>
      <c r="H223" s="32"/>
      <c r="I223" s="32"/>
      <c r="J223" s="32"/>
      <c r="K223" s="32"/>
      <c r="L223" s="32"/>
      <c r="M223" s="32"/>
      <c r="N223" s="32"/>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c r="BW223" s="33"/>
      <c r="BX223" s="33"/>
      <c r="BY223" s="33"/>
      <c r="BZ223" s="33"/>
      <c r="CA223" s="33"/>
      <c r="CB223" s="33"/>
      <c r="CC223" s="33"/>
      <c r="CD223" s="33"/>
    </row>
    <row r="224" spans="1:82" x14ac:dyDescent="0.25">
      <c r="A224" s="32"/>
      <c r="B224" s="32"/>
      <c r="C224" s="32"/>
      <c r="D224" s="32"/>
      <c r="E224" s="32"/>
      <c r="F224" s="32"/>
      <c r="G224" s="32"/>
      <c r="H224" s="32"/>
      <c r="I224" s="32"/>
      <c r="J224" s="32"/>
      <c r="K224" s="32"/>
      <c r="L224" s="32"/>
      <c r="M224" s="32"/>
      <c r="N224" s="32"/>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c r="BW224" s="33"/>
      <c r="BX224" s="33"/>
      <c r="BY224" s="33"/>
      <c r="BZ224" s="33"/>
      <c r="CA224" s="33"/>
      <c r="CB224" s="33"/>
      <c r="CC224" s="33"/>
      <c r="CD224" s="33"/>
    </row>
    <row r="225" spans="1:82" x14ac:dyDescent="0.25">
      <c r="A225" s="32"/>
      <c r="B225" s="32"/>
      <c r="C225" s="32"/>
      <c r="D225" s="32"/>
      <c r="E225" s="32"/>
      <c r="F225" s="32"/>
      <c r="G225" s="32"/>
      <c r="H225" s="32"/>
      <c r="I225" s="32"/>
      <c r="J225" s="32"/>
      <c r="K225" s="32"/>
      <c r="L225" s="32"/>
      <c r="M225" s="32"/>
      <c r="N225" s="32"/>
      <c r="O225" s="33"/>
      <c r="P225" s="33"/>
      <c r="Q225" s="33"/>
      <c r="R225" s="33"/>
      <c r="S225" s="33"/>
      <c r="T225" s="33"/>
      <c r="U225" s="33"/>
      <c r="V225" s="33"/>
      <c r="W225" s="33"/>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c r="BW225" s="33"/>
      <c r="BX225" s="33"/>
      <c r="BY225" s="33"/>
      <c r="BZ225" s="33"/>
      <c r="CA225" s="33"/>
      <c r="CB225" s="33"/>
      <c r="CC225" s="33"/>
      <c r="CD225" s="33"/>
    </row>
    <row r="226" spans="1:82" x14ac:dyDescent="0.25">
      <c r="A226" s="32"/>
      <c r="B226" s="32"/>
      <c r="C226" s="32"/>
      <c r="D226" s="32"/>
      <c r="E226" s="32"/>
      <c r="F226" s="32"/>
      <c r="G226" s="32"/>
      <c r="H226" s="32"/>
      <c r="I226" s="32"/>
      <c r="J226" s="32"/>
      <c r="K226" s="32"/>
      <c r="L226" s="32"/>
      <c r="M226" s="32"/>
      <c r="N226" s="32"/>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c r="BW226" s="33"/>
      <c r="BX226" s="33"/>
      <c r="BY226" s="33"/>
      <c r="BZ226" s="33"/>
      <c r="CA226" s="33"/>
      <c r="CB226" s="33"/>
      <c r="CC226" s="33"/>
      <c r="CD226" s="33"/>
    </row>
    <row r="227" spans="1:82" x14ac:dyDescent="0.25">
      <c r="A227" s="32"/>
      <c r="B227" s="32"/>
      <c r="C227" s="32"/>
      <c r="D227" s="32"/>
      <c r="E227" s="32"/>
      <c r="F227" s="32"/>
      <c r="G227" s="32"/>
      <c r="H227" s="32"/>
      <c r="I227" s="32"/>
      <c r="J227" s="32"/>
      <c r="K227" s="32"/>
      <c r="L227" s="32"/>
      <c r="M227" s="32"/>
      <c r="N227" s="32"/>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33"/>
      <c r="BX227" s="33"/>
      <c r="BY227" s="33"/>
      <c r="BZ227" s="33"/>
      <c r="CA227" s="33"/>
      <c r="CB227" s="33"/>
      <c r="CC227" s="33"/>
      <c r="CD227" s="33"/>
    </row>
    <row r="228" spans="1:82" x14ac:dyDescent="0.25">
      <c r="A228" s="32"/>
      <c r="B228" s="32"/>
      <c r="C228" s="32"/>
      <c r="D228" s="32"/>
      <c r="E228" s="32"/>
      <c r="F228" s="32"/>
      <c r="G228" s="32"/>
      <c r="H228" s="32"/>
      <c r="I228" s="32"/>
      <c r="J228" s="32"/>
      <c r="K228" s="32"/>
      <c r="L228" s="32"/>
      <c r="M228" s="32"/>
      <c r="N228" s="32"/>
      <c r="O228" s="33"/>
      <c r="P228" s="33"/>
      <c r="Q228" s="33"/>
      <c r="R228" s="33"/>
      <c r="S228" s="33"/>
      <c r="T228" s="33"/>
      <c r="U228" s="33"/>
      <c r="V228" s="33"/>
      <c r="W228" s="33"/>
      <c r="X228" s="33"/>
      <c r="Y228" s="33"/>
      <c r="Z228" s="33"/>
      <c r="AA228" s="3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33"/>
      <c r="BX228" s="33"/>
      <c r="BY228" s="33"/>
      <c r="BZ228" s="33"/>
      <c r="CA228" s="33"/>
      <c r="CB228" s="33"/>
      <c r="CC228" s="33"/>
      <c r="CD228" s="33"/>
    </row>
    <row r="229" spans="1:82" x14ac:dyDescent="0.25">
      <c r="A229" s="32"/>
      <c r="B229" s="32"/>
      <c r="C229" s="32"/>
      <c r="D229" s="32"/>
      <c r="E229" s="32"/>
      <c r="F229" s="32"/>
      <c r="G229" s="32"/>
      <c r="H229" s="32"/>
      <c r="I229" s="32"/>
      <c r="J229" s="32"/>
      <c r="K229" s="32"/>
      <c r="L229" s="32"/>
      <c r="M229" s="32"/>
      <c r="N229" s="32"/>
      <c r="O229" s="33"/>
      <c r="P229" s="33"/>
      <c r="Q229" s="33"/>
      <c r="R229" s="33"/>
      <c r="S229" s="33"/>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33"/>
      <c r="BX229" s="33"/>
      <c r="BY229" s="33"/>
      <c r="BZ229" s="33"/>
      <c r="CA229" s="33"/>
      <c r="CB229" s="33"/>
      <c r="CC229" s="33"/>
      <c r="CD229" s="33"/>
    </row>
    <row r="230" spans="1:82" x14ac:dyDescent="0.25">
      <c r="A230" s="32"/>
      <c r="B230" s="32"/>
      <c r="C230" s="32"/>
      <c r="D230" s="32"/>
      <c r="E230" s="32"/>
      <c r="F230" s="32"/>
      <c r="G230" s="32"/>
      <c r="H230" s="32"/>
      <c r="I230" s="32"/>
      <c r="J230" s="32"/>
      <c r="K230" s="32"/>
      <c r="L230" s="32"/>
      <c r="M230" s="32"/>
      <c r="N230" s="32"/>
      <c r="O230" s="33"/>
      <c r="P230" s="33"/>
      <c r="Q230" s="33"/>
      <c r="R230" s="33"/>
      <c r="S230" s="33"/>
      <c r="T230" s="33"/>
      <c r="U230" s="33"/>
      <c r="V230" s="33"/>
      <c r="W230" s="33"/>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33"/>
      <c r="BX230" s="33"/>
      <c r="BY230" s="33"/>
      <c r="BZ230" s="33"/>
      <c r="CA230" s="33"/>
      <c r="CB230" s="33"/>
      <c r="CC230" s="33"/>
      <c r="CD230" s="33"/>
    </row>
    <row r="231" spans="1:82" x14ac:dyDescent="0.25">
      <c r="A231" s="32"/>
      <c r="B231" s="32"/>
      <c r="C231" s="32"/>
      <c r="D231" s="32"/>
      <c r="E231" s="32"/>
      <c r="F231" s="32"/>
      <c r="G231" s="32"/>
      <c r="H231" s="32"/>
      <c r="I231" s="32"/>
      <c r="J231" s="32"/>
      <c r="K231" s="32"/>
      <c r="L231" s="32"/>
      <c r="M231" s="32"/>
      <c r="N231" s="35"/>
      <c r="O231" s="33"/>
      <c r="P231" s="33"/>
      <c r="Q231" s="33"/>
      <c r="R231" s="33"/>
      <c r="S231" s="33"/>
      <c r="T231" s="33"/>
      <c r="U231" s="33"/>
      <c r="V231" s="33"/>
      <c r="W231" s="33"/>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c r="BW231" s="33"/>
      <c r="BX231" s="33"/>
      <c r="BY231" s="33"/>
      <c r="BZ231" s="33"/>
      <c r="CA231" s="33"/>
      <c r="CB231" s="33"/>
      <c r="CC231" s="33"/>
      <c r="CD231" s="33"/>
    </row>
    <row r="232" spans="1:82" x14ac:dyDescent="0.25">
      <c r="A232" s="32"/>
      <c r="B232" s="32"/>
      <c r="C232" s="32"/>
      <c r="D232" s="32"/>
      <c r="E232" s="32"/>
      <c r="F232" s="32"/>
      <c r="G232" s="32"/>
      <c r="H232" s="32"/>
      <c r="I232" s="32"/>
      <c r="J232" s="32"/>
      <c r="K232" s="32"/>
      <c r="L232" s="32"/>
      <c r="M232" s="32"/>
      <c r="N232" s="35"/>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row>
    <row r="233" spans="1:82" x14ac:dyDescent="0.25">
      <c r="A233" s="32"/>
      <c r="B233" s="32"/>
      <c r="C233" s="32"/>
      <c r="D233" s="32"/>
      <c r="E233" s="32"/>
      <c r="F233" s="32"/>
      <c r="G233" s="32"/>
      <c r="H233" s="32"/>
      <c r="I233" s="32"/>
      <c r="J233" s="32"/>
      <c r="K233" s="32"/>
      <c r="L233" s="32"/>
      <c r="M233" s="32"/>
      <c r="N233" s="35"/>
      <c r="O233" s="33"/>
      <c r="P233" s="33"/>
      <c r="Q233" s="33"/>
      <c r="R233" s="33"/>
      <c r="S233" s="33"/>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row>
    <row r="234" spans="1:82" x14ac:dyDescent="0.25">
      <c r="A234" s="32"/>
      <c r="B234" s="32"/>
      <c r="C234" s="32"/>
      <c r="D234" s="32"/>
      <c r="E234" s="32"/>
      <c r="F234" s="32"/>
      <c r="G234" s="32"/>
      <c r="H234" s="32"/>
      <c r="I234" s="32"/>
      <c r="J234" s="32"/>
      <c r="K234" s="32"/>
      <c r="L234" s="32"/>
      <c r="M234" s="32"/>
      <c r="N234" s="35"/>
      <c r="O234" s="33"/>
      <c r="P234" s="33"/>
      <c r="Q234" s="33"/>
      <c r="R234" s="33"/>
      <c r="S234" s="33"/>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row>
    <row r="235" spans="1:82" x14ac:dyDescent="0.25">
      <c r="A235" s="32"/>
      <c r="B235" s="32"/>
      <c r="C235" s="32"/>
      <c r="D235" s="32"/>
      <c r="E235" s="32"/>
      <c r="F235" s="32"/>
      <c r="G235" s="32"/>
      <c r="H235" s="32"/>
      <c r="I235" s="32"/>
      <c r="J235" s="32"/>
      <c r="K235" s="32"/>
      <c r="L235" s="32"/>
      <c r="M235" s="32"/>
      <c r="N235" s="35"/>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row>
    <row r="236" spans="1:82" x14ac:dyDescent="0.25">
      <c r="A236" s="32"/>
      <c r="B236" s="32"/>
      <c r="C236" s="32"/>
      <c r="D236" s="32"/>
      <c r="E236" s="32"/>
      <c r="F236" s="32"/>
      <c r="G236" s="32"/>
      <c r="H236" s="32"/>
      <c r="I236" s="32"/>
      <c r="J236" s="32"/>
      <c r="K236" s="32"/>
      <c r="L236" s="32"/>
      <c r="M236" s="32"/>
      <c r="N236" s="35"/>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row>
    <row r="237" spans="1:82" x14ac:dyDescent="0.25">
      <c r="A237" s="32"/>
      <c r="B237" s="32"/>
      <c r="C237" s="32"/>
      <c r="D237" s="32"/>
      <c r="E237" s="32"/>
      <c r="F237" s="32"/>
      <c r="G237" s="32"/>
      <c r="H237" s="32"/>
      <c r="I237" s="32"/>
      <c r="J237" s="32"/>
      <c r="K237" s="32"/>
      <c r="L237" s="32"/>
      <c r="M237" s="32"/>
      <c r="N237" s="35"/>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row>
    <row r="238" spans="1:82" x14ac:dyDescent="0.25">
      <c r="A238" s="32"/>
      <c r="B238" s="32"/>
      <c r="C238" s="32"/>
      <c r="D238" s="32"/>
      <c r="E238" s="32"/>
      <c r="F238" s="32"/>
      <c r="G238" s="32"/>
      <c r="H238" s="32"/>
      <c r="I238" s="32"/>
      <c r="J238" s="32"/>
      <c r="K238" s="32"/>
      <c r="L238" s="32"/>
      <c r="M238" s="32"/>
      <c r="N238" s="35"/>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row>
    <row r="239" spans="1:82" ht="19.5" x14ac:dyDescent="0.25">
      <c r="A239" s="67" t="str">
        <f>IF(AND(D!$C$16=FALSE,D!$C$17=FALSE,D!$C$18=FALSE,D!$C$19=FALSE,D!$C$21=FALSE,D!$C$22=FALSE,D!$C$25=FALSE,D!$C$29=FALSE,D!$C$24=FALSE,D!$C$26=FALSE,D!$C$23=FALSE),"","總結：")</f>
        <v>總結：</v>
      </c>
      <c r="B239" s="32"/>
      <c r="C239" s="32"/>
      <c r="D239" s="32"/>
      <c r="E239" s="32"/>
      <c r="F239" s="32"/>
      <c r="G239" s="32"/>
      <c r="H239" s="32"/>
      <c r="I239" s="32"/>
      <c r="J239" s="32"/>
      <c r="K239" s="32"/>
      <c r="L239" s="32"/>
      <c r="M239" s="32"/>
      <c r="N239" s="32"/>
      <c r="O239" s="33"/>
      <c r="P239" s="33"/>
      <c r="Q239" s="33"/>
      <c r="R239" s="33"/>
      <c r="S239" s="33"/>
      <c r="T239" s="33"/>
      <c r="U239" s="33"/>
      <c r="V239" s="33"/>
      <c r="W239" s="33"/>
      <c r="X239" s="33"/>
      <c r="Y239" s="33"/>
      <c r="Z239" s="33"/>
      <c r="AA239" s="33"/>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row>
    <row r="240" spans="1:82" x14ac:dyDescent="0.25">
      <c r="A240" s="210" t="str">
        <f>IF(AND(D!$C$16=FALSE,D!$C$17=FALSE,D!$C$18=FALSE,D!$C$19=FALSE,D!$C$20=FALSE,D!$C$21=FALSE,D!$C$22=FALSE,D!$C$25=FALSE,D!$C$29=FALSE,D!$C$24=FALSE,D!$C$26=FALSE,D!$C$23=FALSE),"","1.在設計專利佈局的總投資成本中，多數地區長期下來的後續年費(M)都比前期的申請費用(A)更高，但美國、加拿大、菲律賓、印尼、越南、泰國、印度等地區是例外，這些地區的設計專利佈局成本較低，值得留意。")</f>
        <v>1.在設計專利佈局的總投資成本中，多數地區長期下來的後續年費(M)都比前期的申請費用(A)更高，但美國、加拿大、菲律賓、印尼、越南、泰國、印度等地區是例外，這些地區的設計專利佈局成本較低，值得留意。</v>
      </c>
      <c r="B240" s="211"/>
      <c r="C240" s="211"/>
      <c r="D240" s="211"/>
      <c r="E240" s="211"/>
      <c r="F240" s="211"/>
      <c r="G240" s="211"/>
      <c r="H240" s="211"/>
      <c r="I240" s="211"/>
      <c r="J240" s="211"/>
      <c r="K240" s="211"/>
      <c r="L240" s="211"/>
      <c r="M240" s="211"/>
      <c r="N240" s="32"/>
      <c r="O240" s="33"/>
      <c r="P240" s="33"/>
      <c r="Q240" s="33"/>
      <c r="R240" s="33"/>
      <c r="S240" s="33"/>
      <c r="T240" s="33"/>
      <c r="U240" s="33"/>
      <c r="V240" s="33"/>
      <c r="W240" s="33"/>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row>
    <row r="241" spans="1:82" x14ac:dyDescent="0.25">
      <c r="A241" s="211"/>
      <c r="B241" s="211"/>
      <c r="C241" s="211"/>
      <c r="D241" s="211"/>
      <c r="E241" s="211"/>
      <c r="F241" s="211"/>
      <c r="G241" s="211"/>
      <c r="H241" s="211"/>
      <c r="I241" s="211"/>
      <c r="J241" s="211"/>
      <c r="K241" s="211"/>
      <c r="L241" s="211"/>
      <c r="M241" s="211"/>
      <c r="N241" s="32"/>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c r="BW241" s="33"/>
      <c r="BX241" s="33"/>
      <c r="BY241" s="33"/>
      <c r="BZ241" s="33"/>
      <c r="CA241" s="33"/>
      <c r="CB241" s="33"/>
      <c r="CC241" s="33"/>
      <c r="CD241" s="33"/>
    </row>
    <row r="242" spans="1:82" x14ac:dyDescent="0.25">
      <c r="A242" s="211"/>
      <c r="B242" s="211"/>
      <c r="C242" s="211"/>
      <c r="D242" s="211"/>
      <c r="E242" s="211"/>
      <c r="F242" s="211"/>
      <c r="G242" s="211"/>
      <c r="H242" s="211"/>
      <c r="I242" s="211"/>
      <c r="J242" s="211"/>
      <c r="K242" s="211"/>
      <c r="L242" s="211"/>
      <c r="M242" s="211"/>
      <c r="N242" s="32"/>
      <c r="O242" s="33"/>
      <c r="P242" s="33"/>
      <c r="Q242" s="33"/>
      <c r="R242" s="33"/>
      <c r="S242" s="33"/>
      <c r="T242" s="33"/>
      <c r="U242" s="3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c r="BW242" s="33"/>
      <c r="BX242" s="33"/>
      <c r="BY242" s="33"/>
      <c r="BZ242" s="33"/>
      <c r="CA242" s="33"/>
      <c r="CB242" s="33"/>
      <c r="CC242" s="33"/>
      <c r="CD242" s="33"/>
    </row>
    <row r="243" spans="1:82" x14ac:dyDescent="0.25">
      <c r="A243" s="35"/>
      <c r="B243" s="35"/>
      <c r="C243" s="35"/>
      <c r="D243" s="35"/>
      <c r="E243" s="35"/>
      <c r="F243" s="35"/>
      <c r="G243" s="35"/>
      <c r="H243" s="35"/>
      <c r="I243" s="35"/>
      <c r="J243" s="35"/>
      <c r="K243" s="35"/>
      <c r="L243" s="35"/>
      <c r="M243" s="35"/>
      <c r="N243" s="32"/>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c r="BW243" s="33"/>
      <c r="BX243" s="33"/>
      <c r="BY243" s="33"/>
      <c r="BZ243" s="33"/>
      <c r="CA243" s="33"/>
      <c r="CB243" s="33"/>
      <c r="CC243" s="33"/>
      <c r="CD243" s="33"/>
    </row>
    <row r="244" spans="1:82" x14ac:dyDescent="0.25">
      <c r="A244" s="35"/>
      <c r="B244" s="35"/>
      <c r="C244" s="35"/>
      <c r="D244" s="35"/>
      <c r="E244" s="35"/>
      <c r="F244" s="35"/>
      <c r="G244" s="35"/>
      <c r="H244" s="35"/>
      <c r="I244" s="35"/>
      <c r="J244" s="35"/>
      <c r="K244" s="35"/>
      <c r="L244" s="35"/>
      <c r="M244" s="35"/>
      <c r="N244" s="32"/>
      <c r="O244" s="33"/>
      <c r="P244" s="33"/>
      <c r="Q244" s="33"/>
      <c r="R244" s="33"/>
      <c r="S244" s="33"/>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33"/>
      <c r="BX244" s="33"/>
      <c r="BY244" s="33"/>
      <c r="BZ244" s="33"/>
      <c r="CA244" s="33"/>
      <c r="CB244" s="33"/>
      <c r="CC244" s="33"/>
      <c r="CD244" s="33"/>
    </row>
    <row r="245" spans="1:82" x14ac:dyDescent="0.25">
      <c r="A245" s="32"/>
      <c r="B245" s="32"/>
      <c r="C245" s="32"/>
      <c r="D245" s="32"/>
      <c r="E245" s="32"/>
      <c r="F245" s="32"/>
      <c r="G245" s="32"/>
      <c r="H245" s="32"/>
      <c r="I245" s="32"/>
      <c r="J245" s="32"/>
      <c r="K245" s="32"/>
      <c r="L245" s="32"/>
      <c r="M245" s="32"/>
      <c r="N245" s="32"/>
      <c r="O245" s="33"/>
      <c r="P245" s="33"/>
      <c r="Q245" s="33"/>
      <c r="R245" s="33"/>
      <c r="S245" s="33"/>
      <c r="T245" s="33"/>
      <c r="U245" s="33"/>
      <c r="V245" s="33"/>
      <c r="W245" s="33"/>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c r="BW245" s="33"/>
      <c r="BX245" s="33"/>
      <c r="BY245" s="33"/>
      <c r="BZ245" s="33"/>
      <c r="CA245" s="33"/>
      <c r="CB245" s="33"/>
      <c r="CC245" s="33"/>
      <c r="CD245" s="33"/>
    </row>
    <row r="246" spans="1:82" x14ac:dyDescent="0.25">
      <c r="A246" s="32"/>
      <c r="B246" s="32"/>
      <c r="C246" s="32"/>
      <c r="D246" s="32"/>
      <c r="E246" s="32"/>
      <c r="F246" s="32"/>
      <c r="G246" s="32"/>
      <c r="H246" s="32"/>
      <c r="I246" s="32"/>
      <c r="J246" s="32"/>
      <c r="K246" s="32"/>
      <c r="L246" s="32"/>
      <c r="M246" s="32"/>
      <c r="N246" s="32"/>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33"/>
      <c r="BX246" s="33"/>
      <c r="BY246" s="33"/>
      <c r="BZ246" s="33"/>
      <c r="CA246" s="33"/>
      <c r="CB246" s="33"/>
      <c r="CC246" s="33"/>
      <c r="CD246" s="33"/>
    </row>
    <row r="247" spans="1:82" x14ac:dyDescent="0.25">
      <c r="A247" s="32"/>
      <c r="B247" s="32"/>
      <c r="C247" s="32"/>
      <c r="D247" s="32"/>
      <c r="E247" s="32"/>
      <c r="F247" s="32"/>
      <c r="G247" s="32"/>
      <c r="H247" s="32"/>
      <c r="I247" s="32"/>
      <c r="J247" s="32"/>
      <c r="K247" s="32"/>
      <c r="L247" s="32"/>
      <c r="M247" s="32"/>
      <c r="N247" s="32"/>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c r="BW247" s="33"/>
      <c r="BX247" s="33"/>
      <c r="BY247" s="33"/>
      <c r="BZ247" s="33"/>
      <c r="CA247" s="33"/>
      <c r="CB247" s="33"/>
      <c r="CC247" s="33"/>
      <c r="CD247" s="33"/>
    </row>
    <row r="248" spans="1:82" x14ac:dyDescent="0.25">
      <c r="A248" s="32"/>
      <c r="B248" s="32"/>
      <c r="C248" s="32"/>
      <c r="D248" s="32"/>
      <c r="E248" s="32"/>
      <c r="F248" s="32"/>
      <c r="G248" s="32"/>
      <c r="H248" s="32"/>
      <c r="I248" s="32"/>
      <c r="J248" s="32"/>
      <c r="K248" s="32"/>
      <c r="L248" s="32"/>
      <c r="M248" s="32"/>
      <c r="N248" s="32"/>
      <c r="O248" s="33"/>
      <c r="P248" s="33"/>
      <c r="Q248" s="33"/>
      <c r="R248" s="33"/>
      <c r="S248" s="33"/>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c r="BW248" s="33"/>
      <c r="BX248" s="33"/>
      <c r="BY248" s="33"/>
      <c r="BZ248" s="33"/>
      <c r="CA248" s="33"/>
      <c r="CB248" s="33"/>
      <c r="CC248" s="33"/>
      <c r="CD248" s="33"/>
    </row>
    <row r="249" spans="1:82" x14ac:dyDescent="0.25">
      <c r="A249" s="32"/>
      <c r="B249" s="32"/>
      <c r="C249" s="32"/>
      <c r="D249" s="32"/>
      <c r="E249" s="32"/>
      <c r="F249" s="32"/>
      <c r="G249" s="32"/>
      <c r="H249" s="32"/>
      <c r="I249" s="32"/>
      <c r="J249" s="32"/>
      <c r="K249" s="32"/>
      <c r="L249" s="32"/>
      <c r="M249" s="32"/>
      <c r="N249" s="32"/>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c r="BW249" s="33"/>
      <c r="BX249" s="33"/>
      <c r="BY249" s="33"/>
      <c r="BZ249" s="33"/>
      <c r="CA249" s="33"/>
      <c r="CB249" s="33"/>
      <c r="CC249" s="33"/>
      <c r="CD249" s="33"/>
    </row>
    <row r="250" spans="1:82" x14ac:dyDescent="0.25">
      <c r="A250" s="32"/>
      <c r="B250" s="32"/>
      <c r="C250" s="32"/>
      <c r="D250" s="32"/>
      <c r="E250" s="32"/>
      <c r="F250" s="32"/>
      <c r="G250" s="32"/>
      <c r="H250" s="32"/>
      <c r="I250" s="32"/>
      <c r="J250" s="32"/>
      <c r="K250" s="32"/>
      <c r="L250" s="32"/>
      <c r="M250" s="32"/>
      <c r="N250" s="32"/>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33"/>
      <c r="BX250" s="33"/>
      <c r="BY250" s="33"/>
      <c r="BZ250" s="33"/>
      <c r="CA250" s="33"/>
      <c r="CB250" s="33"/>
      <c r="CC250" s="33"/>
      <c r="CD250" s="33"/>
    </row>
    <row r="251" spans="1:82" x14ac:dyDescent="0.25">
      <c r="A251" s="32"/>
      <c r="B251" s="32"/>
      <c r="C251" s="32"/>
      <c r="D251" s="32"/>
      <c r="E251" s="32"/>
      <c r="F251" s="32"/>
      <c r="G251" s="32"/>
      <c r="H251" s="32"/>
      <c r="I251" s="32"/>
      <c r="J251" s="32"/>
      <c r="K251" s="32"/>
      <c r="L251" s="32"/>
      <c r="M251" s="32"/>
      <c r="N251" s="32"/>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row>
    <row r="252" spans="1:82" x14ac:dyDescent="0.25">
      <c r="A252" s="32"/>
      <c r="B252" s="32"/>
      <c r="C252" s="32"/>
      <c r="D252" s="32"/>
      <c r="E252" s="32"/>
      <c r="F252" s="32"/>
      <c r="G252" s="32"/>
      <c r="H252" s="32"/>
      <c r="I252" s="32"/>
      <c r="J252" s="32"/>
      <c r="K252" s="32"/>
      <c r="L252" s="32"/>
      <c r="M252" s="32"/>
      <c r="N252" s="32"/>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row>
    <row r="253" spans="1:82" x14ac:dyDescent="0.25">
      <c r="A253" s="32"/>
      <c r="B253" s="32"/>
      <c r="C253" s="32"/>
      <c r="D253" s="32"/>
      <c r="E253" s="32"/>
      <c r="F253" s="32"/>
      <c r="G253" s="32"/>
      <c r="H253" s="32"/>
      <c r="I253" s="32"/>
      <c r="J253" s="32"/>
      <c r="K253" s="32"/>
      <c r="L253" s="32"/>
      <c r="M253" s="32"/>
      <c r="N253" s="32"/>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row>
    <row r="254" spans="1:82" x14ac:dyDescent="0.25">
      <c r="A254" s="32"/>
      <c r="B254" s="32"/>
      <c r="C254" s="32"/>
      <c r="D254" s="32"/>
      <c r="E254" s="32"/>
      <c r="F254" s="32"/>
      <c r="G254" s="32"/>
      <c r="H254" s="32"/>
      <c r="I254" s="32"/>
      <c r="J254" s="32"/>
      <c r="K254" s="32"/>
      <c r="L254" s="32"/>
      <c r="M254" s="32"/>
      <c r="N254" s="32"/>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row>
    <row r="255" spans="1:82" x14ac:dyDescent="0.25">
      <c r="A255" s="32"/>
      <c r="B255" s="32"/>
      <c r="C255" s="32"/>
      <c r="D255" s="32"/>
      <c r="E255" s="32"/>
      <c r="F255" s="32"/>
      <c r="G255" s="32"/>
      <c r="H255" s="32"/>
      <c r="I255" s="32"/>
      <c r="J255" s="32"/>
      <c r="K255" s="32"/>
      <c r="L255" s="32"/>
      <c r="M255" s="32"/>
      <c r="N255" s="32"/>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c r="BW255" s="33"/>
      <c r="BX255" s="33"/>
      <c r="BY255" s="33"/>
      <c r="BZ255" s="33"/>
      <c r="CA255" s="33"/>
      <c r="CB255" s="33"/>
      <c r="CC255" s="33"/>
      <c r="CD255" s="33"/>
    </row>
    <row r="256" spans="1:82" x14ac:dyDescent="0.25">
      <c r="A256" s="32"/>
      <c r="B256" s="32"/>
      <c r="C256" s="32"/>
      <c r="D256" s="32"/>
      <c r="E256" s="32"/>
      <c r="F256" s="32"/>
      <c r="G256" s="32"/>
      <c r="H256" s="32"/>
      <c r="I256" s="32"/>
      <c r="J256" s="32"/>
      <c r="K256" s="32"/>
      <c r="L256" s="32"/>
      <c r="M256" s="32"/>
      <c r="N256" s="32"/>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row>
    <row r="257" spans="1:82" x14ac:dyDescent="0.25">
      <c r="A257" s="32"/>
      <c r="B257" s="32"/>
      <c r="C257" s="32"/>
      <c r="D257" s="32"/>
      <c r="E257" s="32"/>
      <c r="F257" s="32"/>
      <c r="G257" s="32"/>
      <c r="H257" s="32"/>
      <c r="I257" s="32"/>
      <c r="J257" s="32"/>
      <c r="K257" s="32"/>
      <c r="L257" s="32"/>
      <c r="M257" s="32"/>
      <c r="N257" s="32"/>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c r="BW257" s="33"/>
      <c r="BX257" s="33"/>
      <c r="BY257" s="33"/>
      <c r="BZ257" s="33"/>
      <c r="CA257" s="33"/>
      <c r="CB257" s="33"/>
      <c r="CC257" s="33"/>
      <c r="CD257" s="33"/>
    </row>
    <row r="258" spans="1:82" x14ac:dyDescent="0.25">
      <c r="A258" s="32"/>
      <c r="B258" s="32"/>
      <c r="C258" s="32"/>
      <c r="D258" s="32"/>
      <c r="E258" s="32"/>
      <c r="F258" s="32"/>
      <c r="G258" s="32"/>
      <c r="H258" s="32"/>
      <c r="I258" s="32"/>
      <c r="J258" s="32"/>
      <c r="K258" s="32"/>
      <c r="L258" s="32"/>
      <c r="M258" s="32"/>
      <c r="N258" s="32"/>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c r="BW258" s="33"/>
      <c r="BX258" s="33"/>
      <c r="BY258" s="33"/>
      <c r="BZ258" s="33"/>
      <c r="CA258" s="33"/>
      <c r="CB258" s="33"/>
      <c r="CC258" s="33"/>
      <c r="CD258" s="33"/>
    </row>
    <row r="259" spans="1:82" x14ac:dyDescent="0.25">
      <c r="A259" s="32"/>
      <c r="B259" s="32"/>
      <c r="C259" s="32"/>
      <c r="D259" s="32"/>
      <c r="E259" s="32"/>
      <c r="F259" s="32"/>
      <c r="G259" s="32"/>
      <c r="H259" s="32"/>
      <c r="I259" s="32"/>
      <c r="J259" s="32"/>
      <c r="K259" s="32"/>
      <c r="L259" s="32"/>
      <c r="M259" s="32"/>
      <c r="N259" s="32"/>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3"/>
      <c r="BX259" s="33"/>
      <c r="BY259" s="33"/>
      <c r="BZ259" s="33"/>
      <c r="CA259" s="33"/>
      <c r="CB259" s="33"/>
      <c r="CC259" s="33"/>
      <c r="CD259" s="33"/>
    </row>
    <row r="260" spans="1:82" x14ac:dyDescent="0.25">
      <c r="A260" s="32"/>
      <c r="B260" s="32"/>
      <c r="C260" s="32"/>
      <c r="D260" s="32"/>
      <c r="E260" s="32"/>
      <c r="F260" s="32"/>
      <c r="G260" s="32"/>
      <c r="H260" s="32"/>
      <c r="I260" s="32"/>
      <c r="J260" s="32"/>
      <c r="K260" s="32"/>
      <c r="L260" s="32"/>
      <c r="M260" s="32"/>
      <c r="N260" s="32"/>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33"/>
      <c r="BX260" s="33"/>
      <c r="BY260" s="33"/>
      <c r="BZ260" s="33"/>
      <c r="CA260" s="33"/>
      <c r="CB260" s="33"/>
      <c r="CC260" s="33"/>
      <c r="CD260" s="33"/>
    </row>
    <row r="261" spans="1:82" x14ac:dyDescent="0.25">
      <c r="A261" s="32"/>
      <c r="B261" s="32"/>
      <c r="C261" s="32"/>
      <c r="D261" s="32"/>
      <c r="E261" s="32"/>
      <c r="F261" s="32"/>
      <c r="G261" s="32"/>
      <c r="H261" s="32"/>
      <c r="I261" s="32"/>
      <c r="J261" s="32"/>
      <c r="K261" s="32"/>
      <c r="L261" s="32"/>
      <c r="M261" s="32"/>
      <c r="N261" s="32"/>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33"/>
      <c r="BX261" s="33"/>
      <c r="BY261" s="33"/>
      <c r="BZ261" s="33"/>
      <c r="CA261" s="33"/>
      <c r="CB261" s="33"/>
      <c r="CC261" s="33"/>
      <c r="CD261" s="33"/>
    </row>
    <row r="262" spans="1:82" x14ac:dyDescent="0.25">
      <c r="A262" s="32"/>
      <c r="B262" s="32"/>
      <c r="C262" s="32"/>
      <c r="D262" s="32"/>
      <c r="E262" s="32"/>
      <c r="F262" s="32"/>
      <c r="G262" s="32"/>
      <c r="H262" s="32"/>
      <c r="I262" s="32"/>
      <c r="J262" s="32"/>
      <c r="K262" s="32"/>
      <c r="L262" s="32"/>
      <c r="M262" s="32"/>
      <c r="N262" s="32"/>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33"/>
      <c r="BX262" s="33"/>
      <c r="BY262" s="33"/>
      <c r="BZ262" s="33"/>
      <c r="CA262" s="33"/>
      <c r="CB262" s="33"/>
      <c r="CC262" s="33"/>
      <c r="CD262" s="33"/>
    </row>
    <row r="263" spans="1:82" x14ac:dyDescent="0.25">
      <c r="A263" s="32"/>
      <c r="B263" s="32"/>
      <c r="C263" s="32"/>
      <c r="D263" s="32"/>
      <c r="E263" s="32"/>
      <c r="F263" s="32"/>
      <c r="G263" s="32"/>
      <c r="H263" s="32"/>
      <c r="I263" s="32"/>
      <c r="J263" s="32"/>
      <c r="K263" s="32"/>
      <c r="L263" s="32"/>
      <c r="M263" s="32"/>
      <c r="N263" s="32"/>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33"/>
      <c r="BX263" s="33"/>
      <c r="BY263" s="33"/>
      <c r="BZ263" s="33"/>
      <c r="CA263" s="33"/>
      <c r="CB263" s="33"/>
      <c r="CC263" s="33"/>
      <c r="CD263" s="33"/>
    </row>
    <row r="264" spans="1:82" x14ac:dyDescent="0.25">
      <c r="A264" s="32"/>
      <c r="B264" s="32"/>
      <c r="C264" s="32"/>
      <c r="D264" s="32"/>
      <c r="E264" s="32"/>
      <c r="F264" s="32"/>
      <c r="G264" s="32"/>
      <c r="H264" s="32"/>
      <c r="I264" s="32"/>
      <c r="J264" s="32"/>
      <c r="K264" s="32"/>
      <c r="L264" s="32"/>
      <c r="M264" s="32"/>
      <c r="N264" s="32"/>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row>
    <row r="265" spans="1:82" x14ac:dyDescent="0.25">
      <c r="A265" s="32"/>
      <c r="B265" s="32"/>
      <c r="C265" s="32"/>
      <c r="D265" s="32"/>
      <c r="E265" s="32"/>
      <c r="F265" s="32"/>
      <c r="G265" s="32"/>
      <c r="H265" s="32"/>
      <c r="I265" s="32"/>
      <c r="J265" s="32"/>
      <c r="K265" s="32"/>
      <c r="L265" s="32"/>
      <c r="M265" s="32"/>
      <c r="N265" s="32"/>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row>
    <row r="266" spans="1:82" x14ac:dyDescent="0.25">
      <c r="A266" s="32"/>
      <c r="B266" s="32"/>
      <c r="C266" s="32"/>
      <c r="D266" s="32"/>
      <c r="E266" s="32"/>
      <c r="F266" s="32"/>
      <c r="G266" s="32"/>
      <c r="H266" s="32"/>
      <c r="I266" s="32"/>
      <c r="J266" s="32"/>
      <c r="K266" s="32"/>
      <c r="L266" s="32"/>
      <c r="M266" s="32"/>
      <c r="N266" s="32"/>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row>
    <row r="267" spans="1:82" x14ac:dyDescent="0.25">
      <c r="A267" s="32"/>
      <c r="B267" s="32"/>
      <c r="C267" s="32"/>
      <c r="D267" s="32"/>
      <c r="E267" s="32"/>
      <c r="F267" s="32"/>
      <c r="G267" s="32"/>
      <c r="H267" s="32"/>
      <c r="I267" s="32"/>
      <c r="J267" s="32"/>
      <c r="K267" s="32"/>
      <c r="L267" s="32"/>
      <c r="M267" s="32"/>
      <c r="N267" s="32"/>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row>
    <row r="268" spans="1:82" x14ac:dyDescent="0.25">
      <c r="A268" s="32"/>
      <c r="B268" s="32"/>
      <c r="C268" s="32"/>
      <c r="D268" s="32"/>
      <c r="E268" s="32"/>
      <c r="F268" s="32"/>
      <c r="G268" s="32"/>
      <c r="H268" s="32"/>
      <c r="I268" s="32"/>
      <c r="J268" s="32"/>
      <c r="K268" s="32"/>
      <c r="L268" s="32"/>
      <c r="M268" s="32"/>
      <c r="N268" s="32"/>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row>
    <row r="269" spans="1:82" x14ac:dyDescent="0.25">
      <c r="A269" s="32"/>
      <c r="B269" s="32"/>
      <c r="C269" s="32"/>
      <c r="D269" s="32"/>
      <c r="E269" s="32"/>
      <c r="F269" s="32"/>
      <c r="G269" s="32"/>
      <c r="H269" s="32"/>
      <c r="I269" s="32"/>
      <c r="J269" s="32"/>
      <c r="K269" s="32"/>
      <c r="L269" s="32"/>
      <c r="M269" s="32"/>
      <c r="N269" s="32"/>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33"/>
      <c r="BX269" s="33"/>
      <c r="BY269" s="33"/>
      <c r="BZ269" s="33"/>
      <c r="CA269" s="33"/>
      <c r="CB269" s="33"/>
      <c r="CC269" s="33"/>
      <c r="CD269" s="33"/>
    </row>
    <row r="270" spans="1:82" x14ac:dyDescent="0.25">
      <c r="A270" s="32"/>
      <c r="B270" s="32"/>
      <c r="C270" s="32"/>
      <c r="D270" s="32"/>
      <c r="E270" s="32"/>
      <c r="F270" s="32"/>
      <c r="G270" s="32"/>
      <c r="H270" s="32"/>
      <c r="I270" s="32"/>
      <c r="J270" s="32"/>
      <c r="K270" s="32"/>
      <c r="L270" s="32"/>
      <c r="M270" s="32"/>
      <c r="N270" s="32"/>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33"/>
      <c r="BX270" s="33"/>
      <c r="BY270" s="33"/>
      <c r="BZ270" s="33"/>
      <c r="CA270" s="33"/>
      <c r="CB270" s="33"/>
      <c r="CC270" s="33"/>
      <c r="CD270" s="33"/>
    </row>
    <row r="271" spans="1:82" x14ac:dyDescent="0.25">
      <c r="A271" s="32"/>
      <c r="B271" s="32"/>
      <c r="C271" s="32"/>
      <c r="D271" s="32"/>
      <c r="E271" s="32"/>
      <c r="F271" s="32"/>
      <c r="G271" s="32"/>
      <c r="H271" s="32"/>
      <c r="I271" s="32"/>
      <c r="J271" s="32"/>
      <c r="K271" s="32"/>
      <c r="L271" s="32"/>
      <c r="M271" s="32"/>
      <c r="N271" s="32"/>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33"/>
      <c r="BX271" s="33"/>
      <c r="BY271" s="33"/>
      <c r="BZ271" s="33"/>
      <c r="CA271" s="33"/>
      <c r="CB271" s="33"/>
      <c r="CC271" s="33"/>
      <c r="CD271" s="33"/>
    </row>
    <row r="272" spans="1:82" x14ac:dyDescent="0.25">
      <c r="A272" s="32"/>
      <c r="B272" s="32"/>
      <c r="C272" s="32"/>
      <c r="D272" s="32"/>
      <c r="E272" s="32"/>
      <c r="F272" s="32"/>
      <c r="G272" s="32"/>
      <c r="H272" s="32"/>
      <c r="I272" s="32"/>
      <c r="J272" s="32"/>
      <c r="K272" s="32"/>
      <c r="L272" s="32"/>
      <c r="M272" s="32"/>
      <c r="N272" s="32"/>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33"/>
      <c r="BX272" s="33"/>
      <c r="BY272" s="33"/>
      <c r="BZ272" s="33"/>
      <c r="CA272" s="33"/>
      <c r="CB272" s="33"/>
      <c r="CC272" s="33"/>
      <c r="CD272" s="33"/>
    </row>
    <row r="273" spans="1:82" x14ac:dyDescent="0.25">
      <c r="A273" s="32"/>
      <c r="B273" s="32"/>
      <c r="C273" s="32"/>
      <c r="D273" s="32"/>
      <c r="E273" s="32"/>
      <c r="F273" s="32"/>
      <c r="G273" s="32"/>
      <c r="H273" s="32"/>
      <c r="I273" s="32"/>
      <c r="J273" s="32"/>
      <c r="K273" s="32"/>
      <c r="L273" s="32"/>
      <c r="M273" s="32"/>
      <c r="N273" s="32"/>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c r="BW273" s="33"/>
      <c r="BX273" s="33"/>
      <c r="BY273" s="33"/>
      <c r="BZ273" s="33"/>
      <c r="CA273" s="33"/>
      <c r="CB273" s="33"/>
      <c r="CC273" s="33"/>
      <c r="CD273" s="33"/>
    </row>
    <row r="274" spans="1:82" x14ac:dyDescent="0.25">
      <c r="A274" s="32"/>
      <c r="B274" s="32"/>
      <c r="C274" s="32"/>
      <c r="D274" s="32"/>
      <c r="E274" s="32"/>
      <c r="F274" s="32"/>
      <c r="G274" s="32"/>
      <c r="H274" s="32"/>
      <c r="I274" s="32"/>
      <c r="J274" s="32"/>
      <c r="K274" s="32"/>
      <c r="L274" s="32"/>
      <c r="M274" s="32"/>
      <c r="N274" s="32"/>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c r="BW274" s="33"/>
      <c r="BX274" s="33"/>
      <c r="BY274" s="33"/>
      <c r="BZ274" s="33"/>
      <c r="CA274" s="33"/>
      <c r="CB274" s="33"/>
      <c r="CC274" s="33"/>
      <c r="CD274" s="33"/>
    </row>
    <row r="275" spans="1:82" x14ac:dyDescent="0.25">
      <c r="A275" s="32"/>
      <c r="B275" s="32"/>
      <c r="C275" s="32"/>
      <c r="D275" s="32"/>
      <c r="E275" s="32"/>
      <c r="F275" s="32"/>
      <c r="G275" s="32"/>
      <c r="H275" s="32"/>
      <c r="I275" s="32"/>
      <c r="J275" s="32"/>
      <c r="K275" s="32"/>
      <c r="L275" s="32"/>
      <c r="M275" s="32"/>
      <c r="N275" s="32"/>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c r="BW275" s="33"/>
      <c r="BX275" s="33"/>
      <c r="BY275" s="33"/>
      <c r="BZ275" s="33"/>
      <c r="CA275" s="33"/>
      <c r="CB275" s="33"/>
      <c r="CC275" s="33"/>
      <c r="CD275" s="33"/>
    </row>
    <row r="276" spans="1:82" x14ac:dyDescent="0.25">
      <c r="A276" s="32"/>
      <c r="B276" s="32"/>
      <c r="C276" s="32"/>
      <c r="D276" s="32"/>
      <c r="E276" s="32"/>
      <c r="F276" s="32"/>
      <c r="G276" s="32"/>
      <c r="H276" s="32"/>
      <c r="I276" s="32"/>
      <c r="J276" s="32"/>
      <c r="K276" s="32"/>
      <c r="L276" s="32"/>
      <c r="M276" s="32"/>
      <c r="N276" s="32"/>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33"/>
      <c r="BX276" s="33"/>
      <c r="BY276" s="33"/>
      <c r="BZ276" s="33"/>
      <c r="CA276" s="33"/>
      <c r="CB276" s="33"/>
      <c r="CC276" s="33"/>
      <c r="CD276" s="33"/>
    </row>
    <row r="277" spans="1:82" x14ac:dyDescent="0.25">
      <c r="A277" s="32"/>
      <c r="B277" s="32"/>
      <c r="C277" s="32"/>
      <c r="D277" s="32"/>
      <c r="E277" s="32"/>
      <c r="F277" s="32"/>
      <c r="G277" s="32"/>
      <c r="H277" s="32"/>
      <c r="I277" s="32"/>
      <c r="J277" s="32"/>
      <c r="K277" s="32"/>
      <c r="L277" s="32"/>
      <c r="M277" s="32"/>
      <c r="N277" s="32"/>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33"/>
      <c r="BX277" s="33"/>
      <c r="BY277" s="33"/>
      <c r="BZ277" s="33"/>
      <c r="CA277" s="33"/>
      <c r="CB277" s="33"/>
      <c r="CC277" s="33"/>
      <c r="CD277" s="33"/>
    </row>
    <row r="278" spans="1:82" x14ac:dyDescent="0.25">
      <c r="A278" s="32"/>
      <c r="B278" s="32"/>
      <c r="C278" s="32"/>
      <c r="D278" s="32"/>
      <c r="E278" s="32"/>
      <c r="F278" s="32"/>
      <c r="G278" s="32"/>
      <c r="H278" s="32"/>
      <c r="I278" s="32"/>
      <c r="J278" s="32"/>
      <c r="K278" s="32"/>
      <c r="L278" s="32"/>
      <c r="M278" s="32"/>
      <c r="N278" s="32"/>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33"/>
      <c r="BX278" s="33"/>
      <c r="BY278" s="33"/>
      <c r="BZ278" s="33"/>
      <c r="CA278" s="33"/>
      <c r="CB278" s="33"/>
      <c r="CC278" s="33"/>
      <c r="CD278" s="33"/>
    </row>
    <row r="279" spans="1:82" x14ac:dyDescent="0.25">
      <c r="A279" s="32"/>
      <c r="B279" s="32"/>
      <c r="C279" s="32"/>
      <c r="D279" s="32"/>
      <c r="E279" s="32"/>
      <c r="F279" s="32"/>
      <c r="G279" s="32"/>
      <c r="H279" s="32"/>
      <c r="I279" s="32"/>
      <c r="J279" s="32"/>
      <c r="K279" s="32"/>
      <c r="L279" s="32"/>
      <c r="M279" s="32"/>
      <c r="N279" s="32"/>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row>
    <row r="280" spans="1:82" x14ac:dyDescent="0.25">
      <c r="A280" s="32"/>
      <c r="B280" s="32"/>
      <c r="C280" s="32"/>
      <c r="D280" s="32"/>
      <c r="E280" s="32"/>
      <c r="F280" s="32"/>
      <c r="G280" s="32"/>
      <c r="H280" s="32"/>
      <c r="I280" s="32"/>
      <c r="J280" s="32"/>
      <c r="K280" s="32"/>
      <c r="L280" s="32"/>
      <c r="M280" s="32"/>
      <c r="N280" s="32"/>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row>
    <row r="281" spans="1:82" x14ac:dyDescent="0.25">
      <c r="A281" s="32"/>
      <c r="B281" s="32"/>
      <c r="C281" s="32"/>
      <c r="D281" s="32"/>
      <c r="E281" s="32"/>
      <c r="F281" s="32"/>
      <c r="G281" s="32"/>
      <c r="H281" s="32"/>
      <c r="I281" s="32"/>
      <c r="J281" s="32"/>
      <c r="K281" s="32"/>
      <c r="L281" s="32"/>
      <c r="M281" s="32"/>
      <c r="N281" s="32"/>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row>
    <row r="282" spans="1:82" x14ac:dyDescent="0.25">
      <c r="A282" s="32"/>
      <c r="B282" s="32"/>
      <c r="C282" s="32"/>
      <c r="D282" s="32"/>
      <c r="E282" s="32"/>
      <c r="F282" s="32"/>
      <c r="G282" s="32"/>
      <c r="H282" s="32"/>
      <c r="I282" s="32"/>
      <c r="J282" s="32"/>
      <c r="K282" s="32"/>
      <c r="L282" s="32"/>
      <c r="M282" s="32"/>
      <c r="N282" s="32"/>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row>
    <row r="283" spans="1:82" x14ac:dyDescent="0.25">
      <c r="A283" s="32"/>
      <c r="B283" s="32"/>
      <c r="C283" s="32"/>
      <c r="D283" s="32"/>
      <c r="E283" s="32"/>
      <c r="F283" s="32"/>
      <c r="G283" s="32"/>
      <c r="H283" s="32"/>
      <c r="I283" s="32"/>
      <c r="J283" s="32"/>
      <c r="K283" s="32"/>
      <c r="L283" s="32"/>
      <c r="M283" s="32"/>
      <c r="N283" s="32"/>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row>
    <row r="284" spans="1:82" x14ac:dyDescent="0.25">
      <c r="A284" s="32"/>
      <c r="B284" s="32"/>
      <c r="C284" s="32"/>
      <c r="D284" s="32"/>
      <c r="E284" s="32"/>
      <c r="F284" s="32"/>
      <c r="G284" s="32"/>
      <c r="H284" s="32"/>
      <c r="I284" s="32"/>
      <c r="J284" s="32"/>
      <c r="K284" s="32"/>
      <c r="L284" s="32"/>
      <c r="M284" s="32"/>
      <c r="N284" s="32"/>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33"/>
      <c r="BX284" s="33"/>
      <c r="BY284" s="33"/>
      <c r="BZ284" s="33"/>
      <c r="CA284" s="33"/>
      <c r="CB284" s="33"/>
      <c r="CC284" s="33"/>
      <c r="CD284" s="33"/>
    </row>
    <row r="285" spans="1:82" x14ac:dyDescent="0.25">
      <c r="A285" s="32"/>
      <c r="B285" s="32"/>
      <c r="C285" s="32"/>
      <c r="D285" s="32"/>
      <c r="E285" s="32"/>
      <c r="F285" s="32"/>
      <c r="G285" s="32"/>
      <c r="H285" s="32"/>
      <c r="I285" s="32"/>
      <c r="J285" s="32"/>
      <c r="K285" s="32"/>
      <c r="L285" s="32"/>
      <c r="M285" s="32"/>
      <c r="N285" s="32"/>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c r="BW285" s="33"/>
      <c r="BX285" s="33"/>
      <c r="BY285" s="33"/>
      <c r="BZ285" s="33"/>
      <c r="CA285" s="33"/>
      <c r="CB285" s="33"/>
      <c r="CC285" s="33"/>
      <c r="CD285" s="33"/>
    </row>
    <row r="286" spans="1:82" x14ac:dyDescent="0.25">
      <c r="A286" s="32"/>
      <c r="B286" s="32"/>
      <c r="C286" s="32"/>
      <c r="D286" s="32"/>
      <c r="E286" s="32"/>
      <c r="F286" s="32"/>
      <c r="G286" s="32"/>
      <c r="H286" s="32"/>
      <c r="I286" s="32"/>
      <c r="J286" s="32"/>
      <c r="K286" s="32"/>
      <c r="L286" s="32"/>
      <c r="M286" s="32"/>
      <c r="N286" s="32"/>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row>
    <row r="287" spans="1:82" x14ac:dyDescent="0.25">
      <c r="A287" s="32"/>
      <c r="B287" s="32"/>
      <c r="C287" s="32"/>
      <c r="D287" s="32"/>
      <c r="E287" s="32"/>
      <c r="F287" s="32"/>
      <c r="G287" s="32"/>
      <c r="H287" s="32"/>
      <c r="I287" s="32"/>
      <c r="J287" s="32"/>
      <c r="K287" s="32"/>
      <c r="L287" s="32"/>
      <c r="M287" s="32"/>
      <c r="N287" s="32"/>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33"/>
      <c r="BX287" s="33"/>
      <c r="BY287" s="33"/>
      <c r="BZ287" s="33"/>
      <c r="CA287" s="33"/>
      <c r="CB287" s="33"/>
      <c r="CC287" s="33"/>
      <c r="CD287" s="33"/>
    </row>
    <row r="288" spans="1:82" x14ac:dyDescent="0.25">
      <c r="A288" s="32"/>
      <c r="B288" s="32"/>
      <c r="C288" s="32"/>
      <c r="D288" s="32"/>
      <c r="E288" s="32"/>
      <c r="F288" s="32"/>
      <c r="G288" s="32"/>
      <c r="H288" s="32"/>
      <c r="I288" s="32"/>
      <c r="J288" s="32"/>
      <c r="K288" s="32"/>
      <c r="L288" s="32"/>
      <c r="M288" s="32"/>
      <c r="N288" s="32"/>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row>
    <row r="289" spans="1:82" x14ac:dyDescent="0.25">
      <c r="A289" s="32"/>
      <c r="B289" s="32"/>
      <c r="C289" s="32"/>
      <c r="D289" s="32"/>
      <c r="E289" s="32"/>
      <c r="F289" s="32"/>
      <c r="G289" s="32"/>
      <c r="H289" s="32"/>
      <c r="I289" s="32"/>
      <c r="J289" s="32"/>
      <c r="K289" s="32"/>
      <c r="L289" s="32"/>
      <c r="M289" s="32"/>
      <c r="N289" s="32"/>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row>
    <row r="290" spans="1:82" x14ac:dyDescent="0.25">
      <c r="A290" s="32"/>
      <c r="B290" s="32"/>
      <c r="C290" s="32"/>
      <c r="D290" s="32"/>
      <c r="E290" s="32"/>
      <c r="F290" s="32"/>
      <c r="G290" s="32"/>
      <c r="H290" s="32"/>
      <c r="I290" s="32"/>
      <c r="J290" s="32"/>
      <c r="K290" s="32"/>
      <c r="L290" s="32"/>
      <c r="M290" s="32"/>
      <c r="N290" s="32"/>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33"/>
      <c r="BX290" s="33"/>
      <c r="BY290" s="33"/>
      <c r="BZ290" s="33"/>
      <c r="CA290" s="33"/>
      <c r="CB290" s="33"/>
      <c r="CC290" s="33"/>
      <c r="CD290" s="33"/>
    </row>
    <row r="291" spans="1:82" x14ac:dyDescent="0.25">
      <c r="A291" s="32"/>
      <c r="B291" s="32"/>
      <c r="C291" s="32"/>
      <c r="D291" s="32"/>
      <c r="E291" s="32"/>
      <c r="F291" s="32"/>
      <c r="G291" s="32"/>
      <c r="H291" s="32"/>
      <c r="I291" s="32"/>
      <c r="J291" s="32"/>
      <c r="K291" s="32"/>
      <c r="L291" s="32"/>
      <c r="M291" s="32"/>
      <c r="N291" s="32"/>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row>
    <row r="292" spans="1:82" x14ac:dyDescent="0.25">
      <c r="A292" s="32"/>
      <c r="B292" s="32"/>
      <c r="C292" s="32"/>
      <c r="D292" s="32"/>
      <c r="E292" s="32"/>
      <c r="F292" s="32"/>
      <c r="G292" s="32"/>
      <c r="H292" s="32"/>
      <c r="I292" s="32"/>
      <c r="J292" s="32"/>
      <c r="K292" s="32"/>
      <c r="L292" s="32"/>
      <c r="M292" s="32"/>
      <c r="N292" s="32"/>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row>
    <row r="293" spans="1:82" x14ac:dyDescent="0.25">
      <c r="A293" s="32"/>
      <c r="B293" s="32"/>
      <c r="C293" s="32"/>
      <c r="D293" s="32"/>
      <c r="E293" s="32"/>
      <c r="F293" s="32"/>
      <c r="G293" s="32"/>
      <c r="H293" s="32"/>
      <c r="I293" s="32"/>
      <c r="J293" s="32"/>
      <c r="K293" s="32"/>
      <c r="L293" s="32"/>
      <c r="M293" s="32"/>
      <c r="N293" s="32"/>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row>
    <row r="294" spans="1:82" x14ac:dyDescent="0.25">
      <c r="A294" s="32"/>
      <c r="B294" s="32"/>
      <c r="C294" s="32"/>
      <c r="D294" s="32"/>
      <c r="E294" s="32"/>
      <c r="F294" s="32"/>
      <c r="G294" s="32"/>
      <c r="H294" s="32"/>
      <c r="I294" s="32"/>
      <c r="J294" s="32"/>
      <c r="K294" s="32"/>
      <c r="L294" s="32"/>
      <c r="M294" s="32"/>
      <c r="N294" s="32"/>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row>
    <row r="295" spans="1:82" x14ac:dyDescent="0.25">
      <c r="A295" s="32"/>
      <c r="B295" s="32"/>
      <c r="C295" s="32"/>
      <c r="D295" s="32"/>
      <c r="E295" s="32"/>
      <c r="F295" s="32"/>
      <c r="G295" s="32"/>
      <c r="H295" s="32"/>
      <c r="I295" s="32"/>
      <c r="J295" s="32"/>
      <c r="K295" s="32"/>
      <c r="L295" s="32"/>
      <c r="M295" s="32"/>
      <c r="N295" s="32"/>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row>
    <row r="296" spans="1:82" x14ac:dyDescent="0.25">
      <c r="A296" s="32"/>
      <c r="B296" s="32"/>
      <c r="C296" s="32"/>
      <c r="D296" s="32"/>
      <c r="E296" s="32"/>
      <c r="F296" s="32"/>
      <c r="G296" s="32"/>
      <c r="H296" s="32"/>
      <c r="I296" s="32"/>
      <c r="J296" s="32"/>
      <c r="K296" s="32"/>
      <c r="L296" s="32"/>
      <c r="M296" s="32"/>
      <c r="N296" s="32"/>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row>
    <row r="297" spans="1:82" x14ac:dyDescent="0.25">
      <c r="A297" s="32"/>
      <c r="B297" s="32"/>
      <c r="C297" s="32"/>
      <c r="D297" s="32"/>
      <c r="E297" s="32"/>
      <c r="F297" s="32"/>
      <c r="G297" s="32"/>
      <c r="H297" s="32"/>
      <c r="I297" s="32"/>
      <c r="J297" s="32"/>
      <c r="K297" s="32"/>
      <c r="L297" s="32"/>
      <c r="M297" s="32"/>
      <c r="N297" s="32"/>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row>
    <row r="298" spans="1:82" x14ac:dyDescent="0.25">
      <c r="A298" s="32"/>
      <c r="B298" s="32"/>
      <c r="C298" s="32"/>
      <c r="D298" s="32"/>
      <c r="E298" s="32"/>
      <c r="F298" s="32"/>
      <c r="G298" s="32"/>
      <c r="H298" s="32"/>
      <c r="I298" s="32"/>
      <c r="J298" s="32"/>
      <c r="K298" s="32"/>
      <c r="L298" s="32"/>
      <c r="M298" s="32"/>
      <c r="N298" s="32"/>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row>
    <row r="299" spans="1:82" x14ac:dyDescent="0.25">
      <c r="A299" s="32"/>
      <c r="B299" s="32"/>
      <c r="C299" s="32"/>
      <c r="D299" s="32"/>
      <c r="E299" s="32"/>
      <c r="F299" s="32"/>
      <c r="G299" s="32"/>
      <c r="H299" s="32"/>
      <c r="I299" s="32"/>
      <c r="J299" s="32"/>
      <c r="K299" s="32"/>
      <c r="L299" s="32"/>
      <c r="M299" s="32"/>
      <c r="N299" s="32"/>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row>
    <row r="300" spans="1:82" x14ac:dyDescent="0.25">
      <c r="A300" s="32"/>
      <c r="B300" s="32"/>
      <c r="C300" s="32"/>
      <c r="D300" s="32"/>
      <c r="E300" s="32"/>
      <c r="F300" s="32"/>
      <c r="G300" s="32"/>
      <c r="H300" s="32"/>
      <c r="I300" s="32"/>
      <c r="J300" s="32"/>
      <c r="K300" s="32"/>
      <c r="L300" s="32"/>
      <c r="M300" s="32"/>
      <c r="N300" s="32"/>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c r="BW300" s="33"/>
      <c r="BX300" s="33"/>
      <c r="BY300" s="33"/>
      <c r="BZ300" s="33"/>
      <c r="CA300" s="33"/>
      <c r="CB300" s="33"/>
      <c r="CC300" s="33"/>
      <c r="CD300" s="33"/>
    </row>
    <row r="301" spans="1:82" x14ac:dyDescent="0.25">
      <c r="A301" s="32"/>
      <c r="B301" s="32"/>
      <c r="C301" s="32"/>
      <c r="D301" s="32"/>
      <c r="E301" s="32"/>
      <c r="F301" s="32"/>
      <c r="G301" s="32"/>
      <c r="H301" s="32"/>
      <c r="I301" s="32"/>
      <c r="J301" s="32"/>
      <c r="K301" s="32"/>
      <c r="L301" s="32"/>
      <c r="M301" s="32"/>
      <c r="N301" s="32"/>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c r="BW301" s="33"/>
      <c r="BX301" s="33"/>
      <c r="BY301" s="33"/>
      <c r="BZ301" s="33"/>
      <c r="CA301" s="33"/>
      <c r="CB301" s="33"/>
      <c r="CC301" s="33"/>
      <c r="CD301" s="33"/>
    </row>
    <row r="302" spans="1:82" x14ac:dyDescent="0.25">
      <c r="A302" s="32"/>
      <c r="B302" s="32"/>
      <c r="C302" s="32"/>
      <c r="D302" s="32"/>
      <c r="E302" s="32"/>
      <c r="F302" s="32"/>
      <c r="G302" s="32"/>
      <c r="H302" s="32"/>
      <c r="I302" s="32"/>
      <c r="J302" s="32"/>
      <c r="K302" s="32"/>
      <c r="L302" s="32"/>
      <c r="M302" s="32"/>
      <c r="N302" s="32"/>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33"/>
      <c r="BX302" s="33"/>
      <c r="BY302" s="33"/>
      <c r="BZ302" s="33"/>
      <c r="CA302" s="33"/>
      <c r="CB302" s="33"/>
      <c r="CC302" s="33"/>
      <c r="CD302" s="33"/>
    </row>
    <row r="303" spans="1:82" x14ac:dyDescent="0.25">
      <c r="A303" s="32"/>
      <c r="B303" s="32"/>
      <c r="C303" s="32"/>
      <c r="D303" s="32"/>
      <c r="E303" s="32"/>
      <c r="F303" s="32"/>
      <c r="G303" s="32"/>
      <c r="H303" s="32"/>
      <c r="I303" s="32"/>
      <c r="J303" s="32"/>
      <c r="K303" s="32"/>
      <c r="L303" s="32"/>
      <c r="M303" s="32"/>
      <c r="N303" s="32"/>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row>
    <row r="304" spans="1:82" x14ac:dyDescent="0.25">
      <c r="A304" s="32"/>
      <c r="B304" s="32"/>
      <c r="C304" s="32"/>
      <c r="D304" s="32"/>
      <c r="E304" s="32"/>
      <c r="F304" s="32"/>
      <c r="G304" s="32"/>
      <c r="H304" s="32"/>
      <c r="I304" s="32"/>
      <c r="J304" s="32"/>
      <c r="K304" s="32"/>
      <c r="L304" s="32"/>
      <c r="M304" s="32"/>
      <c r="N304" s="32"/>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33"/>
      <c r="BX304" s="33"/>
      <c r="BY304" s="33"/>
      <c r="BZ304" s="33"/>
      <c r="CA304" s="33"/>
      <c r="CB304" s="33"/>
      <c r="CC304" s="33"/>
      <c r="CD304" s="33"/>
    </row>
    <row r="305" spans="1:82" x14ac:dyDescent="0.25">
      <c r="A305" s="32"/>
      <c r="B305" s="32"/>
      <c r="C305" s="32"/>
      <c r="D305" s="32"/>
      <c r="E305" s="32"/>
      <c r="F305" s="32"/>
      <c r="G305" s="32"/>
      <c r="H305" s="32"/>
      <c r="I305" s="32"/>
      <c r="J305" s="32"/>
      <c r="K305" s="32"/>
      <c r="L305" s="32"/>
      <c r="M305" s="32"/>
      <c r="N305" s="32"/>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33"/>
      <c r="BX305" s="33"/>
      <c r="BY305" s="33"/>
      <c r="BZ305" s="33"/>
      <c r="CA305" s="33"/>
      <c r="CB305" s="33"/>
      <c r="CC305" s="33"/>
      <c r="CD305" s="33"/>
    </row>
    <row r="306" spans="1:82" x14ac:dyDescent="0.25">
      <c r="A306" s="32"/>
      <c r="B306" s="32"/>
      <c r="C306" s="32"/>
      <c r="D306" s="32"/>
      <c r="E306" s="32"/>
      <c r="F306" s="32"/>
      <c r="G306" s="32"/>
      <c r="H306" s="32"/>
      <c r="I306" s="32"/>
      <c r="J306" s="32"/>
      <c r="K306" s="32"/>
      <c r="L306" s="32"/>
      <c r="M306" s="32"/>
      <c r="N306" s="32"/>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row>
    <row r="307" spans="1:82" x14ac:dyDescent="0.25">
      <c r="A307" s="32"/>
      <c r="B307" s="32"/>
      <c r="C307" s="32"/>
      <c r="D307" s="32"/>
      <c r="E307" s="32"/>
      <c r="F307" s="32"/>
      <c r="G307" s="32"/>
      <c r="H307" s="32"/>
      <c r="I307" s="32"/>
      <c r="J307" s="32"/>
      <c r="K307" s="32"/>
      <c r="L307" s="32"/>
      <c r="M307" s="32"/>
      <c r="N307" s="32"/>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row>
    <row r="308" spans="1:82" x14ac:dyDescent="0.25">
      <c r="A308" s="32"/>
      <c r="B308" s="32"/>
      <c r="C308" s="32"/>
      <c r="D308" s="32"/>
      <c r="E308" s="32"/>
      <c r="F308" s="32"/>
      <c r="G308" s="32"/>
      <c r="H308" s="32"/>
      <c r="I308" s="32"/>
      <c r="J308" s="32"/>
      <c r="K308" s="32"/>
      <c r="L308" s="32"/>
      <c r="M308" s="32"/>
      <c r="N308" s="32"/>
      <c r="O308" s="33"/>
      <c r="P308" s="33"/>
      <c r="Q308" s="33"/>
      <c r="R308" s="33"/>
      <c r="S308" s="33"/>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c r="BW308" s="33"/>
      <c r="BX308" s="33"/>
      <c r="BY308" s="33"/>
      <c r="BZ308" s="33"/>
      <c r="CA308" s="33"/>
      <c r="CB308" s="33"/>
      <c r="CC308" s="33"/>
      <c r="CD308" s="33"/>
    </row>
    <row r="309" spans="1:82" x14ac:dyDescent="0.25">
      <c r="A309" s="32"/>
      <c r="B309" s="32"/>
      <c r="C309" s="32"/>
      <c r="D309" s="32"/>
      <c r="E309" s="32"/>
      <c r="F309" s="32"/>
      <c r="G309" s="32"/>
      <c r="H309" s="32"/>
      <c r="I309" s="32"/>
      <c r="J309" s="32"/>
      <c r="K309" s="32"/>
      <c r="L309" s="32"/>
      <c r="M309" s="32"/>
      <c r="N309" s="32"/>
      <c r="O309" s="33"/>
      <c r="P309" s="33"/>
      <c r="Q309" s="33"/>
      <c r="R309" s="33"/>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c r="BZ309" s="33"/>
      <c r="CA309" s="33"/>
      <c r="CB309" s="33"/>
      <c r="CC309" s="33"/>
      <c r="CD309" s="33"/>
    </row>
    <row r="310" spans="1:82" x14ac:dyDescent="0.25">
      <c r="A310" s="32"/>
      <c r="B310" s="32"/>
      <c r="C310" s="32"/>
      <c r="D310" s="32"/>
      <c r="E310" s="32"/>
      <c r="F310" s="32"/>
      <c r="G310" s="32"/>
      <c r="H310" s="32"/>
      <c r="I310" s="32"/>
      <c r="J310" s="32"/>
      <c r="K310" s="32"/>
      <c r="L310" s="32"/>
      <c r="M310" s="32"/>
      <c r="N310" s="32"/>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row>
    <row r="311" spans="1:82" x14ac:dyDescent="0.25">
      <c r="A311" s="32"/>
      <c r="B311" s="32"/>
      <c r="C311" s="32"/>
      <c r="D311" s="32"/>
      <c r="E311" s="32"/>
      <c r="F311" s="32"/>
      <c r="G311" s="32"/>
      <c r="H311" s="32"/>
      <c r="I311" s="32"/>
      <c r="J311" s="32"/>
      <c r="K311" s="32"/>
      <c r="L311" s="32"/>
      <c r="M311" s="32"/>
      <c r="N311" s="32"/>
      <c r="O311" s="33"/>
      <c r="P311" s="33"/>
      <c r="Q311" s="33"/>
      <c r="R311" s="33"/>
      <c r="S311" s="33"/>
      <c r="T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row>
    <row r="312" spans="1:82" x14ac:dyDescent="0.25">
      <c r="A312" s="32"/>
      <c r="B312" s="32"/>
      <c r="C312" s="32"/>
      <c r="D312" s="32"/>
      <c r="E312" s="32"/>
      <c r="F312" s="32"/>
      <c r="G312" s="32"/>
      <c r="H312" s="32"/>
      <c r="I312" s="32"/>
      <c r="J312" s="32"/>
      <c r="K312" s="32"/>
      <c r="L312" s="32"/>
      <c r="M312" s="32"/>
      <c r="N312" s="32"/>
      <c r="O312" s="33"/>
      <c r="P312" s="33"/>
      <c r="Q312" s="33"/>
      <c r="R312" s="33"/>
      <c r="S312" s="33"/>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row>
    <row r="313" spans="1:82" x14ac:dyDescent="0.25">
      <c r="A313" s="32"/>
      <c r="B313" s="32"/>
      <c r="C313" s="32"/>
      <c r="D313" s="32"/>
      <c r="E313" s="32"/>
      <c r="F313" s="32"/>
      <c r="G313" s="32"/>
      <c r="H313" s="32"/>
      <c r="I313" s="32"/>
      <c r="J313" s="32"/>
      <c r="K313" s="32"/>
      <c r="L313" s="32"/>
      <c r="M313" s="32"/>
      <c r="N313" s="32"/>
      <c r="O313" s="33"/>
      <c r="P313" s="33"/>
      <c r="Q313" s="33"/>
      <c r="R313" s="33"/>
      <c r="S313" s="33"/>
      <c r="T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row>
    <row r="314" spans="1:82" x14ac:dyDescent="0.25">
      <c r="A314" s="32"/>
      <c r="B314" s="32"/>
      <c r="C314" s="32"/>
      <c r="D314" s="32"/>
      <c r="E314" s="32"/>
      <c r="F314" s="32"/>
      <c r="G314" s="32"/>
      <c r="H314" s="32"/>
      <c r="I314" s="32"/>
      <c r="J314" s="32"/>
      <c r="K314" s="32"/>
      <c r="L314" s="32"/>
      <c r="M314" s="32"/>
      <c r="N314" s="32"/>
      <c r="O314" s="33"/>
      <c r="P314" s="33"/>
      <c r="Q314" s="33"/>
      <c r="R314" s="33"/>
      <c r="S314" s="33"/>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c r="BW314" s="33"/>
      <c r="BX314" s="33"/>
      <c r="BY314" s="33"/>
      <c r="BZ314" s="33"/>
      <c r="CA314" s="33"/>
      <c r="CB314" s="33"/>
      <c r="CC314" s="33"/>
      <c r="CD314" s="33"/>
    </row>
    <row r="315" spans="1:82" x14ac:dyDescent="0.25">
      <c r="A315" s="32"/>
      <c r="B315" s="32"/>
      <c r="C315" s="32"/>
      <c r="D315" s="32"/>
      <c r="E315" s="32"/>
      <c r="F315" s="32"/>
      <c r="G315" s="32"/>
      <c r="H315" s="32"/>
      <c r="I315" s="32"/>
      <c r="J315" s="32"/>
      <c r="K315" s="32"/>
      <c r="L315" s="32"/>
      <c r="M315" s="32"/>
      <c r="N315" s="32"/>
      <c r="O315" s="33"/>
      <c r="P315" s="33"/>
      <c r="Q315" s="33"/>
      <c r="R315" s="33"/>
      <c r="S315" s="33"/>
      <c r="T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c r="BW315" s="33"/>
      <c r="BX315" s="33"/>
      <c r="BY315" s="33"/>
      <c r="BZ315" s="33"/>
      <c r="CA315" s="33"/>
      <c r="CB315" s="33"/>
      <c r="CC315" s="33"/>
      <c r="CD315" s="33"/>
    </row>
    <row r="316" spans="1:82" x14ac:dyDescent="0.25">
      <c r="A316" s="32"/>
      <c r="B316" s="32"/>
      <c r="C316" s="32"/>
      <c r="D316" s="32"/>
      <c r="E316" s="32"/>
      <c r="F316" s="32"/>
      <c r="G316" s="32"/>
      <c r="H316" s="32"/>
      <c r="I316" s="32"/>
      <c r="J316" s="32"/>
      <c r="K316" s="32"/>
      <c r="L316" s="32"/>
      <c r="M316" s="32"/>
      <c r="N316" s="32"/>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33"/>
      <c r="BX316" s="33"/>
      <c r="BY316" s="33"/>
      <c r="BZ316" s="33"/>
      <c r="CA316" s="33"/>
      <c r="CB316" s="33"/>
      <c r="CC316" s="33"/>
      <c r="CD316" s="33"/>
    </row>
    <row r="317" spans="1:82" x14ac:dyDescent="0.25">
      <c r="A317" s="32"/>
      <c r="B317" s="32"/>
      <c r="C317" s="32"/>
      <c r="D317" s="32"/>
      <c r="E317" s="32"/>
      <c r="F317" s="32"/>
      <c r="G317" s="32"/>
      <c r="H317" s="32"/>
      <c r="I317" s="32"/>
      <c r="J317" s="32"/>
      <c r="K317" s="32"/>
      <c r="L317" s="32"/>
      <c r="M317" s="32"/>
      <c r="N317" s="32"/>
      <c r="O317" s="33"/>
      <c r="P317" s="33"/>
      <c r="Q317" s="33"/>
      <c r="R317" s="33"/>
      <c r="S317" s="33"/>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33"/>
      <c r="BX317" s="33"/>
      <c r="BY317" s="33"/>
      <c r="BZ317" s="33"/>
      <c r="CA317" s="33"/>
      <c r="CB317" s="33"/>
      <c r="CC317" s="33"/>
      <c r="CD317" s="33"/>
    </row>
    <row r="318" spans="1:82" x14ac:dyDescent="0.25">
      <c r="A318" s="32"/>
      <c r="B318" s="32"/>
      <c r="C318" s="32"/>
      <c r="D318" s="32"/>
      <c r="E318" s="32"/>
      <c r="F318" s="32"/>
      <c r="G318" s="32"/>
      <c r="H318" s="32"/>
      <c r="I318" s="32"/>
      <c r="J318" s="32"/>
      <c r="K318" s="32"/>
      <c r="L318" s="32"/>
      <c r="M318" s="32"/>
      <c r="N318" s="32"/>
      <c r="O318" s="33"/>
      <c r="P318" s="33"/>
      <c r="Q318" s="33"/>
      <c r="R318" s="33"/>
      <c r="S318" s="33"/>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c r="BW318" s="33"/>
      <c r="BX318" s="33"/>
      <c r="BY318" s="33"/>
      <c r="BZ318" s="33"/>
      <c r="CA318" s="33"/>
      <c r="CB318" s="33"/>
      <c r="CC318" s="33"/>
      <c r="CD318" s="33"/>
    </row>
    <row r="319" spans="1:82" x14ac:dyDescent="0.25">
      <c r="A319" s="32"/>
      <c r="B319" s="32"/>
      <c r="C319" s="32"/>
      <c r="D319" s="32"/>
      <c r="E319" s="32"/>
      <c r="F319" s="32"/>
      <c r="G319" s="32"/>
      <c r="H319" s="32"/>
      <c r="I319" s="32"/>
      <c r="J319" s="32"/>
      <c r="K319" s="32"/>
      <c r="L319" s="32"/>
      <c r="M319" s="32"/>
      <c r="N319" s="32"/>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33"/>
      <c r="BX319" s="33"/>
      <c r="BY319" s="33"/>
      <c r="BZ319" s="33"/>
      <c r="CA319" s="33"/>
      <c r="CB319" s="33"/>
      <c r="CC319" s="33"/>
      <c r="CD319" s="33"/>
    </row>
    <row r="320" spans="1:82" x14ac:dyDescent="0.25">
      <c r="A320" s="32"/>
      <c r="B320" s="32"/>
      <c r="C320" s="32"/>
      <c r="D320" s="32"/>
      <c r="E320" s="32"/>
      <c r="F320" s="32"/>
      <c r="G320" s="32"/>
      <c r="H320" s="32"/>
      <c r="I320" s="32"/>
      <c r="J320" s="32"/>
      <c r="K320" s="32"/>
      <c r="L320" s="32"/>
      <c r="M320" s="32"/>
      <c r="N320" s="32"/>
      <c r="O320" s="33"/>
      <c r="P320" s="33"/>
      <c r="Q320" s="33"/>
      <c r="R320" s="33"/>
      <c r="S320" s="33"/>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c r="BW320" s="33"/>
      <c r="BX320" s="33"/>
      <c r="BY320" s="33"/>
      <c r="BZ320" s="33"/>
      <c r="CA320" s="33"/>
      <c r="CB320" s="33"/>
      <c r="CC320" s="33"/>
      <c r="CD320" s="33"/>
    </row>
    <row r="321" spans="1:82" x14ac:dyDescent="0.25">
      <c r="A321" s="32"/>
      <c r="B321" s="32"/>
      <c r="C321" s="32"/>
      <c r="D321" s="32"/>
      <c r="E321" s="32"/>
      <c r="F321" s="32"/>
      <c r="G321" s="32"/>
      <c r="H321" s="32"/>
      <c r="I321" s="32"/>
      <c r="J321" s="32"/>
      <c r="K321" s="32"/>
      <c r="L321" s="32"/>
      <c r="M321" s="32"/>
      <c r="N321" s="32"/>
      <c r="O321" s="33"/>
      <c r="P321" s="33"/>
      <c r="Q321" s="33"/>
      <c r="R321" s="33"/>
      <c r="S321" s="33"/>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c r="BW321" s="33"/>
      <c r="BX321" s="33"/>
      <c r="BY321" s="33"/>
      <c r="BZ321" s="33"/>
      <c r="CA321" s="33"/>
      <c r="CB321" s="33"/>
      <c r="CC321" s="33"/>
      <c r="CD321" s="33"/>
    </row>
    <row r="322" spans="1:82" x14ac:dyDescent="0.25">
      <c r="A322" s="32"/>
      <c r="B322" s="32"/>
      <c r="C322" s="32"/>
      <c r="D322" s="32"/>
      <c r="E322" s="32"/>
      <c r="F322" s="32"/>
      <c r="G322" s="32"/>
      <c r="H322" s="32"/>
      <c r="I322" s="32"/>
      <c r="J322" s="32"/>
      <c r="K322" s="32"/>
      <c r="L322" s="32"/>
      <c r="M322" s="32"/>
      <c r="N322" s="32"/>
      <c r="O322" s="33"/>
      <c r="P322" s="33"/>
      <c r="Q322" s="33"/>
      <c r="R322" s="33"/>
      <c r="S322" s="33"/>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33"/>
      <c r="CD322" s="33"/>
    </row>
    <row r="323" spans="1:82" x14ac:dyDescent="0.25">
      <c r="A323" s="32"/>
      <c r="B323" s="32"/>
      <c r="C323" s="32"/>
      <c r="D323" s="32"/>
      <c r="E323" s="32"/>
      <c r="F323" s="32"/>
      <c r="G323" s="32"/>
      <c r="H323" s="32"/>
      <c r="I323" s="32"/>
      <c r="J323" s="32"/>
      <c r="K323" s="32"/>
      <c r="L323" s="32"/>
      <c r="M323" s="32"/>
      <c r="N323" s="32"/>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row>
    <row r="324" spans="1:82" x14ac:dyDescent="0.25">
      <c r="A324" s="32"/>
      <c r="B324" s="32"/>
      <c r="C324" s="32"/>
      <c r="D324" s="32"/>
      <c r="E324" s="32"/>
      <c r="F324" s="32"/>
      <c r="G324" s="32"/>
      <c r="H324" s="32"/>
      <c r="I324" s="32"/>
      <c r="J324" s="32"/>
      <c r="K324" s="32"/>
      <c r="L324" s="32"/>
      <c r="M324" s="32"/>
      <c r="N324" s="32"/>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row>
    <row r="325" spans="1:82" x14ac:dyDescent="0.25">
      <c r="A325" s="32"/>
      <c r="B325" s="32"/>
      <c r="C325" s="32"/>
      <c r="D325" s="32"/>
      <c r="E325" s="32"/>
      <c r="F325" s="32"/>
      <c r="G325" s="32"/>
      <c r="H325" s="32"/>
      <c r="I325" s="32"/>
      <c r="J325" s="32"/>
      <c r="K325" s="32"/>
      <c r="L325" s="32"/>
      <c r="M325" s="32"/>
      <c r="N325" s="32"/>
      <c r="O325" s="33"/>
      <c r="P325" s="33"/>
      <c r="Q325" s="33"/>
      <c r="R325" s="33"/>
      <c r="S325" s="33"/>
      <c r="T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row>
    <row r="326" spans="1:82" x14ac:dyDescent="0.25">
      <c r="A326" s="32"/>
      <c r="B326" s="32"/>
      <c r="C326" s="32"/>
      <c r="D326" s="32"/>
      <c r="E326" s="32"/>
      <c r="F326" s="32"/>
      <c r="G326" s="32"/>
      <c r="H326" s="32"/>
      <c r="I326" s="32"/>
      <c r="J326" s="32"/>
      <c r="K326" s="32"/>
      <c r="L326" s="32"/>
      <c r="M326" s="32"/>
      <c r="N326" s="32"/>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row>
    <row r="327" spans="1:82" x14ac:dyDescent="0.25">
      <c r="A327" s="32"/>
      <c r="B327" s="32"/>
      <c r="C327" s="32"/>
      <c r="D327" s="32"/>
      <c r="E327" s="32"/>
      <c r="F327" s="32"/>
      <c r="G327" s="32"/>
      <c r="H327" s="32"/>
      <c r="I327" s="32"/>
      <c r="J327" s="32"/>
      <c r="K327" s="32"/>
      <c r="L327" s="32"/>
      <c r="M327" s="32"/>
      <c r="N327" s="32"/>
      <c r="O327" s="33"/>
      <c r="P327" s="33"/>
      <c r="Q327" s="33"/>
      <c r="R327" s="33"/>
      <c r="S327" s="33"/>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row>
    <row r="328" spans="1:82" x14ac:dyDescent="0.25">
      <c r="A328" s="32"/>
      <c r="B328" s="32"/>
      <c r="C328" s="32"/>
      <c r="D328" s="32"/>
      <c r="E328" s="32"/>
      <c r="F328" s="32"/>
      <c r="G328" s="32"/>
      <c r="H328" s="32"/>
      <c r="I328" s="32"/>
      <c r="J328" s="32"/>
      <c r="K328" s="32"/>
      <c r="L328" s="32"/>
      <c r="M328" s="32"/>
      <c r="N328" s="32"/>
      <c r="O328" s="33"/>
      <c r="P328" s="33"/>
      <c r="Q328" s="33"/>
      <c r="R328" s="33"/>
      <c r="S328" s="33"/>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c r="BW328" s="33"/>
      <c r="BX328" s="33"/>
      <c r="BY328" s="33"/>
      <c r="BZ328" s="33"/>
      <c r="CA328" s="33"/>
      <c r="CB328" s="33"/>
      <c r="CC328" s="33"/>
      <c r="CD328" s="33"/>
    </row>
    <row r="329" spans="1:82" x14ac:dyDescent="0.25">
      <c r="A329" s="32"/>
      <c r="B329" s="32"/>
      <c r="C329" s="32"/>
      <c r="D329" s="32"/>
      <c r="E329" s="32"/>
      <c r="F329" s="32"/>
      <c r="G329" s="32"/>
      <c r="H329" s="32"/>
      <c r="I329" s="32"/>
      <c r="J329" s="32"/>
      <c r="K329" s="32"/>
      <c r="L329" s="32"/>
      <c r="M329" s="32"/>
      <c r="N329" s="32"/>
      <c r="O329" s="33"/>
      <c r="P329" s="33"/>
      <c r="Q329" s="33"/>
      <c r="R329" s="33"/>
      <c r="S329" s="33"/>
      <c r="T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c r="BW329" s="33"/>
      <c r="BX329" s="33"/>
      <c r="BY329" s="33"/>
      <c r="BZ329" s="33"/>
      <c r="CA329" s="33"/>
      <c r="CB329" s="33"/>
      <c r="CC329" s="33"/>
      <c r="CD329" s="33"/>
    </row>
    <row r="330" spans="1:82" x14ac:dyDescent="0.25">
      <c r="A330" s="32"/>
      <c r="B330" s="32"/>
      <c r="C330" s="32"/>
      <c r="D330" s="32"/>
      <c r="E330" s="32"/>
      <c r="F330" s="32"/>
      <c r="G330" s="32"/>
      <c r="H330" s="32"/>
      <c r="I330" s="32"/>
      <c r="J330" s="32"/>
      <c r="K330" s="32"/>
      <c r="L330" s="32"/>
      <c r="M330" s="32"/>
      <c r="N330" s="32"/>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33"/>
      <c r="BX330" s="33"/>
      <c r="BY330" s="33"/>
      <c r="BZ330" s="33"/>
      <c r="CA330" s="33"/>
      <c r="CB330" s="33"/>
      <c r="CC330" s="33"/>
      <c r="CD330" s="33"/>
    </row>
    <row r="331" spans="1:82" x14ac:dyDescent="0.25">
      <c r="A331" s="32"/>
      <c r="B331" s="32"/>
      <c r="C331" s="32"/>
      <c r="D331" s="32"/>
      <c r="E331" s="32"/>
      <c r="F331" s="32"/>
      <c r="G331" s="32"/>
      <c r="H331" s="32"/>
      <c r="I331" s="32"/>
      <c r="J331" s="32"/>
      <c r="K331" s="32"/>
      <c r="L331" s="32"/>
      <c r="M331" s="32"/>
      <c r="N331" s="32"/>
      <c r="O331" s="33"/>
      <c r="P331" s="33"/>
      <c r="Q331" s="33"/>
      <c r="R331" s="33"/>
      <c r="S331" s="33"/>
      <c r="T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c r="BW331" s="33"/>
      <c r="BX331" s="33"/>
      <c r="BY331" s="33"/>
      <c r="BZ331" s="33"/>
      <c r="CA331" s="33"/>
      <c r="CB331" s="33"/>
      <c r="CC331" s="33"/>
      <c r="CD331" s="33"/>
    </row>
    <row r="332" spans="1:82" x14ac:dyDescent="0.25">
      <c r="A332" s="32"/>
      <c r="B332" s="32"/>
      <c r="C332" s="32"/>
      <c r="D332" s="32"/>
      <c r="E332" s="32"/>
      <c r="F332" s="32"/>
      <c r="G332" s="32"/>
      <c r="H332" s="32"/>
      <c r="I332" s="32"/>
      <c r="J332" s="32"/>
      <c r="K332" s="32"/>
      <c r="L332" s="32"/>
      <c r="M332" s="32"/>
      <c r="N332" s="32"/>
      <c r="O332" s="33"/>
      <c r="P332" s="33"/>
      <c r="Q332" s="33"/>
      <c r="R332" s="33"/>
      <c r="S332" s="33"/>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33"/>
      <c r="BX332" s="33"/>
      <c r="BY332" s="33"/>
      <c r="BZ332" s="33"/>
      <c r="CA332" s="33"/>
      <c r="CB332" s="33"/>
      <c r="CC332" s="33"/>
      <c r="CD332" s="33"/>
    </row>
    <row r="333" spans="1:82" x14ac:dyDescent="0.25">
      <c r="A333" s="32"/>
      <c r="B333" s="32"/>
      <c r="C333" s="32"/>
      <c r="D333" s="32"/>
      <c r="E333" s="32"/>
      <c r="F333" s="32"/>
      <c r="G333" s="32"/>
      <c r="H333" s="32"/>
      <c r="I333" s="32"/>
      <c r="J333" s="32"/>
      <c r="K333" s="32"/>
      <c r="L333" s="32"/>
      <c r="M333" s="32"/>
      <c r="N333" s="32"/>
      <c r="O333" s="33"/>
      <c r="P333" s="33"/>
      <c r="Q333" s="33"/>
      <c r="R333" s="33"/>
      <c r="S333" s="33"/>
      <c r="T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c r="BW333" s="33"/>
      <c r="BX333" s="33"/>
      <c r="BY333" s="33"/>
      <c r="BZ333" s="33"/>
      <c r="CA333" s="33"/>
      <c r="CB333" s="33"/>
      <c r="CC333" s="33"/>
      <c r="CD333" s="33"/>
    </row>
    <row r="334" spans="1:82" x14ac:dyDescent="0.25">
      <c r="A334" s="32"/>
      <c r="B334" s="32"/>
      <c r="C334" s="32"/>
      <c r="D334" s="32"/>
      <c r="E334" s="32"/>
      <c r="F334" s="32"/>
      <c r="G334" s="32"/>
      <c r="H334" s="32"/>
      <c r="I334" s="32"/>
      <c r="J334" s="32"/>
      <c r="K334" s="32"/>
      <c r="L334" s="32"/>
      <c r="M334" s="32"/>
      <c r="N334" s="32"/>
      <c r="O334" s="33"/>
      <c r="P334" s="33"/>
      <c r="Q334" s="33"/>
      <c r="R334" s="33"/>
      <c r="S334" s="33"/>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c r="BW334" s="33"/>
      <c r="BX334" s="33"/>
      <c r="BY334" s="33"/>
      <c r="BZ334" s="33"/>
      <c r="CA334" s="33"/>
      <c r="CB334" s="33"/>
      <c r="CC334" s="33"/>
      <c r="CD334" s="33"/>
    </row>
    <row r="335" spans="1:82" x14ac:dyDescent="0.25">
      <c r="A335" s="32"/>
      <c r="B335" s="32"/>
      <c r="C335" s="32"/>
      <c r="D335" s="32"/>
      <c r="E335" s="32"/>
      <c r="F335" s="32"/>
      <c r="G335" s="32"/>
      <c r="H335" s="32"/>
      <c r="I335" s="32"/>
      <c r="J335" s="32"/>
      <c r="K335" s="32"/>
      <c r="L335" s="32"/>
      <c r="M335" s="32"/>
      <c r="N335" s="32"/>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33"/>
      <c r="BN335" s="33"/>
      <c r="BO335" s="33"/>
      <c r="BP335" s="33"/>
      <c r="BQ335" s="33"/>
      <c r="BR335" s="33"/>
      <c r="BS335" s="33"/>
      <c r="BT335" s="33"/>
      <c r="BU335" s="33"/>
      <c r="BV335" s="33"/>
      <c r="BW335" s="33"/>
      <c r="BX335" s="33"/>
      <c r="BY335" s="33"/>
      <c r="BZ335" s="33"/>
      <c r="CA335" s="33"/>
      <c r="CB335" s="33"/>
      <c r="CC335" s="33"/>
      <c r="CD335" s="33"/>
    </row>
    <row r="336" spans="1:82" x14ac:dyDescent="0.25">
      <c r="A336" s="32"/>
      <c r="B336" s="32"/>
      <c r="C336" s="32"/>
      <c r="D336" s="32"/>
      <c r="E336" s="32"/>
      <c r="F336" s="32"/>
      <c r="G336" s="32"/>
      <c r="H336" s="32"/>
      <c r="I336" s="32"/>
      <c r="J336" s="32"/>
      <c r="K336" s="32"/>
      <c r="L336" s="32"/>
      <c r="M336" s="32"/>
      <c r="N336" s="32"/>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c r="BW336" s="33"/>
      <c r="BX336" s="33"/>
      <c r="BY336" s="33"/>
      <c r="BZ336" s="33"/>
      <c r="CA336" s="33"/>
      <c r="CB336" s="33"/>
      <c r="CC336" s="33"/>
      <c r="CD336" s="33"/>
    </row>
    <row r="337" spans="1:82" x14ac:dyDescent="0.25">
      <c r="A337" s="32"/>
      <c r="B337" s="32"/>
      <c r="C337" s="32"/>
      <c r="D337" s="32"/>
      <c r="E337" s="32"/>
      <c r="F337" s="32"/>
      <c r="G337" s="32"/>
      <c r="H337" s="32"/>
      <c r="I337" s="32"/>
      <c r="J337" s="32"/>
      <c r="K337" s="32"/>
      <c r="L337" s="32"/>
      <c r="M337" s="32"/>
      <c r="N337" s="32"/>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c r="BW337" s="33"/>
      <c r="BX337" s="33"/>
      <c r="BY337" s="33"/>
      <c r="BZ337" s="33"/>
      <c r="CA337" s="33"/>
      <c r="CB337" s="33"/>
      <c r="CC337" s="33"/>
      <c r="CD337" s="33"/>
    </row>
    <row r="338" spans="1:82" x14ac:dyDescent="0.25">
      <c r="A338" s="32"/>
      <c r="B338" s="32"/>
      <c r="C338" s="32"/>
      <c r="D338" s="32"/>
      <c r="E338" s="32"/>
      <c r="F338" s="32"/>
      <c r="G338" s="32"/>
      <c r="H338" s="32"/>
      <c r="I338" s="32"/>
      <c r="J338" s="32"/>
      <c r="K338" s="32"/>
      <c r="L338" s="32"/>
      <c r="M338" s="32"/>
      <c r="N338" s="32"/>
      <c r="O338" s="33"/>
      <c r="P338" s="33"/>
      <c r="Q338" s="33"/>
      <c r="R338" s="33"/>
      <c r="S338" s="33"/>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c r="BW338" s="33"/>
      <c r="BX338" s="33"/>
      <c r="BY338" s="33"/>
      <c r="BZ338" s="33"/>
      <c r="CA338" s="33"/>
      <c r="CB338" s="33"/>
      <c r="CC338" s="33"/>
      <c r="CD338" s="33"/>
    </row>
    <row r="339" spans="1:82" x14ac:dyDescent="0.25">
      <c r="A339" s="32"/>
      <c r="B339" s="32"/>
      <c r="C339" s="32"/>
      <c r="D339" s="32"/>
      <c r="E339" s="32"/>
      <c r="F339" s="32"/>
      <c r="G339" s="32"/>
      <c r="H339" s="32"/>
      <c r="I339" s="32"/>
      <c r="J339" s="32"/>
      <c r="K339" s="32"/>
      <c r="L339" s="32"/>
      <c r="M339" s="32"/>
      <c r="N339" s="32"/>
      <c r="O339" s="33"/>
      <c r="P339" s="33"/>
      <c r="Q339" s="33"/>
      <c r="R339" s="33"/>
      <c r="S339" s="33"/>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row>
    <row r="340" spans="1:82" x14ac:dyDescent="0.25">
      <c r="A340" s="32"/>
      <c r="B340" s="32"/>
      <c r="C340" s="32"/>
      <c r="D340" s="32"/>
      <c r="E340" s="32"/>
      <c r="F340" s="32"/>
      <c r="G340" s="32"/>
      <c r="H340" s="32"/>
      <c r="I340" s="32"/>
      <c r="J340" s="32"/>
      <c r="K340" s="32"/>
      <c r="L340" s="32"/>
      <c r="M340" s="32"/>
      <c r="N340" s="32"/>
      <c r="O340" s="33"/>
      <c r="P340" s="33"/>
      <c r="Q340" s="33"/>
      <c r="R340" s="33"/>
      <c r="S340" s="33"/>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row>
    <row r="341" spans="1:82" x14ac:dyDescent="0.25">
      <c r="A341" s="32"/>
      <c r="B341" s="32"/>
      <c r="C341" s="32"/>
      <c r="D341" s="32"/>
      <c r="E341" s="32"/>
      <c r="F341" s="32"/>
      <c r="G341" s="32"/>
      <c r="H341" s="32"/>
      <c r="I341" s="32"/>
      <c r="J341" s="32"/>
      <c r="K341" s="32"/>
      <c r="L341" s="32"/>
      <c r="M341" s="32"/>
      <c r="N341" s="32"/>
      <c r="O341" s="33"/>
      <c r="P341" s="33"/>
      <c r="Q341" s="33"/>
      <c r="R341" s="33"/>
      <c r="S341" s="33"/>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row>
    <row r="342" spans="1:82" x14ac:dyDescent="0.25">
      <c r="A342" s="32"/>
      <c r="B342" s="32"/>
      <c r="C342" s="32"/>
      <c r="D342" s="32"/>
      <c r="E342" s="32"/>
      <c r="F342" s="32"/>
      <c r="G342" s="32"/>
      <c r="H342" s="32"/>
      <c r="I342" s="32"/>
      <c r="J342" s="32"/>
      <c r="K342" s="32"/>
      <c r="L342" s="32"/>
      <c r="M342" s="32"/>
      <c r="N342" s="32"/>
      <c r="O342" s="33"/>
      <c r="P342" s="33"/>
      <c r="Q342" s="33"/>
      <c r="R342" s="33"/>
      <c r="S342" s="33"/>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row>
    <row r="343" spans="1:82" x14ac:dyDescent="0.25">
      <c r="A343" s="32"/>
      <c r="B343" s="32"/>
      <c r="C343" s="32"/>
      <c r="D343" s="32"/>
      <c r="E343" s="32"/>
      <c r="F343" s="32"/>
      <c r="G343" s="32"/>
      <c r="H343" s="32"/>
      <c r="I343" s="32"/>
      <c r="J343" s="32"/>
      <c r="K343" s="32"/>
      <c r="L343" s="32"/>
      <c r="M343" s="32"/>
      <c r="N343" s="32"/>
      <c r="O343" s="33"/>
      <c r="P343" s="33"/>
      <c r="Q343" s="33"/>
      <c r="R343" s="33"/>
      <c r="S343" s="33"/>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row>
    <row r="344" spans="1:82" x14ac:dyDescent="0.25">
      <c r="A344" s="32"/>
      <c r="B344" s="32"/>
      <c r="C344" s="32"/>
      <c r="D344" s="32"/>
      <c r="E344" s="32"/>
      <c r="F344" s="32"/>
      <c r="G344" s="32"/>
      <c r="H344" s="32"/>
      <c r="I344" s="32"/>
      <c r="J344" s="32"/>
      <c r="K344" s="32"/>
      <c r="L344" s="32"/>
      <c r="M344" s="32"/>
      <c r="N344" s="32"/>
      <c r="O344" s="33"/>
      <c r="P344" s="33"/>
      <c r="Q344" s="33"/>
      <c r="R344" s="33"/>
      <c r="S344" s="33"/>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c r="BW344" s="33"/>
      <c r="BX344" s="33"/>
      <c r="BY344" s="33"/>
      <c r="BZ344" s="33"/>
      <c r="CA344" s="33"/>
      <c r="CB344" s="33"/>
      <c r="CC344" s="33"/>
      <c r="CD344" s="33"/>
    </row>
    <row r="345" spans="1:82" x14ac:dyDescent="0.25">
      <c r="A345" s="32"/>
      <c r="B345" s="32"/>
      <c r="C345" s="32"/>
      <c r="D345" s="32"/>
      <c r="E345" s="32"/>
      <c r="F345" s="32"/>
      <c r="G345" s="32"/>
      <c r="H345" s="32"/>
      <c r="I345" s="32"/>
      <c r="J345" s="32"/>
      <c r="K345" s="32"/>
      <c r="L345" s="32"/>
      <c r="M345" s="32"/>
      <c r="N345" s="32"/>
      <c r="O345" s="33"/>
      <c r="P345" s="33"/>
      <c r="Q345" s="33"/>
      <c r="R345" s="33"/>
      <c r="S345" s="33"/>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c r="BW345" s="33"/>
      <c r="BX345" s="33"/>
      <c r="BY345" s="33"/>
      <c r="BZ345" s="33"/>
      <c r="CA345" s="33"/>
      <c r="CB345" s="33"/>
      <c r="CC345" s="33"/>
      <c r="CD345" s="33"/>
    </row>
    <row r="346" spans="1:82" x14ac:dyDescent="0.25">
      <c r="A346" s="32"/>
      <c r="B346" s="32"/>
      <c r="C346" s="32"/>
      <c r="D346" s="32"/>
      <c r="E346" s="32"/>
      <c r="F346" s="32"/>
      <c r="G346" s="32"/>
      <c r="H346" s="32"/>
      <c r="I346" s="32"/>
      <c r="J346" s="32"/>
      <c r="K346" s="32"/>
      <c r="L346" s="32"/>
      <c r="M346" s="32"/>
      <c r="N346" s="32"/>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c r="BW346" s="33"/>
      <c r="BX346" s="33"/>
      <c r="BY346" s="33"/>
      <c r="BZ346" s="33"/>
      <c r="CA346" s="33"/>
      <c r="CB346" s="33"/>
      <c r="CC346" s="33"/>
      <c r="CD346" s="33"/>
    </row>
    <row r="347" spans="1:82" x14ac:dyDescent="0.25">
      <c r="A347" s="32"/>
      <c r="B347" s="32"/>
      <c r="C347" s="32"/>
      <c r="D347" s="32"/>
      <c r="E347" s="32"/>
      <c r="F347" s="32"/>
      <c r="G347" s="32"/>
      <c r="H347" s="32"/>
      <c r="I347" s="32"/>
      <c r="J347" s="32"/>
      <c r="K347" s="32"/>
      <c r="L347" s="32"/>
      <c r="M347" s="32"/>
      <c r="N347" s="32"/>
      <c r="O347" s="33"/>
      <c r="P347" s="33"/>
      <c r="Q347" s="33"/>
      <c r="R347" s="33"/>
      <c r="S347" s="33"/>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c r="BW347" s="33"/>
      <c r="BX347" s="33"/>
      <c r="BY347" s="33"/>
      <c r="BZ347" s="33"/>
      <c r="CA347" s="33"/>
      <c r="CB347" s="33"/>
      <c r="CC347" s="33"/>
      <c r="CD347" s="33"/>
    </row>
    <row r="348" spans="1:82" x14ac:dyDescent="0.25">
      <c r="A348" s="32"/>
      <c r="B348" s="32"/>
      <c r="C348" s="32"/>
      <c r="D348" s="32"/>
      <c r="E348" s="32"/>
      <c r="F348" s="32"/>
      <c r="G348" s="32"/>
      <c r="H348" s="32"/>
      <c r="I348" s="32"/>
      <c r="J348" s="32"/>
      <c r="K348" s="32"/>
      <c r="L348" s="32"/>
      <c r="M348" s="32"/>
      <c r="N348" s="32"/>
      <c r="O348" s="33"/>
      <c r="P348" s="33"/>
      <c r="Q348" s="33"/>
      <c r="R348" s="33"/>
      <c r="S348" s="33"/>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c r="BW348" s="33"/>
      <c r="BX348" s="33"/>
      <c r="BY348" s="33"/>
      <c r="BZ348" s="33"/>
      <c r="CA348" s="33"/>
      <c r="CB348" s="33"/>
      <c r="CC348" s="33"/>
      <c r="CD348" s="33"/>
    </row>
    <row r="349" spans="1:82" x14ac:dyDescent="0.25">
      <c r="A349" s="32"/>
      <c r="B349" s="32"/>
      <c r="C349" s="32"/>
      <c r="D349" s="32"/>
      <c r="E349" s="32"/>
      <c r="F349" s="32"/>
      <c r="G349" s="32"/>
      <c r="H349" s="32"/>
      <c r="I349" s="32"/>
      <c r="J349" s="32"/>
      <c r="K349" s="32"/>
      <c r="L349" s="32"/>
      <c r="M349" s="32"/>
      <c r="N349" s="32"/>
      <c r="O349" s="33"/>
      <c r="P349" s="33"/>
      <c r="Q349" s="33"/>
      <c r="R349" s="33"/>
      <c r="S349" s="33"/>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33"/>
      <c r="BX349" s="33"/>
      <c r="BY349" s="33"/>
      <c r="BZ349" s="33"/>
      <c r="CA349" s="33"/>
      <c r="CB349" s="33"/>
      <c r="CC349" s="33"/>
      <c r="CD349" s="33"/>
    </row>
    <row r="350" spans="1:82" x14ac:dyDescent="0.25">
      <c r="A350" s="32"/>
      <c r="B350" s="32"/>
      <c r="C350" s="32"/>
      <c r="D350" s="32"/>
      <c r="E350" s="32"/>
      <c r="F350" s="32"/>
      <c r="G350" s="32"/>
      <c r="H350" s="32"/>
      <c r="I350" s="32"/>
      <c r="J350" s="32"/>
      <c r="K350" s="32"/>
      <c r="L350" s="32"/>
      <c r="M350" s="32"/>
      <c r="N350" s="32"/>
      <c r="O350" s="33"/>
      <c r="P350" s="33"/>
      <c r="Q350" s="33"/>
      <c r="R350" s="33"/>
      <c r="S350" s="33"/>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c r="BW350" s="33"/>
      <c r="BX350" s="33"/>
      <c r="BY350" s="33"/>
      <c r="BZ350" s="33"/>
      <c r="CA350" s="33"/>
      <c r="CB350" s="33"/>
      <c r="CC350" s="33"/>
      <c r="CD350" s="33"/>
    </row>
    <row r="351" spans="1:82" x14ac:dyDescent="0.25">
      <c r="A351" s="32"/>
      <c r="B351" s="32"/>
      <c r="C351" s="32"/>
      <c r="D351" s="32"/>
      <c r="E351" s="32"/>
      <c r="F351" s="32"/>
      <c r="G351" s="32"/>
      <c r="H351" s="32"/>
      <c r="I351" s="32"/>
      <c r="J351" s="32"/>
      <c r="K351" s="32"/>
      <c r="L351" s="32"/>
      <c r="M351" s="32"/>
      <c r="N351" s="32"/>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c r="BW351" s="33"/>
      <c r="BX351" s="33"/>
      <c r="BY351" s="33"/>
      <c r="BZ351" s="33"/>
      <c r="CA351" s="33"/>
      <c r="CB351" s="33"/>
      <c r="CC351" s="33"/>
      <c r="CD351" s="33"/>
    </row>
    <row r="352" spans="1:82" x14ac:dyDescent="0.25">
      <c r="A352" s="32"/>
      <c r="B352" s="32"/>
      <c r="C352" s="32"/>
      <c r="D352" s="32"/>
      <c r="E352" s="32"/>
      <c r="F352" s="32"/>
      <c r="G352" s="32"/>
      <c r="H352" s="32"/>
      <c r="I352" s="32"/>
      <c r="J352" s="32"/>
      <c r="K352" s="32"/>
      <c r="L352" s="32"/>
      <c r="M352" s="32"/>
      <c r="N352" s="32"/>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c r="BW352" s="33"/>
      <c r="BX352" s="33"/>
      <c r="BY352" s="33"/>
      <c r="BZ352" s="33"/>
      <c r="CA352" s="33"/>
      <c r="CB352" s="33"/>
      <c r="CC352" s="33"/>
      <c r="CD352" s="33"/>
    </row>
    <row r="353" spans="1:82" x14ac:dyDescent="0.25">
      <c r="A353" s="32"/>
      <c r="B353" s="32"/>
      <c r="C353" s="32"/>
      <c r="D353" s="32"/>
      <c r="E353" s="32"/>
      <c r="F353" s="32"/>
      <c r="G353" s="32"/>
      <c r="H353" s="32"/>
      <c r="I353" s="32"/>
      <c r="J353" s="32"/>
      <c r="K353" s="32"/>
      <c r="L353" s="32"/>
      <c r="M353" s="32"/>
      <c r="N353" s="32"/>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row>
    <row r="354" spans="1:82" x14ac:dyDescent="0.25">
      <c r="A354" s="32"/>
      <c r="B354" s="32"/>
      <c r="C354" s="32"/>
      <c r="D354" s="32"/>
      <c r="E354" s="32"/>
      <c r="F354" s="32"/>
      <c r="G354" s="32"/>
      <c r="H354" s="32"/>
      <c r="I354" s="32"/>
      <c r="J354" s="32"/>
      <c r="K354" s="32"/>
      <c r="L354" s="32"/>
      <c r="M354" s="32"/>
      <c r="N354" s="32"/>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row>
    <row r="355" spans="1:82" x14ac:dyDescent="0.25">
      <c r="A355" s="32"/>
      <c r="B355" s="32"/>
      <c r="C355" s="32"/>
      <c r="D355" s="32"/>
      <c r="E355" s="32"/>
      <c r="F355" s="32"/>
      <c r="G355" s="32"/>
      <c r="H355" s="32"/>
      <c r="I355" s="32"/>
      <c r="J355" s="32"/>
      <c r="K355" s="32"/>
      <c r="L355" s="32"/>
      <c r="M355" s="32"/>
      <c r="N355" s="32"/>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row>
    <row r="356" spans="1:82" x14ac:dyDescent="0.25">
      <c r="A356" s="32"/>
      <c r="B356" s="32"/>
      <c r="C356" s="32"/>
      <c r="D356" s="32"/>
      <c r="E356" s="32"/>
      <c r="F356" s="32"/>
      <c r="G356" s="32"/>
      <c r="H356" s="32"/>
      <c r="I356" s="32"/>
      <c r="J356" s="32"/>
      <c r="K356" s="32"/>
      <c r="L356" s="32"/>
      <c r="M356" s="32"/>
      <c r="N356" s="32"/>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row>
    <row r="357" spans="1:82" x14ac:dyDescent="0.25">
      <c r="A357" s="32"/>
      <c r="B357" s="32"/>
      <c r="C357" s="32"/>
      <c r="D357" s="32"/>
      <c r="E357" s="32"/>
      <c r="F357" s="32"/>
      <c r="G357" s="32"/>
      <c r="H357" s="32"/>
      <c r="I357" s="32"/>
      <c r="J357" s="32"/>
      <c r="K357" s="32"/>
      <c r="L357" s="32"/>
      <c r="M357" s="32"/>
      <c r="N357" s="32"/>
      <c r="O357" s="33"/>
      <c r="P357" s="33"/>
      <c r="Q357" s="33"/>
      <c r="R357" s="33"/>
      <c r="S357" s="33"/>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c r="BW357" s="33"/>
      <c r="BX357" s="33"/>
      <c r="BY357" s="33"/>
      <c r="BZ357" s="33"/>
      <c r="CA357" s="33"/>
      <c r="CB357" s="33"/>
      <c r="CC357" s="33"/>
      <c r="CD357" s="33"/>
    </row>
    <row r="358" spans="1:82" x14ac:dyDescent="0.25">
      <c r="A358" s="32"/>
      <c r="B358" s="32"/>
      <c r="C358" s="32"/>
      <c r="D358" s="32"/>
      <c r="E358" s="32"/>
      <c r="F358" s="32"/>
      <c r="G358" s="32"/>
      <c r="H358" s="32"/>
      <c r="I358" s="32"/>
      <c r="J358" s="32"/>
      <c r="K358" s="32"/>
      <c r="L358" s="32"/>
      <c r="M358" s="32"/>
      <c r="N358" s="32"/>
      <c r="O358" s="33"/>
      <c r="P358" s="33"/>
      <c r="Q358" s="33"/>
      <c r="R358" s="33"/>
      <c r="S358" s="33"/>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c r="BW358" s="33"/>
      <c r="BX358" s="33"/>
      <c r="BY358" s="33"/>
      <c r="BZ358" s="33"/>
      <c r="CA358" s="33"/>
      <c r="CB358" s="33"/>
      <c r="CC358" s="33"/>
      <c r="CD358" s="33"/>
    </row>
    <row r="359" spans="1:82" x14ac:dyDescent="0.25">
      <c r="A359" s="32"/>
      <c r="B359" s="32"/>
      <c r="C359" s="32"/>
      <c r="D359" s="32"/>
      <c r="E359" s="32"/>
      <c r="F359" s="32"/>
      <c r="G359" s="32"/>
      <c r="H359" s="32"/>
      <c r="I359" s="32"/>
      <c r="J359" s="32"/>
      <c r="K359" s="32"/>
      <c r="L359" s="32"/>
      <c r="M359" s="32"/>
      <c r="N359" s="32"/>
      <c r="O359" s="33"/>
      <c r="P359" s="33"/>
      <c r="Q359" s="33"/>
      <c r="R359" s="33"/>
      <c r="S359" s="33"/>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c r="BW359" s="33"/>
      <c r="BX359" s="33"/>
      <c r="BY359" s="33"/>
      <c r="BZ359" s="33"/>
      <c r="CA359" s="33"/>
      <c r="CB359" s="33"/>
      <c r="CC359" s="33"/>
      <c r="CD359" s="33"/>
    </row>
    <row r="360" spans="1:82" x14ac:dyDescent="0.25">
      <c r="A360" s="32"/>
      <c r="B360" s="32"/>
      <c r="C360" s="32"/>
      <c r="D360" s="32"/>
      <c r="E360" s="32"/>
      <c r="F360" s="32"/>
      <c r="G360" s="32"/>
      <c r="H360" s="32"/>
      <c r="I360" s="32"/>
      <c r="J360" s="32"/>
      <c r="K360" s="32"/>
      <c r="L360" s="32"/>
      <c r="M360" s="32"/>
      <c r="N360" s="32"/>
      <c r="O360" s="33"/>
      <c r="P360" s="33"/>
      <c r="Q360" s="33"/>
      <c r="R360" s="33"/>
      <c r="S360" s="33"/>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c r="BW360" s="33"/>
      <c r="BX360" s="33"/>
      <c r="BY360" s="33"/>
      <c r="BZ360" s="33"/>
      <c r="CA360" s="33"/>
      <c r="CB360" s="33"/>
      <c r="CC360" s="33"/>
      <c r="CD360" s="33"/>
    </row>
    <row r="361" spans="1:82" x14ac:dyDescent="0.25">
      <c r="A361" s="32"/>
      <c r="B361" s="32"/>
      <c r="C361" s="32"/>
      <c r="D361" s="32"/>
      <c r="E361" s="32"/>
      <c r="F361" s="32"/>
      <c r="G361" s="32"/>
      <c r="H361" s="32"/>
      <c r="I361" s="32"/>
      <c r="J361" s="32"/>
      <c r="K361" s="32"/>
      <c r="L361" s="32"/>
      <c r="M361" s="32"/>
      <c r="N361" s="32"/>
      <c r="O361" s="33"/>
      <c r="P361" s="33"/>
      <c r="Q361" s="33"/>
      <c r="R361" s="33"/>
      <c r="S361" s="33"/>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c r="BW361" s="33"/>
      <c r="BX361" s="33"/>
      <c r="BY361" s="33"/>
      <c r="BZ361" s="33"/>
      <c r="CA361" s="33"/>
      <c r="CB361" s="33"/>
      <c r="CC361" s="33"/>
      <c r="CD361" s="33"/>
    </row>
    <row r="362" spans="1:82" x14ac:dyDescent="0.25">
      <c r="A362" s="32"/>
      <c r="B362" s="32"/>
      <c r="C362" s="32"/>
      <c r="D362" s="32"/>
      <c r="E362" s="32"/>
      <c r="F362" s="32"/>
      <c r="G362" s="32"/>
      <c r="H362" s="32"/>
      <c r="I362" s="32"/>
      <c r="J362" s="32"/>
      <c r="K362" s="32"/>
      <c r="L362" s="32"/>
      <c r="M362" s="32"/>
      <c r="N362" s="32"/>
      <c r="O362" s="33"/>
      <c r="P362" s="33"/>
      <c r="Q362" s="33"/>
      <c r="R362" s="33"/>
      <c r="S362" s="33"/>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c r="BW362" s="33"/>
      <c r="BX362" s="33"/>
      <c r="BY362" s="33"/>
      <c r="BZ362" s="33"/>
      <c r="CA362" s="33"/>
      <c r="CB362" s="33"/>
      <c r="CC362" s="33"/>
      <c r="CD362" s="33"/>
    </row>
    <row r="363" spans="1:82" x14ac:dyDescent="0.25">
      <c r="A363" s="32"/>
      <c r="B363" s="32"/>
      <c r="C363" s="32"/>
      <c r="D363" s="32"/>
      <c r="E363" s="32"/>
      <c r="F363" s="32"/>
      <c r="G363" s="32"/>
      <c r="H363" s="32"/>
      <c r="I363" s="32"/>
      <c r="J363" s="32"/>
      <c r="K363" s="32"/>
      <c r="L363" s="32"/>
      <c r="M363" s="32"/>
      <c r="N363" s="32"/>
      <c r="O363" s="33"/>
      <c r="P363" s="33"/>
      <c r="Q363" s="33"/>
      <c r="R363" s="33"/>
      <c r="S363" s="33"/>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c r="BW363" s="33"/>
      <c r="BX363" s="33"/>
      <c r="BY363" s="33"/>
      <c r="BZ363" s="33"/>
      <c r="CA363" s="33"/>
      <c r="CB363" s="33"/>
      <c r="CC363" s="33"/>
      <c r="CD363" s="33"/>
    </row>
    <row r="364" spans="1:82" x14ac:dyDescent="0.25">
      <c r="A364" s="32"/>
      <c r="B364" s="32"/>
      <c r="C364" s="32"/>
      <c r="D364" s="32"/>
      <c r="E364" s="32"/>
      <c r="F364" s="32"/>
      <c r="G364" s="32"/>
      <c r="H364" s="32"/>
      <c r="I364" s="32"/>
      <c r="J364" s="32"/>
      <c r="K364" s="32"/>
      <c r="L364" s="32"/>
      <c r="M364" s="32"/>
      <c r="N364" s="32"/>
      <c r="O364" s="33"/>
      <c r="P364" s="33"/>
      <c r="Q364" s="33"/>
      <c r="R364" s="33"/>
      <c r="S364" s="33"/>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c r="BW364" s="33"/>
      <c r="BX364" s="33"/>
      <c r="BY364" s="33"/>
      <c r="BZ364" s="33"/>
      <c r="CA364" s="33"/>
      <c r="CB364" s="33"/>
      <c r="CC364" s="33"/>
      <c r="CD364" s="33"/>
    </row>
    <row r="365" spans="1:82" x14ac:dyDescent="0.25">
      <c r="A365" s="32"/>
      <c r="B365" s="32"/>
      <c r="C365" s="32"/>
      <c r="D365" s="32"/>
      <c r="E365" s="32"/>
      <c r="F365" s="32"/>
      <c r="G365" s="32"/>
      <c r="H365" s="32"/>
      <c r="I365" s="32"/>
      <c r="J365" s="32"/>
      <c r="K365" s="32"/>
      <c r="L365" s="32"/>
      <c r="M365" s="32"/>
      <c r="N365" s="32"/>
      <c r="O365" s="33"/>
      <c r="P365" s="33"/>
      <c r="Q365" s="33"/>
      <c r="R365" s="33"/>
      <c r="S365" s="33"/>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c r="BW365" s="33"/>
      <c r="BX365" s="33"/>
      <c r="BY365" s="33"/>
      <c r="BZ365" s="33"/>
      <c r="CA365" s="33"/>
      <c r="CB365" s="33"/>
      <c r="CC365" s="33"/>
      <c r="CD365" s="33"/>
    </row>
    <row r="366" spans="1:82" x14ac:dyDescent="0.25">
      <c r="A366" s="32"/>
      <c r="B366" s="32"/>
      <c r="C366" s="32"/>
      <c r="D366" s="32"/>
      <c r="E366" s="32"/>
      <c r="F366" s="32"/>
      <c r="G366" s="32"/>
      <c r="H366" s="32"/>
      <c r="I366" s="32"/>
      <c r="J366" s="32"/>
      <c r="K366" s="32"/>
      <c r="L366" s="32"/>
      <c r="M366" s="32"/>
      <c r="N366" s="32"/>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c r="BW366" s="33"/>
      <c r="BX366" s="33"/>
      <c r="BY366" s="33"/>
      <c r="BZ366" s="33"/>
      <c r="CA366" s="33"/>
      <c r="CB366" s="33"/>
      <c r="CC366" s="33"/>
      <c r="CD366" s="33"/>
    </row>
    <row r="367" spans="1:82" x14ac:dyDescent="0.25">
      <c r="A367" s="32"/>
      <c r="B367" s="32"/>
      <c r="C367" s="32"/>
      <c r="D367" s="32"/>
      <c r="E367" s="32"/>
      <c r="F367" s="32"/>
      <c r="G367" s="32"/>
      <c r="H367" s="32"/>
      <c r="I367" s="32"/>
      <c r="J367" s="32"/>
      <c r="K367" s="32"/>
      <c r="L367" s="32"/>
      <c r="M367" s="32"/>
      <c r="N367" s="32"/>
      <c r="O367" s="33"/>
      <c r="P367" s="33"/>
      <c r="Q367" s="33"/>
      <c r="R367" s="33"/>
      <c r="S367" s="33"/>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c r="BW367" s="33"/>
      <c r="BX367" s="33"/>
      <c r="BY367" s="33"/>
      <c r="BZ367" s="33"/>
      <c r="CA367" s="33"/>
      <c r="CB367" s="33"/>
      <c r="CC367" s="33"/>
      <c r="CD367" s="33"/>
    </row>
    <row r="368" spans="1:82" x14ac:dyDescent="0.25">
      <c r="A368" s="32"/>
      <c r="B368" s="32"/>
      <c r="C368" s="32"/>
      <c r="D368" s="32"/>
      <c r="E368" s="32"/>
      <c r="F368" s="32"/>
      <c r="G368" s="32"/>
      <c r="H368" s="32"/>
      <c r="I368" s="32"/>
      <c r="J368" s="32"/>
      <c r="K368" s="32"/>
      <c r="L368" s="32"/>
      <c r="M368" s="32"/>
      <c r="N368" s="32"/>
      <c r="O368" s="33"/>
      <c r="P368" s="33"/>
      <c r="Q368" s="33"/>
      <c r="R368" s="33"/>
      <c r="S368" s="33"/>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c r="BW368" s="33"/>
      <c r="BX368" s="33"/>
      <c r="BY368" s="33"/>
      <c r="BZ368" s="33"/>
      <c r="CA368" s="33"/>
      <c r="CB368" s="33"/>
      <c r="CC368" s="33"/>
      <c r="CD368" s="33"/>
    </row>
    <row r="369" spans="1:82" x14ac:dyDescent="0.25">
      <c r="A369" s="32"/>
      <c r="B369" s="32"/>
      <c r="C369" s="32"/>
      <c r="D369" s="32"/>
      <c r="E369" s="32"/>
      <c r="F369" s="32"/>
      <c r="G369" s="32"/>
      <c r="H369" s="32"/>
      <c r="I369" s="32"/>
      <c r="J369" s="32"/>
      <c r="K369" s="32"/>
      <c r="L369" s="32"/>
      <c r="M369" s="32"/>
      <c r="N369" s="32"/>
      <c r="O369" s="33"/>
      <c r="P369" s="33"/>
      <c r="Q369" s="33"/>
      <c r="R369" s="33"/>
      <c r="S369" s="33"/>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c r="BW369" s="33"/>
      <c r="BX369" s="33"/>
      <c r="BY369" s="33"/>
      <c r="BZ369" s="33"/>
      <c r="CA369" s="33"/>
      <c r="CB369" s="33"/>
      <c r="CC369" s="33"/>
      <c r="CD369" s="33"/>
    </row>
    <row r="370" spans="1:82" x14ac:dyDescent="0.25">
      <c r="A370" s="32"/>
      <c r="B370" s="32"/>
      <c r="C370" s="32"/>
      <c r="D370" s="32"/>
      <c r="E370" s="32"/>
      <c r="F370" s="32"/>
      <c r="G370" s="32"/>
      <c r="H370" s="32"/>
      <c r="I370" s="32"/>
      <c r="J370" s="32"/>
      <c r="K370" s="32"/>
      <c r="L370" s="32"/>
      <c r="M370" s="32"/>
      <c r="N370" s="32"/>
      <c r="O370" s="33"/>
      <c r="P370" s="33"/>
      <c r="Q370" s="33"/>
      <c r="R370" s="33"/>
      <c r="S370" s="33"/>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c r="BW370" s="33"/>
      <c r="BX370" s="33"/>
      <c r="BY370" s="33"/>
      <c r="BZ370" s="33"/>
      <c r="CA370" s="33"/>
      <c r="CB370" s="33"/>
      <c r="CC370" s="33"/>
      <c r="CD370" s="33"/>
    </row>
    <row r="371" spans="1:82" x14ac:dyDescent="0.25">
      <c r="A371" s="32"/>
      <c r="B371" s="32"/>
      <c r="C371" s="32"/>
      <c r="D371" s="32"/>
      <c r="E371" s="32"/>
      <c r="F371" s="32"/>
      <c r="G371" s="32"/>
      <c r="H371" s="32"/>
      <c r="I371" s="32"/>
      <c r="J371" s="32"/>
      <c r="K371" s="32"/>
      <c r="L371" s="32"/>
      <c r="M371" s="32"/>
      <c r="N371" s="32"/>
      <c r="O371" s="33"/>
      <c r="P371" s="33"/>
      <c r="Q371" s="33"/>
      <c r="R371" s="33"/>
      <c r="S371" s="33"/>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33"/>
      <c r="BX371" s="33"/>
      <c r="BY371" s="33"/>
      <c r="BZ371" s="33"/>
      <c r="CA371" s="33"/>
      <c r="CB371" s="33"/>
      <c r="CC371" s="33"/>
      <c r="CD371" s="33"/>
    </row>
    <row r="372" spans="1:82" x14ac:dyDescent="0.25">
      <c r="A372" s="32"/>
      <c r="B372" s="32"/>
      <c r="C372" s="32"/>
      <c r="D372" s="32"/>
      <c r="E372" s="32"/>
      <c r="F372" s="32"/>
      <c r="G372" s="32"/>
      <c r="H372" s="32"/>
      <c r="I372" s="32"/>
      <c r="J372" s="32"/>
      <c r="K372" s="32"/>
      <c r="L372" s="32"/>
      <c r="M372" s="32"/>
      <c r="N372" s="32"/>
      <c r="O372" s="33"/>
      <c r="P372" s="33"/>
      <c r="Q372" s="33"/>
      <c r="R372" s="33"/>
      <c r="S372" s="33"/>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33"/>
      <c r="BX372" s="33"/>
      <c r="BY372" s="33"/>
      <c r="BZ372" s="33"/>
      <c r="CA372" s="33"/>
      <c r="CB372" s="33"/>
      <c r="CC372" s="33"/>
      <c r="CD372" s="33"/>
    </row>
    <row r="373" spans="1:82" x14ac:dyDescent="0.25">
      <c r="A373" s="32"/>
      <c r="B373" s="32"/>
      <c r="C373" s="32"/>
      <c r="D373" s="32"/>
      <c r="E373" s="32"/>
      <c r="F373" s="32"/>
      <c r="G373" s="32"/>
      <c r="H373" s="32"/>
      <c r="I373" s="32"/>
      <c r="J373" s="32"/>
      <c r="K373" s="32"/>
      <c r="L373" s="32"/>
      <c r="M373" s="32"/>
      <c r="N373" s="32"/>
      <c r="O373" s="33"/>
      <c r="P373" s="33"/>
      <c r="Q373" s="33"/>
      <c r="R373" s="33"/>
      <c r="S373" s="33"/>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33"/>
      <c r="BX373" s="33"/>
      <c r="BY373" s="33"/>
      <c r="BZ373" s="33"/>
      <c r="CA373" s="33"/>
      <c r="CB373" s="33"/>
      <c r="CC373" s="33"/>
      <c r="CD373" s="33"/>
    </row>
    <row r="374" spans="1:82" x14ac:dyDescent="0.25">
      <c r="A374" s="32"/>
      <c r="B374" s="32"/>
      <c r="C374" s="32"/>
      <c r="D374" s="32"/>
      <c r="E374" s="32"/>
      <c r="F374" s="32"/>
      <c r="G374" s="32"/>
      <c r="H374" s="32"/>
      <c r="I374" s="32"/>
      <c r="J374" s="32"/>
      <c r="K374" s="32"/>
      <c r="L374" s="32"/>
      <c r="M374" s="32"/>
      <c r="N374" s="32"/>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c r="BY374" s="33"/>
      <c r="BZ374" s="33"/>
      <c r="CA374" s="33"/>
      <c r="CB374" s="33"/>
      <c r="CC374" s="33"/>
      <c r="CD374" s="33"/>
    </row>
    <row r="375" spans="1:82" x14ac:dyDescent="0.25">
      <c r="A375" s="32"/>
      <c r="B375" s="32"/>
      <c r="C375" s="32"/>
      <c r="D375" s="32"/>
      <c r="E375" s="32"/>
      <c r="F375" s="32"/>
      <c r="G375" s="32"/>
      <c r="H375" s="32"/>
      <c r="I375" s="32"/>
      <c r="J375" s="32"/>
      <c r="K375" s="32"/>
      <c r="L375" s="32"/>
      <c r="M375" s="32"/>
      <c r="N375" s="32"/>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c r="BW375" s="33"/>
      <c r="BX375" s="33"/>
      <c r="BY375" s="33"/>
      <c r="BZ375" s="33"/>
      <c r="CA375" s="33"/>
      <c r="CB375" s="33"/>
      <c r="CC375" s="33"/>
      <c r="CD375" s="33"/>
    </row>
    <row r="376" spans="1:82" x14ac:dyDescent="0.25">
      <c r="A376" s="32"/>
      <c r="B376" s="32"/>
      <c r="C376" s="32"/>
      <c r="D376" s="32"/>
      <c r="E376" s="32"/>
      <c r="F376" s="32"/>
      <c r="G376" s="32"/>
      <c r="H376" s="32"/>
      <c r="I376" s="32"/>
      <c r="J376" s="32"/>
      <c r="K376" s="32"/>
      <c r="L376" s="32"/>
      <c r="M376" s="32"/>
      <c r="N376" s="32"/>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33"/>
      <c r="BX376" s="33"/>
      <c r="BY376" s="33"/>
      <c r="BZ376" s="33"/>
      <c r="CA376" s="33"/>
      <c r="CB376" s="33"/>
      <c r="CC376" s="33"/>
      <c r="CD376" s="33"/>
    </row>
    <row r="377" spans="1:82" x14ac:dyDescent="0.25">
      <c r="A377" s="32"/>
      <c r="B377" s="32"/>
      <c r="C377" s="32"/>
      <c r="D377" s="32"/>
      <c r="E377" s="32"/>
      <c r="F377" s="32"/>
      <c r="G377" s="32"/>
      <c r="H377" s="32"/>
      <c r="I377" s="32"/>
      <c r="J377" s="32"/>
      <c r="K377" s="32"/>
      <c r="L377" s="32"/>
      <c r="M377" s="32"/>
      <c r="N377" s="32"/>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33"/>
      <c r="BX377" s="33"/>
      <c r="BY377" s="33"/>
      <c r="BZ377" s="33"/>
      <c r="CA377" s="33"/>
      <c r="CB377" s="33"/>
      <c r="CC377" s="33"/>
      <c r="CD377" s="33"/>
    </row>
    <row r="378" spans="1:82" x14ac:dyDescent="0.25">
      <c r="A378" s="32"/>
      <c r="B378" s="32"/>
      <c r="C378" s="32"/>
      <c r="D378" s="32"/>
      <c r="E378" s="32"/>
      <c r="F378" s="32"/>
      <c r="G378" s="32"/>
      <c r="H378" s="32"/>
      <c r="I378" s="32"/>
      <c r="J378" s="32"/>
      <c r="K378" s="32"/>
      <c r="L378" s="32"/>
      <c r="M378" s="32"/>
      <c r="N378" s="32"/>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33"/>
      <c r="BX378" s="33"/>
      <c r="BY378" s="33"/>
      <c r="BZ378" s="33"/>
      <c r="CA378" s="33"/>
      <c r="CB378" s="33"/>
      <c r="CC378" s="33"/>
      <c r="CD378" s="33"/>
    </row>
    <row r="379" spans="1:82" x14ac:dyDescent="0.25">
      <c r="A379" s="32"/>
      <c r="B379" s="32"/>
      <c r="C379" s="32"/>
      <c r="D379" s="32"/>
      <c r="E379" s="32"/>
      <c r="F379" s="32"/>
      <c r="G379" s="32"/>
      <c r="H379" s="32"/>
      <c r="I379" s="32"/>
      <c r="J379" s="32"/>
      <c r="K379" s="32"/>
      <c r="L379" s="32"/>
      <c r="M379" s="32"/>
      <c r="N379" s="32"/>
      <c r="O379" s="33"/>
      <c r="P379" s="33"/>
      <c r="Q379" s="33"/>
      <c r="R379" s="33"/>
      <c r="S379" s="33"/>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c r="BW379" s="33"/>
      <c r="BX379" s="33"/>
      <c r="BY379" s="33"/>
      <c r="BZ379" s="33"/>
      <c r="CA379" s="33"/>
      <c r="CB379" s="33"/>
      <c r="CC379" s="33"/>
      <c r="CD379" s="33"/>
    </row>
    <row r="380" spans="1:82" x14ac:dyDescent="0.25">
      <c r="A380" s="32"/>
      <c r="B380" s="32"/>
      <c r="C380" s="32"/>
      <c r="D380" s="32"/>
      <c r="E380" s="32"/>
      <c r="F380" s="32"/>
      <c r="G380" s="32"/>
      <c r="H380" s="32"/>
      <c r="I380" s="32"/>
      <c r="J380" s="32"/>
      <c r="K380" s="32"/>
      <c r="L380" s="32"/>
      <c r="M380" s="32"/>
      <c r="N380" s="32"/>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c r="BW380" s="33"/>
      <c r="BX380" s="33"/>
      <c r="BY380" s="33"/>
      <c r="BZ380" s="33"/>
      <c r="CA380" s="33"/>
      <c r="CB380" s="33"/>
      <c r="CC380" s="33"/>
      <c r="CD380" s="33"/>
    </row>
    <row r="381" spans="1:82" x14ac:dyDescent="0.25">
      <c r="A381" s="32"/>
      <c r="B381" s="32"/>
      <c r="C381" s="32"/>
      <c r="D381" s="32"/>
      <c r="E381" s="32"/>
      <c r="F381" s="32"/>
      <c r="G381" s="32"/>
      <c r="H381" s="32"/>
      <c r="I381" s="32"/>
      <c r="J381" s="32"/>
      <c r="K381" s="32"/>
      <c r="L381" s="32"/>
      <c r="M381" s="32"/>
      <c r="N381" s="32"/>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c r="BW381" s="33"/>
      <c r="BX381" s="33"/>
      <c r="BY381" s="33"/>
      <c r="BZ381" s="33"/>
      <c r="CA381" s="33"/>
      <c r="CB381" s="33"/>
      <c r="CC381" s="33"/>
      <c r="CD381" s="33"/>
    </row>
    <row r="382" spans="1:82" x14ac:dyDescent="0.25">
      <c r="A382" s="32"/>
      <c r="B382" s="32"/>
      <c r="C382" s="32"/>
      <c r="D382" s="32"/>
      <c r="E382" s="32"/>
      <c r="F382" s="32"/>
      <c r="G382" s="32"/>
      <c r="H382" s="32"/>
      <c r="I382" s="32"/>
      <c r="J382" s="32"/>
      <c r="K382" s="32"/>
      <c r="L382" s="32"/>
      <c r="M382" s="32"/>
      <c r="N382" s="32"/>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c r="BW382" s="33"/>
      <c r="BX382" s="33"/>
      <c r="BY382" s="33"/>
      <c r="BZ382" s="33"/>
      <c r="CA382" s="33"/>
      <c r="CB382" s="33"/>
      <c r="CC382" s="33"/>
      <c r="CD382" s="33"/>
    </row>
    <row r="383" spans="1:82" x14ac:dyDescent="0.25">
      <c r="A383" s="32"/>
      <c r="B383" s="32"/>
      <c r="C383" s="32"/>
      <c r="D383" s="32"/>
      <c r="E383" s="32"/>
      <c r="F383" s="32"/>
      <c r="G383" s="32"/>
      <c r="H383" s="32"/>
      <c r="I383" s="32"/>
      <c r="J383" s="32"/>
      <c r="K383" s="32"/>
      <c r="L383" s="32"/>
      <c r="M383" s="32"/>
      <c r="N383" s="32"/>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c r="BW383" s="33"/>
      <c r="BX383" s="33"/>
      <c r="BY383" s="33"/>
      <c r="BZ383" s="33"/>
      <c r="CA383" s="33"/>
      <c r="CB383" s="33"/>
      <c r="CC383" s="33"/>
      <c r="CD383" s="33"/>
    </row>
    <row r="384" spans="1:82" x14ac:dyDescent="0.25">
      <c r="A384" s="32"/>
      <c r="B384" s="32"/>
      <c r="C384" s="32"/>
      <c r="D384" s="32"/>
      <c r="E384" s="32"/>
      <c r="F384" s="32"/>
      <c r="G384" s="32"/>
      <c r="H384" s="32"/>
      <c r="I384" s="32"/>
      <c r="J384" s="32"/>
      <c r="K384" s="32"/>
      <c r="L384" s="32"/>
      <c r="M384" s="32"/>
      <c r="N384" s="32"/>
      <c r="O384" s="33"/>
      <c r="P384" s="33"/>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c r="BW384" s="33"/>
      <c r="BX384" s="33"/>
      <c r="BY384" s="33"/>
      <c r="BZ384" s="33"/>
      <c r="CA384" s="33"/>
      <c r="CB384" s="33"/>
      <c r="CC384" s="33"/>
      <c r="CD384" s="33"/>
    </row>
    <row r="385" spans="1:82" x14ac:dyDescent="0.25">
      <c r="A385" s="32"/>
      <c r="B385" s="32"/>
      <c r="C385" s="32"/>
      <c r="D385" s="32"/>
      <c r="E385" s="32"/>
      <c r="F385" s="32"/>
      <c r="G385" s="32"/>
      <c r="H385" s="32"/>
      <c r="I385" s="32"/>
      <c r="J385" s="32"/>
      <c r="K385" s="32"/>
      <c r="L385" s="32"/>
      <c r="M385" s="32"/>
      <c r="N385" s="32"/>
      <c r="O385" s="33"/>
      <c r="P385" s="33"/>
      <c r="Q385" s="33"/>
      <c r="R385" s="33"/>
      <c r="S385" s="33"/>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33"/>
      <c r="BX385" s="33"/>
      <c r="BY385" s="33"/>
      <c r="BZ385" s="33"/>
      <c r="CA385" s="33"/>
      <c r="CB385" s="33"/>
      <c r="CC385" s="33"/>
      <c r="CD385" s="33"/>
    </row>
    <row r="386" spans="1:82" x14ac:dyDescent="0.25">
      <c r="A386" s="32"/>
      <c r="B386" s="32"/>
      <c r="C386" s="32"/>
      <c r="D386" s="32"/>
      <c r="E386" s="32"/>
      <c r="F386" s="32"/>
      <c r="G386" s="32"/>
      <c r="H386" s="32"/>
      <c r="I386" s="32"/>
      <c r="J386" s="32"/>
      <c r="K386" s="32"/>
      <c r="L386" s="32"/>
      <c r="M386" s="32"/>
      <c r="N386" s="32"/>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c r="BW386" s="33"/>
      <c r="BX386" s="33"/>
      <c r="BY386" s="33"/>
      <c r="BZ386" s="33"/>
      <c r="CA386" s="33"/>
      <c r="CB386" s="33"/>
      <c r="CC386" s="33"/>
      <c r="CD386" s="33"/>
    </row>
    <row r="387" spans="1:82" x14ac:dyDescent="0.25">
      <c r="A387" s="32"/>
      <c r="B387" s="32"/>
      <c r="C387" s="32"/>
      <c r="D387" s="32"/>
      <c r="E387" s="32"/>
      <c r="F387" s="32"/>
      <c r="G387" s="32"/>
      <c r="H387" s="32"/>
      <c r="I387" s="32"/>
      <c r="J387" s="32"/>
      <c r="K387" s="32"/>
      <c r="L387" s="32"/>
      <c r="M387" s="32"/>
      <c r="N387" s="32"/>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c r="BW387" s="33"/>
      <c r="BX387" s="33"/>
      <c r="BY387" s="33"/>
      <c r="BZ387" s="33"/>
      <c r="CA387" s="33"/>
      <c r="CB387" s="33"/>
      <c r="CC387" s="33"/>
      <c r="CD387" s="33"/>
    </row>
    <row r="388" spans="1:82" x14ac:dyDescent="0.25">
      <c r="A388" s="32"/>
      <c r="B388" s="32"/>
      <c r="C388" s="32"/>
      <c r="D388" s="32"/>
      <c r="E388" s="32"/>
      <c r="F388" s="32"/>
      <c r="G388" s="32"/>
      <c r="H388" s="32"/>
      <c r="I388" s="32"/>
      <c r="J388" s="32"/>
      <c r="K388" s="32"/>
      <c r="L388" s="32"/>
      <c r="M388" s="32"/>
      <c r="N388" s="32"/>
      <c r="O388" s="33"/>
      <c r="P388" s="33"/>
      <c r="Q388" s="33"/>
      <c r="R388" s="33"/>
      <c r="S388" s="33"/>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c r="BW388" s="33"/>
      <c r="BX388" s="33"/>
      <c r="BY388" s="33"/>
      <c r="BZ388" s="33"/>
      <c r="CA388" s="33"/>
      <c r="CB388" s="33"/>
      <c r="CC388" s="33"/>
      <c r="CD388" s="33"/>
    </row>
    <row r="389" spans="1:82" x14ac:dyDescent="0.25">
      <c r="A389" s="32"/>
      <c r="B389" s="32"/>
      <c r="C389" s="32"/>
      <c r="D389" s="32"/>
      <c r="E389" s="32"/>
      <c r="F389" s="32"/>
      <c r="G389" s="32"/>
      <c r="H389" s="32"/>
      <c r="I389" s="32"/>
      <c r="J389" s="32"/>
      <c r="K389" s="32"/>
      <c r="L389" s="32"/>
      <c r="M389" s="32"/>
      <c r="N389" s="32"/>
      <c r="O389" s="33"/>
      <c r="P389" s="33"/>
      <c r="Q389" s="33"/>
      <c r="R389" s="33"/>
      <c r="S389" s="33"/>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c r="BW389" s="33"/>
      <c r="BX389" s="33"/>
      <c r="BY389" s="33"/>
      <c r="BZ389" s="33"/>
      <c r="CA389" s="33"/>
      <c r="CB389" s="33"/>
      <c r="CC389" s="33"/>
      <c r="CD389" s="33"/>
    </row>
    <row r="390" spans="1:82" x14ac:dyDescent="0.25">
      <c r="A390" s="32"/>
      <c r="B390" s="32"/>
      <c r="C390" s="32"/>
      <c r="D390" s="32"/>
      <c r="E390" s="32"/>
      <c r="F390" s="32"/>
      <c r="G390" s="32"/>
      <c r="H390" s="32"/>
      <c r="I390" s="32"/>
      <c r="J390" s="32"/>
      <c r="K390" s="32"/>
      <c r="L390" s="32"/>
      <c r="M390" s="32"/>
      <c r="N390" s="32"/>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c r="BW390" s="33"/>
      <c r="BX390" s="33"/>
      <c r="BY390" s="33"/>
      <c r="BZ390" s="33"/>
      <c r="CA390" s="33"/>
      <c r="CB390" s="33"/>
      <c r="CC390" s="33"/>
      <c r="CD390" s="33"/>
    </row>
    <row r="391" spans="1:82" x14ac:dyDescent="0.25">
      <c r="A391" s="32"/>
      <c r="B391" s="32"/>
      <c r="C391" s="32"/>
      <c r="D391" s="32"/>
      <c r="E391" s="32"/>
      <c r="F391" s="32"/>
      <c r="G391" s="32"/>
      <c r="H391" s="32"/>
      <c r="I391" s="32"/>
      <c r="J391" s="32"/>
      <c r="K391" s="32"/>
      <c r="L391" s="32"/>
      <c r="M391" s="32"/>
      <c r="N391" s="32"/>
      <c r="O391" s="33"/>
      <c r="P391" s="33"/>
      <c r="Q391" s="33"/>
      <c r="R391" s="33"/>
      <c r="S391" s="33"/>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c r="BW391" s="33"/>
      <c r="BX391" s="33"/>
      <c r="BY391" s="33"/>
      <c r="BZ391" s="33"/>
      <c r="CA391" s="33"/>
      <c r="CB391" s="33"/>
      <c r="CC391" s="33"/>
      <c r="CD391" s="33"/>
    </row>
    <row r="392" spans="1:82" x14ac:dyDescent="0.25">
      <c r="A392" s="32"/>
      <c r="B392" s="32"/>
      <c r="C392" s="32"/>
      <c r="D392" s="32"/>
      <c r="E392" s="32"/>
      <c r="F392" s="32"/>
      <c r="G392" s="32"/>
      <c r="H392" s="32"/>
      <c r="I392" s="32"/>
      <c r="J392" s="32"/>
      <c r="K392" s="32"/>
      <c r="L392" s="32"/>
      <c r="M392" s="32"/>
      <c r="N392" s="32"/>
      <c r="O392" s="33"/>
      <c r="P392" s="33"/>
      <c r="Q392" s="33"/>
      <c r="R392" s="33"/>
      <c r="S392" s="33"/>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c r="BW392" s="33"/>
      <c r="BX392" s="33"/>
      <c r="BY392" s="33"/>
      <c r="BZ392" s="33"/>
      <c r="CA392" s="33"/>
      <c r="CB392" s="33"/>
      <c r="CC392" s="33"/>
      <c r="CD392" s="33"/>
    </row>
    <row r="393" spans="1:82" x14ac:dyDescent="0.25">
      <c r="A393" s="32"/>
      <c r="B393" s="32"/>
      <c r="C393" s="32"/>
      <c r="D393" s="32"/>
      <c r="E393" s="32"/>
      <c r="F393" s="32"/>
      <c r="G393" s="32"/>
      <c r="H393" s="32"/>
      <c r="I393" s="32"/>
      <c r="J393" s="32"/>
      <c r="K393" s="32"/>
      <c r="L393" s="32"/>
      <c r="M393" s="32"/>
      <c r="N393" s="32"/>
      <c r="O393" s="33"/>
      <c r="P393" s="33"/>
      <c r="Q393" s="33"/>
      <c r="R393" s="33"/>
      <c r="S393" s="33"/>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c r="BW393" s="33"/>
      <c r="BX393" s="33"/>
      <c r="BY393" s="33"/>
      <c r="BZ393" s="33"/>
      <c r="CA393" s="33"/>
      <c r="CB393" s="33"/>
      <c r="CC393" s="33"/>
      <c r="CD393" s="33"/>
    </row>
    <row r="394" spans="1:82" x14ac:dyDescent="0.25">
      <c r="A394" s="32"/>
      <c r="B394" s="32"/>
      <c r="C394" s="32"/>
      <c r="D394" s="32"/>
      <c r="E394" s="32"/>
      <c r="F394" s="32"/>
      <c r="G394" s="32"/>
      <c r="H394" s="32"/>
      <c r="I394" s="32"/>
      <c r="J394" s="32"/>
      <c r="K394" s="32"/>
      <c r="L394" s="32"/>
      <c r="M394" s="32"/>
      <c r="N394" s="32"/>
      <c r="O394" s="33"/>
      <c r="P394" s="33"/>
      <c r="Q394" s="33"/>
      <c r="R394" s="33"/>
      <c r="S394" s="33"/>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c r="BW394" s="33"/>
      <c r="BX394" s="33"/>
      <c r="BY394" s="33"/>
      <c r="BZ394" s="33"/>
      <c r="CA394" s="33"/>
      <c r="CB394" s="33"/>
      <c r="CC394" s="33"/>
      <c r="CD394" s="33"/>
    </row>
    <row r="395" spans="1:82" x14ac:dyDescent="0.25">
      <c r="A395" s="32"/>
      <c r="B395" s="32"/>
      <c r="C395" s="32"/>
      <c r="D395" s="32"/>
      <c r="E395" s="32"/>
      <c r="F395" s="32"/>
      <c r="G395" s="32"/>
      <c r="H395" s="32"/>
      <c r="I395" s="32"/>
      <c r="J395" s="32"/>
      <c r="K395" s="32"/>
      <c r="L395" s="32"/>
      <c r="M395" s="32"/>
      <c r="N395" s="32"/>
      <c r="O395" s="33"/>
      <c r="P395" s="33"/>
      <c r="Q395" s="33"/>
      <c r="R395" s="33"/>
      <c r="S395" s="33"/>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c r="BW395" s="33"/>
      <c r="BX395" s="33"/>
      <c r="BY395" s="33"/>
      <c r="BZ395" s="33"/>
      <c r="CA395" s="33"/>
      <c r="CB395" s="33"/>
      <c r="CC395" s="33"/>
      <c r="CD395" s="33"/>
    </row>
    <row r="396" spans="1:82" x14ac:dyDescent="0.25">
      <c r="A396" s="32"/>
      <c r="B396" s="32"/>
      <c r="C396" s="32"/>
      <c r="D396" s="32"/>
      <c r="E396" s="32"/>
      <c r="F396" s="32"/>
      <c r="G396" s="32"/>
      <c r="H396" s="32"/>
      <c r="I396" s="32"/>
      <c r="J396" s="32"/>
      <c r="K396" s="32"/>
      <c r="L396" s="32"/>
      <c r="M396" s="32"/>
      <c r="N396" s="32"/>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c r="BW396" s="33"/>
      <c r="BX396" s="33"/>
      <c r="BY396" s="33"/>
      <c r="BZ396" s="33"/>
      <c r="CA396" s="33"/>
      <c r="CB396" s="33"/>
      <c r="CC396" s="33"/>
      <c r="CD396" s="33"/>
    </row>
    <row r="397" spans="1:82" x14ac:dyDescent="0.25">
      <c r="A397" s="32"/>
      <c r="B397" s="32"/>
      <c r="C397" s="32"/>
      <c r="D397" s="32"/>
      <c r="E397" s="32"/>
      <c r="F397" s="32"/>
      <c r="G397" s="32"/>
      <c r="H397" s="32"/>
      <c r="I397" s="32"/>
      <c r="J397" s="32"/>
      <c r="K397" s="32"/>
      <c r="L397" s="32"/>
      <c r="M397" s="32"/>
      <c r="N397" s="32"/>
      <c r="O397" s="33"/>
      <c r="P397" s="33"/>
      <c r="Q397" s="33"/>
      <c r="R397" s="33"/>
      <c r="S397" s="33"/>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c r="BW397" s="33"/>
      <c r="BX397" s="33"/>
      <c r="BY397" s="33"/>
      <c r="BZ397" s="33"/>
      <c r="CA397" s="33"/>
      <c r="CB397" s="33"/>
      <c r="CC397" s="33"/>
      <c r="CD397" s="33"/>
    </row>
    <row r="398" spans="1:82" x14ac:dyDescent="0.25">
      <c r="A398" s="32"/>
      <c r="B398" s="32"/>
      <c r="C398" s="32"/>
      <c r="D398" s="32"/>
      <c r="E398" s="32"/>
      <c r="F398" s="32"/>
      <c r="G398" s="32"/>
      <c r="H398" s="32"/>
      <c r="I398" s="32"/>
      <c r="J398" s="32"/>
      <c r="K398" s="32"/>
      <c r="L398" s="32"/>
      <c r="M398" s="32"/>
      <c r="N398" s="32"/>
      <c r="O398" s="33"/>
      <c r="P398" s="33"/>
      <c r="Q398" s="33"/>
      <c r="R398" s="33"/>
      <c r="S398" s="33"/>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c r="BW398" s="33"/>
      <c r="BX398" s="33"/>
      <c r="BY398" s="33"/>
      <c r="BZ398" s="33"/>
      <c r="CA398" s="33"/>
      <c r="CB398" s="33"/>
      <c r="CC398" s="33"/>
      <c r="CD398" s="33"/>
    </row>
    <row r="399" spans="1:82" x14ac:dyDescent="0.25">
      <c r="A399" s="32"/>
      <c r="B399" s="32"/>
      <c r="C399" s="32"/>
      <c r="D399" s="32"/>
      <c r="E399" s="32"/>
      <c r="F399" s="32"/>
      <c r="G399" s="32"/>
      <c r="H399" s="32"/>
      <c r="I399" s="32"/>
      <c r="J399" s="32"/>
      <c r="K399" s="32"/>
      <c r="L399" s="32"/>
      <c r="M399" s="32"/>
      <c r="N399" s="32"/>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c r="BW399" s="33"/>
      <c r="BX399" s="33"/>
      <c r="BY399" s="33"/>
      <c r="BZ399" s="33"/>
      <c r="CA399" s="33"/>
      <c r="CB399" s="33"/>
      <c r="CC399" s="33"/>
      <c r="CD399" s="33"/>
    </row>
    <row r="400" spans="1:82" x14ac:dyDescent="0.25">
      <c r="A400" s="32"/>
      <c r="B400" s="32"/>
      <c r="C400" s="32"/>
      <c r="D400" s="32"/>
      <c r="E400" s="32"/>
      <c r="F400" s="32"/>
      <c r="G400" s="32"/>
      <c r="H400" s="32"/>
      <c r="I400" s="32"/>
      <c r="J400" s="32"/>
      <c r="K400" s="32"/>
      <c r="L400" s="32"/>
      <c r="M400" s="32"/>
      <c r="N400" s="32"/>
      <c r="O400" s="33"/>
      <c r="P400" s="33"/>
      <c r="Q400" s="33"/>
      <c r="R400" s="33"/>
      <c r="S400" s="33"/>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c r="BW400" s="33"/>
      <c r="BX400" s="33"/>
      <c r="BY400" s="33"/>
      <c r="BZ400" s="33"/>
      <c r="CA400" s="33"/>
      <c r="CB400" s="33"/>
      <c r="CC400" s="33"/>
      <c r="CD400" s="33"/>
    </row>
    <row r="401" spans="1:82" x14ac:dyDescent="0.25">
      <c r="A401" s="32"/>
      <c r="B401" s="32"/>
      <c r="C401" s="32"/>
      <c r="D401" s="32"/>
      <c r="E401" s="32"/>
      <c r="F401" s="32"/>
      <c r="G401" s="32"/>
      <c r="H401" s="32"/>
      <c r="I401" s="32"/>
      <c r="J401" s="32"/>
      <c r="K401" s="32"/>
      <c r="L401" s="32"/>
      <c r="M401" s="32"/>
      <c r="N401" s="32"/>
      <c r="O401" s="33"/>
      <c r="P401" s="33"/>
      <c r="Q401" s="33"/>
      <c r="R401" s="33"/>
      <c r="S401" s="33"/>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c r="BW401" s="33"/>
      <c r="BX401" s="33"/>
      <c r="BY401" s="33"/>
      <c r="BZ401" s="33"/>
      <c r="CA401" s="33"/>
      <c r="CB401" s="33"/>
      <c r="CC401" s="33"/>
      <c r="CD401" s="33"/>
    </row>
    <row r="402" spans="1:82" x14ac:dyDescent="0.25">
      <c r="A402" s="32"/>
      <c r="B402" s="32"/>
      <c r="C402" s="32"/>
      <c r="D402" s="32"/>
      <c r="E402" s="32"/>
      <c r="F402" s="32"/>
      <c r="G402" s="32"/>
      <c r="H402" s="32"/>
      <c r="I402" s="32"/>
      <c r="J402" s="32"/>
      <c r="K402" s="32"/>
      <c r="L402" s="32"/>
      <c r="M402" s="32"/>
      <c r="N402" s="32"/>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c r="BW402" s="33"/>
      <c r="BX402" s="33"/>
      <c r="BY402" s="33"/>
      <c r="BZ402" s="33"/>
      <c r="CA402" s="33"/>
      <c r="CB402" s="33"/>
      <c r="CC402" s="33"/>
      <c r="CD402" s="33"/>
    </row>
    <row r="403" spans="1:82" x14ac:dyDescent="0.25">
      <c r="A403" s="32"/>
      <c r="B403" s="32"/>
      <c r="C403" s="32"/>
      <c r="D403" s="32"/>
      <c r="E403" s="32"/>
      <c r="F403" s="32"/>
      <c r="G403" s="32"/>
      <c r="H403" s="32"/>
      <c r="I403" s="32"/>
      <c r="J403" s="32"/>
      <c r="K403" s="32"/>
      <c r="L403" s="32"/>
      <c r="M403" s="32"/>
      <c r="N403" s="32"/>
      <c r="O403" s="33"/>
      <c r="P403" s="33"/>
      <c r="Q403" s="33"/>
      <c r="R403" s="33"/>
      <c r="S403" s="33"/>
      <c r="T403" s="33"/>
      <c r="U403" s="33"/>
      <c r="V403" s="33"/>
      <c r="W403" s="33"/>
      <c r="X403" s="33"/>
      <c r="Y403" s="33"/>
      <c r="Z403" s="33"/>
      <c r="AA403" s="33"/>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row>
    <row r="404" spans="1:82" x14ac:dyDescent="0.25">
      <c r="A404" s="32"/>
      <c r="B404" s="32"/>
      <c r="C404" s="32"/>
      <c r="D404" s="32"/>
      <c r="E404" s="32"/>
      <c r="F404" s="32"/>
      <c r="G404" s="32"/>
      <c r="H404" s="32"/>
      <c r="I404" s="32"/>
      <c r="J404" s="32"/>
      <c r="K404" s="32"/>
      <c r="L404" s="32"/>
      <c r="M404" s="32"/>
      <c r="N404" s="32"/>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c r="BW404" s="33"/>
      <c r="BX404" s="33"/>
      <c r="BY404" s="33"/>
      <c r="BZ404" s="33"/>
      <c r="CA404" s="33"/>
      <c r="CB404" s="33"/>
      <c r="CC404" s="33"/>
      <c r="CD404" s="33"/>
    </row>
    <row r="405" spans="1:82" x14ac:dyDescent="0.25">
      <c r="A405" s="32"/>
      <c r="B405" s="32"/>
      <c r="C405" s="32"/>
      <c r="D405" s="32"/>
      <c r="E405" s="32"/>
      <c r="F405" s="32"/>
      <c r="G405" s="32"/>
      <c r="H405" s="32"/>
      <c r="I405" s="32"/>
      <c r="J405" s="32"/>
      <c r="K405" s="32"/>
      <c r="L405" s="32"/>
      <c r="M405" s="32"/>
      <c r="N405" s="32"/>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33"/>
      <c r="BX405" s="33"/>
      <c r="BY405" s="33"/>
      <c r="BZ405" s="33"/>
      <c r="CA405" s="33"/>
      <c r="CB405" s="33"/>
      <c r="CC405" s="33"/>
      <c r="CD405" s="33"/>
    </row>
    <row r="406" spans="1:82" x14ac:dyDescent="0.25">
      <c r="A406" s="32"/>
      <c r="B406" s="32"/>
      <c r="C406" s="32"/>
      <c r="D406" s="32"/>
      <c r="E406" s="32"/>
      <c r="F406" s="32"/>
      <c r="G406" s="32"/>
      <c r="H406" s="32"/>
      <c r="I406" s="32"/>
      <c r="J406" s="32"/>
      <c r="K406" s="32"/>
      <c r="L406" s="32"/>
      <c r="M406" s="32"/>
      <c r="N406" s="32"/>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row>
    <row r="407" spans="1:82" x14ac:dyDescent="0.25">
      <c r="A407" s="32"/>
      <c r="B407" s="32"/>
      <c r="C407" s="32"/>
      <c r="D407" s="32"/>
      <c r="E407" s="32"/>
      <c r="F407" s="32"/>
      <c r="G407" s="32"/>
      <c r="H407" s="32"/>
      <c r="I407" s="32"/>
      <c r="J407" s="32"/>
      <c r="K407" s="32"/>
      <c r="L407" s="32"/>
      <c r="M407" s="32"/>
      <c r="N407" s="32"/>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c r="BW407" s="33"/>
      <c r="BX407" s="33"/>
      <c r="BY407" s="33"/>
      <c r="BZ407" s="33"/>
      <c r="CA407" s="33"/>
      <c r="CB407" s="33"/>
      <c r="CC407" s="33"/>
      <c r="CD407" s="33"/>
    </row>
    <row r="408" spans="1:82" x14ac:dyDescent="0.25">
      <c r="A408" s="32"/>
      <c r="B408" s="32"/>
      <c r="C408" s="32"/>
      <c r="D408" s="32"/>
      <c r="E408" s="32"/>
      <c r="F408" s="32"/>
      <c r="G408" s="32"/>
      <c r="H408" s="32"/>
      <c r="I408" s="32"/>
      <c r="J408" s="32"/>
      <c r="K408" s="32"/>
      <c r="L408" s="32"/>
      <c r="M408" s="32"/>
      <c r="N408" s="32"/>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c r="BW408" s="33"/>
      <c r="BX408" s="33"/>
      <c r="BY408" s="33"/>
      <c r="BZ408" s="33"/>
      <c r="CA408" s="33"/>
      <c r="CB408" s="33"/>
      <c r="CC408" s="33"/>
      <c r="CD408" s="33"/>
    </row>
    <row r="409" spans="1:82" x14ac:dyDescent="0.25">
      <c r="A409" s="32"/>
      <c r="B409" s="32"/>
      <c r="C409" s="32"/>
      <c r="D409" s="32"/>
      <c r="E409" s="32"/>
      <c r="F409" s="32"/>
      <c r="G409" s="32"/>
      <c r="H409" s="32"/>
      <c r="I409" s="32"/>
      <c r="J409" s="32"/>
      <c r="K409" s="32"/>
      <c r="L409" s="32"/>
      <c r="M409" s="32"/>
      <c r="N409" s="32"/>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c r="BW409" s="33"/>
      <c r="BX409" s="33"/>
      <c r="BY409" s="33"/>
      <c r="BZ409" s="33"/>
      <c r="CA409" s="33"/>
      <c r="CB409" s="33"/>
      <c r="CC409" s="33"/>
      <c r="CD409" s="33"/>
    </row>
    <row r="410" spans="1:82" x14ac:dyDescent="0.25">
      <c r="A410" s="32"/>
      <c r="B410" s="32"/>
      <c r="C410" s="32"/>
      <c r="D410" s="32"/>
      <c r="E410" s="32"/>
      <c r="F410" s="32"/>
      <c r="G410" s="32"/>
      <c r="H410" s="32"/>
      <c r="I410" s="32"/>
      <c r="J410" s="32"/>
      <c r="K410" s="32"/>
      <c r="L410" s="32"/>
      <c r="M410" s="32"/>
      <c r="N410" s="32"/>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c r="BW410" s="33"/>
      <c r="BX410" s="33"/>
      <c r="BY410" s="33"/>
      <c r="BZ410" s="33"/>
      <c r="CA410" s="33"/>
      <c r="CB410" s="33"/>
      <c r="CC410" s="33"/>
      <c r="CD410" s="33"/>
    </row>
    <row r="411" spans="1:82" x14ac:dyDescent="0.25">
      <c r="A411" s="32"/>
      <c r="B411" s="32"/>
      <c r="C411" s="32"/>
      <c r="D411" s="32"/>
      <c r="E411" s="32"/>
      <c r="F411" s="32"/>
      <c r="G411" s="32"/>
      <c r="H411" s="32"/>
      <c r="I411" s="32"/>
      <c r="J411" s="32"/>
      <c r="K411" s="32"/>
      <c r="L411" s="32"/>
      <c r="M411" s="32"/>
      <c r="N411" s="32"/>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c r="BW411" s="33"/>
      <c r="BX411" s="33"/>
      <c r="BY411" s="33"/>
      <c r="BZ411" s="33"/>
      <c r="CA411" s="33"/>
      <c r="CB411" s="33"/>
      <c r="CC411" s="33"/>
      <c r="CD411" s="33"/>
    </row>
    <row r="412" spans="1:82" x14ac:dyDescent="0.25">
      <c r="A412" s="32"/>
      <c r="B412" s="32"/>
      <c r="C412" s="32"/>
      <c r="D412" s="32"/>
      <c r="E412" s="32"/>
      <c r="F412" s="32"/>
      <c r="G412" s="32"/>
      <c r="H412" s="32"/>
      <c r="I412" s="32"/>
      <c r="J412" s="32"/>
      <c r="K412" s="32"/>
      <c r="L412" s="32"/>
      <c r="M412" s="32"/>
      <c r="N412" s="32"/>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c r="BW412" s="33"/>
      <c r="BX412" s="33"/>
      <c r="BY412" s="33"/>
      <c r="BZ412" s="33"/>
      <c r="CA412" s="33"/>
      <c r="CB412" s="33"/>
      <c r="CC412" s="33"/>
      <c r="CD412" s="33"/>
    </row>
    <row r="413" spans="1:82" x14ac:dyDescent="0.25">
      <c r="A413" s="32"/>
      <c r="B413" s="32"/>
      <c r="C413" s="32"/>
      <c r="D413" s="32"/>
      <c r="E413" s="32"/>
      <c r="F413" s="32"/>
      <c r="G413" s="32"/>
      <c r="H413" s="32"/>
      <c r="I413" s="32"/>
      <c r="J413" s="32"/>
      <c r="K413" s="32"/>
      <c r="L413" s="32"/>
      <c r="M413" s="32"/>
      <c r="N413" s="32"/>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c r="BW413" s="33"/>
      <c r="BX413" s="33"/>
      <c r="BY413" s="33"/>
      <c r="BZ413" s="33"/>
      <c r="CA413" s="33"/>
      <c r="CB413" s="33"/>
      <c r="CC413" s="33"/>
      <c r="CD413" s="33"/>
    </row>
    <row r="414" spans="1:82" x14ac:dyDescent="0.25">
      <c r="A414" s="32"/>
      <c r="B414" s="32"/>
      <c r="C414" s="32"/>
      <c r="D414" s="32"/>
      <c r="E414" s="32"/>
      <c r="F414" s="32"/>
      <c r="G414" s="32"/>
      <c r="H414" s="32"/>
      <c r="I414" s="32"/>
      <c r="J414" s="32"/>
      <c r="K414" s="32"/>
      <c r="L414" s="32"/>
      <c r="M414" s="32"/>
      <c r="N414" s="32"/>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c r="BW414" s="33"/>
      <c r="BX414" s="33"/>
      <c r="BY414" s="33"/>
      <c r="BZ414" s="33"/>
      <c r="CA414" s="33"/>
      <c r="CB414" s="33"/>
      <c r="CC414" s="33"/>
      <c r="CD414" s="33"/>
    </row>
    <row r="415" spans="1:82" x14ac:dyDescent="0.25">
      <c r="A415" s="32"/>
      <c r="B415" s="32"/>
      <c r="C415" s="32"/>
      <c r="D415" s="32"/>
      <c r="E415" s="32"/>
      <c r="F415" s="32"/>
      <c r="G415" s="32"/>
      <c r="H415" s="32"/>
      <c r="I415" s="32"/>
      <c r="J415" s="32"/>
      <c r="K415" s="32"/>
      <c r="L415" s="32"/>
      <c r="M415" s="32"/>
      <c r="N415" s="32"/>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c r="BW415" s="33"/>
      <c r="BX415" s="33"/>
      <c r="BY415" s="33"/>
      <c r="BZ415" s="33"/>
      <c r="CA415" s="33"/>
      <c r="CB415" s="33"/>
      <c r="CC415" s="33"/>
      <c r="CD415" s="33"/>
    </row>
    <row r="416" spans="1:82" x14ac:dyDescent="0.25">
      <c r="A416" s="32"/>
      <c r="B416" s="32"/>
      <c r="C416" s="32"/>
      <c r="D416" s="32"/>
      <c r="E416" s="32"/>
      <c r="F416" s="32"/>
      <c r="G416" s="32"/>
      <c r="H416" s="32"/>
      <c r="I416" s="32"/>
      <c r="J416" s="32"/>
      <c r="K416" s="32"/>
      <c r="L416" s="32"/>
      <c r="M416" s="32"/>
      <c r="N416" s="32"/>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33"/>
      <c r="BX416" s="33"/>
      <c r="BY416" s="33"/>
      <c r="BZ416" s="33"/>
      <c r="CA416" s="33"/>
      <c r="CB416" s="33"/>
      <c r="CC416" s="33"/>
      <c r="CD416" s="33"/>
    </row>
    <row r="417" spans="1:82" x14ac:dyDescent="0.25">
      <c r="A417" s="32"/>
      <c r="B417" s="32"/>
      <c r="C417" s="32"/>
      <c r="D417" s="32"/>
      <c r="E417" s="32"/>
      <c r="F417" s="32"/>
      <c r="G417" s="32"/>
      <c r="H417" s="32"/>
      <c r="I417" s="32"/>
      <c r="J417" s="32"/>
      <c r="K417" s="32"/>
      <c r="L417" s="32"/>
      <c r="M417" s="32"/>
      <c r="N417" s="32"/>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33"/>
      <c r="BX417" s="33"/>
      <c r="BY417" s="33"/>
      <c r="BZ417" s="33"/>
      <c r="CA417" s="33"/>
      <c r="CB417" s="33"/>
      <c r="CC417" s="33"/>
      <c r="CD417" s="33"/>
    </row>
    <row r="418" spans="1:82" x14ac:dyDescent="0.25">
      <c r="A418" s="32"/>
      <c r="B418" s="32"/>
      <c r="C418" s="32"/>
      <c r="D418" s="32"/>
      <c r="E418" s="32"/>
      <c r="F418" s="32"/>
      <c r="G418" s="32"/>
      <c r="H418" s="32"/>
      <c r="I418" s="32"/>
      <c r="J418" s="32"/>
      <c r="K418" s="32"/>
      <c r="L418" s="32"/>
      <c r="M418" s="32"/>
      <c r="N418" s="32"/>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c r="BW418" s="33"/>
      <c r="BX418" s="33"/>
      <c r="BY418" s="33"/>
      <c r="BZ418" s="33"/>
      <c r="CA418" s="33"/>
      <c r="CB418" s="33"/>
      <c r="CC418" s="33"/>
      <c r="CD418" s="33"/>
    </row>
    <row r="419" spans="1:82" x14ac:dyDescent="0.25">
      <c r="A419" s="32"/>
      <c r="B419" s="32"/>
      <c r="C419" s="32"/>
      <c r="D419" s="32"/>
      <c r="E419" s="32"/>
      <c r="F419" s="32"/>
      <c r="G419" s="32"/>
      <c r="H419" s="32"/>
      <c r="I419" s="32"/>
      <c r="J419" s="32"/>
      <c r="K419" s="32"/>
      <c r="L419" s="32"/>
      <c r="M419" s="32"/>
      <c r="N419" s="32"/>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33"/>
      <c r="BP419" s="33"/>
      <c r="BQ419" s="33"/>
      <c r="BR419" s="33"/>
      <c r="BS419" s="33"/>
      <c r="BT419" s="33"/>
      <c r="BU419" s="33"/>
      <c r="BV419" s="33"/>
      <c r="BW419" s="33"/>
      <c r="BX419" s="33"/>
      <c r="BY419" s="33"/>
      <c r="BZ419" s="33"/>
      <c r="CA419" s="33"/>
      <c r="CB419" s="33"/>
      <c r="CC419" s="33"/>
      <c r="CD419" s="33"/>
    </row>
    <row r="420" spans="1:82" x14ac:dyDescent="0.25">
      <c r="A420" s="32"/>
      <c r="B420" s="32"/>
      <c r="C420" s="32"/>
      <c r="D420" s="32"/>
      <c r="E420" s="32"/>
      <c r="F420" s="32"/>
      <c r="G420" s="32"/>
      <c r="H420" s="32"/>
      <c r="I420" s="32"/>
      <c r="J420" s="32"/>
      <c r="K420" s="32"/>
      <c r="L420" s="32"/>
      <c r="M420" s="32"/>
      <c r="N420" s="32"/>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33"/>
      <c r="BP420" s="33"/>
      <c r="BQ420" s="33"/>
      <c r="BR420" s="33"/>
      <c r="BS420" s="33"/>
      <c r="BT420" s="33"/>
      <c r="BU420" s="33"/>
      <c r="BV420" s="33"/>
      <c r="BW420" s="33"/>
      <c r="BX420" s="33"/>
      <c r="BY420" s="33"/>
      <c r="BZ420" s="33"/>
      <c r="CA420" s="33"/>
      <c r="CB420" s="33"/>
      <c r="CC420" s="33"/>
      <c r="CD420" s="33"/>
    </row>
    <row r="421" spans="1:82" x14ac:dyDescent="0.25">
      <c r="A421" s="32"/>
      <c r="B421" s="32"/>
      <c r="C421" s="32"/>
      <c r="D421" s="32"/>
      <c r="E421" s="32"/>
      <c r="F421" s="32"/>
      <c r="G421" s="32"/>
      <c r="H421" s="32"/>
      <c r="I421" s="32"/>
      <c r="J421" s="32"/>
      <c r="K421" s="32"/>
      <c r="L421" s="32"/>
      <c r="M421" s="32"/>
      <c r="N421" s="32"/>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c r="BT421" s="33"/>
      <c r="BU421" s="33"/>
      <c r="BV421" s="33"/>
      <c r="BW421" s="33"/>
      <c r="BX421" s="33"/>
      <c r="BY421" s="33"/>
      <c r="BZ421" s="33"/>
      <c r="CA421" s="33"/>
      <c r="CB421" s="33"/>
      <c r="CC421" s="33"/>
      <c r="CD421" s="33"/>
    </row>
    <row r="422" spans="1:82" x14ac:dyDescent="0.25">
      <c r="A422" s="32"/>
      <c r="B422" s="32"/>
      <c r="C422" s="32"/>
      <c r="D422" s="32"/>
      <c r="E422" s="32"/>
      <c r="F422" s="32"/>
      <c r="G422" s="32"/>
      <c r="H422" s="32"/>
      <c r="I422" s="32"/>
      <c r="J422" s="32"/>
      <c r="K422" s="32"/>
      <c r="L422" s="32"/>
      <c r="M422" s="32"/>
      <c r="N422" s="32"/>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c r="BW422" s="33"/>
      <c r="BX422" s="33"/>
      <c r="BY422" s="33"/>
      <c r="BZ422" s="33"/>
      <c r="CA422" s="33"/>
      <c r="CB422" s="33"/>
      <c r="CC422" s="33"/>
      <c r="CD422" s="33"/>
    </row>
    <row r="423" spans="1:82" x14ac:dyDescent="0.25">
      <c r="A423" s="32"/>
      <c r="B423" s="32"/>
      <c r="C423" s="32"/>
      <c r="D423" s="32"/>
      <c r="E423" s="32"/>
      <c r="F423" s="32"/>
      <c r="G423" s="32"/>
      <c r="H423" s="32"/>
      <c r="I423" s="32"/>
      <c r="J423" s="32"/>
      <c r="K423" s="32"/>
      <c r="L423" s="32"/>
      <c r="M423" s="32"/>
      <c r="N423" s="32"/>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c r="BW423" s="33"/>
      <c r="BX423" s="33"/>
      <c r="BY423" s="33"/>
      <c r="BZ423" s="33"/>
      <c r="CA423" s="33"/>
      <c r="CB423" s="33"/>
      <c r="CC423" s="33"/>
      <c r="CD423" s="33"/>
    </row>
    <row r="424" spans="1:82" x14ac:dyDescent="0.25">
      <c r="A424" s="32"/>
      <c r="B424" s="32"/>
      <c r="C424" s="32"/>
      <c r="D424" s="32"/>
      <c r="E424" s="32"/>
      <c r="F424" s="32"/>
      <c r="G424" s="32"/>
      <c r="H424" s="32"/>
      <c r="I424" s="32"/>
      <c r="J424" s="32"/>
      <c r="K424" s="32"/>
      <c r="L424" s="32"/>
      <c r="M424" s="32"/>
      <c r="N424" s="32"/>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c r="BW424" s="33"/>
      <c r="BX424" s="33"/>
      <c r="BY424" s="33"/>
      <c r="BZ424" s="33"/>
      <c r="CA424" s="33"/>
      <c r="CB424" s="33"/>
      <c r="CC424" s="33"/>
      <c r="CD424" s="33"/>
    </row>
    <row r="425" spans="1:82" x14ac:dyDescent="0.25">
      <c r="A425" s="32"/>
      <c r="B425" s="32"/>
      <c r="C425" s="32"/>
      <c r="D425" s="32"/>
      <c r="E425" s="32"/>
      <c r="F425" s="32"/>
      <c r="G425" s="32"/>
      <c r="H425" s="32"/>
      <c r="I425" s="32"/>
      <c r="J425" s="32"/>
      <c r="K425" s="32"/>
      <c r="L425" s="32"/>
      <c r="M425" s="32"/>
      <c r="N425" s="32"/>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c r="BW425" s="33"/>
      <c r="BX425" s="33"/>
      <c r="BY425" s="33"/>
      <c r="BZ425" s="33"/>
      <c r="CA425" s="33"/>
      <c r="CB425" s="33"/>
      <c r="CC425" s="33"/>
      <c r="CD425" s="33"/>
    </row>
    <row r="426" spans="1:82" x14ac:dyDescent="0.25">
      <c r="A426" s="32"/>
      <c r="B426" s="32"/>
      <c r="C426" s="32"/>
      <c r="D426" s="32"/>
      <c r="E426" s="32"/>
      <c r="F426" s="32"/>
      <c r="G426" s="32"/>
      <c r="H426" s="32"/>
      <c r="I426" s="32"/>
      <c r="J426" s="32"/>
      <c r="K426" s="32"/>
      <c r="L426" s="32"/>
      <c r="M426" s="32"/>
      <c r="N426" s="32"/>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c r="BW426" s="33"/>
      <c r="BX426" s="33"/>
      <c r="BY426" s="33"/>
      <c r="BZ426" s="33"/>
      <c r="CA426" s="33"/>
      <c r="CB426" s="33"/>
      <c r="CC426" s="33"/>
      <c r="CD426" s="33"/>
    </row>
    <row r="427" spans="1:82" x14ac:dyDescent="0.25">
      <c r="A427" s="32"/>
      <c r="B427" s="32"/>
      <c r="C427" s="32"/>
      <c r="D427" s="32"/>
      <c r="E427" s="32"/>
      <c r="F427" s="32"/>
      <c r="G427" s="32"/>
      <c r="H427" s="32"/>
      <c r="I427" s="32"/>
      <c r="J427" s="32"/>
      <c r="K427" s="32"/>
      <c r="L427" s="32"/>
      <c r="M427" s="32"/>
      <c r="N427" s="32"/>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c r="BW427" s="33"/>
      <c r="BX427" s="33"/>
      <c r="BY427" s="33"/>
      <c r="BZ427" s="33"/>
      <c r="CA427" s="33"/>
      <c r="CB427" s="33"/>
      <c r="CC427" s="33"/>
      <c r="CD427" s="33"/>
    </row>
    <row r="428" spans="1:82" x14ac:dyDescent="0.25">
      <c r="A428" s="32"/>
      <c r="B428" s="32"/>
      <c r="C428" s="32"/>
      <c r="D428" s="32"/>
      <c r="E428" s="32"/>
      <c r="F428" s="32"/>
      <c r="G428" s="32"/>
      <c r="H428" s="32"/>
      <c r="I428" s="32"/>
      <c r="J428" s="32"/>
      <c r="K428" s="32"/>
      <c r="L428" s="32"/>
      <c r="M428" s="32"/>
      <c r="N428" s="32"/>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c r="BW428" s="33"/>
      <c r="BX428" s="33"/>
      <c r="BY428" s="33"/>
      <c r="BZ428" s="33"/>
      <c r="CA428" s="33"/>
      <c r="CB428" s="33"/>
      <c r="CC428" s="33"/>
      <c r="CD428" s="33"/>
    </row>
    <row r="429" spans="1:82" x14ac:dyDescent="0.25">
      <c r="A429" s="32"/>
      <c r="B429" s="32"/>
      <c r="C429" s="32"/>
      <c r="D429" s="32"/>
      <c r="E429" s="32"/>
      <c r="F429" s="32"/>
      <c r="G429" s="32"/>
      <c r="H429" s="32"/>
      <c r="I429" s="32"/>
      <c r="J429" s="32"/>
      <c r="K429" s="32"/>
      <c r="L429" s="32"/>
      <c r="M429" s="32"/>
      <c r="N429" s="32"/>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c r="BW429" s="33"/>
      <c r="BX429" s="33"/>
      <c r="BY429" s="33"/>
      <c r="BZ429" s="33"/>
      <c r="CA429" s="33"/>
      <c r="CB429" s="33"/>
      <c r="CC429" s="33"/>
      <c r="CD429" s="33"/>
    </row>
    <row r="430" spans="1:82" x14ac:dyDescent="0.25">
      <c r="A430" s="32"/>
      <c r="B430" s="32"/>
      <c r="C430" s="32"/>
      <c r="D430" s="32"/>
      <c r="E430" s="32"/>
      <c r="F430" s="32"/>
      <c r="G430" s="32"/>
      <c r="H430" s="32"/>
      <c r="I430" s="32"/>
      <c r="J430" s="32"/>
      <c r="K430" s="32"/>
      <c r="L430" s="32"/>
      <c r="M430" s="32"/>
      <c r="N430" s="32"/>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c r="BW430" s="33"/>
      <c r="BX430" s="33"/>
      <c r="BY430" s="33"/>
      <c r="BZ430" s="33"/>
      <c r="CA430" s="33"/>
      <c r="CB430" s="33"/>
      <c r="CC430" s="33"/>
      <c r="CD430" s="33"/>
    </row>
    <row r="431" spans="1:82" x14ac:dyDescent="0.25">
      <c r="A431" s="32"/>
      <c r="B431" s="32"/>
      <c r="C431" s="32"/>
      <c r="D431" s="32"/>
      <c r="E431" s="32"/>
      <c r="F431" s="32"/>
      <c r="G431" s="32"/>
      <c r="H431" s="32"/>
      <c r="I431" s="32"/>
      <c r="J431" s="32"/>
      <c r="K431" s="32"/>
      <c r="L431" s="32"/>
      <c r="M431" s="32"/>
      <c r="N431" s="32"/>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c r="BW431" s="33"/>
      <c r="BX431" s="33"/>
      <c r="BY431" s="33"/>
      <c r="BZ431" s="33"/>
      <c r="CA431" s="33"/>
      <c r="CB431" s="33"/>
      <c r="CC431" s="33"/>
      <c r="CD431" s="33"/>
    </row>
    <row r="432" spans="1:82" x14ac:dyDescent="0.25">
      <c r="A432" s="32"/>
      <c r="B432" s="32"/>
      <c r="C432" s="32"/>
      <c r="D432" s="32"/>
      <c r="E432" s="32"/>
      <c r="F432" s="32"/>
      <c r="G432" s="32"/>
      <c r="H432" s="32"/>
      <c r="I432" s="32"/>
      <c r="J432" s="32"/>
      <c r="K432" s="32"/>
      <c r="L432" s="32"/>
      <c r="M432" s="32"/>
      <c r="N432" s="32"/>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c r="BW432" s="33"/>
      <c r="BX432" s="33"/>
      <c r="BY432" s="33"/>
      <c r="BZ432" s="33"/>
      <c r="CA432" s="33"/>
      <c r="CB432" s="33"/>
      <c r="CC432" s="33"/>
      <c r="CD432" s="33"/>
    </row>
    <row r="433" spans="1:82" x14ac:dyDescent="0.25">
      <c r="A433" s="32"/>
      <c r="B433" s="32"/>
      <c r="C433" s="32"/>
      <c r="D433" s="32"/>
      <c r="E433" s="32"/>
      <c r="F433" s="32"/>
      <c r="G433" s="32"/>
      <c r="H433" s="32"/>
      <c r="I433" s="32"/>
      <c r="J433" s="32"/>
      <c r="K433" s="32"/>
      <c r="L433" s="32"/>
      <c r="M433" s="32"/>
      <c r="N433" s="32"/>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c r="BW433" s="33"/>
      <c r="BX433" s="33"/>
      <c r="BY433" s="33"/>
      <c r="BZ433" s="33"/>
      <c r="CA433" s="33"/>
      <c r="CB433" s="33"/>
      <c r="CC433" s="33"/>
      <c r="CD433" s="33"/>
    </row>
    <row r="434" spans="1:82" x14ac:dyDescent="0.25">
      <c r="A434" s="32"/>
      <c r="B434" s="32"/>
      <c r="C434" s="32"/>
      <c r="D434" s="32"/>
      <c r="E434" s="32"/>
      <c r="F434" s="32"/>
      <c r="G434" s="32"/>
      <c r="H434" s="32"/>
      <c r="I434" s="32"/>
      <c r="J434" s="32"/>
      <c r="K434" s="32"/>
      <c r="L434" s="32"/>
      <c r="M434" s="32"/>
      <c r="N434" s="32"/>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c r="BW434" s="33"/>
      <c r="BX434" s="33"/>
      <c r="BY434" s="33"/>
      <c r="BZ434" s="33"/>
      <c r="CA434" s="33"/>
      <c r="CB434" s="33"/>
      <c r="CC434" s="33"/>
      <c r="CD434" s="33"/>
    </row>
    <row r="435" spans="1:82" x14ac:dyDescent="0.25">
      <c r="A435" s="32"/>
      <c r="B435" s="32"/>
      <c r="C435" s="32"/>
      <c r="D435" s="32"/>
      <c r="E435" s="32"/>
      <c r="F435" s="32"/>
      <c r="G435" s="32"/>
      <c r="H435" s="32"/>
      <c r="I435" s="32"/>
      <c r="J435" s="32"/>
      <c r="K435" s="32"/>
      <c r="L435" s="32"/>
      <c r="M435" s="32"/>
      <c r="N435" s="32"/>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c r="BW435" s="33"/>
      <c r="BX435" s="33"/>
      <c r="BY435" s="33"/>
      <c r="BZ435" s="33"/>
      <c r="CA435" s="33"/>
      <c r="CB435" s="33"/>
      <c r="CC435" s="33"/>
      <c r="CD435" s="33"/>
    </row>
    <row r="436" spans="1:82" x14ac:dyDescent="0.25">
      <c r="A436" s="32"/>
      <c r="B436" s="32"/>
      <c r="C436" s="32"/>
      <c r="D436" s="32"/>
      <c r="E436" s="32"/>
      <c r="F436" s="32"/>
      <c r="G436" s="32"/>
      <c r="H436" s="32"/>
      <c r="I436" s="32"/>
      <c r="J436" s="32"/>
      <c r="K436" s="32"/>
      <c r="L436" s="32"/>
      <c r="M436" s="32"/>
      <c r="N436" s="32"/>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c r="BW436" s="33"/>
      <c r="BX436" s="33"/>
      <c r="BY436" s="33"/>
      <c r="BZ436" s="33"/>
      <c r="CA436" s="33"/>
      <c r="CB436" s="33"/>
      <c r="CC436" s="33"/>
      <c r="CD436" s="33"/>
    </row>
    <row r="437" spans="1:82" x14ac:dyDescent="0.25">
      <c r="A437" s="32"/>
      <c r="B437" s="32"/>
      <c r="C437" s="32"/>
      <c r="D437" s="32"/>
      <c r="E437" s="32"/>
      <c r="F437" s="32"/>
      <c r="G437" s="32"/>
      <c r="H437" s="32"/>
      <c r="I437" s="32"/>
      <c r="J437" s="32"/>
      <c r="K437" s="32"/>
      <c r="L437" s="32"/>
      <c r="M437" s="32"/>
      <c r="N437" s="32"/>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c r="BW437" s="33"/>
      <c r="BX437" s="33"/>
      <c r="BY437" s="33"/>
      <c r="BZ437" s="33"/>
      <c r="CA437" s="33"/>
      <c r="CB437" s="33"/>
      <c r="CC437" s="33"/>
      <c r="CD437" s="33"/>
    </row>
    <row r="438" spans="1:82" x14ac:dyDescent="0.25">
      <c r="A438" s="32"/>
      <c r="B438" s="32"/>
      <c r="C438" s="32"/>
      <c r="D438" s="32"/>
      <c r="E438" s="32"/>
      <c r="F438" s="32"/>
      <c r="G438" s="32"/>
      <c r="H438" s="32"/>
      <c r="I438" s="32"/>
      <c r="J438" s="32"/>
      <c r="K438" s="32"/>
      <c r="L438" s="32"/>
      <c r="M438" s="32"/>
      <c r="N438" s="32"/>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c r="BW438" s="33"/>
      <c r="BX438" s="33"/>
      <c r="BY438" s="33"/>
      <c r="BZ438" s="33"/>
      <c r="CA438" s="33"/>
      <c r="CB438" s="33"/>
      <c r="CC438" s="33"/>
      <c r="CD438" s="33"/>
    </row>
    <row r="439" spans="1:82" x14ac:dyDescent="0.25">
      <c r="A439" s="32"/>
      <c r="B439" s="32"/>
      <c r="C439" s="32"/>
      <c r="D439" s="32"/>
      <c r="E439" s="32"/>
      <c r="F439" s="32"/>
      <c r="G439" s="32"/>
      <c r="H439" s="32"/>
      <c r="I439" s="32"/>
      <c r="J439" s="32"/>
      <c r="K439" s="32"/>
      <c r="L439" s="32"/>
      <c r="M439" s="32"/>
      <c r="N439" s="32"/>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c r="BW439" s="33"/>
      <c r="BX439" s="33"/>
      <c r="BY439" s="33"/>
      <c r="BZ439" s="33"/>
      <c r="CA439" s="33"/>
      <c r="CB439" s="33"/>
      <c r="CC439" s="33"/>
      <c r="CD439" s="33"/>
    </row>
    <row r="440" spans="1:82" x14ac:dyDescent="0.25">
      <c r="A440" s="32"/>
      <c r="B440" s="32"/>
      <c r="C440" s="32"/>
      <c r="D440" s="32"/>
      <c r="E440" s="32"/>
      <c r="F440" s="32"/>
      <c r="G440" s="32"/>
      <c r="H440" s="32"/>
      <c r="I440" s="32"/>
      <c r="J440" s="32"/>
      <c r="K440" s="32"/>
      <c r="L440" s="32"/>
      <c r="M440" s="32"/>
      <c r="N440" s="32"/>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c r="BW440" s="33"/>
      <c r="BX440" s="33"/>
      <c r="BY440" s="33"/>
      <c r="BZ440" s="33"/>
      <c r="CA440" s="33"/>
      <c r="CB440" s="33"/>
      <c r="CC440" s="33"/>
      <c r="CD440" s="33"/>
    </row>
    <row r="441" spans="1:82" x14ac:dyDescent="0.25">
      <c r="A441" s="32"/>
      <c r="B441" s="32"/>
      <c r="C441" s="32"/>
      <c r="D441" s="32"/>
      <c r="E441" s="32"/>
      <c r="F441" s="32"/>
      <c r="G441" s="32"/>
      <c r="H441" s="32"/>
      <c r="I441" s="32"/>
      <c r="J441" s="32"/>
      <c r="K441" s="32"/>
      <c r="L441" s="32"/>
      <c r="M441" s="32"/>
      <c r="N441" s="32"/>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c r="BW441" s="33"/>
      <c r="BX441" s="33"/>
      <c r="BY441" s="33"/>
      <c r="BZ441" s="33"/>
      <c r="CA441" s="33"/>
      <c r="CB441" s="33"/>
      <c r="CC441" s="33"/>
      <c r="CD441" s="33"/>
    </row>
    <row r="442" spans="1:82" x14ac:dyDescent="0.25">
      <c r="A442" s="32"/>
      <c r="B442" s="32"/>
      <c r="C442" s="32"/>
      <c r="D442" s="32"/>
      <c r="E442" s="32"/>
      <c r="F442" s="32"/>
      <c r="G442" s="32"/>
      <c r="H442" s="32"/>
      <c r="I442" s="32"/>
      <c r="J442" s="32"/>
      <c r="K442" s="32"/>
      <c r="L442" s="32"/>
      <c r="M442" s="32"/>
      <c r="N442" s="32"/>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c r="BW442" s="33"/>
      <c r="BX442" s="33"/>
      <c r="BY442" s="33"/>
      <c r="BZ442" s="33"/>
      <c r="CA442" s="33"/>
      <c r="CB442" s="33"/>
      <c r="CC442" s="33"/>
      <c r="CD442" s="33"/>
    </row>
    <row r="443" spans="1:82" x14ac:dyDescent="0.25">
      <c r="A443" s="32"/>
      <c r="B443" s="32"/>
      <c r="C443" s="32"/>
      <c r="D443" s="32"/>
      <c r="E443" s="32"/>
      <c r="F443" s="32"/>
      <c r="G443" s="32"/>
      <c r="H443" s="32"/>
      <c r="I443" s="32"/>
      <c r="J443" s="32"/>
      <c r="K443" s="32"/>
      <c r="L443" s="32"/>
      <c r="M443" s="32"/>
      <c r="N443" s="32"/>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c r="BW443" s="33"/>
      <c r="BX443" s="33"/>
      <c r="BY443" s="33"/>
      <c r="BZ443" s="33"/>
      <c r="CA443" s="33"/>
      <c r="CB443" s="33"/>
      <c r="CC443" s="33"/>
      <c r="CD443" s="33"/>
    </row>
    <row r="444" spans="1:82" x14ac:dyDescent="0.25">
      <c r="A444" s="32"/>
      <c r="B444" s="32"/>
      <c r="C444" s="32"/>
      <c r="D444" s="32"/>
      <c r="E444" s="32"/>
      <c r="F444" s="32"/>
      <c r="G444" s="32"/>
      <c r="H444" s="32"/>
      <c r="I444" s="32"/>
      <c r="J444" s="32"/>
      <c r="K444" s="32"/>
      <c r="L444" s="32"/>
      <c r="M444" s="32"/>
      <c r="N444" s="32"/>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c r="BW444" s="33"/>
      <c r="BX444" s="33"/>
      <c r="BY444" s="33"/>
      <c r="BZ444" s="33"/>
      <c r="CA444" s="33"/>
      <c r="CB444" s="33"/>
      <c r="CC444" s="33"/>
      <c r="CD444" s="33"/>
    </row>
    <row r="445" spans="1:82" x14ac:dyDescent="0.25">
      <c r="A445" s="32"/>
      <c r="B445" s="32"/>
      <c r="C445" s="32"/>
      <c r="D445" s="32"/>
      <c r="E445" s="32"/>
      <c r="F445" s="32"/>
      <c r="G445" s="32"/>
      <c r="H445" s="32"/>
      <c r="I445" s="32"/>
      <c r="J445" s="32"/>
      <c r="K445" s="32"/>
      <c r="L445" s="32"/>
      <c r="M445" s="32"/>
      <c r="N445" s="32"/>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c r="BW445" s="33"/>
      <c r="BX445" s="33"/>
      <c r="BY445" s="33"/>
      <c r="BZ445" s="33"/>
      <c r="CA445" s="33"/>
      <c r="CB445" s="33"/>
      <c r="CC445" s="33"/>
      <c r="CD445" s="33"/>
    </row>
    <row r="446" spans="1:82" x14ac:dyDescent="0.25">
      <c r="A446" s="32"/>
      <c r="B446" s="32"/>
      <c r="C446" s="32"/>
      <c r="D446" s="32"/>
      <c r="E446" s="32"/>
      <c r="F446" s="32"/>
      <c r="G446" s="32"/>
      <c r="H446" s="32"/>
      <c r="I446" s="32"/>
      <c r="J446" s="32"/>
      <c r="K446" s="32"/>
      <c r="L446" s="32"/>
      <c r="M446" s="32"/>
      <c r="N446" s="32"/>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c r="BW446" s="33"/>
      <c r="BX446" s="33"/>
      <c r="BY446" s="33"/>
      <c r="BZ446" s="33"/>
      <c r="CA446" s="33"/>
      <c r="CB446" s="33"/>
      <c r="CC446" s="33"/>
      <c r="CD446" s="33"/>
    </row>
    <row r="447" spans="1:82" x14ac:dyDescent="0.25">
      <c r="A447" s="32"/>
      <c r="B447" s="32"/>
      <c r="C447" s="32"/>
      <c r="D447" s="32"/>
      <c r="E447" s="32"/>
      <c r="F447" s="32"/>
      <c r="G447" s="32"/>
      <c r="H447" s="32"/>
      <c r="I447" s="32"/>
      <c r="J447" s="32"/>
      <c r="K447" s="32"/>
      <c r="L447" s="32"/>
      <c r="M447" s="32"/>
      <c r="N447" s="32"/>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c r="BW447" s="33"/>
      <c r="BX447" s="33"/>
      <c r="BY447" s="33"/>
      <c r="BZ447" s="33"/>
      <c r="CA447" s="33"/>
      <c r="CB447" s="33"/>
      <c r="CC447" s="33"/>
      <c r="CD447" s="33"/>
    </row>
    <row r="448" spans="1:82" x14ac:dyDescent="0.25">
      <c r="A448" s="32"/>
      <c r="B448" s="32"/>
      <c r="C448" s="32"/>
      <c r="D448" s="32"/>
      <c r="E448" s="32"/>
      <c r="F448" s="32"/>
      <c r="G448" s="32"/>
      <c r="H448" s="32"/>
      <c r="I448" s="32"/>
      <c r="J448" s="32"/>
      <c r="K448" s="32"/>
      <c r="L448" s="32"/>
      <c r="M448" s="32"/>
      <c r="N448" s="32"/>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c r="BW448" s="33"/>
      <c r="BX448" s="33"/>
      <c r="BY448" s="33"/>
      <c r="BZ448" s="33"/>
      <c r="CA448" s="33"/>
      <c r="CB448" s="33"/>
      <c r="CC448" s="33"/>
      <c r="CD448" s="33"/>
    </row>
    <row r="449" spans="1:82" x14ac:dyDescent="0.25">
      <c r="A449" s="32"/>
      <c r="B449" s="32"/>
      <c r="C449" s="32"/>
      <c r="D449" s="32"/>
      <c r="E449" s="32"/>
      <c r="F449" s="32"/>
      <c r="G449" s="32"/>
      <c r="H449" s="32"/>
      <c r="I449" s="32"/>
      <c r="J449" s="32"/>
      <c r="K449" s="32"/>
      <c r="L449" s="32"/>
      <c r="M449" s="32"/>
      <c r="N449" s="32"/>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c r="BW449" s="33"/>
      <c r="BX449" s="33"/>
      <c r="BY449" s="33"/>
      <c r="BZ449" s="33"/>
      <c r="CA449" s="33"/>
      <c r="CB449" s="33"/>
      <c r="CC449" s="33"/>
      <c r="CD449" s="33"/>
    </row>
    <row r="450" spans="1:82" x14ac:dyDescent="0.25">
      <c r="A450" s="32"/>
      <c r="B450" s="32"/>
      <c r="C450" s="32"/>
      <c r="D450" s="32"/>
      <c r="E450" s="32"/>
      <c r="F450" s="32"/>
      <c r="G450" s="32"/>
      <c r="H450" s="32"/>
      <c r="I450" s="32"/>
      <c r="J450" s="32"/>
      <c r="K450" s="32"/>
      <c r="L450" s="32"/>
      <c r="M450" s="32"/>
      <c r="N450" s="32"/>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c r="BW450" s="33"/>
      <c r="BX450" s="33"/>
      <c r="BY450" s="33"/>
      <c r="BZ450" s="33"/>
      <c r="CA450" s="33"/>
      <c r="CB450" s="33"/>
      <c r="CC450" s="33"/>
      <c r="CD450" s="33"/>
    </row>
    <row r="451" spans="1:82" x14ac:dyDescent="0.25">
      <c r="A451" s="32"/>
      <c r="B451" s="32"/>
      <c r="C451" s="32"/>
      <c r="D451" s="32"/>
      <c r="E451" s="32"/>
      <c r="F451" s="32"/>
      <c r="G451" s="32"/>
      <c r="H451" s="32"/>
      <c r="I451" s="32"/>
      <c r="J451" s="32"/>
      <c r="K451" s="32"/>
      <c r="L451" s="32"/>
      <c r="M451" s="32"/>
      <c r="N451" s="32"/>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c r="BW451" s="33"/>
      <c r="BX451" s="33"/>
      <c r="BY451" s="33"/>
      <c r="BZ451" s="33"/>
      <c r="CA451" s="33"/>
      <c r="CB451" s="33"/>
      <c r="CC451" s="33"/>
      <c r="CD451" s="33"/>
    </row>
    <row r="452" spans="1:82" x14ac:dyDescent="0.25">
      <c r="A452" s="32"/>
      <c r="B452" s="32"/>
      <c r="C452" s="32"/>
      <c r="D452" s="32"/>
      <c r="E452" s="32"/>
      <c r="F452" s="32"/>
      <c r="G452" s="32"/>
      <c r="H452" s="32"/>
      <c r="I452" s="32"/>
      <c r="J452" s="32"/>
      <c r="K452" s="32"/>
      <c r="L452" s="32"/>
      <c r="M452" s="32"/>
      <c r="N452" s="32"/>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c r="BW452" s="33"/>
      <c r="BX452" s="33"/>
      <c r="BY452" s="33"/>
      <c r="BZ452" s="33"/>
      <c r="CA452" s="33"/>
      <c r="CB452" s="33"/>
      <c r="CC452" s="33"/>
      <c r="CD452" s="33"/>
    </row>
    <row r="453" spans="1:82" x14ac:dyDescent="0.25">
      <c r="A453" s="32"/>
      <c r="B453" s="32"/>
      <c r="C453" s="32"/>
      <c r="D453" s="32"/>
      <c r="E453" s="32"/>
      <c r="F453" s="32"/>
      <c r="G453" s="32"/>
      <c r="H453" s="32"/>
      <c r="I453" s="32"/>
      <c r="J453" s="32"/>
      <c r="K453" s="32"/>
      <c r="L453" s="32"/>
      <c r="M453" s="32"/>
      <c r="N453" s="32"/>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c r="BR453" s="33"/>
      <c r="BS453" s="33"/>
      <c r="BT453" s="33"/>
      <c r="BU453" s="33"/>
      <c r="BV453" s="33"/>
      <c r="BW453" s="33"/>
      <c r="BX453" s="33"/>
      <c r="BY453" s="33"/>
      <c r="BZ453" s="33"/>
      <c r="CA453" s="33"/>
      <c r="CB453" s="33"/>
      <c r="CC453" s="33"/>
      <c r="CD453" s="33"/>
    </row>
    <row r="454" spans="1:82" x14ac:dyDescent="0.25">
      <c r="A454" s="32"/>
      <c r="B454" s="32"/>
      <c r="C454" s="32"/>
      <c r="D454" s="32"/>
      <c r="E454" s="32"/>
      <c r="F454" s="32"/>
      <c r="G454" s="32"/>
      <c r="H454" s="32"/>
      <c r="I454" s="32"/>
      <c r="J454" s="32"/>
      <c r="K454" s="32"/>
      <c r="L454" s="32"/>
      <c r="M454" s="32"/>
      <c r="N454" s="32"/>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c r="BW454" s="33"/>
      <c r="BX454" s="33"/>
      <c r="BY454" s="33"/>
      <c r="BZ454" s="33"/>
      <c r="CA454" s="33"/>
      <c r="CB454" s="33"/>
      <c r="CC454" s="33"/>
      <c r="CD454" s="33"/>
    </row>
    <row r="455" spans="1:82" x14ac:dyDescent="0.25">
      <c r="A455" s="32"/>
      <c r="B455" s="32"/>
      <c r="C455" s="32"/>
      <c r="D455" s="32"/>
      <c r="E455" s="32"/>
      <c r="F455" s="32"/>
      <c r="G455" s="32"/>
      <c r="H455" s="32"/>
      <c r="I455" s="32"/>
      <c r="J455" s="32"/>
      <c r="K455" s="32"/>
      <c r="L455" s="32"/>
      <c r="M455" s="32"/>
      <c r="N455" s="32"/>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33"/>
      <c r="BS455" s="33"/>
      <c r="BT455" s="33"/>
      <c r="BU455" s="33"/>
      <c r="BV455" s="33"/>
      <c r="BW455" s="33"/>
      <c r="BX455" s="33"/>
      <c r="BY455" s="33"/>
      <c r="BZ455" s="33"/>
      <c r="CA455" s="33"/>
      <c r="CB455" s="33"/>
      <c r="CC455" s="33"/>
      <c r="CD455" s="33"/>
    </row>
    <row r="456" spans="1:82" x14ac:dyDescent="0.25">
      <c r="A456" s="32"/>
      <c r="B456" s="32"/>
      <c r="C456" s="32"/>
      <c r="D456" s="32"/>
      <c r="E456" s="32"/>
      <c r="F456" s="32"/>
      <c r="G456" s="32"/>
      <c r="H456" s="32"/>
      <c r="I456" s="32"/>
      <c r="J456" s="32"/>
      <c r="K456" s="32"/>
      <c r="L456" s="32"/>
      <c r="M456" s="32"/>
      <c r="N456" s="32"/>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c r="BW456" s="33"/>
      <c r="BX456" s="33"/>
      <c r="BY456" s="33"/>
      <c r="BZ456" s="33"/>
      <c r="CA456" s="33"/>
      <c r="CB456" s="33"/>
      <c r="CC456" s="33"/>
      <c r="CD456" s="33"/>
    </row>
    <row r="457" spans="1:82" x14ac:dyDescent="0.25">
      <c r="A457" s="32"/>
      <c r="B457" s="32"/>
      <c r="C457" s="32"/>
      <c r="D457" s="32"/>
      <c r="E457" s="32"/>
      <c r="F457" s="32"/>
      <c r="G457" s="32"/>
      <c r="H457" s="32"/>
      <c r="I457" s="32"/>
      <c r="J457" s="32"/>
      <c r="K457" s="32"/>
      <c r="L457" s="32"/>
      <c r="M457" s="32"/>
      <c r="N457" s="32"/>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c r="BW457" s="33"/>
      <c r="BX457" s="33"/>
      <c r="BY457" s="33"/>
      <c r="BZ457" s="33"/>
      <c r="CA457" s="33"/>
      <c r="CB457" s="33"/>
      <c r="CC457" s="33"/>
      <c r="CD457" s="33"/>
    </row>
    <row r="458" spans="1:82" x14ac:dyDescent="0.25">
      <c r="A458" s="32"/>
      <c r="B458" s="32"/>
      <c r="C458" s="32"/>
      <c r="D458" s="32"/>
      <c r="E458" s="32"/>
      <c r="F458" s="32"/>
      <c r="G458" s="32"/>
      <c r="H458" s="32"/>
      <c r="I458" s="32"/>
      <c r="J458" s="32"/>
      <c r="K458" s="32"/>
      <c r="L458" s="32"/>
      <c r="M458" s="32"/>
      <c r="N458" s="32"/>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33"/>
      <c r="BF458" s="33"/>
      <c r="BG458" s="33"/>
      <c r="BH458" s="33"/>
      <c r="BI458" s="33"/>
      <c r="BJ458" s="33"/>
      <c r="BK458" s="33"/>
      <c r="BL458" s="33"/>
      <c r="BM458" s="33"/>
      <c r="BN458" s="33"/>
      <c r="BO458" s="33"/>
      <c r="BP458" s="33"/>
      <c r="BQ458" s="33"/>
      <c r="BR458" s="33"/>
      <c r="BS458" s="33"/>
      <c r="BT458" s="33"/>
      <c r="BU458" s="33"/>
      <c r="BV458" s="33"/>
      <c r="BW458" s="33"/>
      <c r="BX458" s="33"/>
      <c r="BY458" s="33"/>
      <c r="BZ458" s="33"/>
      <c r="CA458" s="33"/>
      <c r="CB458" s="33"/>
      <c r="CC458" s="33"/>
      <c r="CD458" s="33"/>
    </row>
    <row r="459" spans="1:82" x14ac:dyDescent="0.25">
      <c r="A459" s="32"/>
      <c r="B459" s="32"/>
      <c r="C459" s="32"/>
      <c r="D459" s="32"/>
      <c r="E459" s="32"/>
      <c r="F459" s="32"/>
      <c r="G459" s="32"/>
      <c r="H459" s="32"/>
      <c r="I459" s="32"/>
      <c r="J459" s="32"/>
      <c r="K459" s="32"/>
      <c r="L459" s="32"/>
      <c r="M459" s="32"/>
      <c r="N459" s="32"/>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33"/>
      <c r="BF459" s="33"/>
      <c r="BG459" s="33"/>
      <c r="BH459" s="33"/>
      <c r="BI459" s="33"/>
      <c r="BJ459" s="33"/>
      <c r="BK459" s="33"/>
      <c r="BL459" s="33"/>
      <c r="BM459" s="33"/>
      <c r="BN459" s="33"/>
      <c r="BO459" s="33"/>
      <c r="BP459" s="33"/>
      <c r="BQ459" s="33"/>
      <c r="BR459" s="33"/>
      <c r="BS459" s="33"/>
      <c r="BT459" s="33"/>
      <c r="BU459" s="33"/>
      <c r="BV459" s="33"/>
      <c r="BW459" s="33"/>
      <c r="BX459" s="33"/>
      <c r="BY459" s="33"/>
      <c r="BZ459" s="33"/>
      <c r="CA459" s="33"/>
      <c r="CB459" s="33"/>
      <c r="CC459" s="33"/>
      <c r="CD459" s="33"/>
    </row>
    <row r="460" spans="1:82" x14ac:dyDescent="0.25">
      <c r="A460" s="32"/>
      <c r="B460" s="32"/>
      <c r="C460" s="32"/>
      <c r="D460" s="32"/>
      <c r="E460" s="32"/>
      <c r="F460" s="32"/>
      <c r="G460" s="32"/>
      <c r="H460" s="32"/>
      <c r="I460" s="32"/>
      <c r="J460" s="32"/>
      <c r="K460" s="32"/>
      <c r="L460" s="32"/>
      <c r="M460" s="32"/>
      <c r="N460" s="32"/>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c r="BW460" s="33"/>
      <c r="BX460" s="33"/>
      <c r="BY460" s="33"/>
      <c r="BZ460" s="33"/>
      <c r="CA460" s="33"/>
      <c r="CB460" s="33"/>
      <c r="CC460" s="33"/>
      <c r="CD460" s="33"/>
    </row>
    <row r="461" spans="1:82" x14ac:dyDescent="0.25">
      <c r="A461" s="32"/>
      <c r="B461" s="32"/>
      <c r="C461" s="32"/>
      <c r="D461" s="32"/>
      <c r="E461" s="32"/>
      <c r="F461" s="32"/>
      <c r="G461" s="32"/>
      <c r="H461" s="32"/>
      <c r="I461" s="32"/>
      <c r="J461" s="32"/>
      <c r="K461" s="32"/>
      <c r="L461" s="32"/>
      <c r="M461" s="32"/>
      <c r="N461" s="32"/>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c r="BV461" s="33"/>
      <c r="BW461" s="33"/>
      <c r="BX461" s="33"/>
      <c r="BY461" s="33"/>
      <c r="BZ461" s="33"/>
      <c r="CA461" s="33"/>
      <c r="CB461" s="33"/>
      <c r="CC461" s="33"/>
      <c r="CD461" s="33"/>
    </row>
    <row r="462" spans="1:82" x14ac:dyDescent="0.25">
      <c r="A462" s="32"/>
      <c r="B462" s="32"/>
      <c r="C462" s="32"/>
      <c r="D462" s="32"/>
      <c r="E462" s="32"/>
      <c r="F462" s="32"/>
      <c r="G462" s="32"/>
      <c r="H462" s="32"/>
      <c r="I462" s="32"/>
      <c r="J462" s="32"/>
      <c r="K462" s="32"/>
      <c r="L462" s="32"/>
      <c r="M462" s="32"/>
      <c r="N462" s="32"/>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c r="BW462" s="33"/>
      <c r="BX462" s="33"/>
      <c r="BY462" s="33"/>
      <c r="BZ462" s="33"/>
      <c r="CA462" s="33"/>
      <c r="CB462" s="33"/>
      <c r="CC462" s="33"/>
      <c r="CD462" s="33"/>
    </row>
    <row r="463" spans="1:82" x14ac:dyDescent="0.25">
      <c r="A463" s="32"/>
      <c r="B463" s="32"/>
      <c r="C463" s="32"/>
      <c r="D463" s="32"/>
      <c r="E463" s="32"/>
      <c r="F463" s="32"/>
      <c r="G463" s="32"/>
      <c r="H463" s="32"/>
      <c r="I463" s="32"/>
      <c r="J463" s="32"/>
      <c r="K463" s="32"/>
      <c r="L463" s="32"/>
      <c r="M463" s="32"/>
      <c r="N463" s="32"/>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c r="BW463" s="33"/>
      <c r="BX463" s="33"/>
      <c r="BY463" s="33"/>
      <c r="BZ463" s="33"/>
      <c r="CA463" s="33"/>
      <c r="CB463" s="33"/>
      <c r="CC463" s="33"/>
      <c r="CD463" s="33"/>
    </row>
    <row r="464" spans="1:82" x14ac:dyDescent="0.25">
      <c r="A464" s="32"/>
      <c r="B464" s="32"/>
      <c r="C464" s="32"/>
      <c r="D464" s="32"/>
      <c r="E464" s="32"/>
      <c r="F464" s="32"/>
      <c r="G464" s="32"/>
      <c r="H464" s="32"/>
      <c r="I464" s="32"/>
      <c r="J464" s="32"/>
      <c r="K464" s="32"/>
      <c r="L464" s="32"/>
      <c r="M464" s="32"/>
      <c r="N464" s="32"/>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c r="BW464" s="33"/>
      <c r="BX464" s="33"/>
      <c r="BY464" s="33"/>
      <c r="BZ464" s="33"/>
      <c r="CA464" s="33"/>
      <c r="CB464" s="33"/>
      <c r="CC464" s="33"/>
      <c r="CD464" s="33"/>
    </row>
    <row r="465" spans="1:82" x14ac:dyDescent="0.25">
      <c r="A465" s="32"/>
      <c r="B465" s="32"/>
      <c r="C465" s="32"/>
      <c r="D465" s="32"/>
      <c r="E465" s="32"/>
      <c r="F465" s="32"/>
      <c r="G465" s="32"/>
      <c r="H465" s="32"/>
      <c r="I465" s="32"/>
      <c r="J465" s="32"/>
      <c r="K465" s="32"/>
      <c r="L465" s="32"/>
      <c r="M465" s="32"/>
      <c r="N465" s="32"/>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c r="BW465" s="33"/>
      <c r="BX465" s="33"/>
      <c r="BY465" s="33"/>
      <c r="BZ465" s="33"/>
      <c r="CA465" s="33"/>
      <c r="CB465" s="33"/>
      <c r="CC465" s="33"/>
      <c r="CD465" s="33"/>
    </row>
    <row r="466" spans="1:82" x14ac:dyDescent="0.25">
      <c r="A466" s="32"/>
      <c r="B466" s="32"/>
      <c r="C466" s="32"/>
      <c r="D466" s="32"/>
      <c r="E466" s="32"/>
      <c r="F466" s="32"/>
      <c r="G466" s="32"/>
      <c r="H466" s="32"/>
      <c r="I466" s="32"/>
      <c r="J466" s="32"/>
      <c r="K466" s="32"/>
      <c r="L466" s="32"/>
      <c r="M466" s="32"/>
      <c r="N466" s="32"/>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33"/>
      <c r="BX466" s="33"/>
      <c r="BY466" s="33"/>
      <c r="BZ466" s="33"/>
      <c r="CA466" s="33"/>
      <c r="CB466" s="33"/>
      <c r="CC466" s="33"/>
      <c r="CD466" s="33"/>
    </row>
    <row r="467" spans="1:82" x14ac:dyDescent="0.25">
      <c r="A467" s="32"/>
      <c r="B467" s="32"/>
      <c r="C467" s="32"/>
      <c r="D467" s="32"/>
      <c r="E467" s="32"/>
      <c r="F467" s="32"/>
      <c r="G467" s="32"/>
      <c r="H467" s="32"/>
      <c r="I467" s="32"/>
      <c r="J467" s="32"/>
      <c r="K467" s="32"/>
      <c r="L467" s="32"/>
      <c r="M467" s="32"/>
      <c r="N467" s="32"/>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c r="BW467" s="33"/>
      <c r="BX467" s="33"/>
      <c r="BY467" s="33"/>
      <c r="BZ467" s="33"/>
      <c r="CA467" s="33"/>
      <c r="CB467" s="33"/>
      <c r="CC467" s="33"/>
      <c r="CD467" s="33"/>
    </row>
    <row r="468" spans="1:82" x14ac:dyDescent="0.25">
      <c r="A468" s="32"/>
      <c r="B468" s="32"/>
      <c r="C468" s="32"/>
      <c r="D468" s="32"/>
      <c r="E468" s="32"/>
      <c r="F468" s="32"/>
      <c r="G468" s="32"/>
      <c r="H468" s="32"/>
      <c r="I468" s="32"/>
      <c r="J468" s="32"/>
      <c r="K468" s="32"/>
      <c r="L468" s="32"/>
      <c r="M468" s="32"/>
      <c r="N468" s="32"/>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c r="BW468" s="33"/>
      <c r="BX468" s="33"/>
      <c r="BY468" s="33"/>
      <c r="BZ468" s="33"/>
      <c r="CA468" s="33"/>
      <c r="CB468" s="33"/>
      <c r="CC468" s="33"/>
      <c r="CD468" s="33"/>
    </row>
    <row r="469" spans="1:82" x14ac:dyDescent="0.25">
      <c r="A469" s="32"/>
      <c r="B469" s="32"/>
      <c r="C469" s="32"/>
      <c r="D469" s="32"/>
      <c r="E469" s="32"/>
      <c r="F469" s="32"/>
      <c r="G469" s="32"/>
      <c r="H469" s="32"/>
      <c r="I469" s="32"/>
      <c r="J469" s="32"/>
      <c r="K469" s="32"/>
      <c r="L469" s="32"/>
      <c r="M469" s="32"/>
      <c r="N469" s="32"/>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c r="BW469" s="33"/>
      <c r="BX469" s="33"/>
      <c r="BY469" s="33"/>
      <c r="BZ469" s="33"/>
      <c r="CA469" s="33"/>
      <c r="CB469" s="33"/>
      <c r="CC469" s="33"/>
      <c r="CD469" s="33"/>
    </row>
    <row r="470" spans="1:82" x14ac:dyDescent="0.25">
      <c r="A470" s="32"/>
      <c r="B470" s="32"/>
      <c r="C470" s="32"/>
      <c r="D470" s="32"/>
      <c r="E470" s="32"/>
      <c r="F470" s="32"/>
      <c r="G470" s="32"/>
      <c r="H470" s="32"/>
      <c r="I470" s="32"/>
      <c r="J470" s="32"/>
      <c r="K470" s="32"/>
      <c r="L470" s="32"/>
      <c r="M470" s="32"/>
      <c r="N470" s="32"/>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c r="BW470" s="33"/>
      <c r="BX470" s="33"/>
      <c r="BY470" s="33"/>
      <c r="BZ470" s="33"/>
      <c r="CA470" s="33"/>
      <c r="CB470" s="33"/>
      <c r="CC470" s="33"/>
      <c r="CD470" s="33"/>
    </row>
    <row r="471" spans="1:82" x14ac:dyDescent="0.25">
      <c r="A471" s="32"/>
      <c r="B471" s="32"/>
      <c r="C471" s="32"/>
      <c r="D471" s="32"/>
      <c r="E471" s="32"/>
      <c r="F471" s="32"/>
      <c r="G471" s="32"/>
      <c r="H471" s="32"/>
      <c r="I471" s="32"/>
      <c r="J471" s="32"/>
      <c r="K471" s="32"/>
      <c r="L471" s="32"/>
      <c r="M471" s="32"/>
      <c r="N471" s="32"/>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c r="BW471" s="33"/>
      <c r="BX471" s="33"/>
      <c r="BY471" s="33"/>
      <c r="BZ471" s="33"/>
      <c r="CA471" s="33"/>
      <c r="CB471" s="33"/>
      <c r="CC471" s="33"/>
      <c r="CD471" s="33"/>
    </row>
    <row r="472" spans="1:82" x14ac:dyDescent="0.25">
      <c r="A472" s="32"/>
      <c r="B472" s="32"/>
      <c r="C472" s="32"/>
      <c r="D472" s="32"/>
      <c r="E472" s="32"/>
      <c r="F472" s="32"/>
      <c r="G472" s="32"/>
      <c r="H472" s="32"/>
      <c r="I472" s="32"/>
      <c r="J472" s="32"/>
      <c r="K472" s="32"/>
      <c r="L472" s="32"/>
      <c r="M472" s="32"/>
      <c r="N472" s="32"/>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c r="BW472" s="33"/>
      <c r="BX472" s="33"/>
      <c r="BY472" s="33"/>
      <c r="BZ472" s="33"/>
      <c r="CA472" s="33"/>
      <c r="CB472" s="33"/>
      <c r="CC472" s="33"/>
      <c r="CD472" s="33"/>
    </row>
    <row r="473" spans="1:82" x14ac:dyDescent="0.25">
      <c r="A473" s="32"/>
      <c r="B473" s="32"/>
      <c r="C473" s="32"/>
      <c r="D473" s="32"/>
      <c r="E473" s="32"/>
      <c r="F473" s="32"/>
      <c r="G473" s="32"/>
      <c r="H473" s="32"/>
      <c r="I473" s="32"/>
      <c r="J473" s="32"/>
      <c r="K473" s="32"/>
      <c r="L473" s="32"/>
      <c r="M473" s="32"/>
      <c r="N473" s="32"/>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c r="CA473" s="33"/>
      <c r="CB473" s="33"/>
      <c r="CC473" s="33"/>
      <c r="CD473" s="33"/>
    </row>
    <row r="474" spans="1:82" x14ac:dyDescent="0.25">
      <c r="A474" s="32"/>
      <c r="B474" s="32"/>
      <c r="C474" s="32"/>
      <c r="D474" s="32"/>
      <c r="E474" s="32"/>
      <c r="F474" s="32"/>
      <c r="G474" s="32"/>
      <c r="H474" s="32"/>
      <c r="I474" s="32"/>
      <c r="J474" s="32"/>
      <c r="K474" s="32"/>
      <c r="L474" s="32"/>
      <c r="M474" s="32"/>
      <c r="N474" s="32"/>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c r="BW474" s="33"/>
      <c r="BX474" s="33"/>
      <c r="BY474" s="33"/>
      <c r="BZ474" s="33"/>
      <c r="CA474" s="33"/>
      <c r="CB474" s="33"/>
      <c r="CC474" s="33"/>
      <c r="CD474" s="33"/>
    </row>
    <row r="475" spans="1:82" x14ac:dyDescent="0.25">
      <c r="A475" s="32"/>
      <c r="B475" s="32"/>
      <c r="C475" s="32"/>
      <c r="D475" s="32"/>
      <c r="E475" s="32"/>
      <c r="F475" s="32"/>
      <c r="G475" s="32"/>
      <c r="H475" s="32"/>
      <c r="I475" s="32"/>
      <c r="J475" s="32"/>
      <c r="K475" s="32"/>
      <c r="L475" s="32"/>
      <c r="M475" s="32"/>
      <c r="N475" s="32"/>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c r="CA475" s="33"/>
      <c r="CB475" s="33"/>
      <c r="CC475" s="33"/>
      <c r="CD475" s="33"/>
    </row>
    <row r="476" spans="1:82" x14ac:dyDescent="0.25">
      <c r="A476" s="32"/>
      <c r="B476" s="32"/>
      <c r="C476" s="32"/>
      <c r="D476" s="32"/>
      <c r="E476" s="32"/>
      <c r="F476" s="32"/>
      <c r="G476" s="32"/>
      <c r="H476" s="32"/>
      <c r="I476" s="32"/>
      <c r="J476" s="32"/>
      <c r="K476" s="32"/>
      <c r="L476" s="32"/>
      <c r="M476" s="32"/>
      <c r="N476" s="32"/>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c r="BW476" s="33"/>
      <c r="BX476" s="33"/>
      <c r="BY476" s="33"/>
      <c r="BZ476" s="33"/>
      <c r="CA476" s="33"/>
      <c r="CB476" s="33"/>
      <c r="CC476" s="33"/>
      <c r="CD476" s="33"/>
    </row>
    <row r="477" spans="1:82" x14ac:dyDescent="0.25">
      <c r="A477" s="32"/>
      <c r="B477" s="32"/>
      <c r="C477" s="32"/>
      <c r="D477" s="32"/>
      <c r="E477" s="32"/>
      <c r="F477" s="32"/>
      <c r="G477" s="32"/>
      <c r="H477" s="32"/>
      <c r="I477" s="32"/>
      <c r="J477" s="32"/>
      <c r="K477" s="32"/>
      <c r="L477" s="32"/>
      <c r="M477" s="32"/>
      <c r="N477" s="32"/>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33"/>
      <c r="BF477" s="33"/>
      <c r="BG477" s="33"/>
      <c r="BH477" s="33"/>
      <c r="BI477" s="33"/>
      <c r="BJ477" s="33"/>
      <c r="BK477" s="33"/>
      <c r="BL477" s="33"/>
      <c r="BM477" s="33"/>
      <c r="BN477" s="33"/>
      <c r="BO477" s="33"/>
      <c r="BP477" s="33"/>
      <c r="BQ477" s="33"/>
      <c r="BR477" s="33"/>
      <c r="BS477" s="33"/>
      <c r="BT477" s="33"/>
      <c r="BU477" s="33"/>
      <c r="BV477" s="33"/>
      <c r="BW477" s="33"/>
      <c r="BX477" s="33"/>
      <c r="BY477" s="33"/>
      <c r="BZ477" s="33"/>
      <c r="CA477" s="33"/>
      <c r="CB477" s="33"/>
      <c r="CC477" s="33"/>
      <c r="CD477" s="33"/>
    </row>
    <row r="478" spans="1:82" x14ac:dyDescent="0.25">
      <c r="A478" s="32"/>
      <c r="B478" s="32"/>
      <c r="C478" s="32"/>
      <c r="D478" s="32"/>
      <c r="E478" s="32"/>
      <c r="F478" s="32"/>
      <c r="G478" s="32"/>
      <c r="H478" s="32"/>
      <c r="I478" s="32"/>
      <c r="J478" s="32"/>
      <c r="K478" s="32"/>
      <c r="L478" s="32"/>
      <c r="M478" s="32"/>
      <c r="N478" s="32"/>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33"/>
      <c r="BF478" s="33"/>
      <c r="BG478" s="33"/>
      <c r="BH478" s="33"/>
      <c r="BI478" s="33"/>
      <c r="BJ478" s="33"/>
      <c r="BK478" s="33"/>
      <c r="BL478" s="33"/>
      <c r="BM478" s="33"/>
      <c r="BN478" s="33"/>
      <c r="BO478" s="33"/>
      <c r="BP478" s="33"/>
      <c r="BQ478" s="33"/>
      <c r="BR478" s="33"/>
      <c r="BS478" s="33"/>
      <c r="BT478" s="33"/>
      <c r="BU478" s="33"/>
      <c r="BV478" s="33"/>
      <c r="BW478" s="33"/>
      <c r="BX478" s="33"/>
      <c r="BY478" s="33"/>
      <c r="BZ478" s="33"/>
      <c r="CA478" s="33"/>
      <c r="CB478" s="33"/>
      <c r="CC478" s="33"/>
      <c r="CD478" s="33"/>
    </row>
    <row r="479" spans="1:82" x14ac:dyDescent="0.25">
      <c r="A479" s="32"/>
      <c r="B479" s="32"/>
      <c r="C479" s="32"/>
      <c r="D479" s="32"/>
      <c r="E479" s="32"/>
      <c r="F479" s="32"/>
      <c r="G479" s="32"/>
      <c r="H479" s="32"/>
      <c r="I479" s="32"/>
      <c r="J479" s="32"/>
      <c r="K479" s="32"/>
      <c r="L479" s="32"/>
      <c r="M479" s="32"/>
      <c r="N479" s="32"/>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c r="BJ479" s="33"/>
      <c r="BK479" s="33"/>
      <c r="BL479" s="33"/>
      <c r="BM479" s="33"/>
      <c r="BN479" s="33"/>
      <c r="BO479" s="33"/>
      <c r="BP479" s="33"/>
      <c r="BQ479" s="33"/>
      <c r="BR479" s="33"/>
      <c r="BS479" s="33"/>
      <c r="BT479" s="33"/>
      <c r="BU479" s="33"/>
      <c r="BV479" s="33"/>
      <c r="BW479" s="33"/>
      <c r="BX479" s="33"/>
      <c r="BY479" s="33"/>
      <c r="BZ479" s="33"/>
      <c r="CA479" s="33"/>
      <c r="CB479" s="33"/>
      <c r="CC479" s="33"/>
      <c r="CD479" s="33"/>
    </row>
    <row r="480" spans="1:82" x14ac:dyDescent="0.25">
      <c r="A480" s="32"/>
      <c r="B480" s="32"/>
      <c r="C480" s="32"/>
      <c r="D480" s="32"/>
      <c r="E480" s="32"/>
      <c r="F480" s="32"/>
      <c r="G480" s="32"/>
      <c r="H480" s="32"/>
      <c r="I480" s="32"/>
      <c r="J480" s="32"/>
      <c r="K480" s="32"/>
      <c r="L480" s="32"/>
      <c r="M480" s="32"/>
      <c r="N480" s="32"/>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c r="CA480" s="33"/>
      <c r="CB480" s="33"/>
      <c r="CC480" s="33"/>
      <c r="CD480" s="33"/>
    </row>
    <row r="481" spans="1:82" x14ac:dyDescent="0.25">
      <c r="A481" s="32"/>
      <c r="B481" s="32"/>
      <c r="C481" s="32"/>
      <c r="D481" s="32"/>
      <c r="E481" s="32"/>
      <c r="F481" s="32"/>
      <c r="G481" s="32"/>
      <c r="H481" s="32"/>
      <c r="I481" s="32"/>
      <c r="J481" s="32"/>
      <c r="K481" s="32"/>
      <c r="L481" s="32"/>
      <c r="M481" s="32"/>
      <c r="N481" s="32"/>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c r="CA481" s="33"/>
      <c r="CB481" s="33"/>
      <c r="CC481" s="33"/>
      <c r="CD481" s="33"/>
    </row>
    <row r="482" spans="1:82" x14ac:dyDescent="0.25">
      <c r="A482" s="32"/>
      <c r="B482" s="32"/>
      <c r="C482" s="32"/>
      <c r="D482" s="32"/>
      <c r="E482" s="32"/>
      <c r="F482" s="32"/>
      <c r="G482" s="32"/>
      <c r="H482" s="32"/>
      <c r="I482" s="32"/>
      <c r="J482" s="32"/>
      <c r="K482" s="32"/>
      <c r="L482" s="32"/>
      <c r="M482" s="32"/>
      <c r="N482" s="32"/>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c r="BW482" s="33"/>
      <c r="BX482" s="33"/>
      <c r="BY482" s="33"/>
      <c r="BZ482" s="33"/>
      <c r="CA482" s="33"/>
      <c r="CB482" s="33"/>
      <c r="CC482" s="33"/>
      <c r="CD482" s="33"/>
    </row>
    <row r="483" spans="1:82" x14ac:dyDescent="0.25">
      <c r="A483" s="32"/>
      <c r="B483" s="32"/>
      <c r="C483" s="32"/>
      <c r="D483" s="32"/>
      <c r="E483" s="32"/>
      <c r="F483" s="32"/>
      <c r="G483" s="32"/>
      <c r="H483" s="32"/>
      <c r="I483" s="32"/>
      <c r="J483" s="32"/>
      <c r="K483" s="32"/>
      <c r="L483" s="32"/>
      <c r="M483" s="32"/>
      <c r="N483" s="32"/>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33"/>
      <c r="BF483" s="33"/>
      <c r="BG483" s="33"/>
      <c r="BH483" s="33"/>
      <c r="BI483" s="33"/>
      <c r="BJ483" s="33"/>
      <c r="BK483" s="33"/>
      <c r="BL483" s="33"/>
      <c r="BM483" s="33"/>
      <c r="BN483" s="33"/>
      <c r="BO483" s="33"/>
      <c r="BP483" s="33"/>
      <c r="BQ483" s="33"/>
      <c r="BR483" s="33"/>
      <c r="BS483" s="33"/>
      <c r="BT483" s="33"/>
      <c r="BU483" s="33"/>
      <c r="BV483" s="33"/>
      <c r="BW483" s="33"/>
      <c r="BX483" s="33"/>
      <c r="BY483" s="33"/>
      <c r="BZ483" s="33"/>
      <c r="CA483" s="33"/>
      <c r="CB483" s="33"/>
      <c r="CC483" s="33"/>
      <c r="CD483" s="33"/>
    </row>
    <row r="484" spans="1:82" x14ac:dyDescent="0.25">
      <c r="A484" s="32"/>
      <c r="B484" s="32"/>
      <c r="C484" s="32"/>
      <c r="D484" s="32"/>
      <c r="E484" s="32"/>
      <c r="F484" s="32"/>
      <c r="G484" s="32"/>
      <c r="H484" s="32"/>
      <c r="I484" s="32"/>
      <c r="J484" s="32"/>
      <c r="K484" s="32"/>
      <c r="L484" s="32"/>
      <c r="M484" s="32"/>
      <c r="N484" s="32"/>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c r="CA484" s="33"/>
      <c r="CB484" s="33"/>
      <c r="CC484" s="33"/>
      <c r="CD484" s="33"/>
    </row>
    <row r="485" spans="1:82" x14ac:dyDescent="0.25">
      <c r="A485" s="32"/>
      <c r="B485" s="32"/>
      <c r="C485" s="32"/>
      <c r="D485" s="32"/>
      <c r="E485" s="32"/>
      <c r="F485" s="32"/>
      <c r="G485" s="32"/>
      <c r="H485" s="32"/>
      <c r="I485" s="32"/>
      <c r="J485" s="32"/>
      <c r="K485" s="32"/>
      <c r="L485" s="32"/>
      <c r="M485" s="32"/>
      <c r="N485" s="32"/>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c r="BW485" s="33"/>
      <c r="BX485" s="33"/>
      <c r="BY485" s="33"/>
      <c r="BZ485" s="33"/>
      <c r="CA485" s="33"/>
      <c r="CB485" s="33"/>
      <c r="CC485" s="33"/>
      <c r="CD485" s="33"/>
    </row>
    <row r="486" spans="1:82" x14ac:dyDescent="0.25">
      <c r="A486" s="32"/>
      <c r="B486" s="32"/>
      <c r="C486" s="32"/>
      <c r="D486" s="32"/>
      <c r="E486" s="32"/>
      <c r="F486" s="32"/>
      <c r="G486" s="32"/>
      <c r="H486" s="32"/>
      <c r="I486" s="32"/>
      <c r="J486" s="32"/>
      <c r="K486" s="32"/>
      <c r="L486" s="32"/>
      <c r="M486" s="32"/>
      <c r="N486" s="32"/>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row>
    <row r="487" spans="1:82" x14ac:dyDescent="0.25">
      <c r="A487" s="32"/>
      <c r="B487" s="32"/>
      <c r="C487" s="32"/>
      <c r="D487" s="32"/>
      <c r="E487" s="32"/>
      <c r="F487" s="32"/>
      <c r="G487" s="32"/>
      <c r="H487" s="32"/>
      <c r="I487" s="32"/>
      <c r="J487" s="32"/>
      <c r="K487" s="32"/>
      <c r="L487" s="32"/>
      <c r="M487" s="32"/>
      <c r="N487" s="32"/>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c r="CA487" s="33"/>
      <c r="CB487" s="33"/>
      <c r="CC487" s="33"/>
      <c r="CD487" s="33"/>
    </row>
    <row r="488" spans="1:82" x14ac:dyDescent="0.25">
      <c r="A488" s="32"/>
      <c r="B488" s="32"/>
      <c r="C488" s="32"/>
      <c r="D488" s="32"/>
      <c r="E488" s="32"/>
      <c r="F488" s="32"/>
      <c r="G488" s="32"/>
      <c r="H488" s="32"/>
      <c r="I488" s="32"/>
      <c r="J488" s="32"/>
      <c r="K488" s="32"/>
      <c r="L488" s="32"/>
      <c r="M488" s="32"/>
      <c r="N488" s="32"/>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c r="AL488" s="33"/>
      <c r="AM488" s="3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c r="BW488" s="33"/>
      <c r="BX488" s="33"/>
      <c r="BY488" s="33"/>
      <c r="BZ488" s="33"/>
      <c r="CA488" s="33"/>
      <c r="CB488" s="33"/>
      <c r="CC488" s="33"/>
      <c r="CD488" s="33"/>
    </row>
    <row r="489" spans="1:82" x14ac:dyDescent="0.25">
      <c r="A489" s="32"/>
      <c r="B489" s="32"/>
      <c r="C489" s="32"/>
      <c r="D489" s="32"/>
      <c r="E489" s="32"/>
      <c r="F489" s="32"/>
      <c r="G489" s="32"/>
      <c r="H489" s="32"/>
      <c r="I489" s="32"/>
      <c r="J489" s="32"/>
      <c r="K489" s="32"/>
      <c r="L489" s="32"/>
      <c r="M489" s="32"/>
      <c r="N489" s="32"/>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c r="CA489" s="33"/>
      <c r="CB489" s="33"/>
      <c r="CC489" s="33"/>
      <c r="CD489" s="33"/>
    </row>
    <row r="490" spans="1:82" x14ac:dyDescent="0.25">
      <c r="A490" s="32"/>
      <c r="B490" s="32"/>
      <c r="C490" s="32"/>
      <c r="D490" s="32"/>
      <c r="E490" s="32"/>
      <c r="F490" s="32"/>
      <c r="G490" s="32"/>
      <c r="H490" s="32"/>
      <c r="I490" s="32"/>
      <c r="J490" s="32"/>
      <c r="K490" s="32"/>
      <c r="L490" s="32"/>
      <c r="M490" s="32"/>
      <c r="N490" s="32"/>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33"/>
      <c r="BF490" s="33"/>
      <c r="BG490" s="33"/>
      <c r="BH490" s="33"/>
      <c r="BI490" s="33"/>
      <c r="BJ490" s="33"/>
      <c r="BK490" s="33"/>
      <c r="BL490" s="33"/>
      <c r="BM490" s="33"/>
      <c r="BN490" s="33"/>
      <c r="BO490" s="33"/>
      <c r="BP490" s="33"/>
      <c r="BQ490" s="33"/>
      <c r="BR490" s="33"/>
      <c r="BS490" s="33"/>
      <c r="BT490" s="33"/>
      <c r="BU490" s="33"/>
      <c r="BV490" s="33"/>
      <c r="BW490" s="33"/>
      <c r="BX490" s="33"/>
      <c r="BY490" s="33"/>
      <c r="BZ490" s="33"/>
      <c r="CA490" s="33"/>
      <c r="CB490" s="33"/>
      <c r="CC490" s="33"/>
      <c r="CD490" s="33"/>
    </row>
    <row r="491" spans="1:82" x14ac:dyDescent="0.25">
      <c r="A491" s="32"/>
      <c r="B491" s="32"/>
      <c r="C491" s="32"/>
      <c r="D491" s="32"/>
      <c r="E491" s="32"/>
      <c r="F491" s="32"/>
      <c r="G491" s="32"/>
      <c r="H491" s="32"/>
      <c r="I491" s="32"/>
      <c r="J491" s="32"/>
      <c r="K491" s="32"/>
      <c r="L491" s="32"/>
      <c r="M491" s="32"/>
      <c r="N491" s="32"/>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33"/>
      <c r="BF491" s="33"/>
      <c r="BG491" s="33"/>
      <c r="BH491" s="33"/>
      <c r="BI491" s="33"/>
      <c r="BJ491" s="33"/>
      <c r="BK491" s="33"/>
      <c r="BL491" s="33"/>
      <c r="BM491" s="33"/>
      <c r="BN491" s="33"/>
      <c r="BO491" s="33"/>
      <c r="BP491" s="33"/>
      <c r="BQ491" s="33"/>
      <c r="BR491" s="33"/>
      <c r="BS491" s="33"/>
      <c r="BT491" s="33"/>
      <c r="BU491" s="33"/>
      <c r="BV491" s="33"/>
      <c r="BW491" s="33"/>
      <c r="BX491" s="33"/>
      <c r="BY491" s="33"/>
      <c r="BZ491" s="33"/>
      <c r="CA491" s="33"/>
      <c r="CB491" s="33"/>
      <c r="CC491" s="33"/>
      <c r="CD491" s="33"/>
    </row>
    <row r="492" spans="1:82" x14ac:dyDescent="0.25">
      <c r="A492" s="32"/>
      <c r="B492" s="32"/>
      <c r="C492" s="32"/>
      <c r="D492" s="32"/>
      <c r="E492" s="32"/>
      <c r="F492" s="32"/>
      <c r="G492" s="32"/>
      <c r="H492" s="32"/>
      <c r="I492" s="32"/>
      <c r="J492" s="32"/>
      <c r="K492" s="32"/>
      <c r="L492" s="32"/>
      <c r="M492" s="32"/>
      <c r="N492" s="32"/>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c r="CA492" s="33"/>
      <c r="CB492" s="33"/>
      <c r="CC492" s="33"/>
      <c r="CD492" s="33"/>
    </row>
    <row r="493" spans="1:82" x14ac:dyDescent="0.25">
      <c r="A493" s="32"/>
      <c r="B493" s="32"/>
      <c r="C493" s="32"/>
      <c r="D493" s="32"/>
      <c r="E493" s="32"/>
      <c r="F493" s="32"/>
      <c r="G493" s="32"/>
      <c r="H493" s="32"/>
      <c r="I493" s="32"/>
      <c r="J493" s="32"/>
      <c r="K493" s="32"/>
      <c r="L493" s="32"/>
      <c r="M493" s="32"/>
      <c r="N493" s="32"/>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33"/>
      <c r="BX493" s="33"/>
      <c r="BY493" s="33"/>
      <c r="BZ493" s="33"/>
      <c r="CA493" s="33"/>
      <c r="CB493" s="33"/>
      <c r="CC493" s="33"/>
      <c r="CD493" s="33"/>
    </row>
    <row r="494" spans="1:82" x14ac:dyDescent="0.25">
      <c r="A494" s="32"/>
      <c r="B494" s="32"/>
      <c r="C494" s="32"/>
      <c r="D494" s="32"/>
      <c r="E494" s="32"/>
      <c r="F494" s="32"/>
      <c r="G494" s="32"/>
      <c r="H494" s="32"/>
      <c r="I494" s="32"/>
      <c r="J494" s="32"/>
      <c r="K494" s="32"/>
      <c r="L494" s="32"/>
      <c r="M494" s="32"/>
      <c r="N494" s="32"/>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c r="CA494" s="33"/>
      <c r="CB494" s="33"/>
      <c r="CC494" s="33"/>
      <c r="CD494" s="33"/>
    </row>
    <row r="495" spans="1:82" x14ac:dyDescent="0.25">
      <c r="A495" s="32"/>
      <c r="B495" s="32"/>
      <c r="C495" s="32"/>
      <c r="D495" s="32"/>
      <c r="E495" s="32"/>
      <c r="F495" s="32"/>
      <c r="G495" s="32"/>
      <c r="H495" s="32"/>
      <c r="I495" s="32"/>
      <c r="J495" s="32"/>
      <c r="K495" s="32"/>
      <c r="L495" s="32"/>
      <c r="M495" s="32"/>
      <c r="N495" s="32"/>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c r="BW495" s="33"/>
      <c r="BX495" s="33"/>
      <c r="BY495" s="33"/>
      <c r="BZ495" s="33"/>
      <c r="CA495" s="33"/>
      <c r="CB495" s="33"/>
      <c r="CC495" s="33"/>
      <c r="CD495" s="33"/>
    </row>
    <row r="496" spans="1:82" x14ac:dyDescent="0.25">
      <c r="A496" s="32"/>
      <c r="B496" s="32"/>
      <c r="C496" s="32"/>
      <c r="D496" s="32"/>
      <c r="E496" s="32"/>
      <c r="F496" s="32"/>
      <c r="G496" s="32"/>
      <c r="H496" s="32"/>
      <c r="I496" s="32"/>
      <c r="J496" s="32"/>
      <c r="K496" s="32"/>
      <c r="L496" s="32"/>
      <c r="M496" s="32"/>
      <c r="N496" s="32"/>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c r="BW496" s="33"/>
      <c r="BX496" s="33"/>
      <c r="BY496" s="33"/>
      <c r="BZ496" s="33"/>
      <c r="CA496" s="33"/>
      <c r="CB496" s="33"/>
      <c r="CC496" s="33"/>
      <c r="CD496" s="33"/>
    </row>
    <row r="497" spans="1:82" x14ac:dyDescent="0.25">
      <c r="A497" s="32"/>
      <c r="B497" s="32"/>
      <c r="C497" s="32"/>
      <c r="D497" s="32"/>
      <c r="E497" s="32"/>
      <c r="F497" s="32"/>
      <c r="G497" s="32"/>
      <c r="H497" s="32"/>
      <c r="I497" s="32"/>
      <c r="J497" s="32"/>
      <c r="K497" s="32"/>
      <c r="L497" s="32"/>
      <c r="M497" s="32"/>
      <c r="N497" s="32"/>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c r="CA497" s="33"/>
      <c r="CB497" s="33"/>
      <c r="CC497" s="33"/>
      <c r="CD497" s="33"/>
    </row>
    <row r="498" spans="1:82" x14ac:dyDescent="0.25">
      <c r="A498" s="32"/>
      <c r="B498" s="32"/>
      <c r="C498" s="32"/>
      <c r="D498" s="32"/>
      <c r="E498" s="32"/>
      <c r="F498" s="32"/>
      <c r="G498" s="32"/>
      <c r="H498" s="32"/>
      <c r="I498" s="32"/>
      <c r="J498" s="32"/>
      <c r="K498" s="32"/>
      <c r="L498" s="32"/>
      <c r="M498" s="32"/>
      <c r="N498" s="32"/>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c r="BW498" s="33"/>
      <c r="BX498" s="33"/>
      <c r="BY498" s="33"/>
      <c r="BZ498" s="33"/>
      <c r="CA498" s="33"/>
      <c r="CB498" s="33"/>
      <c r="CC498" s="33"/>
      <c r="CD498" s="33"/>
    </row>
    <row r="499" spans="1:82" x14ac:dyDescent="0.25">
      <c r="A499" s="32"/>
      <c r="B499" s="32"/>
      <c r="C499" s="32"/>
      <c r="D499" s="32"/>
      <c r="E499" s="32"/>
      <c r="F499" s="32"/>
      <c r="G499" s="32"/>
      <c r="H499" s="32"/>
      <c r="I499" s="32"/>
      <c r="J499" s="32"/>
      <c r="K499" s="32"/>
      <c r="L499" s="32"/>
      <c r="M499" s="32"/>
      <c r="N499" s="32"/>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c r="BW499" s="33"/>
      <c r="BX499" s="33"/>
      <c r="BY499" s="33"/>
      <c r="BZ499" s="33"/>
      <c r="CA499" s="33"/>
      <c r="CB499" s="33"/>
      <c r="CC499" s="33"/>
      <c r="CD499" s="33"/>
    </row>
    <row r="500" spans="1:82" x14ac:dyDescent="0.25">
      <c r="A500" s="32"/>
      <c r="B500" s="32"/>
      <c r="C500" s="32"/>
      <c r="D500" s="32"/>
      <c r="E500" s="32"/>
      <c r="F500" s="32"/>
      <c r="G500" s="32"/>
      <c r="H500" s="32"/>
      <c r="I500" s="32"/>
      <c r="J500" s="32"/>
      <c r="K500" s="32"/>
      <c r="L500" s="32"/>
      <c r="M500" s="32"/>
      <c r="N500" s="32"/>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c r="BW500" s="33"/>
      <c r="BX500" s="33"/>
      <c r="BY500" s="33"/>
      <c r="BZ500" s="33"/>
      <c r="CA500" s="33"/>
      <c r="CB500" s="33"/>
      <c r="CC500" s="33"/>
      <c r="CD500" s="33"/>
    </row>
    <row r="501" spans="1:82" x14ac:dyDescent="0.25">
      <c r="A501" s="32"/>
      <c r="B501" s="32"/>
      <c r="C501" s="32"/>
      <c r="D501" s="32"/>
      <c r="E501" s="32"/>
      <c r="F501" s="32"/>
      <c r="G501" s="32"/>
      <c r="H501" s="32"/>
      <c r="I501" s="32"/>
      <c r="J501" s="32"/>
      <c r="K501" s="32"/>
      <c r="L501" s="32"/>
      <c r="M501" s="32"/>
      <c r="N501" s="32"/>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33"/>
      <c r="BN501" s="33"/>
      <c r="BO501" s="33"/>
      <c r="BP501" s="33"/>
      <c r="BQ501" s="33"/>
      <c r="BR501" s="33"/>
      <c r="BS501" s="33"/>
      <c r="BT501" s="33"/>
      <c r="BU501" s="33"/>
      <c r="BV501" s="33"/>
      <c r="BW501" s="33"/>
      <c r="BX501" s="33"/>
      <c r="BY501" s="33"/>
      <c r="BZ501" s="33"/>
      <c r="CA501" s="33"/>
      <c r="CB501" s="33"/>
      <c r="CC501" s="33"/>
      <c r="CD501" s="33"/>
    </row>
    <row r="502" spans="1:82" x14ac:dyDescent="0.25">
      <c r="A502" s="32"/>
      <c r="B502" s="32"/>
      <c r="C502" s="32"/>
      <c r="D502" s="32"/>
      <c r="E502" s="32"/>
      <c r="F502" s="32"/>
      <c r="G502" s="32"/>
      <c r="H502" s="32"/>
      <c r="I502" s="32"/>
      <c r="J502" s="32"/>
      <c r="K502" s="32"/>
      <c r="L502" s="32"/>
      <c r="M502" s="32"/>
      <c r="N502" s="32"/>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c r="BW502" s="33"/>
      <c r="BX502" s="33"/>
      <c r="BY502" s="33"/>
      <c r="BZ502" s="33"/>
      <c r="CA502" s="33"/>
      <c r="CB502" s="33"/>
      <c r="CC502" s="33"/>
      <c r="CD502" s="33"/>
    </row>
    <row r="503" spans="1:82" x14ac:dyDescent="0.25">
      <c r="A503" s="32"/>
      <c r="B503" s="32"/>
      <c r="C503" s="32"/>
      <c r="D503" s="32"/>
      <c r="E503" s="32"/>
      <c r="F503" s="32"/>
      <c r="G503" s="32"/>
      <c r="H503" s="32"/>
      <c r="I503" s="32"/>
      <c r="J503" s="32"/>
      <c r="K503" s="32"/>
      <c r="L503" s="32"/>
      <c r="M503" s="32"/>
      <c r="N503" s="32"/>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c r="BW503" s="33"/>
      <c r="BX503" s="33"/>
      <c r="BY503" s="33"/>
      <c r="BZ503" s="33"/>
      <c r="CA503" s="33"/>
      <c r="CB503" s="33"/>
      <c r="CC503" s="33"/>
      <c r="CD503" s="33"/>
    </row>
    <row r="504" spans="1:82" x14ac:dyDescent="0.25">
      <c r="A504" s="32"/>
      <c r="B504" s="32"/>
      <c r="C504" s="32"/>
      <c r="D504" s="32"/>
      <c r="E504" s="32"/>
      <c r="F504" s="32"/>
      <c r="G504" s="32"/>
      <c r="H504" s="32"/>
      <c r="I504" s="32"/>
      <c r="J504" s="32"/>
      <c r="K504" s="32"/>
      <c r="L504" s="32"/>
      <c r="M504" s="32"/>
      <c r="N504" s="32"/>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c r="BW504" s="33"/>
      <c r="BX504" s="33"/>
      <c r="BY504" s="33"/>
      <c r="BZ504" s="33"/>
      <c r="CA504" s="33"/>
      <c r="CB504" s="33"/>
      <c r="CC504" s="33"/>
      <c r="CD504" s="33"/>
    </row>
    <row r="505" spans="1:82" x14ac:dyDescent="0.25">
      <c r="A505" s="32"/>
      <c r="B505" s="32"/>
      <c r="C505" s="32"/>
      <c r="D505" s="32"/>
      <c r="E505" s="32"/>
      <c r="F505" s="32"/>
      <c r="G505" s="32"/>
      <c r="H505" s="32"/>
      <c r="I505" s="32"/>
      <c r="J505" s="32"/>
      <c r="K505" s="32"/>
      <c r="L505" s="32"/>
      <c r="M505" s="32"/>
      <c r="N505" s="32"/>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c r="BW505" s="33"/>
      <c r="BX505" s="33"/>
      <c r="BY505" s="33"/>
      <c r="BZ505" s="33"/>
      <c r="CA505" s="33"/>
      <c r="CB505" s="33"/>
      <c r="CC505" s="33"/>
      <c r="CD505" s="33"/>
    </row>
    <row r="506" spans="1:82" x14ac:dyDescent="0.25">
      <c r="A506" s="32"/>
      <c r="B506" s="32"/>
      <c r="C506" s="32"/>
      <c r="D506" s="32"/>
      <c r="E506" s="32"/>
      <c r="F506" s="32"/>
      <c r="G506" s="32"/>
      <c r="H506" s="32"/>
      <c r="I506" s="32"/>
      <c r="J506" s="32"/>
      <c r="K506" s="32"/>
      <c r="L506" s="32"/>
      <c r="M506" s="32"/>
      <c r="N506" s="32"/>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c r="BW506" s="33"/>
      <c r="BX506" s="33"/>
      <c r="BY506" s="33"/>
      <c r="BZ506" s="33"/>
      <c r="CA506" s="33"/>
      <c r="CB506" s="33"/>
      <c r="CC506" s="33"/>
      <c r="CD506" s="33"/>
    </row>
    <row r="507" spans="1:82" x14ac:dyDescent="0.25">
      <c r="A507" s="32"/>
      <c r="B507" s="32"/>
      <c r="C507" s="32"/>
      <c r="D507" s="32"/>
      <c r="E507" s="32"/>
      <c r="F507" s="32"/>
      <c r="G507" s="32"/>
      <c r="H507" s="32"/>
      <c r="I507" s="32"/>
      <c r="J507" s="32"/>
      <c r="K507" s="32"/>
      <c r="L507" s="32"/>
      <c r="M507" s="32"/>
      <c r="N507" s="32"/>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33"/>
      <c r="BX507" s="33"/>
      <c r="BY507" s="33"/>
      <c r="BZ507" s="33"/>
      <c r="CA507" s="33"/>
      <c r="CB507" s="33"/>
      <c r="CC507" s="33"/>
      <c r="CD507" s="33"/>
    </row>
    <row r="508" spans="1:82" x14ac:dyDescent="0.25">
      <c r="A508" s="32"/>
      <c r="B508" s="32"/>
      <c r="C508" s="32"/>
      <c r="D508" s="32"/>
      <c r="E508" s="32"/>
      <c r="F508" s="32"/>
      <c r="G508" s="32"/>
      <c r="H508" s="32"/>
      <c r="I508" s="32"/>
      <c r="J508" s="32"/>
      <c r="K508" s="32"/>
      <c r="L508" s="32"/>
      <c r="M508" s="32"/>
      <c r="N508" s="32"/>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c r="BW508" s="33"/>
      <c r="BX508" s="33"/>
      <c r="BY508" s="33"/>
      <c r="BZ508" s="33"/>
      <c r="CA508" s="33"/>
      <c r="CB508" s="33"/>
      <c r="CC508" s="33"/>
      <c r="CD508" s="33"/>
    </row>
    <row r="509" spans="1:82" x14ac:dyDescent="0.25">
      <c r="A509" s="32"/>
      <c r="B509" s="32"/>
      <c r="C509" s="32"/>
      <c r="D509" s="32"/>
      <c r="E509" s="32"/>
      <c r="F509" s="32"/>
      <c r="G509" s="32"/>
      <c r="H509" s="32"/>
      <c r="I509" s="32"/>
      <c r="J509" s="32"/>
      <c r="K509" s="32"/>
      <c r="L509" s="32"/>
      <c r="M509" s="32"/>
      <c r="N509" s="32"/>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c r="BW509" s="33"/>
      <c r="BX509" s="33"/>
      <c r="BY509" s="33"/>
      <c r="BZ509" s="33"/>
      <c r="CA509" s="33"/>
      <c r="CB509" s="33"/>
      <c r="CC509" s="33"/>
      <c r="CD509" s="33"/>
    </row>
    <row r="510" spans="1:82" x14ac:dyDescent="0.25">
      <c r="A510" s="32"/>
      <c r="B510" s="32"/>
      <c r="C510" s="32"/>
      <c r="D510" s="32"/>
      <c r="E510" s="32"/>
      <c r="F510" s="32"/>
      <c r="G510" s="32"/>
      <c r="H510" s="32"/>
      <c r="I510" s="32"/>
      <c r="J510" s="32"/>
      <c r="K510" s="32"/>
      <c r="L510" s="32"/>
      <c r="M510" s="32"/>
      <c r="N510" s="32"/>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c r="BW510" s="33"/>
      <c r="BX510" s="33"/>
      <c r="BY510" s="33"/>
      <c r="BZ510" s="33"/>
      <c r="CA510" s="33"/>
      <c r="CB510" s="33"/>
      <c r="CC510" s="33"/>
      <c r="CD510" s="33"/>
    </row>
    <row r="511" spans="1:82" x14ac:dyDescent="0.25">
      <c r="A511" s="32"/>
      <c r="B511" s="32"/>
      <c r="C511" s="32"/>
      <c r="D511" s="32"/>
      <c r="E511" s="32"/>
      <c r="F511" s="32"/>
      <c r="G511" s="32"/>
      <c r="H511" s="32"/>
      <c r="I511" s="32"/>
      <c r="J511" s="32"/>
      <c r="K511" s="32"/>
      <c r="L511" s="32"/>
      <c r="M511" s="32"/>
      <c r="N511" s="32"/>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c r="BW511" s="33"/>
      <c r="BX511" s="33"/>
      <c r="BY511" s="33"/>
      <c r="BZ511" s="33"/>
      <c r="CA511" s="33"/>
      <c r="CB511" s="33"/>
      <c r="CC511" s="33"/>
      <c r="CD511" s="33"/>
    </row>
    <row r="512" spans="1:82" x14ac:dyDescent="0.25">
      <c r="A512" s="32"/>
      <c r="B512" s="32"/>
      <c r="C512" s="32"/>
      <c r="D512" s="32"/>
      <c r="E512" s="32"/>
      <c r="F512" s="32"/>
      <c r="G512" s="32"/>
      <c r="H512" s="32"/>
      <c r="I512" s="32"/>
      <c r="J512" s="32"/>
      <c r="K512" s="32"/>
      <c r="L512" s="32"/>
      <c r="M512" s="32"/>
      <c r="N512" s="32"/>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c r="BW512" s="33"/>
      <c r="BX512" s="33"/>
      <c r="BY512" s="33"/>
      <c r="BZ512" s="33"/>
      <c r="CA512" s="33"/>
      <c r="CB512" s="33"/>
      <c r="CC512" s="33"/>
      <c r="CD512" s="33"/>
    </row>
    <row r="513" spans="1:82" x14ac:dyDescent="0.25">
      <c r="A513" s="32"/>
      <c r="B513" s="32"/>
      <c r="C513" s="32"/>
      <c r="D513" s="32"/>
      <c r="E513" s="32"/>
      <c r="F513" s="32"/>
      <c r="G513" s="32"/>
      <c r="H513" s="32"/>
      <c r="I513" s="32"/>
      <c r="J513" s="32"/>
      <c r="K513" s="32"/>
      <c r="L513" s="32"/>
      <c r="M513" s="32"/>
      <c r="N513" s="32"/>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c r="BW513" s="33"/>
      <c r="BX513" s="33"/>
      <c r="BY513" s="33"/>
      <c r="BZ513" s="33"/>
      <c r="CA513" s="33"/>
      <c r="CB513" s="33"/>
      <c r="CC513" s="33"/>
      <c r="CD513" s="33"/>
    </row>
    <row r="514" spans="1:82" x14ac:dyDescent="0.25">
      <c r="A514" s="32"/>
      <c r="B514" s="32"/>
      <c r="C514" s="32"/>
      <c r="D514" s="32"/>
      <c r="E514" s="32"/>
      <c r="F514" s="32"/>
      <c r="G514" s="32"/>
      <c r="H514" s="32"/>
      <c r="I514" s="32"/>
      <c r="J514" s="32"/>
      <c r="K514" s="32"/>
      <c r="L514" s="32"/>
      <c r="M514" s="32"/>
      <c r="N514" s="32"/>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c r="BW514" s="33"/>
      <c r="BX514" s="33"/>
      <c r="BY514" s="33"/>
      <c r="BZ514" s="33"/>
      <c r="CA514" s="33"/>
      <c r="CB514" s="33"/>
      <c r="CC514" s="33"/>
      <c r="CD514" s="33"/>
    </row>
    <row r="515" spans="1:82" x14ac:dyDescent="0.25">
      <c r="A515" s="32"/>
      <c r="B515" s="32"/>
      <c r="C515" s="32"/>
      <c r="D515" s="32"/>
      <c r="E515" s="32"/>
      <c r="F515" s="32"/>
      <c r="G515" s="32"/>
      <c r="H515" s="32"/>
      <c r="I515" s="32"/>
      <c r="J515" s="32"/>
      <c r="K515" s="32"/>
      <c r="L515" s="32"/>
      <c r="M515" s="32"/>
      <c r="N515" s="32"/>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c r="BW515" s="33"/>
      <c r="BX515" s="33"/>
      <c r="BY515" s="33"/>
      <c r="BZ515" s="33"/>
      <c r="CA515" s="33"/>
      <c r="CB515" s="33"/>
      <c r="CC515" s="33"/>
      <c r="CD515" s="33"/>
    </row>
    <row r="516" spans="1:82" x14ac:dyDescent="0.25">
      <c r="A516" s="32"/>
      <c r="B516" s="32"/>
      <c r="C516" s="32"/>
      <c r="D516" s="32"/>
      <c r="E516" s="32"/>
      <c r="F516" s="32"/>
      <c r="G516" s="32"/>
      <c r="H516" s="32"/>
      <c r="I516" s="32"/>
      <c r="J516" s="32"/>
      <c r="K516" s="32"/>
      <c r="L516" s="32"/>
      <c r="M516" s="32"/>
      <c r="N516" s="32"/>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c r="BW516" s="33"/>
      <c r="BX516" s="33"/>
      <c r="BY516" s="33"/>
      <c r="BZ516" s="33"/>
      <c r="CA516" s="33"/>
      <c r="CB516" s="33"/>
      <c r="CC516" s="33"/>
      <c r="CD516" s="33"/>
    </row>
    <row r="517" spans="1:82" x14ac:dyDescent="0.25">
      <c r="A517" s="32"/>
      <c r="B517" s="32"/>
      <c r="C517" s="32"/>
      <c r="D517" s="32"/>
      <c r="E517" s="32"/>
      <c r="F517" s="32"/>
      <c r="G517" s="32"/>
      <c r="H517" s="32"/>
      <c r="I517" s="32"/>
      <c r="J517" s="32"/>
      <c r="K517" s="32"/>
      <c r="L517" s="32"/>
      <c r="M517" s="32"/>
      <c r="N517" s="32"/>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c r="BW517" s="33"/>
      <c r="BX517" s="33"/>
      <c r="BY517" s="33"/>
      <c r="BZ517" s="33"/>
      <c r="CA517" s="33"/>
      <c r="CB517" s="33"/>
      <c r="CC517" s="33"/>
      <c r="CD517" s="33"/>
    </row>
    <row r="518" spans="1:82" x14ac:dyDescent="0.25">
      <c r="A518" s="32"/>
      <c r="B518" s="32"/>
      <c r="C518" s="32"/>
      <c r="D518" s="32"/>
      <c r="E518" s="32"/>
      <c r="F518" s="32"/>
      <c r="G518" s="32"/>
      <c r="H518" s="32"/>
      <c r="I518" s="32"/>
      <c r="J518" s="32"/>
      <c r="K518" s="32"/>
      <c r="L518" s="32"/>
      <c r="M518" s="32"/>
      <c r="N518" s="32"/>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c r="BW518" s="33"/>
      <c r="BX518" s="33"/>
      <c r="BY518" s="33"/>
      <c r="BZ518" s="33"/>
      <c r="CA518" s="33"/>
      <c r="CB518" s="33"/>
      <c r="CC518" s="33"/>
      <c r="CD518" s="33"/>
    </row>
    <row r="519" spans="1:82" x14ac:dyDescent="0.25">
      <c r="A519" s="32"/>
      <c r="B519" s="32"/>
      <c r="C519" s="32"/>
      <c r="D519" s="32"/>
      <c r="E519" s="32"/>
      <c r="F519" s="32"/>
      <c r="G519" s="32"/>
      <c r="H519" s="32"/>
      <c r="I519" s="32"/>
      <c r="J519" s="32"/>
      <c r="K519" s="32"/>
      <c r="L519" s="32"/>
      <c r="M519" s="32"/>
      <c r="N519" s="32"/>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c r="BW519" s="33"/>
      <c r="BX519" s="33"/>
      <c r="BY519" s="33"/>
      <c r="BZ519" s="33"/>
      <c r="CA519" s="33"/>
      <c r="CB519" s="33"/>
      <c r="CC519" s="33"/>
      <c r="CD519" s="33"/>
    </row>
    <row r="520" spans="1:82" x14ac:dyDescent="0.25">
      <c r="A520" s="32"/>
      <c r="B520" s="32"/>
      <c r="C520" s="32"/>
      <c r="D520" s="32"/>
      <c r="E520" s="32"/>
      <c r="F520" s="32"/>
      <c r="G520" s="32"/>
      <c r="H520" s="32"/>
      <c r="I520" s="32"/>
      <c r="J520" s="32"/>
      <c r="K520" s="32"/>
      <c r="L520" s="32"/>
      <c r="M520" s="32"/>
      <c r="N520" s="32"/>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c r="BW520" s="33"/>
      <c r="BX520" s="33"/>
      <c r="BY520" s="33"/>
      <c r="BZ520" s="33"/>
      <c r="CA520" s="33"/>
      <c r="CB520" s="33"/>
      <c r="CC520" s="33"/>
      <c r="CD520" s="33"/>
    </row>
    <row r="521" spans="1:82" x14ac:dyDescent="0.25">
      <c r="A521" s="32"/>
      <c r="B521" s="32"/>
      <c r="C521" s="32"/>
      <c r="D521" s="32"/>
      <c r="E521" s="32"/>
      <c r="F521" s="32"/>
      <c r="G521" s="32"/>
      <c r="H521" s="32"/>
      <c r="I521" s="32"/>
      <c r="J521" s="32"/>
      <c r="K521" s="32"/>
      <c r="L521" s="32"/>
      <c r="M521" s="32"/>
      <c r="N521" s="32"/>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c r="BW521" s="33"/>
      <c r="BX521" s="33"/>
      <c r="BY521" s="33"/>
      <c r="BZ521" s="33"/>
      <c r="CA521" s="33"/>
      <c r="CB521" s="33"/>
      <c r="CC521" s="33"/>
      <c r="CD521" s="33"/>
    </row>
    <row r="522" spans="1:82" x14ac:dyDescent="0.25">
      <c r="A522" s="32"/>
      <c r="B522" s="32"/>
      <c r="C522" s="32"/>
      <c r="D522" s="32"/>
      <c r="E522" s="32"/>
      <c r="F522" s="32"/>
      <c r="G522" s="32"/>
      <c r="H522" s="32"/>
      <c r="I522" s="32"/>
      <c r="J522" s="32"/>
      <c r="K522" s="32"/>
      <c r="L522" s="32"/>
      <c r="M522" s="32"/>
      <c r="N522" s="32"/>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33"/>
      <c r="BF522" s="33"/>
      <c r="BG522" s="33"/>
      <c r="BH522" s="33"/>
      <c r="BI522" s="33"/>
      <c r="BJ522" s="33"/>
      <c r="BK522" s="33"/>
      <c r="BL522" s="33"/>
      <c r="BM522" s="33"/>
      <c r="BN522" s="33"/>
      <c r="BO522" s="33"/>
      <c r="BP522" s="33"/>
      <c r="BQ522" s="33"/>
      <c r="BR522" s="33"/>
      <c r="BS522" s="33"/>
      <c r="BT522" s="33"/>
      <c r="BU522" s="33"/>
      <c r="BV522" s="33"/>
      <c r="BW522" s="33"/>
      <c r="BX522" s="33"/>
      <c r="BY522" s="33"/>
      <c r="BZ522" s="33"/>
      <c r="CA522" s="33"/>
      <c r="CB522" s="33"/>
      <c r="CC522" s="33"/>
      <c r="CD522" s="33"/>
    </row>
    <row r="523" spans="1:82" x14ac:dyDescent="0.25">
      <c r="A523" s="32"/>
      <c r="B523" s="32"/>
      <c r="C523" s="32"/>
      <c r="D523" s="32"/>
      <c r="E523" s="32"/>
      <c r="F523" s="32"/>
      <c r="G523" s="32"/>
      <c r="H523" s="32"/>
      <c r="I523" s="32"/>
      <c r="J523" s="32"/>
      <c r="K523" s="32"/>
      <c r="L523" s="32"/>
      <c r="M523" s="32"/>
      <c r="N523" s="32"/>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33"/>
      <c r="BF523" s="33"/>
      <c r="BG523" s="33"/>
      <c r="BH523" s="33"/>
      <c r="BI523" s="33"/>
      <c r="BJ523" s="33"/>
      <c r="BK523" s="33"/>
      <c r="BL523" s="33"/>
      <c r="BM523" s="33"/>
      <c r="BN523" s="33"/>
      <c r="BO523" s="33"/>
      <c r="BP523" s="33"/>
      <c r="BQ523" s="33"/>
      <c r="BR523" s="33"/>
      <c r="BS523" s="33"/>
      <c r="BT523" s="33"/>
      <c r="BU523" s="33"/>
      <c r="BV523" s="33"/>
      <c r="BW523" s="33"/>
      <c r="BX523" s="33"/>
      <c r="BY523" s="33"/>
      <c r="BZ523" s="33"/>
      <c r="CA523" s="33"/>
      <c r="CB523" s="33"/>
      <c r="CC523" s="33"/>
      <c r="CD523" s="33"/>
    </row>
    <row r="524" spans="1:82" x14ac:dyDescent="0.25">
      <c r="A524" s="32"/>
      <c r="B524" s="32"/>
      <c r="C524" s="32"/>
      <c r="D524" s="32"/>
      <c r="E524" s="32"/>
      <c r="F524" s="32"/>
      <c r="G524" s="32"/>
      <c r="H524" s="32"/>
      <c r="I524" s="32"/>
      <c r="J524" s="32"/>
      <c r="K524" s="32"/>
      <c r="L524" s="32"/>
      <c r="M524" s="32"/>
      <c r="N524" s="32"/>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c r="BW524" s="33"/>
      <c r="BX524" s="33"/>
      <c r="BY524" s="33"/>
      <c r="BZ524" s="33"/>
      <c r="CA524" s="33"/>
      <c r="CB524" s="33"/>
      <c r="CC524" s="33"/>
      <c r="CD524" s="33"/>
    </row>
    <row r="525" spans="1:82" x14ac:dyDescent="0.25">
      <c r="A525" s="32"/>
      <c r="B525" s="32"/>
      <c r="C525" s="32"/>
      <c r="D525" s="32"/>
      <c r="E525" s="32"/>
      <c r="F525" s="32"/>
      <c r="G525" s="32"/>
      <c r="H525" s="32"/>
      <c r="I525" s="32"/>
      <c r="J525" s="32"/>
      <c r="K525" s="32"/>
      <c r="L525" s="32"/>
      <c r="M525" s="32"/>
      <c r="N525" s="32"/>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c r="BW525" s="33"/>
      <c r="BX525" s="33"/>
      <c r="BY525" s="33"/>
      <c r="BZ525" s="33"/>
      <c r="CA525" s="33"/>
      <c r="CB525" s="33"/>
      <c r="CC525" s="33"/>
      <c r="CD525" s="33"/>
    </row>
    <row r="526" spans="1:82" x14ac:dyDescent="0.25">
      <c r="A526" s="32"/>
      <c r="B526" s="32"/>
      <c r="C526" s="32"/>
      <c r="D526" s="32"/>
      <c r="E526" s="32"/>
      <c r="F526" s="32"/>
      <c r="G526" s="32"/>
      <c r="H526" s="32"/>
      <c r="I526" s="32"/>
      <c r="J526" s="32"/>
      <c r="K526" s="32"/>
      <c r="L526" s="32"/>
      <c r="M526" s="32"/>
      <c r="N526" s="32"/>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c r="BW526" s="33"/>
      <c r="BX526" s="33"/>
      <c r="BY526" s="33"/>
      <c r="BZ526" s="33"/>
      <c r="CA526" s="33"/>
      <c r="CB526" s="33"/>
      <c r="CC526" s="33"/>
      <c r="CD526" s="33"/>
    </row>
    <row r="527" spans="1:82" x14ac:dyDescent="0.25">
      <c r="A527" s="32"/>
      <c r="B527" s="32"/>
      <c r="C527" s="32"/>
      <c r="D527" s="32"/>
      <c r="E527" s="32"/>
      <c r="F527" s="32"/>
      <c r="G527" s="32"/>
      <c r="H527" s="32"/>
      <c r="I527" s="32"/>
      <c r="J527" s="32"/>
      <c r="K527" s="32"/>
      <c r="L527" s="32"/>
      <c r="M527" s="32"/>
      <c r="N527" s="32"/>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c r="BW527" s="33"/>
      <c r="BX527" s="33"/>
      <c r="BY527" s="33"/>
      <c r="BZ527" s="33"/>
      <c r="CA527" s="33"/>
      <c r="CB527" s="33"/>
      <c r="CC527" s="33"/>
      <c r="CD527" s="33"/>
    </row>
    <row r="528" spans="1:82" x14ac:dyDescent="0.25">
      <c r="A528" s="32"/>
      <c r="B528" s="32"/>
      <c r="C528" s="32"/>
      <c r="D528" s="32"/>
      <c r="E528" s="32"/>
      <c r="F528" s="32"/>
      <c r="G528" s="32"/>
      <c r="H528" s="32"/>
      <c r="I528" s="32"/>
      <c r="J528" s="32"/>
      <c r="K528" s="32"/>
      <c r="L528" s="32"/>
      <c r="M528" s="32"/>
      <c r="N528" s="32"/>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c r="BW528" s="33"/>
      <c r="BX528" s="33"/>
      <c r="BY528" s="33"/>
      <c r="BZ528" s="33"/>
      <c r="CA528" s="33"/>
      <c r="CB528" s="33"/>
      <c r="CC528" s="33"/>
      <c r="CD528" s="33"/>
    </row>
    <row r="529" spans="1:82" x14ac:dyDescent="0.25">
      <c r="A529" s="32"/>
      <c r="B529" s="32"/>
      <c r="C529" s="32"/>
      <c r="D529" s="32"/>
      <c r="E529" s="32"/>
      <c r="F529" s="32"/>
      <c r="G529" s="32"/>
      <c r="H529" s="32"/>
      <c r="I529" s="32"/>
      <c r="J529" s="32"/>
      <c r="K529" s="32"/>
      <c r="L529" s="32"/>
      <c r="M529" s="32"/>
      <c r="N529" s="32"/>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33"/>
      <c r="BN529" s="33"/>
      <c r="BO529" s="33"/>
      <c r="BP529" s="33"/>
      <c r="BQ529" s="33"/>
      <c r="BR529" s="33"/>
      <c r="BS529" s="33"/>
      <c r="BT529" s="33"/>
      <c r="BU529" s="33"/>
      <c r="BV529" s="33"/>
      <c r="BW529" s="33"/>
      <c r="BX529" s="33"/>
      <c r="BY529" s="33"/>
      <c r="BZ529" s="33"/>
      <c r="CA529" s="33"/>
      <c r="CB529" s="33"/>
      <c r="CC529" s="33"/>
      <c r="CD529" s="33"/>
    </row>
    <row r="530" spans="1:82" x14ac:dyDescent="0.25">
      <c r="A530" s="32"/>
      <c r="B530" s="32"/>
      <c r="C530" s="32"/>
      <c r="D530" s="32"/>
      <c r="E530" s="32"/>
      <c r="F530" s="32"/>
      <c r="G530" s="32"/>
      <c r="H530" s="32"/>
      <c r="I530" s="32"/>
      <c r="J530" s="32"/>
      <c r="K530" s="32"/>
      <c r="L530" s="32"/>
      <c r="M530" s="32"/>
      <c r="N530" s="32"/>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c r="BW530" s="33"/>
      <c r="BX530" s="33"/>
      <c r="BY530" s="33"/>
      <c r="BZ530" s="33"/>
      <c r="CA530" s="33"/>
      <c r="CB530" s="33"/>
      <c r="CC530" s="33"/>
      <c r="CD530" s="33"/>
    </row>
    <row r="531" spans="1:82" x14ac:dyDescent="0.25">
      <c r="A531" s="32"/>
      <c r="B531" s="32"/>
      <c r="C531" s="32"/>
      <c r="D531" s="32"/>
      <c r="E531" s="32"/>
      <c r="F531" s="32"/>
      <c r="G531" s="32"/>
      <c r="H531" s="32"/>
      <c r="I531" s="32"/>
      <c r="J531" s="32"/>
      <c r="K531" s="32"/>
      <c r="L531" s="32"/>
      <c r="M531" s="32"/>
      <c r="N531" s="32"/>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c r="BW531" s="33"/>
      <c r="BX531" s="33"/>
      <c r="BY531" s="33"/>
      <c r="BZ531" s="33"/>
      <c r="CA531" s="33"/>
      <c r="CB531" s="33"/>
      <c r="CC531" s="33"/>
      <c r="CD531" s="33"/>
    </row>
    <row r="532" spans="1:82" x14ac:dyDescent="0.25">
      <c r="A532" s="32"/>
      <c r="B532" s="32"/>
      <c r="C532" s="32"/>
      <c r="D532" s="32"/>
      <c r="E532" s="32"/>
      <c r="F532" s="32"/>
      <c r="G532" s="32"/>
      <c r="H532" s="32"/>
      <c r="I532" s="32"/>
      <c r="J532" s="32"/>
      <c r="K532" s="32"/>
      <c r="L532" s="32"/>
      <c r="M532" s="32"/>
      <c r="N532" s="32"/>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c r="BW532" s="33"/>
      <c r="BX532" s="33"/>
      <c r="BY532" s="33"/>
      <c r="BZ532" s="33"/>
      <c r="CA532" s="33"/>
      <c r="CB532" s="33"/>
      <c r="CC532" s="33"/>
      <c r="CD532" s="33"/>
    </row>
    <row r="533" spans="1:82" x14ac:dyDescent="0.25">
      <c r="A533" s="32"/>
      <c r="B533" s="32"/>
      <c r="C533" s="32"/>
      <c r="D533" s="32"/>
      <c r="E533" s="32"/>
      <c r="F533" s="32"/>
      <c r="G533" s="32"/>
      <c r="H533" s="32"/>
      <c r="I533" s="32"/>
      <c r="J533" s="32"/>
      <c r="K533" s="32"/>
      <c r="L533" s="32"/>
      <c r="M533" s="32"/>
      <c r="N533" s="32"/>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c r="BW533" s="33"/>
      <c r="BX533" s="33"/>
      <c r="BY533" s="33"/>
      <c r="BZ533" s="33"/>
      <c r="CA533" s="33"/>
      <c r="CB533" s="33"/>
      <c r="CC533" s="33"/>
      <c r="CD533" s="33"/>
    </row>
    <row r="534" spans="1:82" x14ac:dyDescent="0.25">
      <c r="A534" s="32"/>
      <c r="B534" s="32"/>
      <c r="C534" s="32"/>
      <c r="D534" s="32"/>
      <c r="E534" s="32"/>
      <c r="F534" s="32"/>
      <c r="G534" s="32"/>
      <c r="H534" s="32"/>
      <c r="I534" s="32"/>
      <c r="J534" s="32"/>
      <c r="K534" s="32"/>
      <c r="L534" s="32"/>
      <c r="M534" s="32"/>
      <c r="N534" s="32"/>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c r="BW534" s="33"/>
      <c r="BX534" s="33"/>
      <c r="BY534" s="33"/>
      <c r="BZ534" s="33"/>
      <c r="CA534" s="33"/>
      <c r="CB534" s="33"/>
      <c r="CC534" s="33"/>
      <c r="CD534" s="33"/>
    </row>
    <row r="535" spans="1:82" x14ac:dyDescent="0.25">
      <c r="A535" s="32"/>
      <c r="B535" s="32"/>
      <c r="C535" s="32"/>
      <c r="D535" s="32"/>
      <c r="E535" s="32"/>
      <c r="F535" s="32"/>
      <c r="G535" s="32"/>
      <c r="H535" s="32"/>
      <c r="I535" s="32"/>
      <c r="J535" s="32"/>
      <c r="K535" s="32"/>
      <c r="L535" s="32"/>
      <c r="M535" s="32"/>
      <c r="N535" s="32"/>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c r="BW535" s="33"/>
      <c r="BX535" s="33"/>
      <c r="BY535" s="33"/>
      <c r="BZ535" s="33"/>
      <c r="CA535" s="33"/>
      <c r="CB535" s="33"/>
      <c r="CC535" s="33"/>
      <c r="CD535" s="33"/>
    </row>
    <row r="536" spans="1:82" x14ac:dyDescent="0.25">
      <c r="A536" s="32"/>
      <c r="B536" s="32"/>
      <c r="C536" s="32"/>
      <c r="D536" s="32"/>
      <c r="E536" s="32"/>
      <c r="F536" s="32"/>
      <c r="G536" s="32"/>
      <c r="H536" s="32"/>
      <c r="I536" s="32"/>
      <c r="J536" s="32"/>
      <c r="K536" s="32"/>
      <c r="L536" s="32"/>
      <c r="M536" s="32"/>
      <c r="N536" s="32"/>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c r="BW536" s="33"/>
      <c r="BX536" s="33"/>
      <c r="BY536" s="33"/>
      <c r="BZ536" s="33"/>
      <c r="CA536" s="33"/>
      <c r="CB536" s="33"/>
      <c r="CC536" s="33"/>
      <c r="CD536" s="33"/>
    </row>
    <row r="537" spans="1:82" x14ac:dyDescent="0.25">
      <c r="A537" s="32"/>
      <c r="B537" s="32"/>
      <c r="C537" s="32"/>
      <c r="D537" s="32"/>
      <c r="E537" s="32"/>
      <c r="F537" s="32"/>
      <c r="G537" s="32"/>
      <c r="H537" s="32"/>
      <c r="I537" s="32"/>
      <c r="J537" s="32"/>
      <c r="K537" s="32"/>
      <c r="L537" s="32"/>
      <c r="M537" s="32"/>
      <c r="N537" s="32"/>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33"/>
      <c r="BN537" s="33"/>
      <c r="BO537" s="33"/>
      <c r="BP537" s="33"/>
      <c r="BQ537" s="33"/>
      <c r="BR537" s="33"/>
      <c r="BS537" s="33"/>
      <c r="BT537" s="33"/>
      <c r="BU537" s="33"/>
      <c r="BV537" s="33"/>
      <c r="BW537" s="33"/>
      <c r="BX537" s="33"/>
      <c r="BY537" s="33"/>
      <c r="BZ537" s="33"/>
      <c r="CA537" s="33"/>
      <c r="CB537" s="33"/>
      <c r="CC537" s="33"/>
      <c r="CD537" s="33"/>
    </row>
    <row r="538" spans="1:82" x14ac:dyDescent="0.25">
      <c r="A538" s="32"/>
      <c r="B538" s="32"/>
      <c r="C538" s="32"/>
      <c r="D538" s="32"/>
      <c r="E538" s="32"/>
      <c r="F538" s="32"/>
      <c r="G538" s="32"/>
      <c r="H538" s="32"/>
      <c r="I538" s="32"/>
      <c r="J538" s="32"/>
      <c r="K538" s="32"/>
      <c r="L538" s="32"/>
      <c r="M538" s="32"/>
      <c r="N538" s="32"/>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c r="BV538" s="33"/>
      <c r="BW538" s="33"/>
      <c r="BX538" s="33"/>
      <c r="BY538" s="33"/>
      <c r="BZ538" s="33"/>
      <c r="CA538" s="33"/>
      <c r="CB538" s="33"/>
      <c r="CC538" s="33"/>
      <c r="CD538" s="33"/>
    </row>
    <row r="539" spans="1:82" x14ac:dyDescent="0.25">
      <c r="A539" s="32"/>
      <c r="B539" s="32"/>
      <c r="C539" s="32"/>
      <c r="D539" s="32"/>
      <c r="E539" s="32"/>
      <c r="F539" s="32"/>
      <c r="G539" s="32"/>
      <c r="H539" s="32"/>
      <c r="I539" s="32"/>
      <c r="J539" s="32"/>
      <c r="K539" s="32"/>
      <c r="L539" s="32"/>
      <c r="M539" s="32"/>
      <c r="N539" s="32"/>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c r="BV539" s="33"/>
      <c r="BW539" s="33"/>
      <c r="BX539" s="33"/>
      <c r="BY539" s="33"/>
      <c r="BZ539" s="33"/>
      <c r="CA539" s="33"/>
      <c r="CB539" s="33"/>
      <c r="CC539" s="33"/>
      <c r="CD539" s="33"/>
    </row>
    <row r="540" spans="1:82" x14ac:dyDescent="0.25">
      <c r="A540" s="32"/>
      <c r="B540" s="32"/>
      <c r="C540" s="32"/>
      <c r="D540" s="32"/>
      <c r="E540" s="32"/>
      <c r="F540" s="32"/>
      <c r="G540" s="32"/>
      <c r="H540" s="32"/>
      <c r="I540" s="32"/>
      <c r="J540" s="32"/>
      <c r="K540" s="32"/>
      <c r="L540" s="32"/>
      <c r="M540" s="32"/>
      <c r="N540" s="32"/>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33"/>
      <c r="BN540" s="33"/>
      <c r="BO540" s="33"/>
      <c r="BP540" s="33"/>
      <c r="BQ540" s="33"/>
      <c r="BR540" s="33"/>
      <c r="BS540" s="33"/>
      <c r="BT540" s="33"/>
      <c r="BU540" s="33"/>
      <c r="BV540" s="33"/>
      <c r="BW540" s="33"/>
      <c r="BX540" s="33"/>
      <c r="BY540" s="33"/>
      <c r="BZ540" s="33"/>
      <c r="CA540" s="33"/>
      <c r="CB540" s="33"/>
      <c r="CC540" s="33"/>
      <c r="CD540" s="33"/>
    </row>
    <row r="541" spans="1:82" x14ac:dyDescent="0.25">
      <c r="A541" s="32"/>
      <c r="B541" s="32"/>
      <c r="C541" s="32"/>
      <c r="D541" s="32"/>
      <c r="E541" s="32"/>
      <c r="F541" s="32"/>
      <c r="G541" s="32"/>
      <c r="H541" s="32"/>
      <c r="I541" s="32"/>
      <c r="J541" s="32"/>
      <c r="K541" s="32"/>
      <c r="L541" s="32"/>
      <c r="M541" s="32"/>
      <c r="N541" s="32"/>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c r="BW541" s="33"/>
      <c r="BX541" s="33"/>
      <c r="BY541" s="33"/>
      <c r="BZ541" s="33"/>
      <c r="CA541" s="33"/>
      <c r="CB541" s="33"/>
      <c r="CC541" s="33"/>
      <c r="CD541" s="33"/>
    </row>
    <row r="542" spans="1:82" x14ac:dyDescent="0.25">
      <c r="A542" s="32"/>
      <c r="B542" s="32"/>
      <c r="C542" s="32"/>
      <c r="D542" s="32"/>
      <c r="E542" s="32"/>
      <c r="F542" s="32"/>
      <c r="G542" s="32"/>
      <c r="H542" s="32"/>
      <c r="I542" s="32"/>
      <c r="J542" s="32"/>
      <c r="K542" s="32"/>
      <c r="L542" s="32"/>
      <c r="M542" s="32"/>
      <c r="N542" s="32"/>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c r="BW542" s="33"/>
      <c r="BX542" s="33"/>
      <c r="BY542" s="33"/>
      <c r="BZ542" s="33"/>
      <c r="CA542" s="33"/>
      <c r="CB542" s="33"/>
      <c r="CC542" s="33"/>
      <c r="CD542" s="33"/>
    </row>
    <row r="543" spans="1:82" x14ac:dyDescent="0.25">
      <c r="A543" s="32"/>
      <c r="B543" s="32"/>
      <c r="C543" s="32"/>
      <c r="D543" s="32"/>
      <c r="E543" s="32"/>
      <c r="F543" s="32"/>
      <c r="G543" s="32"/>
      <c r="H543" s="32"/>
      <c r="I543" s="32"/>
      <c r="J543" s="32"/>
      <c r="K543" s="32"/>
      <c r="L543" s="32"/>
      <c r="M543" s="32"/>
      <c r="N543" s="32"/>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c r="BW543" s="33"/>
      <c r="BX543" s="33"/>
      <c r="BY543" s="33"/>
      <c r="BZ543" s="33"/>
      <c r="CA543" s="33"/>
      <c r="CB543" s="33"/>
      <c r="CC543" s="33"/>
      <c r="CD543" s="33"/>
    </row>
    <row r="544" spans="1:82" x14ac:dyDescent="0.25">
      <c r="A544" s="32"/>
      <c r="B544" s="32"/>
      <c r="C544" s="32"/>
      <c r="D544" s="32"/>
      <c r="E544" s="32"/>
      <c r="F544" s="32"/>
      <c r="G544" s="32"/>
      <c r="H544" s="32"/>
      <c r="I544" s="32"/>
      <c r="J544" s="32"/>
      <c r="K544" s="32"/>
      <c r="L544" s="32"/>
      <c r="M544" s="32"/>
      <c r="N544" s="32"/>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c r="BW544" s="33"/>
      <c r="BX544" s="33"/>
      <c r="BY544" s="33"/>
      <c r="BZ544" s="33"/>
      <c r="CA544" s="33"/>
      <c r="CB544" s="33"/>
      <c r="CC544" s="33"/>
      <c r="CD544" s="33"/>
    </row>
    <row r="545" spans="1:82" x14ac:dyDescent="0.25">
      <c r="A545" s="32"/>
      <c r="B545" s="32"/>
      <c r="C545" s="32"/>
      <c r="D545" s="32"/>
      <c r="E545" s="32"/>
      <c r="F545" s="32"/>
      <c r="G545" s="32"/>
      <c r="H545" s="32"/>
      <c r="I545" s="32"/>
      <c r="J545" s="32"/>
      <c r="K545" s="32"/>
      <c r="L545" s="32"/>
      <c r="M545" s="32"/>
      <c r="N545" s="32"/>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c r="BW545" s="33"/>
      <c r="BX545" s="33"/>
      <c r="BY545" s="33"/>
      <c r="BZ545" s="33"/>
      <c r="CA545" s="33"/>
      <c r="CB545" s="33"/>
      <c r="CC545" s="33"/>
      <c r="CD545" s="33"/>
    </row>
    <row r="546" spans="1:82" x14ac:dyDescent="0.25">
      <c r="A546" s="32"/>
      <c r="B546" s="32"/>
      <c r="C546" s="32"/>
      <c r="D546" s="32"/>
      <c r="E546" s="32"/>
      <c r="F546" s="32"/>
      <c r="G546" s="32"/>
      <c r="H546" s="32"/>
      <c r="I546" s="32"/>
      <c r="J546" s="32"/>
      <c r="K546" s="32"/>
      <c r="L546" s="32"/>
      <c r="M546" s="32"/>
      <c r="N546" s="32"/>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c r="BW546" s="33"/>
      <c r="BX546" s="33"/>
      <c r="BY546" s="33"/>
      <c r="BZ546" s="33"/>
      <c r="CA546" s="33"/>
      <c r="CB546" s="33"/>
      <c r="CC546" s="33"/>
      <c r="CD546" s="33"/>
    </row>
    <row r="547" spans="1:82" x14ac:dyDescent="0.25">
      <c r="A547" s="32"/>
      <c r="B547" s="32"/>
      <c r="C547" s="32"/>
      <c r="D547" s="32"/>
      <c r="E547" s="32"/>
      <c r="F547" s="32"/>
      <c r="G547" s="32"/>
      <c r="H547" s="32"/>
      <c r="I547" s="32"/>
      <c r="J547" s="32"/>
      <c r="K547" s="32"/>
      <c r="L547" s="32"/>
      <c r="M547" s="32"/>
      <c r="N547" s="32"/>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33"/>
      <c r="BF547" s="33"/>
      <c r="BG547" s="33"/>
      <c r="BH547" s="33"/>
      <c r="BI547" s="33"/>
      <c r="BJ547" s="33"/>
      <c r="BK547" s="33"/>
      <c r="BL547" s="33"/>
      <c r="BM547" s="33"/>
      <c r="BN547" s="33"/>
      <c r="BO547" s="33"/>
      <c r="BP547" s="33"/>
      <c r="BQ547" s="33"/>
      <c r="BR547" s="33"/>
      <c r="BS547" s="33"/>
      <c r="BT547" s="33"/>
      <c r="BU547" s="33"/>
      <c r="BV547" s="33"/>
      <c r="BW547" s="33"/>
      <c r="BX547" s="33"/>
      <c r="BY547" s="33"/>
      <c r="BZ547" s="33"/>
      <c r="CA547" s="33"/>
      <c r="CB547" s="33"/>
      <c r="CC547" s="33"/>
      <c r="CD547" s="33"/>
    </row>
    <row r="548" spans="1:82" x14ac:dyDescent="0.25">
      <c r="A548" s="32"/>
      <c r="B548" s="32"/>
      <c r="C548" s="32"/>
      <c r="D548" s="32"/>
      <c r="E548" s="32"/>
      <c r="F548" s="32"/>
      <c r="G548" s="32"/>
      <c r="H548" s="32"/>
      <c r="I548" s="32"/>
      <c r="J548" s="32"/>
      <c r="K548" s="32"/>
      <c r="L548" s="32"/>
      <c r="M548" s="32"/>
      <c r="N548" s="32"/>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33"/>
      <c r="BN548" s="33"/>
      <c r="BO548" s="33"/>
      <c r="BP548" s="33"/>
      <c r="BQ548" s="33"/>
      <c r="BR548" s="33"/>
      <c r="BS548" s="33"/>
      <c r="BT548" s="33"/>
      <c r="BU548" s="33"/>
      <c r="BV548" s="33"/>
      <c r="BW548" s="33"/>
      <c r="BX548" s="33"/>
      <c r="BY548" s="33"/>
      <c r="BZ548" s="33"/>
      <c r="CA548" s="33"/>
      <c r="CB548" s="33"/>
      <c r="CC548" s="33"/>
      <c r="CD548" s="33"/>
    </row>
    <row r="549" spans="1:82" x14ac:dyDescent="0.25">
      <c r="A549" s="32"/>
      <c r="B549" s="32"/>
      <c r="C549" s="32"/>
      <c r="D549" s="32"/>
      <c r="E549" s="32"/>
      <c r="F549" s="32"/>
      <c r="G549" s="32"/>
      <c r="H549" s="32"/>
      <c r="I549" s="32"/>
      <c r="J549" s="32"/>
      <c r="K549" s="32"/>
      <c r="L549" s="32"/>
      <c r="M549" s="32"/>
      <c r="N549" s="32"/>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33"/>
      <c r="BN549" s="33"/>
      <c r="BO549" s="33"/>
      <c r="BP549" s="33"/>
      <c r="BQ549" s="33"/>
      <c r="BR549" s="33"/>
      <c r="BS549" s="33"/>
      <c r="BT549" s="33"/>
      <c r="BU549" s="33"/>
      <c r="BV549" s="33"/>
      <c r="BW549" s="33"/>
      <c r="BX549" s="33"/>
      <c r="BY549" s="33"/>
      <c r="BZ549" s="33"/>
      <c r="CA549" s="33"/>
      <c r="CB549" s="33"/>
      <c r="CC549" s="33"/>
      <c r="CD549" s="33"/>
    </row>
    <row r="550" spans="1:82" x14ac:dyDescent="0.25">
      <c r="A550" s="32"/>
      <c r="B550" s="32"/>
      <c r="C550" s="32"/>
      <c r="D550" s="32"/>
      <c r="E550" s="32"/>
      <c r="F550" s="32"/>
      <c r="G550" s="32"/>
      <c r="H550" s="32"/>
      <c r="I550" s="32"/>
      <c r="J550" s="32"/>
      <c r="K550" s="32"/>
      <c r="L550" s="32"/>
      <c r="M550" s="32"/>
      <c r="N550" s="32"/>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c r="BW550" s="33"/>
      <c r="BX550" s="33"/>
      <c r="BY550" s="33"/>
      <c r="BZ550" s="33"/>
      <c r="CA550" s="33"/>
      <c r="CB550" s="33"/>
      <c r="CC550" s="33"/>
      <c r="CD550" s="33"/>
    </row>
    <row r="551" spans="1:82" x14ac:dyDescent="0.25">
      <c r="A551" s="32"/>
      <c r="B551" s="32"/>
      <c r="C551" s="32"/>
      <c r="D551" s="32"/>
      <c r="E551" s="32"/>
      <c r="F551" s="32"/>
      <c r="G551" s="32"/>
      <c r="H551" s="32"/>
      <c r="I551" s="32"/>
      <c r="J551" s="32"/>
      <c r="K551" s="32"/>
      <c r="L551" s="32"/>
      <c r="M551" s="32"/>
      <c r="N551" s="32"/>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c r="BW551" s="33"/>
      <c r="BX551" s="33"/>
      <c r="BY551" s="33"/>
      <c r="BZ551" s="33"/>
      <c r="CA551" s="33"/>
      <c r="CB551" s="33"/>
      <c r="CC551" s="33"/>
      <c r="CD551" s="33"/>
    </row>
    <row r="552" spans="1:82" x14ac:dyDescent="0.25">
      <c r="A552" s="32"/>
      <c r="B552" s="32"/>
      <c r="C552" s="32"/>
      <c r="D552" s="32"/>
      <c r="E552" s="32"/>
      <c r="F552" s="32"/>
      <c r="G552" s="32"/>
      <c r="H552" s="32"/>
      <c r="I552" s="32"/>
      <c r="J552" s="32"/>
      <c r="K552" s="32"/>
      <c r="L552" s="32"/>
      <c r="M552" s="32"/>
      <c r="N552" s="32"/>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c r="BW552" s="33"/>
      <c r="BX552" s="33"/>
      <c r="BY552" s="33"/>
      <c r="BZ552" s="33"/>
      <c r="CA552" s="33"/>
      <c r="CB552" s="33"/>
      <c r="CC552" s="33"/>
      <c r="CD552" s="33"/>
    </row>
    <row r="553" spans="1:82" x14ac:dyDescent="0.25">
      <c r="A553" s="32"/>
      <c r="B553" s="32"/>
      <c r="C553" s="32"/>
      <c r="D553" s="32"/>
      <c r="E553" s="32"/>
      <c r="F553" s="32"/>
      <c r="G553" s="32"/>
      <c r="H553" s="32"/>
      <c r="I553" s="32"/>
      <c r="J553" s="32"/>
      <c r="K553" s="32"/>
      <c r="L553" s="32"/>
      <c r="M553" s="32"/>
      <c r="N553" s="32"/>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c r="BW553" s="33"/>
      <c r="BX553" s="33"/>
      <c r="BY553" s="33"/>
      <c r="BZ553" s="33"/>
      <c r="CA553" s="33"/>
      <c r="CB553" s="33"/>
      <c r="CC553" s="33"/>
      <c r="CD553" s="33"/>
    </row>
    <row r="554" spans="1:82" x14ac:dyDescent="0.25">
      <c r="A554" s="32"/>
      <c r="B554" s="32"/>
      <c r="C554" s="32"/>
      <c r="D554" s="32"/>
      <c r="E554" s="32"/>
      <c r="F554" s="32"/>
      <c r="G554" s="32"/>
      <c r="H554" s="32"/>
      <c r="I554" s="32"/>
      <c r="J554" s="32"/>
      <c r="K554" s="32"/>
      <c r="L554" s="32"/>
      <c r="M554" s="32"/>
      <c r="N554" s="32"/>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c r="BW554" s="33"/>
      <c r="BX554" s="33"/>
      <c r="BY554" s="33"/>
      <c r="BZ554" s="33"/>
      <c r="CA554" s="33"/>
      <c r="CB554" s="33"/>
      <c r="CC554" s="33"/>
      <c r="CD554" s="33"/>
    </row>
    <row r="555" spans="1:82" x14ac:dyDescent="0.25">
      <c r="A555" s="32"/>
      <c r="B555" s="32"/>
      <c r="C555" s="32"/>
      <c r="D555" s="32"/>
      <c r="E555" s="32"/>
      <c r="F555" s="32"/>
      <c r="G555" s="32"/>
      <c r="H555" s="32"/>
      <c r="I555" s="32"/>
      <c r="J555" s="32"/>
      <c r="K555" s="32"/>
      <c r="L555" s="32"/>
      <c r="M555" s="32"/>
      <c r="N555" s="32"/>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row>
    <row r="556" spans="1:82" x14ac:dyDescent="0.25">
      <c r="A556" s="32"/>
      <c r="B556" s="32"/>
      <c r="C556" s="32"/>
      <c r="D556" s="32"/>
      <c r="E556" s="32"/>
      <c r="F556" s="32"/>
      <c r="G556" s="32"/>
      <c r="H556" s="32"/>
      <c r="I556" s="32"/>
      <c r="J556" s="32"/>
      <c r="K556" s="32"/>
      <c r="L556" s="32"/>
      <c r="M556" s="32"/>
      <c r="N556" s="32"/>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c r="BW556" s="33"/>
      <c r="BX556" s="33"/>
      <c r="BY556" s="33"/>
      <c r="BZ556" s="33"/>
      <c r="CA556" s="33"/>
      <c r="CB556" s="33"/>
      <c r="CC556" s="33"/>
      <c r="CD556" s="33"/>
    </row>
    <row r="557" spans="1:82" x14ac:dyDescent="0.25">
      <c r="A557" s="32"/>
      <c r="B557" s="32"/>
      <c r="C557" s="32"/>
      <c r="D557" s="32"/>
      <c r="E557" s="32"/>
      <c r="F557" s="32"/>
      <c r="G557" s="32"/>
      <c r="H557" s="32"/>
      <c r="I557" s="32"/>
      <c r="J557" s="32"/>
      <c r="K557" s="32"/>
      <c r="L557" s="32"/>
      <c r="M557" s="32"/>
      <c r="N557" s="32"/>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c r="BW557" s="33"/>
      <c r="BX557" s="33"/>
      <c r="BY557" s="33"/>
      <c r="BZ557" s="33"/>
      <c r="CA557" s="33"/>
      <c r="CB557" s="33"/>
      <c r="CC557" s="33"/>
      <c r="CD557" s="33"/>
    </row>
    <row r="558" spans="1:82" x14ac:dyDescent="0.25">
      <c r="A558" s="32"/>
      <c r="B558" s="32"/>
      <c r="C558" s="32"/>
      <c r="D558" s="32"/>
      <c r="E558" s="32"/>
      <c r="F558" s="32"/>
      <c r="G558" s="32"/>
      <c r="H558" s="32"/>
      <c r="I558" s="32"/>
      <c r="J558" s="32"/>
      <c r="K558" s="32"/>
      <c r="L558" s="32"/>
      <c r="M558" s="32"/>
      <c r="N558" s="32"/>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c r="BW558" s="33"/>
      <c r="BX558" s="33"/>
      <c r="BY558" s="33"/>
      <c r="BZ558" s="33"/>
      <c r="CA558" s="33"/>
      <c r="CB558" s="33"/>
      <c r="CC558" s="33"/>
      <c r="CD558" s="33"/>
    </row>
    <row r="559" spans="1:82" x14ac:dyDescent="0.25">
      <c r="A559" s="32"/>
      <c r="B559" s="32"/>
      <c r="C559" s="32"/>
      <c r="D559" s="32"/>
      <c r="E559" s="32"/>
      <c r="F559" s="32"/>
      <c r="G559" s="32"/>
      <c r="H559" s="32"/>
      <c r="I559" s="32"/>
      <c r="J559" s="32"/>
      <c r="K559" s="32"/>
      <c r="L559" s="32"/>
      <c r="M559" s="32"/>
      <c r="N559" s="32"/>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c r="BW559" s="33"/>
      <c r="BX559" s="33"/>
      <c r="BY559" s="33"/>
      <c r="BZ559" s="33"/>
      <c r="CA559" s="33"/>
      <c r="CB559" s="33"/>
      <c r="CC559" s="33"/>
      <c r="CD559" s="33"/>
    </row>
    <row r="560" spans="1:82" x14ac:dyDescent="0.25">
      <c r="A560" s="32"/>
      <c r="B560" s="32"/>
      <c r="C560" s="32"/>
      <c r="D560" s="32"/>
      <c r="E560" s="32"/>
      <c r="F560" s="32"/>
      <c r="G560" s="32"/>
      <c r="H560" s="32"/>
      <c r="I560" s="32"/>
      <c r="J560" s="32"/>
      <c r="K560" s="32"/>
      <c r="L560" s="32"/>
      <c r="M560" s="32"/>
      <c r="N560" s="32"/>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c r="BW560" s="33"/>
      <c r="BX560" s="33"/>
      <c r="BY560" s="33"/>
      <c r="BZ560" s="33"/>
      <c r="CA560" s="33"/>
      <c r="CB560" s="33"/>
      <c r="CC560" s="33"/>
      <c r="CD560" s="33"/>
    </row>
    <row r="561" spans="1:82" x14ac:dyDescent="0.25">
      <c r="A561" s="32"/>
      <c r="B561" s="32"/>
      <c r="C561" s="32"/>
      <c r="D561" s="32"/>
      <c r="E561" s="32"/>
      <c r="F561" s="32"/>
      <c r="G561" s="32"/>
      <c r="H561" s="32"/>
      <c r="I561" s="32"/>
      <c r="J561" s="32"/>
      <c r="K561" s="32"/>
      <c r="L561" s="32"/>
      <c r="M561" s="32"/>
      <c r="N561" s="32"/>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c r="BW561" s="33"/>
      <c r="BX561" s="33"/>
      <c r="BY561" s="33"/>
      <c r="BZ561" s="33"/>
      <c r="CA561" s="33"/>
      <c r="CB561" s="33"/>
      <c r="CC561" s="33"/>
      <c r="CD561" s="33"/>
    </row>
    <row r="562" spans="1:82" x14ac:dyDescent="0.25">
      <c r="A562" s="32"/>
      <c r="B562" s="32"/>
      <c r="C562" s="32"/>
      <c r="D562" s="32"/>
      <c r="E562" s="32"/>
      <c r="F562" s="32"/>
      <c r="G562" s="32"/>
      <c r="H562" s="32"/>
      <c r="I562" s="32"/>
      <c r="J562" s="32"/>
      <c r="K562" s="32"/>
      <c r="L562" s="32"/>
      <c r="M562" s="32"/>
      <c r="N562" s="32"/>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c r="BW562" s="33"/>
      <c r="BX562" s="33"/>
      <c r="BY562" s="33"/>
      <c r="BZ562" s="33"/>
      <c r="CA562" s="33"/>
      <c r="CB562" s="33"/>
      <c r="CC562" s="33"/>
      <c r="CD562" s="33"/>
    </row>
    <row r="563" spans="1:82" x14ac:dyDescent="0.25">
      <c r="A563" s="32"/>
      <c r="B563" s="32"/>
      <c r="C563" s="32"/>
      <c r="D563" s="32"/>
      <c r="E563" s="32"/>
      <c r="F563" s="32"/>
      <c r="G563" s="32"/>
      <c r="H563" s="32"/>
      <c r="I563" s="32"/>
      <c r="J563" s="32"/>
      <c r="K563" s="32"/>
      <c r="L563" s="32"/>
      <c r="M563" s="32"/>
      <c r="N563" s="32"/>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c r="BW563" s="33"/>
      <c r="BX563" s="33"/>
      <c r="BY563" s="33"/>
      <c r="BZ563" s="33"/>
      <c r="CA563" s="33"/>
      <c r="CB563" s="33"/>
      <c r="CC563" s="33"/>
      <c r="CD563" s="33"/>
    </row>
    <row r="564" spans="1:82" x14ac:dyDescent="0.25">
      <c r="A564" s="32"/>
      <c r="B564" s="32"/>
      <c r="C564" s="32"/>
      <c r="D564" s="32"/>
      <c r="E564" s="32"/>
      <c r="F564" s="32"/>
      <c r="G564" s="32"/>
      <c r="H564" s="32"/>
      <c r="I564" s="32"/>
      <c r="J564" s="32"/>
      <c r="K564" s="32"/>
      <c r="L564" s="32"/>
      <c r="M564" s="32"/>
      <c r="N564" s="32"/>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c r="BW564" s="33"/>
      <c r="BX564" s="33"/>
      <c r="BY564" s="33"/>
      <c r="BZ564" s="33"/>
      <c r="CA564" s="33"/>
      <c r="CB564" s="33"/>
      <c r="CC564" s="33"/>
      <c r="CD564" s="33"/>
    </row>
    <row r="565" spans="1:82" x14ac:dyDescent="0.25">
      <c r="A565" s="32"/>
      <c r="B565" s="32"/>
      <c r="C565" s="32"/>
      <c r="D565" s="32"/>
      <c r="E565" s="32"/>
      <c r="F565" s="32"/>
      <c r="G565" s="32"/>
      <c r="H565" s="32"/>
      <c r="I565" s="32"/>
      <c r="J565" s="32"/>
      <c r="K565" s="32"/>
      <c r="L565" s="32"/>
      <c r="M565" s="32"/>
      <c r="N565" s="32"/>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c r="BW565" s="33"/>
      <c r="BX565" s="33"/>
      <c r="BY565" s="33"/>
      <c r="BZ565" s="33"/>
      <c r="CA565" s="33"/>
      <c r="CB565" s="33"/>
      <c r="CC565" s="33"/>
      <c r="CD565" s="33"/>
    </row>
    <row r="566" spans="1:82" x14ac:dyDescent="0.25">
      <c r="A566" s="32"/>
      <c r="B566" s="32"/>
      <c r="C566" s="32"/>
      <c r="D566" s="32"/>
      <c r="E566" s="32"/>
      <c r="F566" s="32"/>
      <c r="G566" s="32"/>
      <c r="H566" s="32"/>
      <c r="I566" s="32"/>
      <c r="J566" s="32"/>
      <c r="K566" s="32"/>
      <c r="L566" s="32"/>
      <c r="M566" s="32"/>
      <c r="N566" s="32"/>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c r="BW566" s="33"/>
      <c r="BX566" s="33"/>
      <c r="BY566" s="33"/>
      <c r="BZ566" s="33"/>
      <c r="CA566" s="33"/>
      <c r="CB566" s="33"/>
      <c r="CC566" s="33"/>
      <c r="CD566" s="33"/>
    </row>
    <row r="567" spans="1:82" x14ac:dyDescent="0.25">
      <c r="A567" s="32"/>
      <c r="B567" s="32"/>
      <c r="C567" s="32"/>
      <c r="D567" s="32"/>
      <c r="E567" s="32"/>
      <c r="F567" s="32"/>
      <c r="G567" s="32"/>
      <c r="H567" s="32"/>
      <c r="I567" s="32"/>
      <c r="J567" s="32"/>
      <c r="K567" s="32"/>
      <c r="L567" s="32"/>
      <c r="M567" s="32"/>
      <c r="N567" s="32"/>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c r="BW567" s="33"/>
      <c r="BX567" s="33"/>
      <c r="BY567" s="33"/>
      <c r="BZ567" s="33"/>
      <c r="CA567" s="33"/>
      <c r="CB567" s="33"/>
      <c r="CC567" s="33"/>
      <c r="CD567" s="33"/>
    </row>
    <row r="568" spans="1:82" x14ac:dyDescent="0.25">
      <c r="A568" s="32"/>
      <c r="B568" s="32"/>
      <c r="C568" s="32"/>
      <c r="D568" s="32"/>
      <c r="E568" s="32"/>
      <c r="F568" s="32"/>
      <c r="G568" s="32"/>
      <c r="H568" s="32"/>
      <c r="I568" s="32"/>
      <c r="J568" s="32"/>
      <c r="K568" s="32"/>
      <c r="L568" s="32"/>
      <c r="M568" s="32"/>
      <c r="N568" s="32"/>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c r="BW568" s="33"/>
      <c r="BX568" s="33"/>
      <c r="BY568" s="33"/>
      <c r="BZ568" s="33"/>
      <c r="CA568" s="33"/>
      <c r="CB568" s="33"/>
      <c r="CC568" s="33"/>
      <c r="CD568" s="33"/>
    </row>
    <row r="569" spans="1:82" x14ac:dyDescent="0.25">
      <c r="A569" s="32"/>
      <c r="B569" s="32"/>
      <c r="C569" s="32"/>
      <c r="D569" s="32"/>
      <c r="E569" s="32"/>
      <c r="F569" s="32"/>
      <c r="G569" s="32"/>
      <c r="H569" s="32"/>
      <c r="I569" s="32"/>
      <c r="J569" s="32"/>
      <c r="K569" s="32"/>
      <c r="L569" s="32"/>
      <c r="M569" s="32"/>
      <c r="N569" s="32"/>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c r="BW569" s="33"/>
      <c r="BX569" s="33"/>
      <c r="BY569" s="33"/>
      <c r="BZ569" s="33"/>
      <c r="CA569" s="33"/>
      <c r="CB569" s="33"/>
      <c r="CC569" s="33"/>
      <c r="CD569" s="33"/>
    </row>
    <row r="570" spans="1:82" x14ac:dyDescent="0.25">
      <c r="A570" s="32"/>
      <c r="B570" s="32"/>
      <c r="C570" s="32"/>
      <c r="D570" s="32"/>
      <c r="E570" s="32"/>
      <c r="F570" s="32"/>
      <c r="G570" s="32"/>
      <c r="H570" s="32"/>
      <c r="I570" s="32"/>
      <c r="J570" s="32"/>
      <c r="K570" s="32"/>
      <c r="L570" s="32"/>
      <c r="M570" s="32"/>
      <c r="N570" s="32"/>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c r="BW570" s="33"/>
      <c r="BX570" s="33"/>
      <c r="BY570" s="33"/>
      <c r="BZ570" s="33"/>
      <c r="CA570" s="33"/>
      <c r="CB570" s="33"/>
      <c r="CC570" s="33"/>
      <c r="CD570" s="33"/>
    </row>
    <row r="571" spans="1:82" x14ac:dyDescent="0.25">
      <c r="A571" s="32"/>
      <c r="B571" s="32"/>
      <c r="C571" s="32"/>
      <c r="D571" s="32"/>
      <c r="E571" s="32"/>
      <c r="F571" s="32"/>
      <c r="G571" s="32"/>
      <c r="H571" s="32"/>
      <c r="I571" s="32"/>
      <c r="J571" s="32"/>
      <c r="K571" s="32"/>
      <c r="L571" s="32"/>
      <c r="M571" s="32"/>
      <c r="N571" s="32"/>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c r="BW571" s="33"/>
      <c r="BX571" s="33"/>
      <c r="BY571" s="33"/>
      <c r="BZ571" s="33"/>
      <c r="CA571" s="33"/>
      <c r="CB571" s="33"/>
      <c r="CC571" s="33"/>
      <c r="CD571" s="33"/>
    </row>
    <row r="572" spans="1:82" x14ac:dyDescent="0.25">
      <c r="A572" s="32"/>
      <c r="B572" s="32"/>
      <c r="C572" s="32"/>
      <c r="D572" s="32"/>
      <c r="E572" s="32"/>
      <c r="F572" s="32"/>
      <c r="G572" s="32"/>
      <c r="H572" s="32"/>
      <c r="I572" s="32"/>
      <c r="J572" s="32"/>
      <c r="K572" s="32"/>
      <c r="L572" s="32"/>
      <c r="M572" s="32"/>
      <c r="N572" s="32"/>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c r="BW572" s="33"/>
      <c r="BX572" s="33"/>
      <c r="BY572" s="33"/>
      <c r="BZ572" s="33"/>
      <c r="CA572" s="33"/>
      <c r="CB572" s="33"/>
      <c r="CC572" s="33"/>
      <c r="CD572" s="33"/>
    </row>
    <row r="573" spans="1:82" x14ac:dyDescent="0.25">
      <c r="A573" s="32"/>
      <c r="B573" s="32"/>
      <c r="C573" s="32"/>
      <c r="D573" s="32"/>
      <c r="E573" s="32"/>
      <c r="F573" s="32"/>
      <c r="G573" s="32"/>
      <c r="H573" s="32"/>
      <c r="I573" s="32"/>
      <c r="J573" s="32"/>
      <c r="K573" s="32"/>
      <c r="L573" s="32"/>
      <c r="M573" s="32"/>
      <c r="N573" s="32"/>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row>
    <row r="574" spans="1:82" x14ac:dyDescent="0.25">
      <c r="A574" s="32"/>
      <c r="B574" s="32"/>
      <c r="C574" s="32"/>
      <c r="D574" s="32"/>
      <c r="E574" s="32"/>
      <c r="F574" s="32"/>
      <c r="G574" s="32"/>
      <c r="H574" s="32"/>
      <c r="I574" s="32"/>
      <c r="J574" s="32"/>
      <c r="K574" s="32"/>
      <c r="L574" s="32"/>
      <c r="M574" s="32"/>
      <c r="N574" s="32"/>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c r="BW574" s="33"/>
      <c r="BX574" s="33"/>
      <c r="BY574" s="33"/>
      <c r="BZ574" s="33"/>
      <c r="CA574" s="33"/>
      <c r="CB574" s="33"/>
      <c r="CC574" s="33"/>
      <c r="CD574" s="33"/>
    </row>
    <row r="575" spans="1:82" x14ac:dyDescent="0.25">
      <c r="A575" s="32"/>
      <c r="B575" s="32"/>
      <c r="C575" s="32"/>
      <c r="D575" s="32"/>
      <c r="E575" s="32"/>
      <c r="F575" s="32"/>
      <c r="G575" s="32"/>
      <c r="H575" s="32"/>
      <c r="I575" s="32"/>
      <c r="J575" s="32"/>
      <c r="K575" s="32"/>
      <c r="L575" s="32"/>
      <c r="M575" s="32"/>
      <c r="N575" s="32"/>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c r="BW575" s="33"/>
      <c r="BX575" s="33"/>
      <c r="BY575" s="33"/>
      <c r="BZ575" s="33"/>
      <c r="CA575" s="33"/>
      <c r="CB575" s="33"/>
      <c r="CC575" s="33"/>
      <c r="CD575" s="33"/>
    </row>
    <row r="576" spans="1:82" x14ac:dyDescent="0.25">
      <c r="A576" s="32"/>
      <c r="B576" s="32"/>
      <c r="C576" s="32"/>
      <c r="D576" s="32"/>
      <c r="E576" s="32"/>
      <c r="F576" s="32"/>
      <c r="G576" s="32"/>
      <c r="H576" s="32"/>
      <c r="I576" s="32"/>
      <c r="J576" s="32"/>
      <c r="K576" s="32"/>
      <c r="L576" s="32"/>
      <c r="M576" s="32"/>
      <c r="N576" s="32"/>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c r="BW576" s="33"/>
      <c r="BX576" s="33"/>
      <c r="BY576" s="33"/>
      <c r="BZ576" s="33"/>
      <c r="CA576" s="33"/>
      <c r="CB576" s="33"/>
      <c r="CC576" s="33"/>
      <c r="CD576" s="33"/>
    </row>
    <row r="577" spans="1:82" x14ac:dyDescent="0.25">
      <c r="A577" s="32"/>
      <c r="B577" s="32"/>
      <c r="C577" s="32"/>
      <c r="D577" s="32"/>
      <c r="E577" s="32"/>
      <c r="F577" s="32"/>
      <c r="G577" s="32"/>
      <c r="H577" s="32"/>
      <c r="I577" s="32"/>
      <c r="J577" s="32"/>
      <c r="K577" s="32"/>
      <c r="L577" s="32"/>
      <c r="M577" s="32"/>
      <c r="N577" s="32"/>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c r="BW577" s="33"/>
      <c r="BX577" s="33"/>
      <c r="BY577" s="33"/>
      <c r="BZ577" s="33"/>
      <c r="CA577" s="33"/>
      <c r="CB577" s="33"/>
      <c r="CC577" s="33"/>
      <c r="CD577" s="33"/>
    </row>
    <row r="578" spans="1:82" x14ac:dyDescent="0.25">
      <c r="A578" s="32"/>
      <c r="B578" s="32"/>
      <c r="C578" s="32"/>
      <c r="D578" s="32"/>
      <c r="E578" s="32"/>
      <c r="F578" s="32"/>
      <c r="G578" s="32"/>
      <c r="H578" s="32"/>
      <c r="I578" s="32"/>
      <c r="J578" s="32"/>
      <c r="K578" s="32"/>
      <c r="L578" s="32"/>
      <c r="M578" s="32"/>
      <c r="N578" s="32"/>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c r="BW578" s="33"/>
      <c r="BX578" s="33"/>
      <c r="BY578" s="33"/>
      <c r="BZ578" s="33"/>
      <c r="CA578" s="33"/>
      <c r="CB578" s="33"/>
      <c r="CC578" s="33"/>
      <c r="CD578" s="33"/>
    </row>
    <row r="579" spans="1:82" x14ac:dyDescent="0.25">
      <c r="A579" s="32"/>
      <c r="B579" s="32"/>
      <c r="C579" s="32"/>
      <c r="D579" s="32"/>
      <c r="E579" s="32"/>
      <c r="F579" s="32"/>
      <c r="G579" s="32"/>
      <c r="H579" s="32"/>
      <c r="I579" s="32"/>
      <c r="J579" s="32"/>
      <c r="K579" s="32"/>
      <c r="L579" s="32"/>
      <c r="M579" s="32"/>
      <c r="N579" s="32"/>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row>
    <row r="580" spans="1:82" x14ac:dyDescent="0.25">
      <c r="A580" s="32"/>
      <c r="B580" s="32"/>
      <c r="C580" s="32"/>
      <c r="D580" s="32"/>
      <c r="E580" s="32"/>
      <c r="F580" s="32"/>
      <c r="G580" s="32"/>
      <c r="H580" s="32"/>
      <c r="I580" s="32"/>
      <c r="J580" s="32"/>
      <c r="K580" s="32"/>
      <c r="L580" s="32"/>
      <c r="M580" s="32"/>
      <c r="N580" s="32"/>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c r="BW580" s="33"/>
      <c r="BX580" s="33"/>
      <c r="BY580" s="33"/>
      <c r="BZ580" s="33"/>
      <c r="CA580" s="33"/>
      <c r="CB580" s="33"/>
      <c r="CC580" s="33"/>
      <c r="CD580" s="33"/>
    </row>
    <row r="581" spans="1:82" x14ac:dyDescent="0.25">
      <c r="A581" s="32"/>
      <c r="B581" s="32"/>
      <c r="C581" s="32"/>
      <c r="D581" s="32"/>
      <c r="E581" s="32"/>
      <c r="F581" s="32"/>
      <c r="G581" s="32"/>
      <c r="H581" s="32"/>
      <c r="I581" s="32"/>
      <c r="J581" s="32"/>
      <c r="K581" s="32"/>
      <c r="L581" s="32"/>
      <c r="M581" s="32"/>
      <c r="N581" s="32"/>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c r="BW581" s="33"/>
      <c r="BX581" s="33"/>
      <c r="BY581" s="33"/>
      <c r="BZ581" s="33"/>
      <c r="CA581" s="33"/>
      <c r="CB581" s="33"/>
      <c r="CC581" s="33"/>
      <c r="CD581" s="33"/>
    </row>
    <row r="582" spans="1:82" x14ac:dyDescent="0.25">
      <c r="A582" s="32"/>
      <c r="B582" s="32"/>
      <c r="C582" s="32"/>
      <c r="D582" s="32"/>
      <c r="E582" s="32"/>
      <c r="F582" s="32"/>
      <c r="G582" s="32"/>
      <c r="H582" s="32"/>
      <c r="I582" s="32"/>
      <c r="J582" s="32"/>
      <c r="K582" s="32"/>
      <c r="L582" s="32"/>
      <c r="M582" s="32"/>
      <c r="N582" s="32"/>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c r="BW582" s="33"/>
      <c r="BX582" s="33"/>
      <c r="BY582" s="33"/>
      <c r="BZ582" s="33"/>
      <c r="CA582" s="33"/>
      <c r="CB582" s="33"/>
      <c r="CC582" s="33"/>
      <c r="CD582" s="33"/>
    </row>
    <row r="583" spans="1:82" x14ac:dyDescent="0.25">
      <c r="A583" s="32"/>
      <c r="B583" s="32"/>
      <c r="C583" s="32"/>
      <c r="D583" s="32"/>
      <c r="E583" s="32"/>
      <c r="F583" s="32"/>
      <c r="G583" s="32"/>
      <c r="H583" s="32"/>
      <c r="I583" s="32"/>
      <c r="J583" s="32"/>
      <c r="K583" s="32"/>
      <c r="L583" s="32"/>
      <c r="M583" s="32"/>
      <c r="N583" s="32"/>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33"/>
      <c r="BF583" s="33"/>
      <c r="BG583" s="33"/>
      <c r="BH583" s="33"/>
      <c r="BI583" s="33"/>
      <c r="BJ583" s="33"/>
      <c r="BK583" s="33"/>
      <c r="BL583" s="33"/>
      <c r="BM583" s="33"/>
      <c r="BN583" s="33"/>
      <c r="BO583" s="33"/>
      <c r="BP583" s="33"/>
      <c r="BQ583" s="33"/>
      <c r="BR583" s="33"/>
      <c r="BS583" s="33"/>
      <c r="BT583" s="33"/>
      <c r="BU583" s="33"/>
      <c r="BV583" s="33"/>
      <c r="BW583" s="33"/>
      <c r="BX583" s="33"/>
      <c r="BY583" s="33"/>
      <c r="BZ583" s="33"/>
      <c r="CA583" s="33"/>
      <c r="CB583" s="33"/>
      <c r="CC583" s="33"/>
      <c r="CD583" s="33"/>
    </row>
    <row r="584" spans="1:82" x14ac:dyDescent="0.25">
      <c r="A584" s="32"/>
      <c r="B584" s="32"/>
      <c r="C584" s="32"/>
      <c r="D584" s="32"/>
      <c r="E584" s="32"/>
      <c r="F584" s="32"/>
      <c r="G584" s="32"/>
      <c r="H584" s="32"/>
      <c r="I584" s="32"/>
      <c r="J584" s="32"/>
      <c r="K584" s="32"/>
      <c r="L584" s="32"/>
      <c r="M584" s="32"/>
      <c r="N584" s="32"/>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c r="BW584" s="33"/>
      <c r="BX584" s="33"/>
      <c r="BY584" s="33"/>
      <c r="BZ584" s="33"/>
      <c r="CA584" s="33"/>
      <c r="CB584" s="33"/>
      <c r="CC584" s="33"/>
      <c r="CD584" s="33"/>
    </row>
    <row r="585" spans="1:82" x14ac:dyDescent="0.25">
      <c r="A585" s="32"/>
      <c r="B585" s="32"/>
      <c r="C585" s="32"/>
      <c r="D585" s="32"/>
      <c r="E585" s="32"/>
      <c r="F585" s="32"/>
      <c r="G585" s="32"/>
      <c r="H585" s="32"/>
      <c r="I585" s="32"/>
      <c r="J585" s="32"/>
      <c r="K585" s="32"/>
      <c r="L585" s="32"/>
      <c r="M585" s="32"/>
      <c r="N585" s="32"/>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c r="BW585" s="33"/>
      <c r="BX585" s="33"/>
      <c r="BY585" s="33"/>
      <c r="BZ585" s="33"/>
      <c r="CA585" s="33"/>
      <c r="CB585" s="33"/>
      <c r="CC585" s="33"/>
      <c r="CD585" s="33"/>
    </row>
    <row r="586" spans="1:82" x14ac:dyDescent="0.25">
      <c r="A586" s="32"/>
      <c r="B586" s="32"/>
      <c r="C586" s="32"/>
      <c r="D586" s="32"/>
      <c r="E586" s="32"/>
      <c r="F586" s="32"/>
      <c r="G586" s="32"/>
      <c r="H586" s="32"/>
      <c r="I586" s="32"/>
      <c r="J586" s="32"/>
      <c r="K586" s="32"/>
      <c r="L586" s="32"/>
      <c r="M586" s="32"/>
      <c r="N586" s="32"/>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c r="BW586" s="33"/>
      <c r="BX586" s="33"/>
      <c r="BY586" s="33"/>
      <c r="BZ586" s="33"/>
      <c r="CA586" s="33"/>
      <c r="CB586" s="33"/>
      <c r="CC586" s="33"/>
      <c r="CD586" s="33"/>
    </row>
    <row r="587" spans="1:82" x14ac:dyDescent="0.25">
      <c r="A587" s="32"/>
      <c r="B587" s="32"/>
      <c r="C587" s="32"/>
      <c r="D587" s="32"/>
      <c r="E587" s="32"/>
      <c r="F587" s="32"/>
      <c r="G587" s="32"/>
      <c r="H587" s="32"/>
      <c r="I587" s="32"/>
      <c r="J587" s="32"/>
      <c r="K587" s="32"/>
      <c r="L587" s="32"/>
      <c r="M587" s="32"/>
      <c r="N587" s="32"/>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33"/>
      <c r="BS587" s="33"/>
      <c r="BT587" s="33"/>
      <c r="BU587" s="33"/>
      <c r="BV587" s="33"/>
      <c r="BW587" s="33"/>
      <c r="BX587" s="33"/>
      <c r="BY587" s="33"/>
      <c r="BZ587" s="33"/>
      <c r="CA587" s="33"/>
      <c r="CB587" s="33"/>
      <c r="CC587" s="33"/>
      <c r="CD587" s="33"/>
    </row>
    <row r="588" spans="1:82" x14ac:dyDescent="0.25">
      <c r="A588" s="32"/>
      <c r="B588" s="32"/>
      <c r="C588" s="32"/>
      <c r="D588" s="32"/>
      <c r="E588" s="32"/>
      <c r="F588" s="32"/>
      <c r="G588" s="32"/>
      <c r="H588" s="32"/>
      <c r="I588" s="32"/>
      <c r="J588" s="32"/>
      <c r="K588" s="32"/>
      <c r="L588" s="32"/>
      <c r="M588" s="32"/>
      <c r="N588" s="32"/>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33"/>
      <c r="BS588" s="33"/>
      <c r="BT588" s="33"/>
      <c r="BU588" s="33"/>
      <c r="BV588" s="33"/>
      <c r="BW588" s="33"/>
      <c r="BX588" s="33"/>
      <c r="BY588" s="33"/>
      <c r="BZ588" s="33"/>
      <c r="CA588" s="33"/>
      <c r="CB588" s="33"/>
      <c r="CC588" s="33"/>
      <c r="CD588" s="33"/>
    </row>
    <row r="589" spans="1:82" x14ac:dyDescent="0.25">
      <c r="A589" s="32"/>
      <c r="B589" s="32"/>
      <c r="C589" s="32"/>
      <c r="D589" s="32"/>
      <c r="E589" s="32"/>
      <c r="F589" s="32"/>
      <c r="G589" s="32"/>
      <c r="H589" s="32"/>
      <c r="I589" s="32"/>
      <c r="J589" s="32"/>
      <c r="K589" s="32"/>
      <c r="L589" s="32"/>
      <c r="M589" s="32"/>
      <c r="N589" s="32"/>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row>
    <row r="590" spans="1:82" x14ac:dyDescent="0.25">
      <c r="A590" s="32"/>
      <c r="B590" s="32"/>
      <c r="C590" s="32"/>
      <c r="D590" s="32"/>
      <c r="E590" s="32"/>
      <c r="F590" s="32"/>
      <c r="G590" s="32"/>
      <c r="H590" s="32"/>
      <c r="I590" s="32"/>
      <c r="J590" s="32"/>
      <c r="K590" s="32"/>
      <c r="L590" s="32"/>
      <c r="M590" s="32"/>
      <c r="N590" s="32"/>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c r="BW590" s="33"/>
      <c r="BX590" s="33"/>
      <c r="BY590" s="33"/>
      <c r="BZ590" s="33"/>
      <c r="CA590" s="33"/>
      <c r="CB590" s="33"/>
      <c r="CC590" s="33"/>
      <c r="CD590" s="33"/>
    </row>
    <row r="591" spans="1:82" x14ac:dyDescent="0.25">
      <c r="A591" s="32"/>
      <c r="B591" s="32"/>
      <c r="C591" s="32"/>
      <c r="D591" s="32"/>
      <c r="E591" s="32"/>
      <c r="F591" s="32"/>
      <c r="G591" s="32"/>
      <c r="H591" s="32"/>
      <c r="I591" s="32"/>
      <c r="J591" s="32"/>
      <c r="K591" s="32"/>
      <c r="L591" s="32"/>
      <c r="M591" s="32"/>
      <c r="N591" s="32"/>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c r="BW591" s="33"/>
      <c r="BX591" s="33"/>
      <c r="BY591" s="33"/>
      <c r="BZ591" s="33"/>
      <c r="CA591" s="33"/>
      <c r="CB591" s="33"/>
      <c r="CC591" s="33"/>
      <c r="CD591" s="33"/>
    </row>
    <row r="592" spans="1:82" x14ac:dyDescent="0.25">
      <c r="A592" s="32"/>
      <c r="B592" s="32"/>
      <c r="C592" s="32"/>
      <c r="D592" s="32"/>
      <c r="E592" s="32"/>
      <c r="F592" s="32"/>
      <c r="G592" s="32"/>
      <c r="H592" s="32"/>
      <c r="I592" s="32"/>
      <c r="J592" s="32"/>
      <c r="K592" s="32"/>
      <c r="L592" s="32"/>
      <c r="M592" s="32"/>
      <c r="N592" s="32"/>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c r="BW592" s="33"/>
      <c r="BX592" s="33"/>
      <c r="BY592" s="33"/>
      <c r="BZ592" s="33"/>
      <c r="CA592" s="33"/>
      <c r="CB592" s="33"/>
      <c r="CC592" s="33"/>
      <c r="CD592" s="33"/>
    </row>
    <row r="593" spans="1:82" x14ac:dyDescent="0.25">
      <c r="A593" s="32"/>
      <c r="B593" s="32"/>
      <c r="C593" s="32"/>
      <c r="D593" s="32"/>
      <c r="E593" s="32"/>
      <c r="F593" s="32"/>
      <c r="G593" s="32"/>
      <c r="H593" s="32"/>
      <c r="I593" s="32"/>
      <c r="J593" s="32"/>
      <c r="K593" s="32"/>
      <c r="L593" s="32"/>
      <c r="M593" s="32"/>
      <c r="N593" s="32"/>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33"/>
      <c r="BF593" s="33"/>
      <c r="BG593" s="33"/>
      <c r="BH593" s="33"/>
      <c r="BI593" s="33"/>
      <c r="BJ593" s="33"/>
      <c r="BK593" s="33"/>
      <c r="BL593" s="33"/>
      <c r="BM593" s="33"/>
      <c r="BN593" s="33"/>
      <c r="BO593" s="33"/>
      <c r="BP593" s="33"/>
      <c r="BQ593" s="33"/>
      <c r="BR593" s="33"/>
      <c r="BS593" s="33"/>
      <c r="BT593" s="33"/>
      <c r="BU593" s="33"/>
      <c r="BV593" s="33"/>
      <c r="BW593" s="33"/>
      <c r="BX593" s="33"/>
      <c r="BY593" s="33"/>
      <c r="BZ593" s="33"/>
      <c r="CA593" s="33"/>
      <c r="CB593" s="33"/>
      <c r="CC593" s="33"/>
      <c r="CD593" s="33"/>
    </row>
    <row r="594" spans="1:82" x14ac:dyDescent="0.25">
      <c r="A594" s="32"/>
      <c r="B594" s="32"/>
      <c r="C594" s="32"/>
      <c r="D594" s="32"/>
      <c r="E594" s="32"/>
      <c r="F594" s="32"/>
      <c r="G594" s="32"/>
      <c r="H594" s="32"/>
      <c r="I594" s="32"/>
      <c r="J594" s="32"/>
      <c r="K594" s="32"/>
      <c r="L594" s="32"/>
      <c r="M594" s="32"/>
      <c r="N594" s="32"/>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c r="BW594" s="33"/>
      <c r="BX594" s="33"/>
      <c r="BY594" s="33"/>
      <c r="BZ594" s="33"/>
      <c r="CA594" s="33"/>
      <c r="CB594" s="33"/>
      <c r="CC594" s="33"/>
      <c r="CD594" s="33"/>
    </row>
    <row r="595" spans="1:82" x14ac:dyDescent="0.25">
      <c r="A595" s="32"/>
      <c r="B595" s="32"/>
      <c r="C595" s="32"/>
      <c r="D595" s="32"/>
      <c r="E595" s="32"/>
      <c r="F595" s="32"/>
      <c r="G595" s="32"/>
      <c r="H595" s="32"/>
      <c r="I595" s="32"/>
      <c r="J595" s="32"/>
      <c r="K595" s="32"/>
      <c r="L595" s="32"/>
      <c r="M595" s="32"/>
      <c r="N595" s="32"/>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c r="BW595" s="33"/>
      <c r="BX595" s="33"/>
      <c r="BY595" s="33"/>
      <c r="BZ595" s="33"/>
      <c r="CA595" s="33"/>
      <c r="CB595" s="33"/>
      <c r="CC595" s="33"/>
      <c r="CD595" s="33"/>
    </row>
    <row r="596" spans="1:82" x14ac:dyDescent="0.25">
      <c r="A596" s="32"/>
      <c r="B596" s="32"/>
      <c r="C596" s="32"/>
      <c r="D596" s="32"/>
      <c r="E596" s="32"/>
      <c r="F596" s="32"/>
      <c r="G596" s="32"/>
      <c r="H596" s="32"/>
      <c r="I596" s="32"/>
      <c r="J596" s="32"/>
      <c r="K596" s="32"/>
      <c r="L596" s="32"/>
      <c r="M596" s="32"/>
      <c r="N596" s="32"/>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c r="BW596" s="33"/>
      <c r="BX596" s="33"/>
      <c r="BY596" s="33"/>
      <c r="BZ596" s="33"/>
      <c r="CA596" s="33"/>
      <c r="CB596" s="33"/>
      <c r="CC596" s="33"/>
      <c r="CD596" s="33"/>
    </row>
    <row r="597" spans="1:82" x14ac:dyDescent="0.25">
      <c r="A597" s="32"/>
      <c r="B597" s="32"/>
      <c r="C597" s="32"/>
      <c r="D597" s="32"/>
      <c r="E597" s="32"/>
      <c r="F597" s="32"/>
      <c r="G597" s="32"/>
      <c r="H597" s="32"/>
      <c r="I597" s="32"/>
      <c r="J597" s="32"/>
      <c r="K597" s="32"/>
      <c r="L597" s="32"/>
      <c r="M597" s="32"/>
      <c r="N597" s="32"/>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c r="BW597" s="33"/>
      <c r="BX597" s="33"/>
      <c r="BY597" s="33"/>
      <c r="BZ597" s="33"/>
      <c r="CA597" s="33"/>
      <c r="CB597" s="33"/>
      <c r="CC597" s="33"/>
      <c r="CD597" s="33"/>
    </row>
    <row r="598" spans="1:82" x14ac:dyDescent="0.25">
      <c r="A598" s="32"/>
      <c r="B598" s="32"/>
      <c r="C598" s="32"/>
      <c r="D598" s="32"/>
      <c r="E598" s="32"/>
      <c r="F598" s="32"/>
      <c r="G598" s="32"/>
      <c r="H598" s="32"/>
      <c r="I598" s="32"/>
      <c r="J598" s="32"/>
      <c r="K598" s="32"/>
      <c r="L598" s="32"/>
      <c r="M598" s="32"/>
      <c r="N598" s="32"/>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c r="BW598" s="33"/>
      <c r="BX598" s="33"/>
      <c r="BY598" s="33"/>
      <c r="BZ598" s="33"/>
      <c r="CA598" s="33"/>
      <c r="CB598" s="33"/>
      <c r="CC598" s="33"/>
      <c r="CD598" s="33"/>
    </row>
    <row r="599" spans="1:82" x14ac:dyDescent="0.25">
      <c r="A599" s="32"/>
      <c r="B599" s="32"/>
      <c r="C599" s="32"/>
      <c r="D599" s="32"/>
      <c r="E599" s="32"/>
      <c r="F599" s="32"/>
      <c r="G599" s="32"/>
      <c r="H599" s="32"/>
      <c r="I599" s="32"/>
      <c r="J599" s="32"/>
      <c r="K599" s="32"/>
      <c r="L599" s="32"/>
      <c r="M599" s="32"/>
      <c r="N599" s="32"/>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c r="BW599" s="33"/>
      <c r="BX599" s="33"/>
      <c r="BY599" s="33"/>
      <c r="BZ599" s="33"/>
      <c r="CA599" s="33"/>
      <c r="CB599" s="33"/>
      <c r="CC599" s="33"/>
      <c r="CD599" s="33"/>
    </row>
    <row r="600" spans="1:82" x14ac:dyDescent="0.25">
      <c r="A600" s="32"/>
      <c r="B600" s="32"/>
      <c r="C600" s="32"/>
      <c r="D600" s="32"/>
      <c r="E600" s="32"/>
      <c r="F600" s="32"/>
      <c r="G600" s="32"/>
      <c r="H600" s="32"/>
      <c r="I600" s="32"/>
      <c r="J600" s="32"/>
      <c r="K600" s="32"/>
      <c r="L600" s="32"/>
      <c r="M600" s="32"/>
      <c r="N600" s="32"/>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c r="BW600" s="33"/>
      <c r="BX600" s="33"/>
      <c r="BY600" s="33"/>
      <c r="BZ600" s="33"/>
      <c r="CA600" s="33"/>
      <c r="CB600" s="33"/>
      <c r="CC600" s="33"/>
      <c r="CD600" s="33"/>
    </row>
    <row r="601" spans="1:82" x14ac:dyDescent="0.25">
      <c r="A601" s="32"/>
      <c r="B601" s="32"/>
      <c r="C601" s="32"/>
      <c r="D601" s="32"/>
      <c r="E601" s="32"/>
      <c r="F601" s="32"/>
      <c r="G601" s="32"/>
      <c r="H601" s="32"/>
      <c r="I601" s="32"/>
      <c r="J601" s="32"/>
      <c r="K601" s="32"/>
      <c r="L601" s="32"/>
      <c r="M601" s="32"/>
      <c r="N601" s="32"/>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33"/>
      <c r="BF601" s="33"/>
      <c r="BG601" s="33"/>
      <c r="BH601" s="33"/>
      <c r="BI601" s="33"/>
      <c r="BJ601" s="33"/>
      <c r="BK601" s="33"/>
      <c r="BL601" s="33"/>
      <c r="BM601" s="33"/>
      <c r="BN601" s="33"/>
      <c r="BO601" s="33"/>
      <c r="BP601" s="33"/>
      <c r="BQ601" s="33"/>
      <c r="BR601" s="33"/>
      <c r="BS601" s="33"/>
      <c r="BT601" s="33"/>
      <c r="BU601" s="33"/>
      <c r="BV601" s="33"/>
      <c r="BW601" s="33"/>
      <c r="BX601" s="33"/>
      <c r="BY601" s="33"/>
      <c r="BZ601" s="33"/>
      <c r="CA601" s="33"/>
      <c r="CB601" s="33"/>
      <c r="CC601" s="33"/>
      <c r="CD601" s="33"/>
    </row>
    <row r="602" spans="1:82" x14ac:dyDescent="0.25">
      <c r="A602" s="32"/>
      <c r="B602" s="32"/>
      <c r="C602" s="32"/>
      <c r="D602" s="32"/>
      <c r="E602" s="32"/>
      <c r="F602" s="32"/>
      <c r="G602" s="32"/>
      <c r="H602" s="32"/>
      <c r="I602" s="32"/>
      <c r="J602" s="32"/>
      <c r="K602" s="32"/>
      <c r="L602" s="32"/>
      <c r="M602" s="32"/>
      <c r="N602" s="32"/>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33"/>
      <c r="BF602" s="33"/>
      <c r="BG602" s="33"/>
      <c r="BH602" s="33"/>
      <c r="BI602" s="33"/>
      <c r="BJ602" s="33"/>
      <c r="BK602" s="33"/>
      <c r="BL602" s="33"/>
      <c r="BM602" s="33"/>
      <c r="BN602" s="33"/>
      <c r="BO602" s="33"/>
      <c r="BP602" s="33"/>
      <c r="BQ602" s="33"/>
      <c r="BR602" s="33"/>
      <c r="BS602" s="33"/>
      <c r="BT602" s="33"/>
      <c r="BU602" s="33"/>
      <c r="BV602" s="33"/>
      <c r="BW602" s="33"/>
      <c r="BX602" s="33"/>
      <c r="BY602" s="33"/>
      <c r="BZ602" s="33"/>
      <c r="CA602" s="33"/>
      <c r="CB602" s="33"/>
      <c r="CC602" s="33"/>
      <c r="CD602" s="33"/>
    </row>
    <row r="603" spans="1:82" x14ac:dyDescent="0.25">
      <c r="A603" s="32"/>
      <c r="B603" s="32"/>
      <c r="C603" s="32"/>
      <c r="D603" s="32"/>
      <c r="E603" s="32"/>
      <c r="F603" s="32"/>
      <c r="G603" s="32"/>
      <c r="H603" s="32"/>
      <c r="I603" s="32"/>
      <c r="J603" s="32"/>
      <c r="K603" s="32"/>
      <c r="L603" s="32"/>
      <c r="M603" s="32"/>
      <c r="N603" s="32"/>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c r="BW603" s="33"/>
      <c r="BX603" s="33"/>
      <c r="BY603" s="33"/>
      <c r="BZ603" s="33"/>
      <c r="CA603" s="33"/>
      <c r="CB603" s="33"/>
      <c r="CC603" s="33"/>
      <c r="CD603" s="33"/>
    </row>
    <row r="604" spans="1:82" x14ac:dyDescent="0.25">
      <c r="A604" s="32"/>
      <c r="B604" s="32"/>
      <c r="C604" s="32"/>
      <c r="D604" s="32"/>
      <c r="E604" s="32"/>
      <c r="F604" s="32"/>
      <c r="G604" s="32"/>
      <c r="H604" s="32"/>
      <c r="I604" s="32"/>
      <c r="J604" s="32"/>
      <c r="K604" s="32"/>
      <c r="L604" s="32"/>
      <c r="M604" s="32"/>
      <c r="N604" s="32"/>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c r="BW604" s="33"/>
      <c r="BX604" s="33"/>
      <c r="BY604" s="33"/>
      <c r="BZ604" s="33"/>
      <c r="CA604" s="33"/>
      <c r="CB604" s="33"/>
      <c r="CC604" s="33"/>
      <c r="CD604" s="33"/>
    </row>
    <row r="605" spans="1:82" x14ac:dyDescent="0.25">
      <c r="A605" s="32"/>
      <c r="B605" s="32"/>
      <c r="C605" s="32"/>
      <c r="D605" s="32"/>
      <c r="E605" s="32"/>
      <c r="F605" s="32"/>
      <c r="G605" s="32"/>
      <c r="H605" s="32"/>
      <c r="I605" s="32"/>
      <c r="J605" s="32"/>
      <c r="K605" s="32"/>
      <c r="L605" s="32"/>
      <c r="M605" s="32"/>
      <c r="N605" s="32"/>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c r="BW605" s="33"/>
      <c r="BX605" s="33"/>
      <c r="BY605" s="33"/>
      <c r="BZ605" s="33"/>
      <c r="CA605" s="33"/>
      <c r="CB605" s="33"/>
      <c r="CC605" s="33"/>
      <c r="CD605" s="33"/>
    </row>
    <row r="606" spans="1:82" x14ac:dyDescent="0.25">
      <c r="A606" s="32"/>
      <c r="B606" s="32"/>
      <c r="C606" s="32"/>
      <c r="D606" s="32"/>
      <c r="E606" s="32"/>
      <c r="F606" s="32"/>
      <c r="G606" s="32"/>
      <c r="H606" s="32"/>
      <c r="I606" s="32"/>
      <c r="J606" s="32"/>
      <c r="K606" s="32"/>
      <c r="L606" s="32"/>
      <c r="M606" s="32"/>
      <c r="N606" s="32"/>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c r="BW606" s="33"/>
      <c r="BX606" s="33"/>
      <c r="BY606" s="33"/>
      <c r="BZ606" s="33"/>
      <c r="CA606" s="33"/>
      <c r="CB606" s="33"/>
      <c r="CC606" s="33"/>
      <c r="CD606" s="33"/>
    </row>
    <row r="607" spans="1:82" x14ac:dyDescent="0.25">
      <c r="A607" s="32"/>
      <c r="B607" s="32"/>
      <c r="C607" s="32"/>
      <c r="D607" s="32"/>
      <c r="E607" s="32"/>
      <c r="F607" s="32"/>
      <c r="G607" s="32"/>
      <c r="H607" s="32"/>
      <c r="I607" s="32"/>
      <c r="J607" s="32"/>
      <c r="K607" s="32"/>
      <c r="L607" s="32"/>
      <c r="M607" s="32"/>
      <c r="N607" s="32"/>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c r="BW607" s="33"/>
      <c r="BX607" s="33"/>
      <c r="BY607" s="33"/>
      <c r="BZ607" s="33"/>
      <c r="CA607" s="33"/>
      <c r="CB607" s="33"/>
      <c r="CC607" s="33"/>
      <c r="CD607" s="33"/>
    </row>
    <row r="608" spans="1:82" x14ac:dyDescent="0.25">
      <c r="A608" s="32"/>
      <c r="B608" s="32"/>
      <c r="C608" s="32"/>
      <c r="D608" s="32"/>
      <c r="E608" s="32"/>
      <c r="F608" s="32"/>
      <c r="G608" s="32"/>
      <c r="H608" s="32"/>
      <c r="I608" s="32"/>
      <c r="J608" s="32"/>
      <c r="K608" s="32"/>
      <c r="L608" s="32"/>
      <c r="M608" s="32"/>
      <c r="N608" s="32"/>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c r="BW608" s="33"/>
      <c r="BX608" s="33"/>
      <c r="BY608" s="33"/>
      <c r="BZ608" s="33"/>
      <c r="CA608" s="33"/>
      <c r="CB608" s="33"/>
      <c r="CC608" s="33"/>
      <c r="CD608" s="33"/>
    </row>
    <row r="609" spans="1:82" x14ac:dyDescent="0.25">
      <c r="A609" s="32"/>
      <c r="B609" s="32"/>
      <c r="C609" s="32"/>
      <c r="D609" s="32"/>
      <c r="E609" s="32"/>
      <c r="F609" s="32"/>
      <c r="G609" s="32"/>
      <c r="H609" s="32"/>
      <c r="I609" s="32"/>
      <c r="J609" s="32"/>
      <c r="K609" s="32"/>
      <c r="L609" s="32"/>
      <c r="M609" s="32"/>
      <c r="N609" s="32"/>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c r="BW609" s="33"/>
      <c r="BX609" s="33"/>
      <c r="BY609" s="33"/>
      <c r="BZ609" s="33"/>
      <c r="CA609" s="33"/>
      <c r="CB609" s="33"/>
      <c r="CC609" s="33"/>
      <c r="CD609" s="33"/>
    </row>
    <row r="610" spans="1:82" x14ac:dyDescent="0.25">
      <c r="A610" s="32"/>
      <c r="B610" s="32"/>
      <c r="C610" s="32"/>
      <c r="D610" s="32"/>
      <c r="E610" s="32"/>
      <c r="F610" s="32"/>
      <c r="G610" s="32"/>
      <c r="H610" s="32"/>
      <c r="I610" s="32"/>
      <c r="J610" s="32"/>
      <c r="K610" s="32"/>
      <c r="L610" s="32"/>
      <c r="M610" s="32"/>
      <c r="N610" s="32"/>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c r="BW610" s="33"/>
      <c r="BX610" s="33"/>
      <c r="BY610" s="33"/>
      <c r="BZ610" s="33"/>
      <c r="CA610" s="33"/>
      <c r="CB610" s="33"/>
      <c r="CC610" s="33"/>
      <c r="CD610" s="33"/>
    </row>
    <row r="611" spans="1:82" x14ac:dyDescent="0.25">
      <c r="A611" s="32"/>
      <c r="B611" s="32"/>
      <c r="C611" s="32"/>
      <c r="D611" s="32"/>
      <c r="E611" s="32"/>
      <c r="F611" s="32"/>
      <c r="G611" s="32"/>
      <c r="H611" s="32"/>
      <c r="I611" s="32"/>
      <c r="J611" s="32"/>
      <c r="K611" s="32"/>
      <c r="L611" s="32"/>
      <c r="M611" s="32"/>
      <c r="N611" s="32"/>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c r="BW611" s="33"/>
      <c r="BX611" s="33"/>
      <c r="BY611" s="33"/>
      <c r="BZ611" s="33"/>
      <c r="CA611" s="33"/>
      <c r="CB611" s="33"/>
      <c r="CC611" s="33"/>
      <c r="CD611" s="33"/>
    </row>
    <row r="612" spans="1:82" x14ac:dyDescent="0.25">
      <c r="A612" s="32"/>
      <c r="B612" s="32"/>
      <c r="C612" s="32"/>
      <c r="D612" s="32"/>
      <c r="E612" s="32"/>
      <c r="F612" s="32"/>
      <c r="G612" s="32"/>
      <c r="H612" s="32"/>
      <c r="I612" s="32"/>
      <c r="J612" s="32"/>
      <c r="K612" s="32"/>
      <c r="L612" s="32"/>
      <c r="M612" s="32"/>
      <c r="N612" s="32"/>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c r="BW612" s="33"/>
      <c r="BX612" s="33"/>
      <c r="BY612" s="33"/>
      <c r="BZ612" s="33"/>
      <c r="CA612" s="33"/>
      <c r="CB612" s="33"/>
      <c r="CC612" s="33"/>
      <c r="CD612" s="33"/>
    </row>
    <row r="613" spans="1:82" x14ac:dyDescent="0.25">
      <c r="A613" s="32"/>
      <c r="B613" s="32"/>
      <c r="C613" s="32"/>
      <c r="D613" s="32"/>
      <c r="E613" s="32"/>
      <c r="F613" s="32"/>
      <c r="G613" s="32"/>
      <c r="H613" s="32"/>
      <c r="I613" s="32"/>
      <c r="J613" s="32"/>
      <c r="K613" s="32"/>
      <c r="L613" s="32"/>
      <c r="M613" s="32"/>
      <c r="N613" s="32"/>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33"/>
      <c r="BF613" s="33"/>
      <c r="BG613" s="33"/>
      <c r="BH613" s="33"/>
      <c r="BI613" s="33"/>
      <c r="BJ613" s="33"/>
      <c r="BK613" s="33"/>
      <c r="BL613" s="33"/>
      <c r="BM613" s="33"/>
      <c r="BN613" s="33"/>
      <c r="BO613" s="33"/>
      <c r="BP613" s="33"/>
      <c r="BQ613" s="33"/>
      <c r="BR613" s="33"/>
      <c r="BS613" s="33"/>
      <c r="BT613" s="33"/>
      <c r="BU613" s="33"/>
      <c r="BV613" s="33"/>
      <c r="BW613" s="33"/>
      <c r="BX613" s="33"/>
      <c r="BY613" s="33"/>
      <c r="BZ613" s="33"/>
      <c r="CA613" s="33"/>
      <c r="CB613" s="33"/>
      <c r="CC613" s="33"/>
      <c r="CD613" s="33"/>
    </row>
    <row r="614" spans="1:82" x14ac:dyDescent="0.25">
      <c r="A614" s="32"/>
      <c r="B614" s="32"/>
      <c r="C614" s="32"/>
      <c r="D614" s="32"/>
      <c r="E614" s="32"/>
      <c r="F614" s="32"/>
      <c r="G614" s="32"/>
      <c r="H614" s="32"/>
      <c r="I614" s="32"/>
      <c r="J614" s="32"/>
      <c r="K614" s="32"/>
      <c r="L614" s="32"/>
      <c r="M614" s="32"/>
      <c r="N614" s="32"/>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c r="AL614" s="33"/>
      <c r="AM614" s="33"/>
      <c r="AN614" s="33"/>
      <c r="AO614" s="33"/>
      <c r="AP614" s="33"/>
      <c r="AQ614" s="33"/>
      <c r="AR614" s="33"/>
      <c r="AS614" s="33"/>
      <c r="AT614" s="33"/>
      <c r="AU614" s="33"/>
      <c r="AV614" s="33"/>
      <c r="AW614" s="33"/>
      <c r="AX614" s="33"/>
      <c r="AY614" s="33"/>
      <c r="AZ614" s="33"/>
      <c r="BA614" s="33"/>
      <c r="BB614" s="33"/>
      <c r="BC614" s="33"/>
      <c r="BD614" s="33"/>
      <c r="BE614" s="33"/>
      <c r="BF614" s="33"/>
      <c r="BG614" s="33"/>
      <c r="BH614" s="33"/>
      <c r="BI614" s="33"/>
      <c r="BJ614" s="33"/>
      <c r="BK614" s="33"/>
      <c r="BL614" s="33"/>
      <c r="BM614" s="33"/>
      <c r="BN614" s="33"/>
      <c r="BO614" s="33"/>
      <c r="BP614" s="33"/>
      <c r="BQ614" s="33"/>
      <c r="BR614" s="33"/>
      <c r="BS614" s="33"/>
      <c r="BT614" s="33"/>
      <c r="BU614" s="33"/>
      <c r="BV614" s="33"/>
      <c r="BW614" s="33"/>
      <c r="BX614" s="33"/>
      <c r="BY614" s="33"/>
      <c r="BZ614" s="33"/>
      <c r="CA614" s="33"/>
      <c r="CB614" s="33"/>
      <c r="CC614" s="33"/>
      <c r="CD614" s="33"/>
    </row>
    <row r="615" spans="1:82" x14ac:dyDescent="0.25">
      <c r="A615" s="32"/>
      <c r="B615" s="32"/>
      <c r="C615" s="32"/>
      <c r="D615" s="32"/>
      <c r="E615" s="32"/>
      <c r="F615" s="32"/>
      <c r="G615" s="32"/>
      <c r="H615" s="32"/>
      <c r="I615" s="32"/>
      <c r="J615" s="32"/>
      <c r="K615" s="32"/>
      <c r="L615" s="32"/>
      <c r="M615" s="32"/>
      <c r="N615" s="32"/>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33"/>
      <c r="BF615" s="33"/>
      <c r="BG615" s="33"/>
      <c r="BH615" s="33"/>
      <c r="BI615" s="33"/>
      <c r="BJ615" s="33"/>
      <c r="BK615" s="33"/>
      <c r="BL615" s="33"/>
      <c r="BM615" s="33"/>
      <c r="BN615" s="33"/>
      <c r="BO615" s="33"/>
      <c r="BP615" s="33"/>
      <c r="BQ615" s="33"/>
      <c r="BR615" s="33"/>
      <c r="BS615" s="33"/>
      <c r="BT615" s="33"/>
      <c r="BU615" s="33"/>
      <c r="BV615" s="33"/>
      <c r="BW615" s="33"/>
      <c r="BX615" s="33"/>
      <c r="BY615" s="33"/>
      <c r="BZ615" s="33"/>
      <c r="CA615" s="33"/>
      <c r="CB615" s="33"/>
      <c r="CC615" s="33"/>
      <c r="CD615" s="33"/>
    </row>
    <row r="616" spans="1:82" x14ac:dyDescent="0.25">
      <c r="A616" s="32"/>
      <c r="B616" s="32"/>
      <c r="C616" s="32"/>
      <c r="D616" s="32"/>
      <c r="E616" s="32"/>
      <c r="F616" s="32"/>
      <c r="G616" s="32"/>
      <c r="H616" s="32"/>
      <c r="I616" s="32"/>
      <c r="J616" s="32"/>
      <c r="K616" s="32"/>
      <c r="L616" s="32"/>
      <c r="M616" s="32"/>
      <c r="N616" s="32"/>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c r="BW616" s="33"/>
      <c r="BX616" s="33"/>
      <c r="BY616" s="33"/>
      <c r="BZ616" s="33"/>
      <c r="CA616" s="33"/>
      <c r="CB616" s="33"/>
      <c r="CC616" s="33"/>
      <c r="CD616" s="33"/>
    </row>
    <row r="617" spans="1:82" x14ac:dyDescent="0.25">
      <c r="A617" s="32"/>
      <c r="B617" s="32"/>
      <c r="C617" s="32"/>
      <c r="D617" s="32"/>
      <c r="E617" s="32"/>
      <c r="F617" s="32"/>
      <c r="G617" s="32"/>
      <c r="H617" s="32"/>
      <c r="I617" s="32"/>
      <c r="J617" s="32"/>
      <c r="K617" s="32"/>
      <c r="L617" s="32"/>
      <c r="M617" s="32"/>
      <c r="N617" s="32"/>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33"/>
      <c r="BN617" s="33"/>
      <c r="BO617" s="33"/>
      <c r="BP617" s="33"/>
      <c r="BQ617" s="33"/>
      <c r="BR617" s="33"/>
      <c r="BS617" s="33"/>
      <c r="BT617" s="33"/>
      <c r="BU617" s="33"/>
      <c r="BV617" s="33"/>
      <c r="BW617" s="33"/>
      <c r="BX617" s="33"/>
      <c r="BY617" s="33"/>
      <c r="BZ617" s="33"/>
      <c r="CA617" s="33"/>
      <c r="CB617" s="33"/>
      <c r="CC617" s="33"/>
      <c r="CD617" s="33"/>
    </row>
    <row r="618" spans="1:82" x14ac:dyDescent="0.25">
      <c r="A618" s="32"/>
      <c r="B618" s="32"/>
      <c r="C618" s="32"/>
      <c r="D618" s="32"/>
      <c r="E618" s="32"/>
      <c r="F618" s="32"/>
      <c r="G618" s="32"/>
      <c r="H618" s="32"/>
      <c r="I618" s="32"/>
      <c r="J618" s="32"/>
      <c r="K618" s="32"/>
      <c r="L618" s="32"/>
      <c r="M618" s="32"/>
      <c r="N618" s="32"/>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c r="BW618" s="33"/>
      <c r="BX618" s="33"/>
      <c r="BY618" s="33"/>
      <c r="BZ618" s="33"/>
      <c r="CA618" s="33"/>
      <c r="CB618" s="33"/>
      <c r="CC618" s="33"/>
      <c r="CD618" s="33"/>
    </row>
    <row r="619" spans="1:82" x14ac:dyDescent="0.25">
      <c r="A619" s="32"/>
      <c r="B619" s="32"/>
      <c r="C619" s="32"/>
      <c r="D619" s="32"/>
      <c r="E619" s="32"/>
      <c r="F619" s="32"/>
      <c r="G619" s="32"/>
      <c r="H619" s="32"/>
      <c r="I619" s="32"/>
      <c r="J619" s="32"/>
      <c r="K619" s="32"/>
      <c r="L619" s="32"/>
      <c r="M619" s="32"/>
      <c r="N619" s="32"/>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c r="BW619" s="33"/>
      <c r="BX619" s="33"/>
      <c r="BY619" s="33"/>
      <c r="BZ619" s="33"/>
      <c r="CA619" s="33"/>
      <c r="CB619" s="33"/>
      <c r="CC619" s="33"/>
      <c r="CD619" s="33"/>
    </row>
    <row r="620" spans="1:82" x14ac:dyDescent="0.25">
      <c r="A620" s="32"/>
      <c r="B620" s="32"/>
      <c r="C620" s="32"/>
      <c r="D620" s="32"/>
      <c r="E620" s="32"/>
      <c r="F620" s="32"/>
      <c r="G620" s="32"/>
      <c r="H620" s="32"/>
      <c r="I620" s="32"/>
      <c r="J620" s="32"/>
      <c r="K620" s="32"/>
      <c r="L620" s="32"/>
      <c r="M620" s="32"/>
      <c r="N620" s="32"/>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33"/>
      <c r="BF620" s="33"/>
      <c r="BG620" s="33"/>
      <c r="BH620" s="33"/>
      <c r="BI620" s="33"/>
      <c r="BJ620" s="33"/>
      <c r="BK620" s="33"/>
      <c r="BL620" s="33"/>
      <c r="BM620" s="33"/>
      <c r="BN620" s="33"/>
      <c r="BO620" s="33"/>
      <c r="BP620" s="33"/>
      <c r="BQ620" s="33"/>
      <c r="BR620" s="33"/>
      <c r="BS620" s="33"/>
      <c r="BT620" s="33"/>
      <c r="BU620" s="33"/>
      <c r="BV620" s="33"/>
      <c r="BW620" s="33"/>
      <c r="BX620" s="33"/>
      <c r="BY620" s="33"/>
      <c r="BZ620" s="33"/>
      <c r="CA620" s="33"/>
      <c r="CB620" s="33"/>
      <c r="CC620" s="33"/>
      <c r="CD620" s="33"/>
    </row>
    <row r="621" spans="1:82" x14ac:dyDescent="0.25">
      <c r="A621" s="32"/>
      <c r="B621" s="32"/>
      <c r="C621" s="32"/>
      <c r="D621" s="32"/>
      <c r="E621" s="32"/>
      <c r="F621" s="32"/>
      <c r="G621" s="32"/>
      <c r="H621" s="32"/>
      <c r="I621" s="32"/>
      <c r="J621" s="32"/>
      <c r="K621" s="32"/>
      <c r="L621" s="32"/>
      <c r="M621" s="32"/>
      <c r="N621" s="32"/>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33"/>
      <c r="BF621" s="33"/>
      <c r="BG621" s="33"/>
      <c r="BH621" s="33"/>
      <c r="BI621" s="33"/>
      <c r="BJ621" s="33"/>
      <c r="BK621" s="33"/>
      <c r="BL621" s="33"/>
      <c r="BM621" s="33"/>
      <c r="BN621" s="33"/>
      <c r="BO621" s="33"/>
      <c r="BP621" s="33"/>
      <c r="BQ621" s="33"/>
      <c r="BR621" s="33"/>
      <c r="BS621" s="33"/>
      <c r="BT621" s="33"/>
      <c r="BU621" s="33"/>
      <c r="BV621" s="33"/>
      <c r="BW621" s="33"/>
      <c r="BX621" s="33"/>
      <c r="BY621" s="33"/>
      <c r="BZ621" s="33"/>
      <c r="CA621" s="33"/>
      <c r="CB621" s="33"/>
      <c r="CC621" s="33"/>
      <c r="CD621" s="33"/>
    </row>
    <row r="622" spans="1:82" x14ac:dyDescent="0.25">
      <c r="A622" s="32"/>
      <c r="B622" s="32"/>
      <c r="C622" s="32"/>
      <c r="D622" s="32"/>
      <c r="E622" s="32"/>
      <c r="F622" s="32"/>
      <c r="G622" s="32"/>
      <c r="H622" s="32"/>
      <c r="I622" s="32"/>
      <c r="J622" s="32"/>
      <c r="K622" s="32"/>
      <c r="L622" s="32"/>
      <c r="M622" s="32"/>
      <c r="N622" s="32"/>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c r="BV622" s="33"/>
      <c r="BW622" s="33"/>
      <c r="BX622" s="33"/>
      <c r="BY622" s="33"/>
      <c r="BZ622" s="33"/>
      <c r="CA622" s="33"/>
      <c r="CB622" s="33"/>
      <c r="CC622" s="33"/>
      <c r="CD622" s="33"/>
    </row>
    <row r="623" spans="1:82" x14ac:dyDescent="0.25">
      <c r="A623" s="32"/>
      <c r="B623" s="32"/>
      <c r="C623" s="32"/>
      <c r="D623" s="32"/>
      <c r="E623" s="32"/>
      <c r="F623" s="32"/>
      <c r="G623" s="32"/>
      <c r="H623" s="32"/>
      <c r="I623" s="32"/>
      <c r="J623" s="32"/>
      <c r="K623" s="32"/>
      <c r="L623" s="32"/>
      <c r="M623" s="32"/>
      <c r="N623" s="32"/>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c r="BV623" s="33"/>
      <c r="BW623" s="33"/>
      <c r="BX623" s="33"/>
      <c r="BY623" s="33"/>
      <c r="BZ623" s="33"/>
      <c r="CA623" s="33"/>
      <c r="CB623" s="33"/>
      <c r="CC623" s="33"/>
      <c r="CD623" s="33"/>
    </row>
    <row r="624" spans="1:82" x14ac:dyDescent="0.25">
      <c r="A624" s="32"/>
      <c r="B624" s="32"/>
      <c r="C624" s="32"/>
      <c r="D624" s="32"/>
      <c r="E624" s="32"/>
      <c r="F624" s="32"/>
      <c r="G624" s="32"/>
      <c r="H624" s="32"/>
      <c r="I624" s="32"/>
      <c r="J624" s="32"/>
      <c r="K624" s="32"/>
      <c r="L624" s="32"/>
      <c r="M624" s="32"/>
      <c r="N624" s="32"/>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33"/>
      <c r="BF624" s="33"/>
      <c r="BG624" s="33"/>
      <c r="BH624" s="33"/>
      <c r="BI624" s="33"/>
      <c r="BJ624" s="33"/>
      <c r="BK624" s="33"/>
      <c r="BL624" s="33"/>
      <c r="BM624" s="33"/>
      <c r="BN624" s="33"/>
      <c r="BO624" s="33"/>
      <c r="BP624" s="33"/>
      <c r="BQ624" s="33"/>
      <c r="BR624" s="33"/>
      <c r="BS624" s="33"/>
      <c r="BT624" s="33"/>
      <c r="BU624" s="33"/>
      <c r="BV624" s="33"/>
      <c r="BW624" s="33"/>
      <c r="BX624" s="33"/>
      <c r="BY624" s="33"/>
      <c r="BZ624" s="33"/>
      <c r="CA624" s="33"/>
      <c r="CB624" s="33"/>
      <c r="CC624" s="33"/>
      <c r="CD624" s="33"/>
    </row>
    <row r="625" spans="1:82" x14ac:dyDescent="0.25">
      <c r="A625" s="32"/>
      <c r="B625" s="32"/>
      <c r="C625" s="32"/>
      <c r="D625" s="32"/>
      <c r="E625" s="32"/>
      <c r="F625" s="32"/>
      <c r="G625" s="32"/>
      <c r="H625" s="32"/>
      <c r="I625" s="32"/>
      <c r="J625" s="32"/>
      <c r="K625" s="32"/>
      <c r="L625" s="32"/>
      <c r="M625" s="32"/>
      <c r="N625" s="32"/>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33"/>
      <c r="BF625" s="33"/>
      <c r="BG625" s="33"/>
      <c r="BH625" s="33"/>
      <c r="BI625" s="33"/>
      <c r="BJ625" s="33"/>
      <c r="BK625" s="33"/>
      <c r="BL625" s="33"/>
      <c r="BM625" s="33"/>
      <c r="BN625" s="33"/>
      <c r="BO625" s="33"/>
      <c r="BP625" s="33"/>
      <c r="BQ625" s="33"/>
      <c r="BR625" s="33"/>
      <c r="BS625" s="33"/>
      <c r="BT625" s="33"/>
      <c r="BU625" s="33"/>
      <c r="BV625" s="33"/>
      <c r="BW625" s="33"/>
      <c r="BX625" s="33"/>
      <c r="BY625" s="33"/>
      <c r="BZ625" s="33"/>
      <c r="CA625" s="33"/>
      <c r="CB625" s="33"/>
      <c r="CC625" s="33"/>
      <c r="CD625" s="33"/>
    </row>
    <row r="626" spans="1:82" x14ac:dyDescent="0.25">
      <c r="A626" s="32"/>
      <c r="B626" s="32"/>
      <c r="C626" s="32"/>
      <c r="D626" s="32"/>
      <c r="E626" s="32"/>
      <c r="F626" s="32"/>
      <c r="G626" s="32"/>
      <c r="H626" s="32"/>
      <c r="I626" s="32"/>
      <c r="J626" s="32"/>
      <c r="K626" s="32"/>
      <c r="L626" s="32"/>
      <c r="M626" s="32"/>
      <c r="N626" s="32"/>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c r="BW626" s="33"/>
      <c r="BX626" s="33"/>
      <c r="BY626" s="33"/>
      <c r="BZ626" s="33"/>
      <c r="CA626" s="33"/>
      <c r="CB626" s="33"/>
      <c r="CC626" s="33"/>
      <c r="CD626" s="33"/>
    </row>
  </sheetData>
  <sheetProtection algorithmName="SHA-512" hashValue="bDy6IU+3PHsXNVKOELBDkRnLPHrF8ObvZV9SKC5YKRhXntyDFizUAot62mGyjcqPqU6gy/rhxzlLrMO91xDInw==" saltValue="S6Z1FsINklCWzFEN9I/AYg==" spinCount="100000" sheet="1" objects="1" scenarios="1" selectLockedCells="1"/>
  <mergeCells count="40">
    <mergeCell ref="A126:B126"/>
    <mergeCell ref="C126:M126"/>
    <mergeCell ref="M107:M108"/>
    <mergeCell ref="A79:A80"/>
    <mergeCell ref="B79:B80"/>
    <mergeCell ref="C79:C80"/>
    <mergeCell ref="D79:F79"/>
    <mergeCell ref="G79:I79"/>
    <mergeCell ref="K79:K80"/>
    <mergeCell ref="L79:L80"/>
    <mergeCell ref="M79:M80"/>
    <mergeCell ref="A240:M242"/>
    <mergeCell ref="M54:M55"/>
    <mergeCell ref="A54:A55"/>
    <mergeCell ref="B54:B55"/>
    <mergeCell ref="C54:C55"/>
    <mergeCell ref="D54:F54"/>
    <mergeCell ref="G54:I54"/>
    <mergeCell ref="K54:K55"/>
    <mergeCell ref="L54:L55"/>
    <mergeCell ref="A107:A108"/>
    <mergeCell ref="B107:B108"/>
    <mergeCell ref="C107:C108"/>
    <mergeCell ref="D107:F107"/>
    <mergeCell ref="G107:I107"/>
    <mergeCell ref="K107:K108"/>
    <mergeCell ref="L107:L108"/>
    <mergeCell ref="M14:M15"/>
    <mergeCell ref="A4:B4"/>
    <mergeCell ref="A14:A15"/>
    <mergeCell ref="B14:B15"/>
    <mergeCell ref="K14:K15"/>
    <mergeCell ref="L14:L15"/>
    <mergeCell ref="C14:C15"/>
    <mergeCell ref="D14:F14"/>
    <mergeCell ref="G14:I14"/>
    <mergeCell ref="J4:M4"/>
    <mergeCell ref="A7:A8"/>
    <mergeCell ref="B7:B8"/>
    <mergeCell ref="A13:M13"/>
  </mergeCells>
  <phoneticPr fontId="1" type="noConversion"/>
  <dataValidations xWindow="286" yWindow="336" count="3">
    <dataValidation allowBlank="1" showInputMessage="1" showErrorMessage="1" promptTitle="設計項數：" prompt="請填入要申請設計專利的「相似設計」的總項數。" sqref="B5" xr:uid="{00000000-0002-0000-0200-000000000000}"/>
    <dataValidation allowBlank="1" showInputMessage="1" showErrorMessage="1" promptTitle="總圖數：" prompt="請填入要申請設計的圖面總數。" sqref="B6" xr:uid="{2320B54C-EA05-40F8-8634-4643F4BC3B55}"/>
    <dataValidation allowBlank="1" showInputMessage="1" showErrorMessage="1" prompt="各地設計案都順利獲准後之證書數量總和。" sqref="B11" xr:uid="{CA650649-5DC5-404D-85F6-9CFAB124F31B}"/>
  </dataValidations>
  <printOptions horizontalCentered="1"/>
  <pageMargins left="0.70866141732283472" right="0.70866141732283472" top="0.74803149606299213" bottom="0.39370078740157483" header="0.31496062992125984" footer="0.31496062992125984"/>
  <pageSetup paperSize="9" scale="54" fitToHeight="0" orientation="portrait" r:id="rId1"/>
  <headerFooter alignWithMargins="0">
    <oddHeader>&amp;C&amp;G&amp;R&amp;"微軟正黑體,標準"Patent Your Future!&amp;X®</oddHeader>
    <oddFooter>&amp;L&amp;"標楷體,標準"《IP Winner．慧幫你盈®》&amp;C&amp;"標楷體,標準"第 &amp;P 頁，共 &amp;N 頁&amp;R&amp;"標楷體,標準"V2026.06</oddFooter>
  </headerFooter>
  <rowBreaks count="2" manualBreakCount="2">
    <brk id="76" max="12" man="1"/>
    <brk id="157" max="1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224" r:id="rId5" name="Check Box 152">
              <controlPr defaultSize="0" autoFill="0" autoLine="0" autoPict="0" altText="官方費用">
                <anchor moveWithCells="1">
                  <from>
                    <xdr:col>5</xdr:col>
                    <xdr:colOff>19050</xdr:colOff>
                    <xdr:row>5</xdr:row>
                    <xdr:rowOff>47625</xdr:rowOff>
                  </from>
                  <to>
                    <xdr:col>5</xdr:col>
                    <xdr:colOff>895350</xdr:colOff>
                    <xdr:row>5</xdr:row>
                    <xdr:rowOff>190500</xdr:rowOff>
                  </to>
                </anchor>
              </controlPr>
            </control>
          </mc:Choice>
        </mc:AlternateContent>
        <mc:AlternateContent xmlns:mc="http://schemas.openxmlformats.org/markup-compatibility/2006">
          <mc:Choice Requires="x14">
            <control shapeId="3225" r:id="rId6" name="Check Box 153">
              <controlPr defaultSize="0" autoFill="0" autoLine="0" autoPict="0" altText="官方費用">
                <anchor moveWithCells="1">
                  <from>
                    <xdr:col>5</xdr:col>
                    <xdr:colOff>19050</xdr:colOff>
                    <xdr:row>6</xdr:row>
                    <xdr:rowOff>47625</xdr:rowOff>
                  </from>
                  <to>
                    <xdr:col>5</xdr:col>
                    <xdr:colOff>895350</xdr:colOff>
                    <xdr:row>6</xdr:row>
                    <xdr:rowOff>190500</xdr:rowOff>
                  </to>
                </anchor>
              </controlPr>
            </control>
          </mc:Choice>
        </mc:AlternateContent>
        <mc:AlternateContent xmlns:mc="http://schemas.openxmlformats.org/markup-compatibility/2006">
          <mc:Choice Requires="x14">
            <control shapeId="3227" r:id="rId7" name="Check Box 155">
              <controlPr defaultSize="0" autoFill="0" autoLine="0" autoPict="0" altText="官方費用">
                <anchor moveWithCells="1">
                  <from>
                    <xdr:col>5</xdr:col>
                    <xdr:colOff>19050</xdr:colOff>
                    <xdr:row>7</xdr:row>
                    <xdr:rowOff>38100</xdr:rowOff>
                  </from>
                  <to>
                    <xdr:col>5</xdr:col>
                    <xdr:colOff>895350</xdr:colOff>
                    <xdr:row>7</xdr:row>
                    <xdr:rowOff>190500</xdr:rowOff>
                  </to>
                </anchor>
              </controlPr>
            </control>
          </mc:Choice>
        </mc:AlternateContent>
        <mc:AlternateContent xmlns:mc="http://schemas.openxmlformats.org/markup-compatibility/2006">
          <mc:Choice Requires="x14">
            <control shapeId="3293" r:id="rId8" name="Check Box 221">
              <controlPr defaultSize="0" autoFill="0" autoLine="0" autoPict="0" altText="官方費用">
                <anchor moveWithCells="1">
                  <from>
                    <xdr:col>4</xdr:col>
                    <xdr:colOff>38100</xdr:colOff>
                    <xdr:row>5</xdr:row>
                    <xdr:rowOff>47625</xdr:rowOff>
                  </from>
                  <to>
                    <xdr:col>4</xdr:col>
                    <xdr:colOff>809625</xdr:colOff>
                    <xdr:row>5</xdr:row>
                    <xdr:rowOff>190500</xdr:rowOff>
                  </to>
                </anchor>
              </controlPr>
            </control>
          </mc:Choice>
        </mc:AlternateContent>
        <mc:AlternateContent xmlns:mc="http://schemas.openxmlformats.org/markup-compatibility/2006">
          <mc:Choice Requires="x14">
            <control shapeId="3294" r:id="rId9" name="Check Box 222">
              <controlPr defaultSize="0" autoFill="0" autoLine="0" autoPict="0" altText="官方費用">
                <anchor moveWithCells="1">
                  <from>
                    <xdr:col>4</xdr:col>
                    <xdr:colOff>38100</xdr:colOff>
                    <xdr:row>6</xdr:row>
                    <xdr:rowOff>47625</xdr:rowOff>
                  </from>
                  <to>
                    <xdr:col>4</xdr:col>
                    <xdr:colOff>809625</xdr:colOff>
                    <xdr:row>6</xdr:row>
                    <xdr:rowOff>190500</xdr:rowOff>
                  </to>
                </anchor>
              </controlPr>
            </control>
          </mc:Choice>
        </mc:AlternateContent>
        <mc:AlternateContent xmlns:mc="http://schemas.openxmlformats.org/markup-compatibility/2006">
          <mc:Choice Requires="x14">
            <control shapeId="3295" r:id="rId10" name="Check Box 223">
              <controlPr defaultSize="0" autoFill="0" autoLine="0" autoPict="0" altText="官方費用">
                <anchor moveWithCells="1">
                  <from>
                    <xdr:col>4</xdr:col>
                    <xdr:colOff>38100</xdr:colOff>
                    <xdr:row>7</xdr:row>
                    <xdr:rowOff>38100</xdr:rowOff>
                  </from>
                  <to>
                    <xdr:col>4</xdr:col>
                    <xdr:colOff>809625</xdr:colOff>
                    <xdr:row>7</xdr:row>
                    <xdr:rowOff>180975</xdr:rowOff>
                  </to>
                </anchor>
              </controlPr>
            </control>
          </mc:Choice>
        </mc:AlternateContent>
        <mc:AlternateContent xmlns:mc="http://schemas.openxmlformats.org/markup-compatibility/2006">
          <mc:Choice Requires="x14">
            <control shapeId="3296" r:id="rId11" name="Check Box 224">
              <controlPr defaultSize="0" autoFill="0" autoLine="0" autoPict="0" altText="官方費用">
                <anchor moveWithCells="1">
                  <from>
                    <xdr:col>4</xdr:col>
                    <xdr:colOff>38100</xdr:colOff>
                    <xdr:row>8</xdr:row>
                    <xdr:rowOff>47625</xdr:rowOff>
                  </from>
                  <to>
                    <xdr:col>4</xdr:col>
                    <xdr:colOff>809625</xdr:colOff>
                    <xdr:row>8</xdr:row>
                    <xdr:rowOff>190500</xdr:rowOff>
                  </to>
                </anchor>
              </controlPr>
            </control>
          </mc:Choice>
        </mc:AlternateContent>
        <mc:AlternateContent xmlns:mc="http://schemas.openxmlformats.org/markup-compatibility/2006">
          <mc:Choice Requires="x14">
            <control shapeId="3346" r:id="rId12" name="Option Button 274">
              <controlPr defaultSize="0" autoFill="0" autoLine="0" autoPict="0">
                <anchor moveWithCells="1">
                  <from>
                    <xdr:col>3</xdr:col>
                    <xdr:colOff>76200</xdr:colOff>
                    <xdr:row>125</xdr:row>
                    <xdr:rowOff>19050</xdr:rowOff>
                  </from>
                  <to>
                    <xdr:col>4</xdr:col>
                    <xdr:colOff>123825</xdr:colOff>
                    <xdr:row>125</xdr:row>
                    <xdr:rowOff>247650</xdr:rowOff>
                  </to>
                </anchor>
              </controlPr>
            </control>
          </mc:Choice>
        </mc:AlternateContent>
        <mc:AlternateContent xmlns:mc="http://schemas.openxmlformats.org/markup-compatibility/2006">
          <mc:Choice Requires="x14">
            <control shapeId="3347" r:id="rId13" name="Option Button 275">
              <controlPr defaultSize="0" autoFill="0" autoLine="0" autoPict="0">
                <anchor moveWithCells="1">
                  <from>
                    <xdr:col>4</xdr:col>
                    <xdr:colOff>247650</xdr:colOff>
                    <xdr:row>125</xdr:row>
                    <xdr:rowOff>19050</xdr:rowOff>
                  </from>
                  <to>
                    <xdr:col>4</xdr:col>
                    <xdr:colOff>742950</xdr:colOff>
                    <xdr:row>125</xdr:row>
                    <xdr:rowOff>247650</xdr:rowOff>
                  </to>
                </anchor>
              </controlPr>
            </control>
          </mc:Choice>
        </mc:AlternateContent>
        <mc:AlternateContent xmlns:mc="http://schemas.openxmlformats.org/markup-compatibility/2006">
          <mc:Choice Requires="x14">
            <control shapeId="3348" r:id="rId14" name="Option Button 276">
              <controlPr defaultSize="0" autoFill="0" autoLine="0" autoPict="0">
                <anchor moveWithCells="1">
                  <from>
                    <xdr:col>4</xdr:col>
                    <xdr:colOff>857250</xdr:colOff>
                    <xdr:row>125</xdr:row>
                    <xdr:rowOff>19050</xdr:rowOff>
                  </from>
                  <to>
                    <xdr:col>5</xdr:col>
                    <xdr:colOff>314325</xdr:colOff>
                    <xdr:row>125</xdr:row>
                    <xdr:rowOff>247650</xdr:rowOff>
                  </to>
                </anchor>
              </controlPr>
            </control>
          </mc:Choice>
        </mc:AlternateContent>
        <mc:AlternateContent xmlns:mc="http://schemas.openxmlformats.org/markup-compatibility/2006">
          <mc:Choice Requires="x14">
            <control shapeId="3351" r:id="rId15" name="Option Button 279">
              <controlPr defaultSize="0" autoFill="0" autoLine="0" autoPict="0">
                <anchor moveWithCells="1">
                  <from>
                    <xdr:col>5</xdr:col>
                    <xdr:colOff>409575</xdr:colOff>
                    <xdr:row>125</xdr:row>
                    <xdr:rowOff>19050</xdr:rowOff>
                  </from>
                  <to>
                    <xdr:col>5</xdr:col>
                    <xdr:colOff>904875</xdr:colOff>
                    <xdr:row>125</xdr:row>
                    <xdr:rowOff>247650</xdr:rowOff>
                  </to>
                </anchor>
              </controlPr>
            </control>
          </mc:Choice>
        </mc:AlternateContent>
        <mc:AlternateContent xmlns:mc="http://schemas.openxmlformats.org/markup-compatibility/2006">
          <mc:Choice Requires="x14">
            <control shapeId="3352" r:id="rId16" name="Option Button 280">
              <controlPr defaultSize="0" autoFill="0" autoLine="0" autoPict="0">
                <anchor moveWithCells="1">
                  <from>
                    <xdr:col>5</xdr:col>
                    <xdr:colOff>1019175</xdr:colOff>
                    <xdr:row>125</xdr:row>
                    <xdr:rowOff>19050</xdr:rowOff>
                  </from>
                  <to>
                    <xdr:col>7</xdr:col>
                    <xdr:colOff>28575</xdr:colOff>
                    <xdr:row>125</xdr:row>
                    <xdr:rowOff>247650</xdr:rowOff>
                  </to>
                </anchor>
              </controlPr>
            </control>
          </mc:Choice>
        </mc:AlternateContent>
        <mc:AlternateContent xmlns:mc="http://schemas.openxmlformats.org/markup-compatibility/2006">
          <mc:Choice Requires="x14">
            <control shapeId="3372" r:id="rId17" name="Option Button 300">
              <controlPr defaultSize="0" autoFill="0" autoLine="0" autoPict="0">
                <anchor moveWithCells="1">
                  <from>
                    <xdr:col>7</xdr:col>
                    <xdr:colOff>161925</xdr:colOff>
                    <xdr:row>125</xdr:row>
                    <xdr:rowOff>19050</xdr:rowOff>
                  </from>
                  <to>
                    <xdr:col>7</xdr:col>
                    <xdr:colOff>657225</xdr:colOff>
                    <xdr:row>125</xdr:row>
                    <xdr:rowOff>247650</xdr:rowOff>
                  </to>
                </anchor>
              </controlPr>
            </control>
          </mc:Choice>
        </mc:AlternateContent>
        <mc:AlternateContent xmlns:mc="http://schemas.openxmlformats.org/markup-compatibility/2006">
          <mc:Choice Requires="x14">
            <control shapeId="3373" r:id="rId18" name="Option Button 301">
              <controlPr defaultSize="0" autoFill="0" autoLine="0" autoPict="0">
                <anchor moveWithCells="1">
                  <from>
                    <xdr:col>7</xdr:col>
                    <xdr:colOff>752475</xdr:colOff>
                    <xdr:row>125</xdr:row>
                    <xdr:rowOff>19050</xdr:rowOff>
                  </from>
                  <to>
                    <xdr:col>8</xdr:col>
                    <xdr:colOff>219075</xdr:colOff>
                    <xdr:row>125</xdr:row>
                    <xdr:rowOff>247650</xdr:rowOff>
                  </to>
                </anchor>
              </controlPr>
            </control>
          </mc:Choice>
        </mc:AlternateContent>
        <mc:AlternateContent xmlns:mc="http://schemas.openxmlformats.org/markup-compatibility/2006">
          <mc:Choice Requires="x14">
            <control shapeId="3374" r:id="rId19" name="Option Button 302">
              <controlPr defaultSize="0" autoFill="0" autoLine="0" autoPict="0">
                <anchor moveWithCells="1">
                  <from>
                    <xdr:col>8</xdr:col>
                    <xdr:colOff>333375</xdr:colOff>
                    <xdr:row>125</xdr:row>
                    <xdr:rowOff>19050</xdr:rowOff>
                  </from>
                  <to>
                    <xdr:col>8</xdr:col>
                    <xdr:colOff>828675</xdr:colOff>
                    <xdr:row>125</xdr:row>
                    <xdr:rowOff>247650</xdr:rowOff>
                  </to>
                </anchor>
              </controlPr>
            </control>
          </mc:Choice>
        </mc:AlternateContent>
        <mc:AlternateContent xmlns:mc="http://schemas.openxmlformats.org/markup-compatibility/2006">
          <mc:Choice Requires="x14">
            <control shapeId="3375" r:id="rId20" name="Option Button 303">
              <controlPr defaultSize="0" autoFill="0" autoLine="0" autoPict="0">
                <anchor moveWithCells="1">
                  <from>
                    <xdr:col>8</xdr:col>
                    <xdr:colOff>933450</xdr:colOff>
                    <xdr:row>125</xdr:row>
                    <xdr:rowOff>19050</xdr:rowOff>
                  </from>
                  <to>
                    <xdr:col>9</xdr:col>
                    <xdr:colOff>390525</xdr:colOff>
                    <xdr:row>125</xdr:row>
                    <xdr:rowOff>247650</xdr:rowOff>
                  </to>
                </anchor>
              </controlPr>
            </control>
          </mc:Choice>
        </mc:AlternateContent>
        <mc:AlternateContent xmlns:mc="http://schemas.openxmlformats.org/markup-compatibility/2006">
          <mc:Choice Requires="x14">
            <control shapeId="3376" r:id="rId21" name="Option Button 304">
              <controlPr defaultSize="0" autoFill="0" autoLine="0" autoPict="0">
                <anchor moveWithCells="1">
                  <from>
                    <xdr:col>9</xdr:col>
                    <xdr:colOff>514350</xdr:colOff>
                    <xdr:row>125</xdr:row>
                    <xdr:rowOff>19050</xdr:rowOff>
                  </from>
                  <to>
                    <xdr:col>9</xdr:col>
                    <xdr:colOff>1009650</xdr:colOff>
                    <xdr:row>125</xdr:row>
                    <xdr:rowOff>247650</xdr:rowOff>
                  </to>
                </anchor>
              </controlPr>
            </control>
          </mc:Choice>
        </mc:AlternateContent>
        <mc:AlternateContent xmlns:mc="http://schemas.openxmlformats.org/markup-compatibility/2006">
          <mc:Choice Requires="x14">
            <control shapeId="3377" r:id="rId22" name="Option Button 305">
              <controlPr defaultSize="0" autoFill="0" autoLine="0" autoPict="0">
                <anchor moveWithCells="1">
                  <from>
                    <xdr:col>10</xdr:col>
                    <xdr:colOff>95250</xdr:colOff>
                    <xdr:row>125</xdr:row>
                    <xdr:rowOff>19050</xdr:rowOff>
                  </from>
                  <to>
                    <xdr:col>10</xdr:col>
                    <xdr:colOff>590550</xdr:colOff>
                    <xdr:row>125</xdr:row>
                    <xdr:rowOff>247650</xdr:rowOff>
                  </to>
                </anchor>
              </controlPr>
            </control>
          </mc:Choice>
        </mc:AlternateContent>
        <mc:AlternateContent xmlns:mc="http://schemas.openxmlformats.org/markup-compatibility/2006">
          <mc:Choice Requires="x14">
            <control shapeId="3378" r:id="rId23" name="Option Button 306">
              <controlPr defaultSize="0" autoFill="0" autoLine="0" autoPict="0">
                <anchor moveWithCells="1">
                  <from>
                    <xdr:col>10</xdr:col>
                    <xdr:colOff>695325</xdr:colOff>
                    <xdr:row>125</xdr:row>
                    <xdr:rowOff>19050</xdr:rowOff>
                  </from>
                  <to>
                    <xdr:col>11</xdr:col>
                    <xdr:colOff>152400</xdr:colOff>
                    <xdr:row>125</xdr:row>
                    <xdr:rowOff>247650</xdr:rowOff>
                  </to>
                </anchor>
              </controlPr>
            </control>
          </mc:Choice>
        </mc:AlternateContent>
        <mc:AlternateContent xmlns:mc="http://schemas.openxmlformats.org/markup-compatibility/2006">
          <mc:Choice Requires="x14">
            <control shapeId="3379" r:id="rId24" name="Option Button 307">
              <controlPr defaultSize="0" autoFill="0" autoLine="0" autoPict="0">
                <anchor moveWithCells="1">
                  <from>
                    <xdr:col>11</xdr:col>
                    <xdr:colOff>257175</xdr:colOff>
                    <xdr:row>125</xdr:row>
                    <xdr:rowOff>19050</xdr:rowOff>
                  </from>
                  <to>
                    <xdr:col>11</xdr:col>
                    <xdr:colOff>752475</xdr:colOff>
                    <xdr:row>125</xdr:row>
                    <xdr:rowOff>247650</xdr:rowOff>
                  </to>
                </anchor>
              </controlPr>
            </control>
          </mc:Choice>
        </mc:AlternateContent>
        <mc:AlternateContent xmlns:mc="http://schemas.openxmlformats.org/markup-compatibility/2006">
          <mc:Choice Requires="x14">
            <control shapeId="3380" r:id="rId25" name="Option Button 308">
              <controlPr defaultSize="0" autoFill="0" autoLine="0" autoPict="0">
                <anchor moveWithCells="1">
                  <from>
                    <xdr:col>11</xdr:col>
                    <xdr:colOff>866775</xdr:colOff>
                    <xdr:row>125</xdr:row>
                    <xdr:rowOff>19050</xdr:rowOff>
                  </from>
                  <to>
                    <xdr:col>12</xdr:col>
                    <xdr:colOff>47625</xdr:colOff>
                    <xdr:row>125</xdr:row>
                    <xdr:rowOff>247650</xdr:rowOff>
                  </to>
                </anchor>
              </controlPr>
            </control>
          </mc:Choice>
        </mc:AlternateContent>
        <mc:AlternateContent xmlns:mc="http://schemas.openxmlformats.org/markup-compatibility/2006">
          <mc:Choice Requires="x14">
            <control shapeId="3381" r:id="rId26" name="Option Button 309">
              <controlPr defaultSize="0" autoFill="0" autoLine="0" autoPict="0">
                <anchor moveWithCells="1">
                  <from>
                    <xdr:col>12</xdr:col>
                    <xdr:colOff>161925</xdr:colOff>
                    <xdr:row>125</xdr:row>
                    <xdr:rowOff>19050</xdr:rowOff>
                  </from>
                  <to>
                    <xdr:col>12</xdr:col>
                    <xdr:colOff>657225</xdr:colOff>
                    <xdr:row>125</xdr:row>
                    <xdr:rowOff>247650</xdr:rowOff>
                  </to>
                </anchor>
              </controlPr>
            </control>
          </mc:Choice>
        </mc:AlternateContent>
        <mc:AlternateContent xmlns:mc="http://schemas.openxmlformats.org/markup-compatibility/2006">
          <mc:Choice Requires="x14">
            <control shapeId="3382" r:id="rId27" name="Option Button 310">
              <controlPr defaultSize="0" autoFill="0" autoLine="0" autoPict="0">
                <anchor moveWithCells="1">
                  <from>
                    <xdr:col>3</xdr:col>
                    <xdr:colOff>76200</xdr:colOff>
                    <xdr:row>125</xdr:row>
                    <xdr:rowOff>257175</xdr:rowOff>
                  </from>
                  <to>
                    <xdr:col>4</xdr:col>
                    <xdr:colOff>123825</xdr:colOff>
                    <xdr:row>125</xdr:row>
                    <xdr:rowOff>485775</xdr:rowOff>
                  </to>
                </anchor>
              </controlPr>
            </control>
          </mc:Choice>
        </mc:AlternateContent>
        <mc:AlternateContent xmlns:mc="http://schemas.openxmlformats.org/markup-compatibility/2006">
          <mc:Choice Requires="x14">
            <control shapeId="3383" r:id="rId28" name="Option Button 311">
              <controlPr defaultSize="0" autoFill="0" autoLine="0" autoPict="0">
                <anchor moveWithCells="1">
                  <from>
                    <xdr:col>4</xdr:col>
                    <xdr:colOff>247650</xdr:colOff>
                    <xdr:row>125</xdr:row>
                    <xdr:rowOff>257175</xdr:rowOff>
                  </from>
                  <to>
                    <xdr:col>4</xdr:col>
                    <xdr:colOff>742950</xdr:colOff>
                    <xdr:row>125</xdr:row>
                    <xdr:rowOff>485775</xdr:rowOff>
                  </to>
                </anchor>
              </controlPr>
            </control>
          </mc:Choice>
        </mc:AlternateContent>
        <mc:AlternateContent xmlns:mc="http://schemas.openxmlformats.org/markup-compatibility/2006">
          <mc:Choice Requires="x14">
            <control shapeId="3384" r:id="rId29" name="Option Button 312">
              <controlPr defaultSize="0" autoFill="0" autoLine="0" autoPict="0">
                <anchor moveWithCells="1">
                  <from>
                    <xdr:col>4</xdr:col>
                    <xdr:colOff>847725</xdr:colOff>
                    <xdr:row>125</xdr:row>
                    <xdr:rowOff>257175</xdr:rowOff>
                  </from>
                  <to>
                    <xdr:col>5</xdr:col>
                    <xdr:colOff>304800</xdr:colOff>
                    <xdr:row>125</xdr:row>
                    <xdr:rowOff>485775</xdr:rowOff>
                  </to>
                </anchor>
              </controlPr>
            </control>
          </mc:Choice>
        </mc:AlternateContent>
        <mc:AlternateContent xmlns:mc="http://schemas.openxmlformats.org/markup-compatibility/2006">
          <mc:Choice Requires="x14">
            <control shapeId="3385" r:id="rId30" name="Option Button 313">
              <controlPr defaultSize="0" autoFill="0" autoLine="0" autoPict="0">
                <anchor moveWithCells="1">
                  <from>
                    <xdr:col>5</xdr:col>
                    <xdr:colOff>409575</xdr:colOff>
                    <xdr:row>125</xdr:row>
                    <xdr:rowOff>257175</xdr:rowOff>
                  </from>
                  <to>
                    <xdr:col>5</xdr:col>
                    <xdr:colOff>904875</xdr:colOff>
                    <xdr:row>125</xdr:row>
                    <xdr:rowOff>485775</xdr:rowOff>
                  </to>
                </anchor>
              </controlPr>
            </control>
          </mc:Choice>
        </mc:AlternateContent>
        <mc:AlternateContent xmlns:mc="http://schemas.openxmlformats.org/markup-compatibility/2006">
          <mc:Choice Requires="x14">
            <control shapeId="3386" r:id="rId31" name="Option Button 314">
              <controlPr defaultSize="0" autoFill="0" autoLine="0" autoPict="0">
                <anchor moveWithCells="1">
                  <from>
                    <xdr:col>5</xdr:col>
                    <xdr:colOff>1019175</xdr:colOff>
                    <xdr:row>125</xdr:row>
                    <xdr:rowOff>257175</xdr:rowOff>
                  </from>
                  <to>
                    <xdr:col>7</xdr:col>
                    <xdr:colOff>28575</xdr:colOff>
                    <xdr:row>125</xdr:row>
                    <xdr:rowOff>485775</xdr:rowOff>
                  </to>
                </anchor>
              </controlPr>
            </control>
          </mc:Choice>
        </mc:AlternateContent>
        <mc:AlternateContent xmlns:mc="http://schemas.openxmlformats.org/markup-compatibility/2006">
          <mc:Choice Requires="x14">
            <control shapeId="3387" r:id="rId32" name="Option Button 315">
              <controlPr defaultSize="0" autoFill="0" autoLine="0" autoPict="0">
                <anchor moveWithCells="1">
                  <from>
                    <xdr:col>7</xdr:col>
                    <xdr:colOff>161925</xdr:colOff>
                    <xdr:row>125</xdr:row>
                    <xdr:rowOff>257175</xdr:rowOff>
                  </from>
                  <to>
                    <xdr:col>7</xdr:col>
                    <xdr:colOff>657225</xdr:colOff>
                    <xdr:row>125</xdr:row>
                    <xdr:rowOff>485775</xdr:rowOff>
                  </to>
                </anchor>
              </controlPr>
            </control>
          </mc:Choice>
        </mc:AlternateContent>
        <mc:AlternateContent xmlns:mc="http://schemas.openxmlformats.org/markup-compatibility/2006">
          <mc:Choice Requires="x14">
            <control shapeId="3388" r:id="rId33" name="Option Button 316">
              <controlPr defaultSize="0" autoFill="0" autoLine="0" autoPict="0">
                <anchor moveWithCells="1">
                  <from>
                    <xdr:col>7</xdr:col>
                    <xdr:colOff>752475</xdr:colOff>
                    <xdr:row>125</xdr:row>
                    <xdr:rowOff>257175</xdr:rowOff>
                  </from>
                  <to>
                    <xdr:col>8</xdr:col>
                    <xdr:colOff>219075</xdr:colOff>
                    <xdr:row>125</xdr:row>
                    <xdr:rowOff>485775</xdr:rowOff>
                  </to>
                </anchor>
              </controlPr>
            </control>
          </mc:Choice>
        </mc:AlternateContent>
        <mc:AlternateContent xmlns:mc="http://schemas.openxmlformats.org/markup-compatibility/2006">
          <mc:Choice Requires="x14">
            <control shapeId="3389" r:id="rId34" name="Option Button 317">
              <controlPr defaultSize="0" autoFill="0" autoLine="0" autoPict="0">
                <anchor moveWithCells="1">
                  <from>
                    <xdr:col>8</xdr:col>
                    <xdr:colOff>333375</xdr:colOff>
                    <xdr:row>125</xdr:row>
                    <xdr:rowOff>257175</xdr:rowOff>
                  </from>
                  <to>
                    <xdr:col>8</xdr:col>
                    <xdr:colOff>828675</xdr:colOff>
                    <xdr:row>125</xdr:row>
                    <xdr:rowOff>485775</xdr:rowOff>
                  </to>
                </anchor>
              </controlPr>
            </control>
          </mc:Choice>
        </mc:AlternateContent>
        <mc:AlternateContent xmlns:mc="http://schemas.openxmlformats.org/markup-compatibility/2006">
          <mc:Choice Requires="x14">
            <control shapeId="3390" r:id="rId35" name="Option Button 318">
              <controlPr defaultSize="0" autoFill="0" autoLine="0" autoPict="0">
                <anchor moveWithCells="1">
                  <from>
                    <xdr:col>8</xdr:col>
                    <xdr:colOff>933450</xdr:colOff>
                    <xdr:row>125</xdr:row>
                    <xdr:rowOff>257175</xdr:rowOff>
                  </from>
                  <to>
                    <xdr:col>9</xdr:col>
                    <xdr:colOff>390525</xdr:colOff>
                    <xdr:row>125</xdr:row>
                    <xdr:rowOff>485775</xdr:rowOff>
                  </to>
                </anchor>
              </controlPr>
            </control>
          </mc:Choice>
        </mc:AlternateContent>
        <mc:AlternateContent xmlns:mc="http://schemas.openxmlformats.org/markup-compatibility/2006">
          <mc:Choice Requires="x14">
            <control shapeId="3391" r:id="rId36" name="Option Button 319">
              <controlPr defaultSize="0" autoFill="0" autoLine="0" autoPict="0">
                <anchor moveWithCells="1">
                  <from>
                    <xdr:col>9</xdr:col>
                    <xdr:colOff>514350</xdr:colOff>
                    <xdr:row>125</xdr:row>
                    <xdr:rowOff>257175</xdr:rowOff>
                  </from>
                  <to>
                    <xdr:col>9</xdr:col>
                    <xdr:colOff>1009650</xdr:colOff>
                    <xdr:row>125</xdr:row>
                    <xdr:rowOff>485775</xdr:rowOff>
                  </to>
                </anchor>
              </controlPr>
            </control>
          </mc:Choice>
        </mc:AlternateContent>
        <mc:AlternateContent xmlns:mc="http://schemas.openxmlformats.org/markup-compatibility/2006">
          <mc:Choice Requires="x14">
            <control shapeId="3397" r:id="rId37" name="Option Button 325">
              <controlPr defaultSize="0" autoFill="0" autoLine="0" autoPict="0">
                <anchor moveWithCells="1">
                  <from>
                    <xdr:col>2</xdr:col>
                    <xdr:colOff>66675</xdr:colOff>
                    <xdr:row>125</xdr:row>
                    <xdr:rowOff>19050</xdr:rowOff>
                  </from>
                  <to>
                    <xdr:col>3</xdr:col>
                    <xdr:colOff>38100</xdr:colOff>
                    <xdr:row>125</xdr:row>
                    <xdr:rowOff>247650</xdr:rowOff>
                  </to>
                </anchor>
              </controlPr>
            </control>
          </mc:Choice>
        </mc:AlternateContent>
        <mc:AlternateContent xmlns:mc="http://schemas.openxmlformats.org/markup-compatibility/2006">
          <mc:Choice Requires="x14">
            <control shapeId="3468" r:id="rId38" name="Check Box 396">
              <controlPr defaultSize="0" autoFill="0" autoLine="0" autoPict="0">
                <anchor moveWithCells="1">
                  <from>
                    <xdr:col>2</xdr:col>
                    <xdr:colOff>171450</xdr:colOff>
                    <xdr:row>108</xdr:row>
                    <xdr:rowOff>47625</xdr:rowOff>
                  </from>
                  <to>
                    <xdr:col>2</xdr:col>
                    <xdr:colOff>695325</xdr:colOff>
                    <xdr:row>108</xdr:row>
                    <xdr:rowOff>190500</xdr:rowOff>
                  </to>
                </anchor>
              </controlPr>
            </control>
          </mc:Choice>
        </mc:AlternateContent>
        <mc:AlternateContent xmlns:mc="http://schemas.openxmlformats.org/markup-compatibility/2006">
          <mc:Choice Requires="x14">
            <control shapeId="3469" r:id="rId39" name="Check Box 397">
              <controlPr defaultSize="0" autoFill="0" autoLine="0" autoPict="0">
                <anchor moveWithCells="1">
                  <from>
                    <xdr:col>2</xdr:col>
                    <xdr:colOff>171450</xdr:colOff>
                    <xdr:row>109</xdr:row>
                    <xdr:rowOff>47625</xdr:rowOff>
                  </from>
                  <to>
                    <xdr:col>2</xdr:col>
                    <xdr:colOff>695325</xdr:colOff>
                    <xdr:row>109</xdr:row>
                    <xdr:rowOff>190500</xdr:rowOff>
                  </to>
                </anchor>
              </controlPr>
            </control>
          </mc:Choice>
        </mc:AlternateContent>
        <mc:AlternateContent xmlns:mc="http://schemas.openxmlformats.org/markup-compatibility/2006">
          <mc:Choice Requires="x14">
            <control shapeId="3470" r:id="rId40" name="Check Box 398">
              <controlPr defaultSize="0" autoFill="0" autoLine="0" autoPict="0">
                <anchor moveWithCells="1">
                  <from>
                    <xdr:col>2</xdr:col>
                    <xdr:colOff>171450</xdr:colOff>
                    <xdr:row>110</xdr:row>
                    <xdr:rowOff>47625</xdr:rowOff>
                  </from>
                  <to>
                    <xdr:col>2</xdr:col>
                    <xdr:colOff>695325</xdr:colOff>
                    <xdr:row>110</xdr:row>
                    <xdr:rowOff>190500</xdr:rowOff>
                  </to>
                </anchor>
              </controlPr>
            </control>
          </mc:Choice>
        </mc:AlternateContent>
        <mc:AlternateContent xmlns:mc="http://schemas.openxmlformats.org/markup-compatibility/2006">
          <mc:Choice Requires="x14">
            <control shapeId="3471" r:id="rId41" name="Check Box 399">
              <controlPr defaultSize="0" autoFill="0" autoLine="0" autoPict="0">
                <anchor moveWithCells="1">
                  <from>
                    <xdr:col>2</xdr:col>
                    <xdr:colOff>171450</xdr:colOff>
                    <xdr:row>111</xdr:row>
                    <xdr:rowOff>47625</xdr:rowOff>
                  </from>
                  <to>
                    <xdr:col>2</xdr:col>
                    <xdr:colOff>695325</xdr:colOff>
                    <xdr:row>111</xdr:row>
                    <xdr:rowOff>190500</xdr:rowOff>
                  </to>
                </anchor>
              </controlPr>
            </control>
          </mc:Choice>
        </mc:AlternateContent>
        <mc:AlternateContent xmlns:mc="http://schemas.openxmlformats.org/markup-compatibility/2006">
          <mc:Choice Requires="x14">
            <control shapeId="3472" r:id="rId42" name="Check Box 400">
              <controlPr defaultSize="0" autoFill="0" autoLine="0" autoPict="0">
                <anchor moveWithCells="1">
                  <from>
                    <xdr:col>2</xdr:col>
                    <xdr:colOff>171450</xdr:colOff>
                    <xdr:row>113</xdr:row>
                    <xdr:rowOff>47625</xdr:rowOff>
                  </from>
                  <to>
                    <xdr:col>2</xdr:col>
                    <xdr:colOff>695325</xdr:colOff>
                    <xdr:row>113</xdr:row>
                    <xdr:rowOff>190500</xdr:rowOff>
                  </to>
                </anchor>
              </controlPr>
            </control>
          </mc:Choice>
        </mc:AlternateContent>
        <mc:AlternateContent xmlns:mc="http://schemas.openxmlformats.org/markup-compatibility/2006">
          <mc:Choice Requires="x14">
            <control shapeId="3473" r:id="rId43" name="Check Box 401">
              <controlPr defaultSize="0" autoFill="0" autoLine="0" autoPict="0">
                <anchor moveWithCells="1">
                  <from>
                    <xdr:col>2</xdr:col>
                    <xdr:colOff>171450</xdr:colOff>
                    <xdr:row>114</xdr:row>
                    <xdr:rowOff>47625</xdr:rowOff>
                  </from>
                  <to>
                    <xdr:col>2</xdr:col>
                    <xdr:colOff>695325</xdr:colOff>
                    <xdr:row>114</xdr:row>
                    <xdr:rowOff>190500</xdr:rowOff>
                  </to>
                </anchor>
              </controlPr>
            </control>
          </mc:Choice>
        </mc:AlternateContent>
        <mc:AlternateContent xmlns:mc="http://schemas.openxmlformats.org/markup-compatibility/2006">
          <mc:Choice Requires="x14">
            <control shapeId="3474" r:id="rId44" name="Check Box 402">
              <controlPr defaultSize="0" autoFill="0" autoLine="0" autoPict="0">
                <anchor moveWithCells="1">
                  <from>
                    <xdr:col>2</xdr:col>
                    <xdr:colOff>171450</xdr:colOff>
                    <xdr:row>117</xdr:row>
                    <xdr:rowOff>47625</xdr:rowOff>
                  </from>
                  <to>
                    <xdr:col>2</xdr:col>
                    <xdr:colOff>695325</xdr:colOff>
                    <xdr:row>117</xdr:row>
                    <xdr:rowOff>190500</xdr:rowOff>
                  </to>
                </anchor>
              </controlPr>
            </control>
          </mc:Choice>
        </mc:AlternateContent>
        <mc:AlternateContent xmlns:mc="http://schemas.openxmlformats.org/markup-compatibility/2006">
          <mc:Choice Requires="x14">
            <control shapeId="3475" r:id="rId45" name="Check Box 403">
              <controlPr defaultSize="0" autoFill="0" autoLine="0" autoPict="0">
                <anchor moveWithCells="1">
                  <from>
                    <xdr:col>2</xdr:col>
                    <xdr:colOff>171450</xdr:colOff>
                    <xdr:row>121</xdr:row>
                    <xdr:rowOff>47625</xdr:rowOff>
                  </from>
                  <to>
                    <xdr:col>2</xdr:col>
                    <xdr:colOff>695325</xdr:colOff>
                    <xdr:row>121</xdr:row>
                    <xdr:rowOff>190500</xdr:rowOff>
                  </to>
                </anchor>
              </controlPr>
            </control>
          </mc:Choice>
        </mc:AlternateContent>
        <mc:AlternateContent xmlns:mc="http://schemas.openxmlformats.org/markup-compatibility/2006">
          <mc:Choice Requires="x14">
            <control shapeId="3476" r:id="rId46" name="Check Box 404">
              <controlPr defaultSize="0" autoFill="0" autoLine="0" autoPict="0">
                <anchor moveWithCells="1">
                  <from>
                    <xdr:col>2</xdr:col>
                    <xdr:colOff>171450</xdr:colOff>
                    <xdr:row>116</xdr:row>
                    <xdr:rowOff>47625</xdr:rowOff>
                  </from>
                  <to>
                    <xdr:col>2</xdr:col>
                    <xdr:colOff>695325</xdr:colOff>
                    <xdr:row>116</xdr:row>
                    <xdr:rowOff>190500</xdr:rowOff>
                  </to>
                </anchor>
              </controlPr>
            </control>
          </mc:Choice>
        </mc:AlternateContent>
        <mc:AlternateContent xmlns:mc="http://schemas.openxmlformats.org/markup-compatibility/2006">
          <mc:Choice Requires="x14">
            <control shapeId="3477" r:id="rId47" name="Check Box 405">
              <controlPr defaultSize="0" autoFill="0" autoLine="0" autoPict="0">
                <anchor moveWithCells="1">
                  <from>
                    <xdr:col>2</xdr:col>
                    <xdr:colOff>171450</xdr:colOff>
                    <xdr:row>118</xdr:row>
                    <xdr:rowOff>47625</xdr:rowOff>
                  </from>
                  <to>
                    <xdr:col>2</xdr:col>
                    <xdr:colOff>695325</xdr:colOff>
                    <xdr:row>118</xdr:row>
                    <xdr:rowOff>190500</xdr:rowOff>
                  </to>
                </anchor>
              </controlPr>
            </control>
          </mc:Choice>
        </mc:AlternateContent>
        <mc:AlternateContent xmlns:mc="http://schemas.openxmlformats.org/markup-compatibility/2006">
          <mc:Choice Requires="x14">
            <control shapeId="3478" r:id="rId48" name="Check Box 406">
              <controlPr defaultSize="0" autoFill="0" autoLine="0" autoPict="0">
                <anchor moveWithCells="1">
                  <from>
                    <xdr:col>2</xdr:col>
                    <xdr:colOff>171450</xdr:colOff>
                    <xdr:row>120</xdr:row>
                    <xdr:rowOff>47625</xdr:rowOff>
                  </from>
                  <to>
                    <xdr:col>2</xdr:col>
                    <xdr:colOff>695325</xdr:colOff>
                    <xdr:row>120</xdr:row>
                    <xdr:rowOff>190500</xdr:rowOff>
                  </to>
                </anchor>
              </controlPr>
            </control>
          </mc:Choice>
        </mc:AlternateContent>
        <mc:AlternateContent xmlns:mc="http://schemas.openxmlformats.org/markup-compatibility/2006">
          <mc:Choice Requires="x14">
            <control shapeId="3479" r:id="rId49" name="Check Box 407">
              <controlPr defaultSize="0" autoFill="0" autoLine="0" autoPict="0">
                <anchor moveWithCells="1">
                  <from>
                    <xdr:col>2</xdr:col>
                    <xdr:colOff>171450</xdr:colOff>
                    <xdr:row>115</xdr:row>
                    <xdr:rowOff>47625</xdr:rowOff>
                  </from>
                  <to>
                    <xdr:col>2</xdr:col>
                    <xdr:colOff>695325</xdr:colOff>
                    <xdr:row>115</xdr:row>
                    <xdr:rowOff>190500</xdr:rowOff>
                  </to>
                </anchor>
              </controlPr>
            </control>
          </mc:Choice>
        </mc:AlternateContent>
        <mc:AlternateContent xmlns:mc="http://schemas.openxmlformats.org/markup-compatibility/2006">
          <mc:Choice Requires="x14">
            <control shapeId="3480" r:id="rId50" name="Check Box 408">
              <controlPr defaultSize="0" autoFill="0" autoLine="0" autoPict="0">
                <anchor moveWithCells="1">
                  <from>
                    <xdr:col>2</xdr:col>
                    <xdr:colOff>171450</xdr:colOff>
                    <xdr:row>119</xdr:row>
                    <xdr:rowOff>47625</xdr:rowOff>
                  </from>
                  <to>
                    <xdr:col>2</xdr:col>
                    <xdr:colOff>695325</xdr:colOff>
                    <xdr:row>119</xdr:row>
                    <xdr:rowOff>190500</xdr:rowOff>
                  </to>
                </anchor>
              </controlPr>
            </control>
          </mc:Choice>
        </mc:AlternateContent>
        <mc:AlternateContent xmlns:mc="http://schemas.openxmlformats.org/markup-compatibility/2006">
          <mc:Choice Requires="x14">
            <control shapeId="3481" r:id="rId51" name="Check Box 409">
              <controlPr defaultSize="0" autoFill="0" autoLine="0" autoPict="0">
                <anchor moveWithCells="1">
                  <from>
                    <xdr:col>2</xdr:col>
                    <xdr:colOff>171450</xdr:colOff>
                    <xdr:row>112</xdr:row>
                    <xdr:rowOff>47625</xdr:rowOff>
                  </from>
                  <to>
                    <xdr:col>2</xdr:col>
                    <xdr:colOff>695325</xdr:colOff>
                    <xdr:row>112</xdr:row>
                    <xdr:rowOff>190500</xdr:rowOff>
                  </to>
                </anchor>
              </controlPr>
            </control>
          </mc:Choice>
        </mc:AlternateContent>
        <mc:AlternateContent xmlns:mc="http://schemas.openxmlformats.org/markup-compatibility/2006">
          <mc:Choice Requires="x14">
            <control shapeId="3482" r:id="rId52" name="Group Box 410">
              <controlPr defaultSize="0" print="0" autoFill="0" autoPict="0">
                <anchor moveWithCells="1">
                  <from>
                    <xdr:col>0</xdr:col>
                    <xdr:colOff>0</xdr:colOff>
                    <xdr:row>2</xdr:row>
                    <xdr:rowOff>200025</xdr:rowOff>
                  </from>
                  <to>
                    <xdr:col>2</xdr:col>
                    <xdr:colOff>0</xdr:colOff>
                    <xdr:row>11</xdr:row>
                    <xdr:rowOff>0</xdr:rowOff>
                  </to>
                </anchor>
              </controlPr>
            </control>
          </mc:Choice>
        </mc:AlternateContent>
        <mc:AlternateContent xmlns:mc="http://schemas.openxmlformats.org/markup-compatibility/2006">
          <mc:Choice Requires="x14">
            <control shapeId="3485" r:id="rId53" name="Option Button 413">
              <controlPr defaultSize="0" autoFill="0" autoLine="0" autoPict="0">
                <anchor moveWithCells="1">
                  <from>
                    <xdr:col>1</xdr:col>
                    <xdr:colOff>95250</xdr:colOff>
                    <xdr:row>6</xdr:row>
                    <xdr:rowOff>38100</xdr:rowOff>
                  </from>
                  <to>
                    <xdr:col>1</xdr:col>
                    <xdr:colOff>819150</xdr:colOff>
                    <xdr:row>6</xdr:row>
                    <xdr:rowOff>219075</xdr:rowOff>
                  </to>
                </anchor>
              </controlPr>
            </control>
          </mc:Choice>
        </mc:AlternateContent>
        <mc:AlternateContent xmlns:mc="http://schemas.openxmlformats.org/markup-compatibility/2006">
          <mc:Choice Requires="x14">
            <control shapeId="3486" r:id="rId54" name="Option Button 414">
              <controlPr defaultSize="0" autoFill="0" autoLine="0" autoPict="0">
                <anchor moveWithCells="1">
                  <from>
                    <xdr:col>1</xdr:col>
                    <xdr:colOff>95250</xdr:colOff>
                    <xdr:row>7</xdr:row>
                    <xdr:rowOff>19050</xdr:rowOff>
                  </from>
                  <to>
                    <xdr:col>1</xdr:col>
                    <xdr:colOff>819150</xdr:colOff>
                    <xdr:row>7</xdr:row>
                    <xdr:rowOff>200025</xdr:rowOff>
                  </to>
                </anchor>
              </controlPr>
            </control>
          </mc:Choice>
        </mc:AlternateContent>
        <mc:AlternateContent xmlns:mc="http://schemas.openxmlformats.org/markup-compatibility/2006">
          <mc:Choice Requires="x14">
            <control shapeId="3487" r:id="rId55" name="Check Box 415">
              <controlPr defaultSize="0" autoFill="0" autoLine="0" autoPict="0">
                <anchor moveWithCells="1">
                  <from>
                    <xdr:col>2</xdr:col>
                    <xdr:colOff>171450</xdr:colOff>
                    <xdr:row>122</xdr:row>
                    <xdr:rowOff>47625</xdr:rowOff>
                  </from>
                  <to>
                    <xdr:col>2</xdr:col>
                    <xdr:colOff>695325</xdr:colOff>
                    <xdr:row>122</xdr:row>
                    <xdr:rowOff>190500</xdr:rowOff>
                  </to>
                </anchor>
              </controlPr>
            </control>
          </mc:Choice>
        </mc:AlternateContent>
        <mc:AlternateContent xmlns:mc="http://schemas.openxmlformats.org/markup-compatibility/2006">
          <mc:Choice Requires="x14">
            <control shapeId="3488" r:id="rId56" name="Check Box 416">
              <controlPr defaultSize="0" autoFill="0" autoLine="0" autoPict="0">
                <anchor moveWithCells="1">
                  <from>
                    <xdr:col>2</xdr:col>
                    <xdr:colOff>171450</xdr:colOff>
                    <xdr:row>80</xdr:row>
                    <xdr:rowOff>47625</xdr:rowOff>
                  </from>
                  <to>
                    <xdr:col>2</xdr:col>
                    <xdr:colOff>695325</xdr:colOff>
                    <xdr:row>80</xdr:row>
                    <xdr:rowOff>190500</xdr:rowOff>
                  </to>
                </anchor>
              </controlPr>
            </control>
          </mc:Choice>
        </mc:AlternateContent>
        <mc:AlternateContent xmlns:mc="http://schemas.openxmlformats.org/markup-compatibility/2006">
          <mc:Choice Requires="x14">
            <control shapeId="3489" r:id="rId57" name="Check Box 417">
              <controlPr defaultSize="0" autoFill="0" autoLine="0" autoPict="0">
                <anchor moveWithCells="1">
                  <from>
                    <xdr:col>2</xdr:col>
                    <xdr:colOff>171450</xdr:colOff>
                    <xdr:row>81</xdr:row>
                    <xdr:rowOff>47625</xdr:rowOff>
                  </from>
                  <to>
                    <xdr:col>2</xdr:col>
                    <xdr:colOff>695325</xdr:colOff>
                    <xdr:row>81</xdr:row>
                    <xdr:rowOff>190500</xdr:rowOff>
                  </to>
                </anchor>
              </controlPr>
            </control>
          </mc:Choice>
        </mc:AlternateContent>
        <mc:AlternateContent xmlns:mc="http://schemas.openxmlformats.org/markup-compatibility/2006">
          <mc:Choice Requires="x14">
            <control shapeId="3490" r:id="rId58" name="Check Box 418">
              <controlPr defaultSize="0" autoFill="0" autoLine="0" autoPict="0">
                <anchor moveWithCells="1">
                  <from>
                    <xdr:col>2</xdr:col>
                    <xdr:colOff>171450</xdr:colOff>
                    <xdr:row>82</xdr:row>
                    <xdr:rowOff>47625</xdr:rowOff>
                  </from>
                  <to>
                    <xdr:col>2</xdr:col>
                    <xdr:colOff>695325</xdr:colOff>
                    <xdr:row>82</xdr:row>
                    <xdr:rowOff>190500</xdr:rowOff>
                  </to>
                </anchor>
              </controlPr>
            </control>
          </mc:Choice>
        </mc:AlternateContent>
        <mc:AlternateContent xmlns:mc="http://schemas.openxmlformats.org/markup-compatibility/2006">
          <mc:Choice Requires="x14">
            <control shapeId="3491" r:id="rId59" name="Check Box 419">
              <controlPr defaultSize="0" autoFill="0" autoLine="0" autoPict="0">
                <anchor moveWithCells="1">
                  <from>
                    <xdr:col>2</xdr:col>
                    <xdr:colOff>171450</xdr:colOff>
                    <xdr:row>83</xdr:row>
                    <xdr:rowOff>47625</xdr:rowOff>
                  </from>
                  <to>
                    <xdr:col>2</xdr:col>
                    <xdr:colOff>695325</xdr:colOff>
                    <xdr:row>83</xdr:row>
                    <xdr:rowOff>190500</xdr:rowOff>
                  </to>
                </anchor>
              </controlPr>
            </control>
          </mc:Choice>
        </mc:AlternateContent>
        <mc:AlternateContent xmlns:mc="http://schemas.openxmlformats.org/markup-compatibility/2006">
          <mc:Choice Requires="x14">
            <control shapeId="3492" r:id="rId60" name="Check Box 420">
              <controlPr defaultSize="0" autoFill="0" autoLine="0" autoPict="0">
                <anchor moveWithCells="1">
                  <from>
                    <xdr:col>2</xdr:col>
                    <xdr:colOff>171450</xdr:colOff>
                    <xdr:row>85</xdr:row>
                    <xdr:rowOff>47625</xdr:rowOff>
                  </from>
                  <to>
                    <xdr:col>2</xdr:col>
                    <xdr:colOff>695325</xdr:colOff>
                    <xdr:row>85</xdr:row>
                    <xdr:rowOff>190500</xdr:rowOff>
                  </to>
                </anchor>
              </controlPr>
            </control>
          </mc:Choice>
        </mc:AlternateContent>
        <mc:AlternateContent xmlns:mc="http://schemas.openxmlformats.org/markup-compatibility/2006">
          <mc:Choice Requires="x14">
            <control shapeId="3493" r:id="rId61" name="Check Box 421">
              <controlPr defaultSize="0" autoFill="0" autoLine="0" autoPict="0">
                <anchor moveWithCells="1">
                  <from>
                    <xdr:col>2</xdr:col>
                    <xdr:colOff>171450</xdr:colOff>
                    <xdr:row>86</xdr:row>
                    <xdr:rowOff>47625</xdr:rowOff>
                  </from>
                  <to>
                    <xdr:col>2</xdr:col>
                    <xdr:colOff>695325</xdr:colOff>
                    <xdr:row>86</xdr:row>
                    <xdr:rowOff>190500</xdr:rowOff>
                  </to>
                </anchor>
              </controlPr>
            </control>
          </mc:Choice>
        </mc:AlternateContent>
        <mc:AlternateContent xmlns:mc="http://schemas.openxmlformats.org/markup-compatibility/2006">
          <mc:Choice Requires="x14">
            <control shapeId="3494" r:id="rId62" name="Check Box 422">
              <controlPr defaultSize="0" autoFill="0" autoLine="0" autoPict="0">
                <anchor moveWithCells="1">
                  <from>
                    <xdr:col>2</xdr:col>
                    <xdr:colOff>171450</xdr:colOff>
                    <xdr:row>89</xdr:row>
                    <xdr:rowOff>47625</xdr:rowOff>
                  </from>
                  <to>
                    <xdr:col>2</xdr:col>
                    <xdr:colOff>695325</xdr:colOff>
                    <xdr:row>89</xdr:row>
                    <xdr:rowOff>190500</xdr:rowOff>
                  </to>
                </anchor>
              </controlPr>
            </control>
          </mc:Choice>
        </mc:AlternateContent>
        <mc:AlternateContent xmlns:mc="http://schemas.openxmlformats.org/markup-compatibility/2006">
          <mc:Choice Requires="x14">
            <control shapeId="3495" r:id="rId63" name="Check Box 423">
              <controlPr defaultSize="0" autoFill="0" autoLine="0" autoPict="0">
                <anchor moveWithCells="1">
                  <from>
                    <xdr:col>2</xdr:col>
                    <xdr:colOff>171450</xdr:colOff>
                    <xdr:row>93</xdr:row>
                    <xdr:rowOff>47625</xdr:rowOff>
                  </from>
                  <to>
                    <xdr:col>2</xdr:col>
                    <xdr:colOff>695325</xdr:colOff>
                    <xdr:row>93</xdr:row>
                    <xdr:rowOff>190500</xdr:rowOff>
                  </to>
                </anchor>
              </controlPr>
            </control>
          </mc:Choice>
        </mc:AlternateContent>
        <mc:AlternateContent xmlns:mc="http://schemas.openxmlformats.org/markup-compatibility/2006">
          <mc:Choice Requires="x14">
            <control shapeId="3496" r:id="rId64" name="Check Box 424">
              <controlPr defaultSize="0" autoFill="0" autoLine="0" autoPict="0">
                <anchor moveWithCells="1">
                  <from>
                    <xdr:col>2</xdr:col>
                    <xdr:colOff>171450</xdr:colOff>
                    <xdr:row>88</xdr:row>
                    <xdr:rowOff>47625</xdr:rowOff>
                  </from>
                  <to>
                    <xdr:col>2</xdr:col>
                    <xdr:colOff>695325</xdr:colOff>
                    <xdr:row>88</xdr:row>
                    <xdr:rowOff>190500</xdr:rowOff>
                  </to>
                </anchor>
              </controlPr>
            </control>
          </mc:Choice>
        </mc:AlternateContent>
        <mc:AlternateContent xmlns:mc="http://schemas.openxmlformats.org/markup-compatibility/2006">
          <mc:Choice Requires="x14">
            <control shapeId="3497" r:id="rId65" name="Check Box 425">
              <controlPr defaultSize="0" autoFill="0" autoLine="0" autoPict="0">
                <anchor moveWithCells="1">
                  <from>
                    <xdr:col>2</xdr:col>
                    <xdr:colOff>171450</xdr:colOff>
                    <xdr:row>90</xdr:row>
                    <xdr:rowOff>47625</xdr:rowOff>
                  </from>
                  <to>
                    <xdr:col>2</xdr:col>
                    <xdr:colOff>695325</xdr:colOff>
                    <xdr:row>90</xdr:row>
                    <xdr:rowOff>190500</xdr:rowOff>
                  </to>
                </anchor>
              </controlPr>
            </control>
          </mc:Choice>
        </mc:AlternateContent>
        <mc:AlternateContent xmlns:mc="http://schemas.openxmlformats.org/markup-compatibility/2006">
          <mc:Choice Requires="x14">
            <control shapeId="3498" r:id="rId66" name="Check Box 426">
              <controlPr defaultSize="0" autoFill="0" autoLine="0" autoPict="0">
                <anchor moveWithCells="1">
                  <from>
                    <xdr:col>2</xdr:col>
                    <xdr:colOff>171450</xdr:colOff>
                    <xdr:row>92</xdr:row>
                    <xdr:rowOff>47625</xdr:rowOff>
                  </from>
                  <to>
                    <xdr:col>2</xdr:col>
                    <xdr:colOff>695325</xdr:colOff>
                    <xdr:row>92</xdr:row>
                    <xdr:rowOff>190500</xdr:rowOff>
                  </to>
                </anchor>
              </controlPr>
            </control>
          </mc:Choice>
        </mc:AlternateContent>
        <mc:AlternateContent xmlns:mc="http://schemas.openxmlformats.org/markup-compatibility/2006">
          <mc:Choice Requires="x14">
            <control shapeId="3499" r:id="rId67" name="Check Box 427">
              <controlPr defaultSize="0" autoFill="0" autoLine="0" autoPict="0">
                <anchor moveWithCells="1">
                  <from>
                    <xdr:col>2</xdr:col>
                    <xdr:colOff>171450</xdr:colOff>
                    <xdr:row>87</xdr:row>
                    <xdr:rowOff>47625</xdr:rowOff>
                  </from>
                  <to>
                    <xdr:col>2</xdr:col>
                    <xdr:colOff>695325</xdr:colOff>
                    <xdr:row>87</xdr:row>
                    <xdr:rowOff>190500</xdr:rowOff>
                  </to>
                </anchor>
              </controlPr>
            </control>
          </mc:Choice>
        </mc:AlternateContent>
        <mc:AlternateContent xmlns:mc="http://schemas.openxmlformats.org/markup-compatibility/2006">
          <mc:Choice Requires="x14">
            <control shapeId="3500" r:id="rId68" name="Check Box 428">
              <controlPr defaultSize="0" autoFill="0" autoLine="0" autoPict="0">
                <anchor moveWithCells="1">
                  <from>
                    <xdr:col>2</xdr:col>
                    <xdr:colOff>171450</xdr:colOff>
                    <xdr:row>91</xdr:row>
                    <xdr:rowOff>47625</xdr:rowOff>
                  </from>
                  <to>
                    <xdr:col>2</xdr:col>
                    <xdr:colOff>695325</xdr:colOff>
                    <xdr:row>91</xdr:row>
                    <xdr:rowOff>190500</xdr:rowOff>
                  </to>
                </anchor>
              </controlPr>
            </control>
          </mc:Choice>
        </mc:AlternateContent>
        <mc:AlternateContent xmlns:mc="http://schemas.openxmlformats.org/markup-compatibility/2006">
          <mc:Choice Requires="x14">
            <control shapeId="3501" r:id="rId69" name="Check Box 429">
              <controlPr defaultSize="0" autoFill="0" autoLine="0" autoPict="0">
                <anchor moveWithCells="1">
                  <from>
                    <xdr:col>2</xdr:col>
                    <xdr:colOff>171450</xdr:colOff>
                    <xdr:row>84</xdr:row>
                    <xdr:rowOff>47625</xdr:rowOff>
                  </from>
                  <to>
                    <xdr:col>2</xdr:col>
                    <xdr:colOff>695325</xdr:colOff>
                    <xdr:row>84</xdr:row>
                    <xdr:rowOff>190500</xdr:rowOff>
                  </to>
                </anchor>
              </controlPr>
            </control>
          </mc:Choice>
        </mc:AlternateContent>
        <mc:AlternateContent xmlns:mc="http://schemas.openxmlformats.org/markup-compatibility/2006">
          <mc:Choice Requires="x14">
            <control shapeId="3502" r:id="rId70" name="Check Box 430">
              <controlPr defaultSize="0" autoFill="0" autoLine="0" autoPict="0">
                <anchor moveWithCells="1">
                  <from>
                    <xdr:col>2</xdr:col>
                    <xdr:colOff>171450</xdr:colOff>
                    <xdr:row>94</xdr:row>
                    <xdr:rowOff>47625</xdr:rowOff>
                  </from>
                  <to>
                    <xdr:col>2</xdr:col>
                    <xdr:colOff>695325</xdr:colOff>
                    <xdr:row>94</xdr:row>
                    <xdr:rowOff>190500</xdr:rowOff>
                  </to>
                </anchor>
              </controlPr>
            </control>
          </mc:Choice>
        </mc:AlternateContent>
        <mc:AlternateContent xmlns:mc="http://schemas.openxmlformats.org/markup-compatibility/2006">
          <mc:Choice Requires="x14">
            <control shapeId="3503" r:id="rId71" name="Check Box 431">
              <controlPr defaultSize="0" autoFill="0" autoLine="0" autoPict="0">
                <anchor moveWithCells="1">
                  <from>
                    <xdr:col>2</xdr:col>
                    <xdr:colOff>171450</xdr:colOff>
                    <xdr:row>55</xdr:row>
                    <xdr:rowOff>47625</xdr:rowOff>
                  </from>
                  <to>
                    <xdr:col>2</xdr:col>
                    <xdr:colOff>695325</xdr:colOff>
                    <xdr:row>55</xdr:row>
                    <xdr:rowOff>190500</xdr:rowOff>
                  </to>
                </anchor>
              </controlPr>
            </control>
          </mc:Choice>
        </mc:AlternateContent>
        <mc:AlternateContent xmlns:mc="http://schemas.openxmlformats.org/markup-compatibility/2006">
          <mc:Choice Requires="x14">
            <control shapeId="3504" r:id="rId72" name="Check Box 432">
              <controlPr defaultSize="0" autoFill="0" autoLine="0" autoPict="0">
                <anchor moveWithCells="1">
                  <from>
                    <xdr:col>2</xdr:col>
                    <xdr:colOff>171450</xdr:colOff>
                    <xdr:row>56</xdr:row>
                    <xdr:rowOff>47625</xdr:rowOff>
                  </from>
                  <to>
                    <xdr:col>2</xdr:col>
                    <xdr:colOff>695325</xdr:colOff>
                    <xdr:row>56</xdr:row>
                    <xdr:rowOff>190500</xdr:rowOff>
                  </to>
                </anchor>
              </controlPr>
            </control>
          </mc:Choice>
        </mc:AlternateContent>
        <mc:AlternateContent xmlns:mc="http://schemas.openxmlformats.org/markup-compatibility/2006">
          <mc:Choice Requires="x14">
            <control shapeId="3505" r:id="rId73" name="Check Box 433">
              <controlPr defaultSize="0" autoFill="0" autoLine="0" autoPict="0">
                <anchor moveWithCells="1">
                  <from>
                    <xdr:col>2</xdr:col>
                    <xdr:colOff>171450</xdr:colOff>
                    <xdr:row>57</xdr:row>
                    <xdr:rowOff>47625</xdr:rowOff>
                  </from>
                  <to>
                    <xdr:col>2</xdr:col>
                    <xdr:colOff>695325</xdr:colOff>
                    <xdr:row>57</xdr:row>
                    <xdr:rowOff>190500</xdr:rowOff>
                  </to>
                </anchor>
              </controlPr>
            </control>
          </mc:Choice>
        </mc:AlternateContent>
        <mc:AlternateContent xmlns:mc="http://schemas.openxmlformats.org/markup-compatibility/2006">
          <mc:Choice Requires="x14">
            <control shapeId="3506" r:id="rId74" name="Check Box 434">
              <controlPr defaultSize="0" autoFill="0" autoLine="0" autoPict="0">
                <anchor moveWithCells="1">
                  <from>
                    <xdr:col>2</xdr:col>
                    <xdr:colOff>171450</xdr:colOff>
                    <xdr:row>58</xdr:row>
                    <xdr:rowOff>47625</xdr:rowOff>
                  </from>
                  <to>
                    <xdr:col>2</xdr:col>
                    <xdr:colOff>695325</xdr:colOff>
                    <xdr:row>58</xdr:row>
                    <xdr:rowOff>190500</xdr:rowOff>
                  </to>
                </anchor>
              </controlPr>
            </control>
          </mc:Choice>
        </mc:AlternateContent>
        <mc:AlternateContent xmlns:mc="http://schemas.openxmlformats.org/markup-compatibility/2006">
          <mc:Choice Requires="x14">
            <control shapeId="3507" r:id="rId75" name="Check Box 435">
              <controlPr defaultSize="0" autoFill="0" autoLine="0" autoPict="0">
                <anchor moveWithCells="1">
                  <from>
                    <xdr:col>2</xdr:col>
                    <xdr:colOff>171450</xdr:colOff>
                    <xdr:row>60</xdr:row>
                    <xdr:rowOff>47625</xdr:rowOff>
                  </from>
                  <to>
                    <xdr:col>2</xdr:col>
                    <xdr:colOff>695325</xdr:colOff>
                    <xdr:row>60</xdr:row>
                    <xdr:rowOff>190500</xdr:rowOff>
                  </to>
                </anchor>
              </controlPr>
            </control>
          </mc:Choice>
        </mc:AlternateContent>
        <mc:AlternateContent xmlns:mc="http://schemas.openxmlformats.org/markup-compatibility/2006">
          <mc:Choice Requires="x14">
            <control shapeId="3508" r:id="rId76" name="Check Box 436">
              <controlPr defaultSize="0" autoFill="0" autoLine="0" autoPict="0">
                <anchor moveWithCells="1">
                  <from>
                    <xdr:col>2</xdr:col>
                    <xdr:colOff>171450</xdr:colOff>
                    <xdr:row>61</xdr:row>
                    <xdr:rowOff>47625</xdr:rowOff>
                  </from>
                  <to>
                    <xdr:col>2</xdr:col>
                    <xdr:colOff>695325</xdr:colOff>
                    <xdr:row>61</xdr:row>
                    <xdr:rowOff>190500</xdr:rowOff>
                  </to>
                </anchor>
              </controlPr>
            </control>
          </mc:Choice>
        </mc:AlternateContent>
        <mc:AlternateContent xmlns:mc="http://schemas.openxmlformats.org/markup-compatibility/2006">
          <mc:Choice Requires="x14">
            <control shapeId="3509" r:id="rId77" name="Check Box 437">
              <controlPr defaultSize="0" autoFill="0" autoLine="0" autoPict="0">
                <anchor moveWithCells="1">
                  <from>
                    <xdr:col>2</xdr:col>
                    <xdr:colOff>171450</xdr:colOff>
                    <xdr:row>64</xdr:row>
                    <xdr:rowOff>47625</xdr:rowOff>
                  </from>
                  <to>
                    <xdr:col>2</xdr:col>
                    <xdr:colOff>695325</xdr:colOff>
                    <xdr:row>64</xdr:row>
                    <xdr:rowOff>190500</xdr:rowOff>
                  </to>
                </anchor>
              </controlPr>
            </control>
          </mc:Choice>
        </mc:AlternateContent>
        <mc:AlternateContent xmlns:mc="http://schemas.openxmlformats.org/markup-compatibility/2006">
          <mc:Choice Requires="x14">
            <control shapeId="3510" r:id="rId78" name="Check Box 438">
              <controlPr defaultSize="0" autoFill="0" autoLine="0" autoPict="0">
                <anchor moveWithCells="1">
                  <from>
                    <xdr:col>2</xdr:col>
                    <xdr:colOff>171450</xdr:colOff>
                    <xdr:row>68</xdr:row>
                    <xdr:rowOff>47625</xdr:rowOff>
                  </from>
                  <to>
                    <xdr:col>2</xdr:col>
                    <xdr:colOff>695325</xdr:colOff>
                    <xdr:row>68</xdr:row>
                    <xdr:rowOff>190500</xdr:rowOff>
                  </to>
                </anchor>
              </controlPr>
            </control>
          </mc:Choice>
        </mc:AlternateContent>
        <mc:AlternateContent xmlns:mc="http://schemas.openxmlformats.org/markup-compatibility/2006">
          <mc:Choice Requires="x14">
            <control shapeId="3511" r:id="rId79" name="Check Box 439">
              <controlPr defaultSize="0" autoFill="0" autoLine="0" autoPict="0">
                <anchor moveWithCells="1">
                  <from>
                    <xdr:col>2</xdr:col>
                    <xdr:colOff>171450</xdr:colOff>
                    <xdr:row>63</xdr:row>
                    <xdr:rowOff>47625</xdr:rowOff>
                  </from>
                  <to>
                    <xdr:col>2</xdr:col>
                    <xdr:colOff>695325</xdr:colOff>
                    <xdr:row>63</xdr:row>
                    <xdr:rowOff>190500</xdr:rowOff>
                  </to>
                </anchor>
              </controlPr>
            </control>
          </mc:Choice>
        </mc:AlternateContent>
        <mc:AlternateContent xmlns:mc="http://schemas.openxmlformats.org/markup-compatibility/2006">
          <mc:Choice Requires="x14">
            <control shapeId="3512" r:id="rId80" name="Check Box 440">
              <controlPr defaultSize="0" autoFill="0" autoLine="0" autoPict="0">
                <anchor moveWithCells="1">
                  <from>
                    <xdr:col>2</xdr:col>
                    <xdr:colOff>171450</xdr:colOff>
                    <xdr:row>65</xdr:row>
                    <xdr:rowOff>47625</xdr:rowOff>
                  </from>
                  <to>
                    <xdr:col>2</xdr:col>
                    <xdr:colOff>695325</xdr:colOff>
                    <xdr:row>65</xdr:row>
                    <xdr:rowOff>190500</xdr:rowOff>
                  </to>
                </anchor>
              </controlPr>
            </control>
          </mc:Choice>
        </mc:AlternateContent>
        <mc:AlternateContent xmlns:mc="http://schemas.openxmlformats.org/markup-compatibility/2006">
          <mc:Choice Requires="x14">
            <control shapeId="3513" r:id="rId81" name="Check Box 441">
              <controlPr defaultSize="0" autoFill="0" autoLine="0" autoPict="0">
                <anchor moveWithCells="1">
                  <from>
                    <xdr:col>2</xdr:col>
                    <xdr:colOff>171450</xdr:colOff>
                    <xdr:row>67</xdr:row>
                    <xdr:rowOff>47625</xdr:rowOff>
                  </from>
                  <to>
                    <xdr:col>2</xdr:col>
                    <xdr:colOff>695325</xdr:colOff>
                    <xdr:row>67</xdr:row>
                    <xdr:rowOff>190500</xdr:rowOff>
                  </to>
                </anchor>
              </controlPr>
            </control>
          </mc:Choice>
        </mc:AlternateContent>
        <mc:AlternateContent xmlns:mc="http://schemas.openxmlformats.org/markup-compatibility/2006">
          <mc:Choice Requires="x14">
            <control shapeId="3514" r:id="rId82" name="Check Box 442">
              <controlPr defaultSize="0" autoFill="0" autoLine="0" autoPict="0">
                <anchor moveWithCells="1">
                  <from>
                    <xdr:col>2</xdr:col>
                    <xdr:colOff>171450</xdr:colOff>
                    <xdr:row>62</xdr:row>
                    <xdr:rowOff>47625</xdr:rowOff>
                  </from>
                  <to>
                    <xdr:col>2</xdr:col>
                    <xdr:colOff>695325</xdr:colOff>
                    <xdr:row>62</xdr:row>
                    <xdr:rowOff>190500</xdr:rowOff>
                  </to>
                </anchor>
              </controlPr>
            </control>
          </mc:Choice>
        </mc:AlternateContent>
        <mc:AlternateContent xmlns:mc="http://schemas.openxmlformats.org/markup-compatibility/2006">
          <mc:Choice Requires="x14">
            <control shapeId="3515" r:id="rId83" name="Check Box 443">
              <controlPr defaultSize="0" autoFill="0" autoLine="0" autoPict="0">
                <anchor moveWithCells="1">
                  <from>
                    <xdr:col>2</xdr:col>
                    <xdr:colOff>171450</xdr:colOff>
                    <xdr:row>66</xdr:row>
                    <xdr:rowOff>47625</xdr:rowOff>
                  </from>
                  <to>
                    <xdr:col>2</xdr:col>
                    <xdr:colOff>695325</xdr:colOff>
                    <xdr:row>66</xdr:row>
                    <xdr:rowOff>190500</xdr:rowOff>
                  </to>
                </anchor>
              </controlPr>
            </control>
          </mc:Choice>
        </mc:AlternateContent>
        <mc:AlternateContent xmlns:mc="http://schemas.openxmlformats.org/markup-compatibility/2006">
          <mc:Choice Requires="x14">
            <control shapeId="3516" r:id="rId84" name="Check Box 444">
              <controlPr defaultSize="0" autoFill="0" autoLine="0" autoPict="0">
                <anchor moveWithCells="1">
                  <from>
                    <xdr:col>2</xdr:col>
                    <xdr:colOff>171450</xdr:colOff>
                    <xdr:row>59</xdr:row>
                    <xdr:rowOff>47625</xdr:rowOff>
                  </from>
                  <to>
                    <xdr:col>2</xdr:col>
                    <xdr:colOff>695325</xdr:colOff>
                    <xdr:row>59</xdr:row>
                    <xdr:rowOff>190500</xdr:rowOff>
                  </to>
                </anchor>
              </controlPr>
            </control>
          </mc:Choice>
        </mc:AlternateContent>
        <mc:AlternateContent xmlns:mc="http://schemas.openxmlformats.org/markup-compatibility/2006">
          <mc:Choice Requires="x14">
            <control shapeId="3517" r:id="rId85" name="Check Box 445">
              <controlPr defaultSize="0" autoFill="0" autoLine="0" autoPict="0">
                <anchor moveWithCells="1">
                  <from>
                    <xdr:col>2</xdr:col>
                    <xdr:colOff>171450</xdr:colOff>
                    <xdr:row>69</xdr:row>
                    <xdr:rowOff>47625</xdr:rowOff>
                  </from>
                  <to>
                    <xdr:col>2</xdr:col>
                    <xdr:colOff>695325</xdr:colOff>
                    <xdr:row>69</xdr:row>
                    <xdr:rowOff>190500</xdr:rowOff>
                  </to>
                </anchor>
              </controlPr>
            </control>
          </mc:Choice>
        </mc:AlternateContent>
        <mc:AlternateContent xmlns:mc="http://schemas.openxmlformats.org/markup-compatibility/2006">
          <mc:Choice Requires="x14">
            <control shapeId="3518" r:id="rId86" name="Check Box 446">
              <controlPr defaultSize="0" autoFill="0" autoLine="0" autoPict="0">
                <anchor moveWithCells="1">
                  <from>
                    <xdr:col>2</xdr:col>
                    <xdr:colOff>171450</xdr:colOff>
                    <xdr:row>15</xdr:row>
                    <xdr:rowOff>47625</xdr:rowOff>
                  </from>
                  <to>
                    <xdr:col>2</xdr:col>
                    <xdr:colOff>695325</xdr:colOff>
                    <xdr:row>15</xdr:row>
                    <xdr:rowOff>190500</xdr:rowOff>
                  </to>
                </anchor>
              </controlPr>
            </control>
          </mc:Choice>
        </mc:AlternateContent>
        <mc:AlternateContent xmlns:mc="http://schemas.openxmlformats.org/markup-compatibility/2006">
          <mc:Choice Requires="x14">
            <control shapeId="3519" r:id="rId87" name="Check Box 447">
              <controlPr defaultSize="0" autoFill="0" autoLine="0" autoPict="0">
                <anchor moveWithCells="1">
                  <from>
                    <xdr:col>2</xdr:col>
                    <xdr:colOff>171450</xdr:colOff>
                    <xdr:row>16</xdr:row>
                    <xdr:rowOff>47625</xdr:rowOff>
                  </from>
                  <to>
                    <xdr:col>2</xdr:col>
                    <xdr:colOff>695325</xdr:colOff>
                    <xdr:row>16</xdr:row>
                    <xdr:rowOff>190500</xdr:rowOff>
                  </to>
                </anchor>
              </controlPr>
            </control>
          </mc:Choice>
        </mc:AlternateContent>
        <mc:AlternateContent xmlns:mc="http://schemas.openxmlformats.org/markup-compatibility/2006">
          <mc:Choice Requires="x14">
            <control shapeId="3520" r:id="rId88" name="Check Box 448">
              <controlPr defaultSize="0" autoFill="0" autoLine="0" autoPict="0">
                <anchor moveWithCells="1">
                  <from>
                    <xdr:col>2</xdr:col>
                    <xdr:colOff>171450</xdr:colOff>
                    <xdr:row>17</xdr:row>
                    <xdr:rowOff>47625</xdr:rowOff>
                  </from>
                  <to>
                    <xdr:col>2</xdr:col>
                    <xdr:colOff>695325</xdr:colOff>
                    <xdr:row>17</xdr:row>
                    <xdr:rowOff>190500</xdr:rowOff>
                  </to>
                </anchor>
              </controlPr>
            </control>
          </mc:Choice>
        </mc:AlternateContent>
        <mc:AlternateContent xmlns:mc="http://schemas.openxmlformats.org/markup-compatibility/2006">
          <mc:Choice Requires="x14">
            <control shapeId="3521" r:id="rId89" name="Check Box 449">
              <controlPr defaultSize="0" autoFill="0" autoLine="0" autoPict="0">
                <anchor moveWithCells="1">
                  <from>
                    <xdr:col>2</xdr:col>
                    <xdr:colOff>171450</xdr:colOff>
                    <xdr:row>18</xdr:row>
                    <xdr:rowOff>47625</xdr:rowOff>
                  </from>
                  <to>
                    <xdr:col>2</xdr:col>
                    <xdr:colOff>695325</xdr:colOff>
                    <xdr:row>18</xdr:row>
                    <xdr:rowOff>190500</xdr:rowOff>
                  </to>
                </anchor>
              </controlPr>
            </control>
          </mc:Choice>
        </mc:AlternateContent>
        <mc:AlternateContent xmlns:mc="http://schemas.openxmlformats.org/markup-compatibility/2006">
          <mc:Choice Requires="x14">
            <control shapeId="3522" r:id="rId90" name="Check Box 450">
              <controlPr defaultSize="0" autoFill="0" autoLine="0" autoPict="0">
                <anchor moveWithCells="1">
                  <from>
                    <xdr:col>2</xdr:col>
                    <xdr:colOff>171450</xdr:colOff>
                    <xdr:row>20</xdr:row>
                    <xdr:rowOff>47625</xdr:rowOff>
                  </from>
                  <to>
                    <xdr:col>2</xdr:col>
                    <xdr:colOff>695325</xdr:colOff>
                    <xdr:row>20</xdr:row>
                    <xdr:rowOff>190500</xdr:rowOff>
                  </to>
                </anchor>
              </controlPr>
            </control>
          </mc:Choice>
        </mc:AlternateContent>
        <mc:AlternateContent xmlns:mc="http://schemas.openxmlformats.org/markup-compatibility/2006">
          <mc:Choice Requires="x14">
            <control shapeId="3523" r:id="rId91" name="Check Box 451">
              <controlPr defaultSize="0" autoFill="0" autoLine="0" autoPict="0">
                <anchor moveWithCells="1">
                  <from>
                    <xdr:col>2</xdr:col>
                    <xdr:colOff>171450</xdr:colOff>
                    <xdr:row>21</xdr:row>
                    <xdr:rowOff>47625</xdr:rowOff>
                  </from>
                  <to>
                    <xdr:col>2</xdr:col>
                    <xdr:colOff>695325</xdr:colOff>
                    <xdr:row>21</xdr:row>
                    <xdr:rowOff>190500</xdr:rowOff>
                  </to>
                </anchor>
              </controlPr>
            </control>
          </mc:Choice>
        </mc:AlternateContent>
        <mc:AlternateContent xmlns:mc="http://schemas.openxmlformats.org/markup-compatibility/2006">
          <mc:Choice Requires="x14">
            <control shapeId="3524" r:id="rId92" name="Check Box 452">
              <controlPr defaultSize="0" autoFill="0" autoLine="0" autoPict="0">
                <anchor moveWithCells="1">
                  <from>
                    <xdr:col>2</xdr:col>
                    <xdr:colOff>171450</xdr:colOff>
                    <xdr:row>24</xdr:row>
                    <xdr:rowOff>47625</xdr:rowOff>
                  </from>
                  <to>
                    <xdr:col>2</xdr:col>
                    <xdr:colOff>695325</xdr:colOff>
                    <xdr:row>24</xdr:row>
                    <xdr:rowOff>190500</xdr:rowOff>
                  </to>
                </anchor>
              </controlPr>
            </control>
          </mc:Choice>
        </mc:AlternateContent>
        <mc:AlternateContent xmlns:mc="http://schemas.openxmlformats.org/markup-compatibility/2006">
          <mc:Choice Requires="x14">
            <control shapeId="3525" r:id="rId93" name="Check Box 453">
              <controlPr defaultSize="0" autoFill="0" autoLine="0" autoPict="0">
                <anchor moveWithCells="1">
                  <from>
                    <xdr:col>2</xdr:col>
                    <xdr:colOff>171450</xdr:colOff>
                    <xdr:row>28</xdr:row>
                    <xdr:rowOff>47625</xdr:rowOff>
                  </from>
                  <to>
                    <xdr:col>2</xdr:col>
                    <xdr:colOff>695325</xdr:colOff>
                    <xdr:row>28</xdr:row>
                    <xdr:rowOff>190500</xdr:rowOff>
                  </to>
                </anchor>
              </controlPr>
            </control>
          </mc:Choice>
        </mc:AlternateContent>
        <mc:AlternateContent xmlns:mc="http://schemas.openxmlformats.org/markup-compatibility/2006">
          <mc:Choice Requires="x14">
            <control shapeId="3526" r:id="rId94" name="Check Box 454">
              <controlPr defaultSize="0" autoFill="0" autoLine="0" autoPict="0">
                <anchor moveWithCells="1">
                  <from>
                    <xdr:col>2</xdr:col>
                    <xdr:colOff>171450</xdr:colOff>
                    <xdr:row>23</xdr:row>
                    <xdr:rowOff>47625</xdr:rowOff>
                  </from>
                  <to>
                    <xdr:col>2</xdr:col>
                    <xdr:colOff>695325</xdr:colOff>
                    <xdr:row>23</xdr:row>
                    <xdr:rowOff>190500</xdr:rowOff>
                  </to>
                </anchor>
              </controlPr>
            </control>
          </mc:Choice>
        </mc:AlternateContent>
        <mc:AlternateContent xmlns:mc="http://schemas.openxmlformats.org/markup-compatibility/2006">
          <mc:Choice Requires="x14">
            <control shapeId="3527" r:id="rId95" name="Check Box 455">
              <controlPr defaultSize="0" autoFill="0" autoLine="0" autoPict="0">
                <anchor moveWithCells="1">
                  <from>
                    <xdr:col>2</xdr:col>
                    <xdr:colOff>171450</xdr:colOff>
                    <xdr:row>25</xdr:row>
                    <xdr:rowOff>47625</xdr:rowOff>
                  </from>
                  <to>
                    <xdr:col>2</xdr:col>
                    <xdr:colOff>695325</xdr:colOff>
                    <xdr:row>25</xdr:row>
                    <xdr:rowOff>190500</xdr:rowOff>
                  </to>
                </anchor>
              </controlPr>
            </control>
          </mc:Choice>
        </mc:AlternateContent>
        <mc:AlternateContent xmlns:mc="http://schemas.openxmlformats.org/markup-compatibility/2006">
          <mc:Choice Requires="x14">
            <control shapeId="3528" r:id="rId96" name="Check Box 456">
              <controlPr defaultSize="0" autoFill="0" autoLine="0" autoPict="0">
                <anchor moveWithCells="1">
                  <from>
                    <xdr:col>2</xdr:col>
                    <xdr:colOff>171450</xdr:colOff>
                    <xdr:row>27</xdr:row>
                    <xdr:rowOff>47625</xdr:rowOff>
                  </from>
                  <to>
                    <xdr:col>2</xdr:col>
                    <xdr:colOff>695325</xdr:colOff>
                    <xdr:row>27</xdr:row>
                    <xdr:rowOff>190500</xdr:rowOff>
                  </to>
                </anchor>
              </controlPr>
            </control>
          </mc:Choice>
        </mc:AlternateContent>
        <mc:AlternateContent xmlns:mc="http://schemas.openxmlformats.org/markup-compatibility/2006">
          <mc:Choice Requires="x14">
            <control shapeId="3529" r:id="rId97" name="Check Box 457">
              <controlPr defaultSize="0" autoFill="0" autoLine="0" autoPict="0">
                <anchor moveWithCells="1">
                  <from>
                    <xdr:col>2</xdr:col>
                    <xdr:colOff>171450</xdr:colOff>
                    <xdr:row>22</xdr:row>
                    <xdr:rowOff>47625</xdr:rowOff>
                  </from>
                  <to>
                    <xdr:col>2</xdr:col>
                    <xdr:colOff>695325</xdr:colOff>
                    <xdr:row>22</xdr:row>
                    <xdr:rowOff>190500</xdr:rowOff>
                  </to>
                </anchor>
              </controlPr>
            </control>
          </mc:Choice>
        </mc:AlternateContent>
        <mc:AlternateContent xmlns:mc="http://schemas.openxmlformats.org/markup-compatibility/2006">
          <mc:Choice Requires="x14">
            <control shapeId="3530" r:id="rId98" name="Check Box 458">
              <controlPr defaultSize="0" autoFill="0" autoLine="0" autoPict="0">
                <anchor moveWithCells="1">
                  <from>
                    <xdr:col>2</xdr:col>
                    <xdr:colOff>171450</xdr:colOff>
                    <xdr:row>26</xdr:row>
                    <xdr:rowOff>47625</xdr:rowOff>
                  </from>
                  <to>
                    <xdr:col>2</xdr:col>
                    <xdr:colOff>695325</xdr:colOff>
                    <xdr:row>26</xdr:row>
                    <xdr:rowOff>190500</xdr:rowOff>
                  </to>
                </anchor>
              </controlPr>
            </control>
          </mc:Choice>
        </mc:AlternateContent>
        <mc:AlternateContent xmlns:mc="http://schemas.openxmlformats.org/markup-compatibility/2006">
          <mc:Choice Requires="x14">
            <control shapeId="3531" r:id="rId99" name="Check Box 459">
              <controlPr defaultSize="0" autoFill="0" autoLine="0" autoPict="0">
                <anchor moveWithCells="1">
                  <from>
                    <xdr:col>2</xdr:col>
                    <xdr:colOff>171450</xdr:colOff>
                    <xdr:row>19</xdr:row>
                    <xdr:rowOff>47625</xdr:rowOff>
                  </from>
                  <to>
                    <xdr:col>2</xdr:col>
                    <xdr:colOff>695325</xdr:colOff>
                    <xdr:row>19</xdr:row>
                    <xdr:rowOff>190500</xdr:rowOff>
                  </to>
                </anchor>
              </controlPr>
            </control>
          </mc:Choice>
        </mc:AlternateContent>
        <mc:AlternateContent xmlns:mc="http://schemas.openxmlformats.org/markup-compatibility/2006">
          <mc:Choice Requires="x14">
            <control shapeId="3532" r:id="rId100" name="Check Box 460">
              <controlPr defaultSize="0" autoFill="0" autoLine="0" autoPict="0">
                <anchor moveWithCells="1">
                  <from>
                    <xdr:col>2</xdr:col>
                    <xdr:colOff>171450</xdr:colOff>
                    <xdr:row>29</xdr:row>
                    <xdr:rowOff>47625</xdr:rowOff>
                  </from>
                  <to>
                    <xdr:col>2</xdr:col>
                    <xdr:colOff>695325</xdr:colOff>
                    <xdr:row>29</xdr:row>
                    <xdr:rowOff>190500</xdr:rowOff>
                  </to>
                </anchor>
              </controlPr>
            </control>
          </mc:Choice>
        </mc:AlternateContent>
        <mc:AlternateContent xmlns:mc="http://schemas.openxmlformats.org/markup-compatibility/2006">
          <mc:Choice Requires="x14">
            <control shapeId="3533" r:id="rId101" name="Check Box 461">
              <controlPr defaultSize="0" autoFill="0" autoLine="0" autoPict="0">
                <anchor moveWithCells="1">
                  <from>
                    <xdr:col>2</xdr:col>
                    <xdr:colOff>171450</xdr:colOff>
                    <xdr:row>30</xdr:row>
                    <xdr:rowOff>47625</xdr:rowOff>
                  </from>
                  <to>
                    <xdr:col>2</xdr:col>
                    <xdr:colOff>695325</xdr:colOff>
                    <xdr:row>30</xdr:row>
                    <xdr:rowOff>190500</xdr:rowOff>
                  </to>
                </anchor>
              </controlPr>
            </control>
          </mc:Choice>
        </mc:AlternateContent>
        <mc:AlternateContent xmlns:mc="http://schemas.openxmlformats.org/markup-compatibility/2006">
          <mc:Choice Requires="x14">
            <control shapeId="3534" r:id="rId102" name="Check Box 462">
              <controlPr defaultSize="0" autoFill="0" autoLine="0" autoPict="0">
                <anchor moveWithCells="1">
                  <from>
                    <xdr:col>2</xdr:col>
                    <xdr:colOff>171450</xdr:colOff>
                    <xdr:row>70</xdr:row>
                    <xdr:rowOff>47625</xdr:rowOff>
                  </from>
                  <to>
                    <xdr:col>2</xdr:col>
                    <xdr:colOff>695325</xdr:colOff>
                    <xdr:row>70</xdr:row>
                    <xdr:rowOff>190500</xdr:rowOff>
                  </to>
                </anchor>
              </controlPr>
            </control>
          </mc:Choice>
        </mc:AlternateContent>
        <mc:AlternateContent xmlns:mc="http://schemas.openxmlformats.org/markup-compatibility/2006">
          <mc:Choice Requires="x14">
            <control shapeId="3535" r:id="rId103" name="Check Box 463">
              <controlPr defaultSize="0" autoFill="0" autoLine="0" autoPict="0">
                <anchor moveWithCells="1">
                  <from>
                    <xdr:col>2</xdr:col>
                    <xdr:colOff>171450</xdr:colOff>
                    <xdr:row>95</xdr:row>
                    <xdr:rowOff>47625</xdr:rowOff>
                  </from>
                  <to>
                    <xdr:col>2</xdr:col>
                    <xdr:colOff>695325</xdr:colOff>
                    <xdr:row>95</xdr:row>
                    <xdr:rowOff>190500</xdr:rowOff>
                  </to>
                </anchor>
              </controlPr>
            </control>
          </mc:Choice>
        </mc:AlternateContent>
        <mc:AlternateContent xmlns:mc="http://schemas.openxmlformats.org/markup-compatibility/2006">
          <mc:Choice Requires="x14">
            <control shapeId="3536" r:id="rId104" name="Check Box 464">
              <controlPr defaultSize="0" autoFill="0" autoLine="0" autoPict="0">
                <anchor moveWithCells="1">
                  <from>
                    <xdr:col>2</xdr:col>
                    <xdr:colOff>171450</xdr:colOff>
                    <xdr:row>123</xdr:row>
                    <xdr:rowOff>47625</xdr:rowOff>
                  </from>
                  <to>
                    <xdr:col>2</xdr:col>
                    <xdr:colOff>695325</xdr:colOff>
                    <xdr:row>123</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86" yWindow="336" count="2">
        <x14:dataValidation type="list" allowBlank="1" showInputMessage="1" showErrorMessage="1" promptTitle="申請人規模：" prompt="會影響美國案、加拿大案的【官方費用】" xr:uid="{E2761FE7-D7C4-4D07-9F0B-B6F12459CA80}">
          <x14:formula1>
            <xm:f>選項!$G$2:$G$4</xm:f>
          </x14:formula1>
          <xm:sqref>B9</xm:sqref>
        </x14:dataValidation>
        <x14:dataValidation type="list" allowBlank="1" showInputMessage="1" showErrorMessage="1" promptTitle="申請人屬性：" prompt="會影響台灣案在年費階段的【官方費用】，請注意，企業需符合經濟部的中小企業認定標準才能算【中小企業】" xr:uid="{437E9671-15F7-47AE-B0EC-EA9D884B087C}">
          <x14:formula1>
            <xm:f>選項!$H$2:$H$5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工作表4"/>
  <dimension ref="A2:CL82"/>
  <sheetViews>
    <sheetView zoomScale="85" zoomScaleNormal="85" workbookViewId="0">
      <pane xSplit="3" topLeftCell="D1" activePane="topRight" state="frozen"/>
      <selection activeCell="B7" sqref="B7:B8"/>
      <selection pane="topRight" activeCell="B7" sqref="B7:B8"/>
    </sheetView>
  </sheetViews>
  <sheetFormatPr defaultRowHeight="16.5" x14ac:dyDescent="0.25"/>
  <cols>
    <col min="1" max="1" width="11.75" customWidth="1"/>
    <col min="2" max="2" width="10.25" bestFit="1" customWidth="1"/>
    <col min="3" max="3" width="7.5" bestFit="1" customWidth="1"/>
    <col min="4" max="4" width="5.75" customWidth="1"/>
    <col min="5" max="5" width="12" bestFit="1" customWidth="1"/>
    <col min="6" max="6" width="11.625" customWidth="1"/>
    <col min="7" max="7" width="13.125" customWidth="1"/>
    <col min="8" max="8" width="13.875" bestFit="1" customWidth="1"/>
    <col min="9" max="9" width="13" bestFit="1" customWidth="1"/>
    <col min="10" max="10" width="10.625" bestFit="1" customWidth="1"/>
    <col min="11" max="11" width="15.25" bestFit="1" customWidth="1"/>
    <col min="12" max="12" width="9.75" bestFit="1" customWidth="1"/>
    <col min="13" max="13" width="12.625" bestFit="1" customWidth="1"/>
    <col min="14" max="14" width="7.5" customWidth="1"/>
    <col min="15" max="15" width="14.625" customWidth="1"/>
    <col min="16" max="16" width="13.875" bestFit="1" customWidth="1"/>
    <col min="17" max="17" width="8.625" bestFit="1" customWidth="1"/>
    <col min="18" max="18" width="11.625" bestFit="1" customWidth="1"/>
    <col min="19" max="19" width="13.75" bestFit="1" customWidth="1"/>
    <col min="20" max="20" width="13.375" customWidth="1"/>
    <col min="21" max="21" width="9.75" bestFit="1" customWidth="1"/>
    <col min="22" max="22" width="7.5" customWidth="1"/>
    <col min="23" max="23" width="8.625" bestFit="1" customWidth="1"/>
    <col min="24" max="24" width="16" customWidth="1"/>
    <col min="25" max="25" width="11.625" customWidth="1"/>
    <col min="26" max="26" width="11.75" bestFit="1" customWidth="1"/>
    <col min="27" max="27" width="19.375" customWidth="1"/>
    <col min="28" max="28" width="9.5" customWidth="1"/>
    <col min="29" max="29" width="14" bestFit="1" customWidth="1"/>
    <col min="30" max="30" width="10.75" customWidth="1"/>
    <col min="31" max="31" width="11.625" bestFit="1" customWidth="1"/>
    <col min="36" max="37" width="12.875" bestFit="1" customWidth="1"/>
    <col min="38" max="38" width="13.875" bestFit="1" customWidth="1"/>
    <col min="39" max="40" width="12.875" bestFit="1" customWidth="1"/>
    <col min="42" max="42" width="11.625" bestFit="1" customWidth="1"/>
    <col min="44" max="44" width="13.875" bestFit="1" customWidth="1"/>
    <col min="45" max="45" width="11.625" bestFit="1" customWidth="1"/>
    <col min="46" max="46" width="13.75" bestFit="1" customWidth="1"/>
    <col min="47" max="47" width="13" customWidth="1"/>
    <col min="48" max="48" width="16.25" bestFit="1" customWidth="1"/>
    <col min="49" max="49" width="12.75" bestFit="1" customWidth="1"/>
    <col min="50" max="50" width="18.875" customWidth="1"/>
    <col min="51" max="51" width="9.5" bestFit="1" customWidth="1"/>
    <col min="52" max="52" width="13" bestFit="1" customWidth="1"/>
    <col min="53" max="53" width="15.5" customWidth="1"/>
    <col min="54" max="54" width="12.75" bestFit="1" customWidth="1"/>
    <col min="56" max="56" width="13.875" bestFit="1" customWidth="1"/>
    <col min="57" max="57" width="12.75" bestFit="1" customWidth="1"/>
    <col min="58" max="58" width="12.75" customWidth="1"/>
    <col min="59" max="59" width="12.75" bestFit="1" customWidth="1"/>
    <col min="60" max="60" width="12.75" customWidth="1"/>
    <col min="61" max="61" width="14.25" customWidth="1"/>
    <col min="62" max="62" width="14" customWidth="1"/>
    <col min="63" max="63" width="13.5" customWidth="1"/>
    <col min="64" max="64" width="13.125" bestFit="1" customWidth="1"/>
    <col min="65" max="65" width="17.375" customWidth="1"/>
    <col min="67" max="68" width="14" bestFit="1" customWidth="1"/>
    <col min="70" max="70" width="11.625" customWidth="1"/>
    <col min="71" max="71" width="11.25" bestFit="1" customWidth="1"/>
    <col min="72" max="72" width="10.625" bestFit="1" customWidth="1"/>
    <col min="73" max="73" width="16.375" customWidth="1"/>
  </cols>
  <sheetData>
    <row r="2" spans="1:73" ht="16.5" customHeight="1" x14ac:dyDescent="0.25">
      <c r="A2" s="9" t="s">
        <v>55</v>
      </c>
    </row>
    <row r="3" spans="1:73" ht="16.5" customHeight="1" x14ac:dyDescent="0.25">
      <c r="A3" s="9" t="s">
        <v>54</v>
      </c>
    </row>
    <row r="4" spans="1:73" x14ac:dyDescent="0.25">
      <c r="A4" s="188" t="s">
        <v>24</v>
      </c>
      <c r="B4" s="189"/>
      <c r="I4" s="188" t="s">
        <v>115</v>
      </c>
      <c r="J4" s="190"/>
      <c r="K4" s="190"/>
      <c r="L4" s="189"/>
      <c r="O4">
        <f>ROUNDUP(B5/10,0)</f>
        <v>1</v>
      </c>
      <c r="R4" s="195" t="s">
        <v>190</v>
      </c>
      <c r="S4" s="196"/>
      <c r="T4" s="195" t="s">
        <v>111</v>
      </c>
      <c r="U4" s="196"/>
    </row>
    <row r="5" spans="1:73" x14ac:dyDescent="0.25">
      <c r="A5" s="6" t="s">
        <v>105</v>
      </c>
      <c r="B5" s="21">
        <f>設計案成本估算!B5</f>
        <v>1</v>
      </c>
      <c r="C5" t="s">
        <v>87</v>
      </c>
      <c r="I5" s="6" t="s">
        <v>75</v>
      </c>
      <c r="J5" s="14">
        <f>設計案成本估算!K5</f>
        <v>32</v>
      </c>
      <c r="K5" s="6" t="s">
        <v>74</v>
      </c>
      <c r="L5" s="14">
        <f>設計案成本估算!M5</f>
        <v>4.75</v>
      </c>
      <c r="R5" s="5" t="s">
        <v>1</v>
      </c>
      <c r="S5" s="5" t="b">
        <v>1</v>
      </c>
      <c r="T5" s="5" t="s">
        <v>112</v>
      </c>
      <c r="U5" s="5" t="b">
        <v>1</v>
      </c>
    </row>
    <row r="6" spans="1:73" x14ac:dyDescent="0.25">
      <c r="A6" s="6" t="s">
        <v>104</v>
      </c>
      <c r="B6" s="21">
        <f>設計案成本估算!B6</f>
        <v>8</v>
      </c>
      <c r="C6" t="s">
        <v>87</v>
      </c>
      <c r="I6" s="3" t="s">
        <v>76</v>
      </c>
      <c r="J6" s="14">
        <f>設計案成本估算!K6</f>
        <v>37.5</v>
      </c>
      <c r="K6" s="3" t="s">
        <v>79</v>
      </c>
      <c r="L6" s="14">
        <f>設計案成本估算!M6</f>
        <v>25</v>
      </c>
      <c r="R6" s="5" t="s">
        <v>189</v>
      </c>
      <c r="S6" s="5" t="b">
        <v>1</v>
      </c>
      <c r="T6" s="5" t="s">
        <v>113</v>
      </c>
      <c r="U6" s="5" t="b">
        <v>1</v>
      </c>
    </row>
    <row r="7" spans="1:73" x14ac:dyDescent="0.25">
      <c r="A7" s="218" t="s">
        <v>117</v>
      </c>
      <c r="B7" s="220"/>
      <c r="C7" t="s">
        <v>120</v>
      </c>
      <c r="I7" s="3" t="s">
        <v>77</v>
      </c>
      <c r="J7" s="14">
        <f>設計案成本估算!K7</f>
        <v>0.21</v>
      </c>
      <c r="K7" s="3" t="s">
        <v>80</v>
      </c>
      <c r="L7" s="14">
        <f>設計案成本估算!M7</f>
        <v>1.4E-3</v>
      </c>
      <c r="R7" s="5" t="s">
        <v>188</v>
      </c>
      <c r="S7" s="5" t="b">
        <v>1</v>
      </c>
      <c r="T7" s="5" t="s">
        <v>114</v>
      </c>
      <c r="U7" s="5" t="b">
        <v>1</v>
      </c>
    </row>
    <row r="8" spans="1:73" x14ac:dyDescent="0.25">
      <c r="A8" s="219"/>
      <c r="B8" s="221"/>
      <c r="I8" s="3" t="s">
        <v>78</v>
      </c>
      <c r="J8" s="14">
        <f>設計案成本估算!K8</f>
        <v>2.5000000000000001E-2</v>
      </c>
      <c r="K8" s="3" t="s">
        <v>82</v>
      </c>
      <c r="L8" s="14">
        <f>設計案成本估算!M8</f>
        <v>8.3000000000000007</v>
      </c>
      <c r="R8" s="5" t="s">
        <v>183</v>
      </c>
      <c r="S8" s="5" t="b">
        <v>1</v>
      </c>
    </row>
    <row r="9" spans="1:73" x14ac:dyDescent="0.25">
      <c r="A9" s="6" t="s">
        <v>30</v>
      </c>
      <c r="B9" s="13" t="str">
        <f>設計案成本估算!B9</f>
        <v>少於100人</v>
      </c>
      <c r="C9" t="s">
        <v>84</v>
      </c>
      <c r="I9" s="3" t="s">
        <v>81</v>
      </c>
      <c r="J9" s="14">
        <f>設計案成本估算!K9</f>
        <v>1.1000000000000001</v>
      </c>
      <c r="K9" s="3" t="s">
        <v>83</v>
      </c>
      <c r="L9" s="14">
        <f>設計案成本估算!M9</f>
        <v>23.5</v>
      </c>
    </row>
    <row r="10" spans="1:73" x14ac:dyDescent="0.25">
      <c r="A10" s="6" t="s">
        <v>62</v>
      </c>
      <c r="B10" s="21" t="str">
        <f>設計案成本估算!B10</f>
        <v>中小企業</v>
      </c>
      <c r="C10" t="s">
        <v>88</v>
      </c>
      <c r="I10" s="3" t="s">
        <v>228</v>
      </c>
      <c r="J10" s="14">
        <f>設計案成本估算!K10</f>
        <v>43.5</v>
      </c>
      <c r="K10" s="3" t="s">
        <v>316</v>
      </c>
      <c r="L10" s="14">
        <f>設計案成本估算!M10</f>
        <v>23</v>
      </c>
    </row>
    <row r="12" spans="1:73" ht="16.5" customHeight="1" x14ac:dyDescent="0.25">
      <c r="A12" s="30" t="s">
        <v>226</v>
      </c>
      <c r="AG12" s="30" t="s">
        <v>227</v>
      </c>
      <c r="AH12" s="31"/>
      <c r="AI12" s="31"/>
      <c r="AJ12" s="31"/>
      <c r="AK12" s="31"/>
      <c r="AL12" s="31"/>
      <c r="AM12" s="31"/>
      <c r="AN12" s="31"/>
      <c r="AO12" s="31"/>
      <c r="AP12" s="31"/>
      <c r="AQ12" s="31"/>
      <c r="AR12" s="31"/>
      <c r="AS12" s="31"/>
      <c r="AT12" s="31"/>
    </row>
    <row r="13" spans="1:73" ht="16.5" customHeight="1" thickBot="1" x14ac:dyDescent="0.3">
      <c r="A13" s="222" t="s">
        <v>176</v>
      </c>
      <c r="B13" s="222"/>
      <c r="C13" s="222"/>
      <c r="D13" s="222"/>
      <c r="E13" s="222"/>
      <c r="F13" s="222"/>
      <c r="G13" s="222"/>
      <c r="H13" s="222"/>
      <c r="I13" s="222"/>
      <c r="J13" s="222"/>
      <c r="K13" s="222"/>
      <c r="L13" s="222"/>
      <c r="M13" s="222"/>
      <c r="N13" s="222"/>
      <c r="O13" s="222"/>
      <c r="P13" s="222"/>
      <c r="Q13" s="222"/>
      <c r="R13" s="222"/>
      <c r="S13" s="222"/>
      <c r="T13" s="223"/>
      <c r="U13" s="223"/>
      <c r="V13" s="223"/>
      <c r="W13" s="223"/>
      <c r="X13" s="223"/>
      <c r="Y13" s="223"/>
      <c r="Z13" s="223"/>
      <c r="AA13" s="224"/>
      <c r="AC13" s="169" t="s">
        <v>57</v>
      </c>
      <c r="AD13" s="170"/>
      <c r="AE13" s="170"/>
      <c r="AG13" s="182" t="s">
        <v>177</v>
      </c>
      <c r="AH13" s="183"/>
      <c r="AI13" s="183"/>
      <c r="AJ13" s="183"/>
      <c r="AK13" s="183"/>
      <c r="AL13" s="183"/>
      <c r="AM13" s="183"/>
      <c r="AN13" s="183"/>
      <c r="AO13" s="183"/>
      <c r="AP13" s="183"/>
      <c r="AQ13" s="183"/>
      <c r="AR13" s="183"/>
      <c r="AS13" s="183"/>
      <c r="AT13" s="183"/>
      <c r="AU13" s="183"/>
      <c r="AV13" s="183"/>
      <c r="AW13" s="183"/>
      <c r="AX13" s="183"/>
      <c r="AY13" s="183"/>
      <c r="AZ13" s="169" t="s">
        <v>181</v>
      </c>
      <c r="BA13" s="170"/>
      <c r="BB13" s="170"/>
      <c r="BD13" s="169" t="s">
        <v>223</v>
      </c>
      <c r="BE13" s="170"/>
      <c r="BF13" s="170"/>
      <c r="BG13" s="170"/>
      <c r="BH13" s="170"/>
      <c r="BI13" s="171"/>
      <c r="BJ13" s="171"/>
      <c r="BK13" s="171"/>
      <c r="BL13" s="171"/>
      <c r="BM13" s="172"/>
      <c r="BO13" s="169" t="s">
        <v>85</v>
      </c>
      <c r="BP13" s="170"/>
      <c r="BR13" s="169" t="s">
        <v>86</v>
      </c>
      <c r="BS13" s="173"/>
      <c r="BT13" s="173"/>
      <c r="BU13" s="173"/>
    </row>
    <row r="14" spans="1:73" ht="33" customHeight="1" thickTop="1" x14ac:dyDescent="0.25">
      <c r="A14" s="191" t="s">
        <v>91</v>
      </c>
      <c r="B14" s="191" t="s">
        <v>0</v>
      </c>
      <c r="C14" s="180" t="s">
        <v>277</v>
      </c>
      <c r="D14" s="192" t="s">
        <v>40</v>
      </c>
      <c r="E14" s="193"/>
      <c r="F14" s="193"/>
      <c r="G14" s="193"/>
      <c r="H14" s="193"/>
      <c r="I14" s="194"/>
      <c r="J14" s="179"/>
      <c r="K14" s="192" t="s">
        <v>29</v>
      </c>
      <c r="L14" s="193"/>
      <c r="M14" s="193"/>
      <c r="N14" s="193"/>
      <c r="O14" s="193"/>
      <c r="P14" s="193"/>
      <c r="Q14" s="193"/>
      <c r="R14" s="194"/>
      <c r="S14" s="179"/>
      <c r="T14" s="16" t="s">
        <v>52</v>
      </c>
      <c r="U14" s="177" t="s">
        <v>27</v>
      </c>
      <c r="V14" s="178"/>
      <c r="W14" s="178"/>
      <c r="X14" s="178"/>
      <c r="Y14" s="179"/>
      <c r="Z14" s="198" t="s">
        <v>201</v>
      </c>
      <c r="AA14" s="198" t="s">
        <v>202</v>
      </c>
      <c r="AB14" s="176" t="s">
        <v>90</v>
      </c>
      <c r="AC14" s="165" t="s">
        <v>70</v>
      </c>
      <c r="AD14" s="165" t="s">
        <v>69</v>
      </c>
      <c r="AE14" s="174" t="s">
        <v>203</v>
      </c>
      <c r="AG14" s="176" t="s">
        <v>91</v>
      </c>
      <c r="AH14" s="180" t="s">
        <v>278</v>
      </c>
      <c r="AI14" s="184" t="s">
        <v>243</v>
      </c>
      <c r="AJ14" s="185"/>
      <c r="AK14" s="185"/>
      <c r="AL14" s="185"/>
      <c r="AM14" s="186"/>
      <c r="AN14" s="187"/>
      <c r="AO14" s="184" t="s">
        <v>244</v>
      </c>
      <c r="AP14" s="185"/>
      <c r="AQ14" s="185"/>
      <c r="AR14" s="185"/>
      <c r="AS14" s="186"/>
      <c r="AT14" s="187"/>
      <c r="AU14" s="23" t="s">
        <v>245</v>
      </c>
      <c r="AV14" s="18" t="s">
        <v>27</v>
      </c>
      <c r="AW14" s="197" t="s">
        <v>246</v>
      </c>
      <c r="AX14" s="197" t="s">
        <v>257</v>
      </c>
      <c r="AY14" s="176" t="s">
        <v>90</v>
      </c>
      <c r="AZ14" s="165" t="s">
        <v>247</v>
      </c>
      <c r="BA14" s="165" t="s">
        <v>248</v>
      </c>
      <c r="BB14" s="174" t="s">
        <v>249</v>
      </c>
      <c r="BD14" s="176" t="s">
        <v>92</v>
      </c>
      <c r="BE14" s="165" t="s">
        <v>219</v>
      </c>
      <c r="BF14" s="165" t="s">
        <v>220</v>
      </c>
      <c r="BG14" s="165" t="s">
        <v>250</v>
      </c>
      <c r="BH14" s="226" t="s">
        <v>221</v>
      </c>
      <c r="BI14" s="228" t="s">
        <v>222</v>
      </c>
      <c r="BJ14" s="167" t="s">
        <v>251</v>
      </c>
      <c r="BK14" s="167" t="s">
        <v>252</v>
      </c>
      <c r="BL14" s="167" t="s">
        <v>255</v>
      </c>
      <c r="BM14" s="167" t="s">
        <v>258</v>
      </c>
      <c r="BO14" s="165" t="s">
        <v>204</v>
      </c>
      <c r="BP14" s="165" t="s">
        <v>253</v>
      </c>
      <c r="BR14" s="165" t="s">
        <v>70</v>
      </c>
      <c r="BS14" s="165" t="s">
        <v>69</v>
      </c>
      <c r="BT14" s="174" t="s">
        <v>203</v>
      </c>
      <c r="BU14" s="165" t="s">
        <v>254</v>
      </c>
    </row>
    <row r="15" spans="1:73" ht="16.5" customHeight="1" x14ac:dyDescent="0.25">
      <c r="A15" s="191"/>
      <c r="B15" s="191"/>
      <c r="C15" s="176"/>
      <c r="D15" s="4" t="s">
        <v>12</v>
      </c>
      <c r="E15" s="3" t="s">
        <v>1</v>
      </c>
      <c r="F15" s="3" t="s">
        <v>37</v>
      </c>
      <c r="G15" s="145" t="s">
        <v>276</v>
      </c>
      <c r="H15" s="3" t="s">
        <v>103</v>
      </c>
      <c r="I15" s="4" t="s">
        <v>51</v>
      </c>
      <c r="J15" s="4" t="s">
        <v>41</v>
      </c>
      <c r="K15" s="4" t="s">
        <v>12</v>
      </c>
      <c r="L15" s="3" t="s">
        <v>1</v>
      </c>
      <c r="M15" s="3" t="s">
        <v>28</v>
      </c>
      <c r="N15" s="3" t="s">
        <v>37</v>
      </c>
      <c r="O15" s="145" t="s">
        <v>276</v>
      </c>
      <c r="P15" s="3" t="s">
        <v>103</v>
      </c>
      <c r="Q15" s="3" t="s">
        <v>38</v>
      </c>
      <c r="R15" s="4" t="s">
        <v>51</v>
      </c>
      <c r="S15" s="4" t="s">
        <v>41</v>
      </c>
      <c r="T15" s="4" t="s">
        <v>41</v>
      </c>
      <c r="U15" s="3" t="s">
        <v>23</v>
      </c>
      <c r="V15" s="3" t="s">
        <v>25</v>
      </c>
      <c r="W15" s="3" t="s">
        <v>26</v>
      </c>
      <c r="X15" s="145" t="s">
        <v>308</v>
      </c>
      <c r="Y15" s="3" t="s">
        <v>39</v>
      </c>
      <c r="Z15" s="191"/>
      <c r="AA15" s="191"/>
      <c r="AB15" s="176"/>
      <c r="AC15" s="166"/>
      <c r="AD15" s="166"/>
      <c r="AE15" s="175"/>
      <c r="AG15" s="176"/>
      <c r="AH15" s="176"/>
      <c r="AI15" s="24" t="s">
        <v>12</v>
      </c>
      <c r="AJ15" s="3" t="s">
        <v>61</v>
      </c>
      <c r="AK15" s="51" t="s">
        <v>229</v>
      </c>
      <c r="AL15" s="3" t="s">
        <v>26</v>
      </c>
      <c r="AM15" s="24" t="s">
        <v>51</v>
      </c>
      <c r="AN15" s="24" t="s">
        <v>41</v>
      </c>
      <c r="AO15" s="24" t="s">
        <v>12</v>
      </c>
      <c r="AP15" s="3" t="s">
        <v>61</v>
      </c>
      <c r="AQ15" s="51" t="s">
        <v>229</v>
      </c>
      <c r="AR15" s="3" t="s">
        <v>26</v>
      </c>
      <c r="AS15" s="24" t="s">
        <v>51</v>
      </c>
      <c r="AT15" s="24" t="s">
        <v>41</v>
      </c>
      <c r="AU15" s="24" t="s">
        <v>41</v>
      </c>
      <c r="AV15" s="3" t="s">
        <v>189</v>
      </c>
      <c r="AW15" s="181"/>
      <c r="AX15" s="181"/>
      <c r="AY15" s="176"/>
      <c r="AZ15" s="166"/>
      <c r="BA15" s="166"/>
      <c r="BB15" s="175"/>
      <c r="BD15" s="176"/>
      <c r="BE15" s="166"/>
      <c r="BF15" s="166"/>
      <c r="BG15" s="166"/>
      <c r="BH15" s="227"/>
      <c r="BI15" s="229"/>
      <c r="BJ15" s="168"/>
      <c r="BK15" s="168"/>
      <c r="BL15" s="168"/>
      <c r="BM15" s="168"/>
      <c r="BO15" s="166"/>
      <c r="BP15" s="166"/>
      <c r="BR15" s="166"/>
      <c r="BS15" s="166"/>
      <c r="BT15" s="175"/>
      <c r="BU15" s="166"/>
    </row>
    <row r="16" spans="1:73" x14ac:dyDescent="0.25">
      <c r="A16" s="3" t="s">
        <v>2</v>
      </c>
      <c r="B16" s="3" t="s">
        <v>43</v>
      </c>
      <c r="C16" s="15" t="b">
        <v>1</v>
      </c>
      <c r="D16" s="3" t="s">
        <v>13</v>
      </c>
      <c r="E16" s="7">
        <f>IF($B$5&gt;0,IF($U$5=FALSE,0,IF(C16=FALSE,0,2400)),0)</f>
        <v>2400</v>
      </c>
      <c r="F16" s="7">
        <v>0</v>
      </c>
      <c r="G16" s="7">
        <f>IF($B$5&gt;0,IF($U$5=FALSE,0,IF(E16=FALSE,0,($B$5-1)*2400)),0)</f>
        <v>0</v>
      </c>
      <c r="H16" s="7">
        <v>0</v>
      </c>
      <c r="I16" s="7">
        <f>IF($S$5=FALSE,0,SUM(E16:H16))</f>
        <v>2400</v>
      </c>
      <c r="J16" s="7">
        <f>I16*1</f>
        <v>2400</v>
      </c>
      <c r="K16" s="3" t="s">
        <v>13</v>
      </c>
      <c r="L16" s="7">
        <v>0</v>
      </c>
      <c r="M16" s="7">
        <v>0</v>
      </c>
      <c r="N16" s="7">
        <v>0</v>
      </c>
      <c r="O16" s="7">
        <v>0</v>
      </c>
      <c r="P16" s="7">
        <v>0</v>
      </c>
      <c r="Q16" s="7">
        <v>0</v>
      </c>
      <c r="R16" s="7">
        <f>IF($S$5=FALSE,0,SUM(L16:Q16))</f>
        <v>0</v>
      </c>
      <c r="S16" s="7">
        <f>R16*1</f>
        <v>0</v>
      </c>
      <c r="T16" s="7">
        <f>J16+S16</f>
        <v>2400</v>
      </c>
      <c r="U16" s="7">
        <f>IF($B$5&gt;0,IF($U$7=FALSE,0,IF(C16=FALSE,0,23000)),0)</f>
        <v>23000</v>
      </c>
      <c r="V16" s="7">
        <v>0</v>
      </c>
      <c r="W16" s="7">
        <f>IF($B$5&gt;0,IF($U$7=FALSE,0,IF(C16=FALSE,0,IF($B$6/$B$5&lt;=10,0,IF(選項!$K$2=1,1000*($B$6-$B$5*10),2000*($B$6-$B$5*10))))),0)</f>
        <v>0</v>
      </c>
      <c r="X16" s="7">
        <f>IF($B$5&gt;0,IF($U$7=FALSE,0,IF(C16=FALSE,0,IF(選項!$K$2=1,10000*($B$5-1),15000*($B$5-1)))),0)</f>
        <v>0</v>
      </c>
      <c r="Y16" s="7">
        <v>0</v>
      </c>
      <c r="Z16" s="7">
        <f>IF($S$5=FALSE,0,SUM(U16:Y16))</f>
        <v>23000</v>
      </c>
      <c r="AA16" s="7">
        <f t="shared" ref="AA16:AA29" si="0">T16+Z16</f>
        <v>25400</v>
      </c>
      <c r="AB16" s="3" t="str">
        <f t="shared" ref="AB16:AB29" si="1">A16</f>
        <v>台灣</v>
      </c>
      <c r="AC16" s="25">
        <f>J16</f>
        <v>2400</v>
      </c>
      <c r="AD16" s="25">
        <f>S16</f>
        <v>0</v>
      </c>
      <c r="AE16" s="25">
        <f>Z16</f>
        <v>23000</v>
      </c>
      <c r="AG16" s="15" t="str">
        <f t="shared" ref="AG16:AG29" si="2">A16</f>
        <v>台灣</v>
      </c>
      <c r="AH16" s="3">
        <f>IF($B$5&gt;0,IF(C16=FALSE,0,$B$5),0)</f>
        <v>1</v>
      </c>
      <c r="AI16" s="3" t="s">
        <v>13</v>
      </c>
      <c r="AJ16" s="7">
        <f>IF($B$5&gt;0,IF($U$5=FALSE,0,IF(C16=FALSE,0,IF($B$10="大企業",(1000+800),1000))),0)</f>
        <v>1000</v>
      </c>
      <c r="AK16" s="7">
        <f>IF($B$5&gt;0,IF($U$5=FALSE,0,IF(C16=FALSE,0,IF($B$10="大企業",(1000+800)*($B$5-1),1000*($B$5-1)))),0)</f>
        <v>0</v>
      </c>
      <c r="AL16" s="7"/>
      <c r="AM16" s="7">
        <f>IF($S$6=FALSE,0,SUM(AJ16:AL16))</f>
        <v>1000</v>
      </c>
      <c r="AN16" s="22">
        <f>AM16*1</f>
        <v>1000</v>
      </c>
      <c r="AO16" s="3" t="s">
        <v>13</v>
      </c>
      <c r="AP16" s="7"/>
      <c r="AQ16" s="7"/>
      <c r="AR16" s="7"/>
      <c r="AS16" s="7">
        <f>IF($S$6=FALSE,0,SUM(AP16:AR16))</f>
        <v>0</v>
      </c>
      <c r="AT16" s="22">
        <f>AS16*1</f>
        <v>0</v>
      </c>
      <c r="AU16" s="22">
        <f t="shared" ref="AU16:AU29" si="3">AN16+AT16</f>
        <v>1000</v>
      </c>
      <c r="AV16" s="7">
        <f>IF($B$5&gt;0,IF($U$7=FALSE,0,IF(C16=FALSE,0,0)),0)</f>
        <v>0</v>
      </c>
      <c r="AW16" s="22">
        <f>IF($S$6=FALSE,0,SUM(AV16:AV16))</f>
        <v>0</v>
      </c>
      <c r="AX16" s="22">
        <f t="shared" ref="AX16:AX29" si="4">AU16+AW16</f>
        <v>1000</v>
      </c>
      <c r="AY16" s="15" t="str">
        <f t="shared" ref="AY16:AY29" si="5">A16</f>
        <v>台灣</v>
      </c>
      <c r="AZ16" s="25">
        <f>AN16</f>
        <v>1000</v>
      </c>
      <c r="BA16" s="25">
        <f>AT16</f>
        <v>0</v>
      </c>
      <c r="BB16" s="25">
        <f>AW16</f>
        <v>0</v>
      </c>
      <c r="BD16" s="3" t="str">
        <f>A16</f>
        <v>台灣</v>
      </c>
      <c r="BE16" s="25">
        <f>AA16</f>
        <v>25400</v>
      </c>
      <c r="BF16" s="25">
        <f t="shared" ref="BF16" si="6">AA40</f>
        <v>20000</v>
      </c>
      <c r="BG16" s="25">
        <f>AX16</f>
        <v>1000</v>
      </c>
      <c r="BH16" s="79">
        <f t="shared" ref="BH16:BH31" si="7">AX40</f>
        <v>65400</v>
      </c>
      <c r="BI16" s="95">
        <f>BE16+BF16</f>
        <v>45400</v>
      </c>
      <c r="BJ16" s="80">
        <f>BE16+BG16</f>
        <v>26400</v>
      </c>
      <c r="BK16" s="80">
        <f>BE16+BF16+BG16</f>
        <v>46400</v>
      </c>
      <c r="BL16" s="80">
        <f>BG16+BH16</f>
        <v>66400</v>
      </c>
      <c r="BM16" s="80">
        <f>BI16+BL16</f>
        <v>111800</v>
      </c>
      <c r="BO16" s="25">
        <f t="shared" ref="BO16" si="8">AA16</f>
        <v>25400</v>
      </c>
      <c r="BP16" s="25">
        <f t="shared" ref="BP16" si="9">AX16</f>
        <v>1000</v>
      </c>
      <c r="BR16" s="25">
        <f t="shared" ref="BR16" si="10">AC16</f>
        <v>2400</v>
      </c>
      <c r="BS16" s="25">
        <f t="shared" ref="BS16" si="11">AD16</f>
        <v>0</v>
      </c>
      <c r="BT16" s="25">
        <f t="shared" ref="BT16" si="12">AE16</f>
        <v>23000</v>
      </c>
      <c r="BU16" s="25">
        <f>BF16+BG16+BH16</f>
        <v>86400</v>
      </c>
    </row>
    <row r="17" spans="1:73" x14ac:dyDescent="0.25">
      <c r="A17" s="3" t="s">
        <v>3</v>
      </c>
      <c r="B17" s="3" t="s">
        <v>43</v>
      </c>
      <c r="C17" s="15" t="b">
        <v>1</v>
      </c>
      <c r="D17" s="3" t="s">
        <v>14</v>
      </c>
      <c r="E17" s="7">
        <f>IF($B$5&gt;0,IF($U$5=FALSE,0,IF(C17=FALSE,0,ROUNDUP($B$5/10,0)*500)),0)</f>
        <v>500</v>
      </c>
      <c r="F17" s="7">
        <v>0</v>
      </c>
      <c r="G17" s="7">
        <v>0</v>
      </c>
      <c r="H17" s="7">
        <v>0</v>
      </c>
      <c r="I17" s="7">
        <f t="shared" ref="I17:I29" si="13">IF($S$5=FALSE,0,SUM(E17:H17))</f>
        <v>500</v>
      </c>
      <c r="J17" s="7">
        <f>I17*$L$5</f>
        <v>2375</v>
      </c>
      <c r="K17" s="3" t="s">
        <v>14</v>
      </c>
      <c r="L17" s="7">
        <f>IF($B$5&gt;0,IF($U$6=FALSE,0,IF(C17=FALSE,0,ROUNDUP($B$5/10,0)*950)),0)</f>
        <v>950</v>
      </c>
      <c r="M17" s="7">
        <v>0</v>
      </c>
      <c r="N17" s="7">
        <v>0</v>
      </c>
      <c r="O17" s="7">
        <v>0</v>
      </c>
      <c r="P17" s="7">
        <v>0</v>
      </c>
      <c r="Q17" s="7">
        <v>0</v>
      </c>
      <c r="R17" s="7">
        <f t="shared" ref="R17:R29" si="14">IF($S$5=FALSE,0,SUM(L17:Q17))</f>
        <v>950</v>
      </c>
      <c r="S17" s="7">
        <f>R17*$L$5</f>
        <v>4512.5</v>
      </c>
      <c r="T17" s="7">
        <f t="shared" ref="T17:T29" si="15">J17+S17</f>
        <v>6887.5</v>
      </c>
      <c r="U17" s="7">
        <f>IF($B$5&gt;0,IF($U$7=FALSE,0,IF(C17=FALSE,0,ROUNDUP($B$5/10,0)*26000)),0)</f>
        <v>26000</v>
      </c>
      <c r="V17" s="7">
        <v>0</v>
      </c>
      <c r="W17" s="7">
        <f>IF($B$5&gt;0,IF($U$7=FALSE,0,IF(C17=FALSE,0,IF($B$6/$B$5&lt;=10,0,IF(選項!$K$2=1,1000*($B$6-$B$5*10),2000*($B$6-$B$5*10))))),0)</f>
        <v>0</v>
      </c>
      <c r="X17" s="7">
        <f>IF($B$5&gt;0,IF($U$7=FALSE,0,IF(C17=FALSE,0,IF(選項!$K$2=1,10000*($B$5-1),15000*($B$5-1)))),0)</f>
        <v>0</v>
      </c>
      <c r="Y17" s="7">
        <v>0</v>
      </c>
      <c r="Z17" s="7">
        <f t="shared" ref="Z17:Z29" si="16">IF($S$5=FALSE,0,SUM(U17:Y17))</f>
        <v>26000</v>
      </c>
      <c r="AA17" s="7">
        <f t="shared" si="0"/>
        <v>32887.5</v>
      </c>
      <c r="AB17" s="3" t="str">
        <f t="shared" si="1"/>
        <v>大陸</v>
      </c>
      <c r="AC17" s="25">
        <f t="shared" ref="AC17:AC29" si="17">J17</f>
        <v>2375</v>
      </c>
      <c r="AD17" s="25">
        <f t="shared" ref="AD17:AD29" si="18">S17</f>
        <v>4512.5</v>
      </c>
      <c r="AE17" s="25">
        <f t="shared" ref="AE17:AE29" si="19">Z17</f>
        <v>26000</v>
      </c>
      <c r="AG17" s="15" t="str">
        <f t="shared" si="2"/>
        <v>大陸</v>
      </c>
      <c r="AH17" s="3">
        <f>IF($B$5&gt;0,IF(C17=FALSE,0,ROUNDUP($B$5/10,0)),0)</f>
        <v>1</v>
      </c>
      <c r="AI17" s="3" t="s">
        <v>14</v>
      </c>
      <c r="AJ17" s="7">
        <f>IF($B$5&gt;0,IF($U$5=FALSE,0,IF(C17=FALSE,0,ROUNDUP($B$5/10,0)*(5+600))),0)</f>
        <v>605</v>
      </c>
      <c r="AK17" s="7"/>
      <c r="AL17" s="7"/>
      <c r="AM17" s="7">
        <f t="shared" ref="AM17:AM29" si="20">IF($S$6=FALSE,0,SUM(AJ17:AL17))</f>
        <v>605</v>
      </c>
      <c r="AN17" s="22">
        <f>AM17*$L$5</f>
        <v>2873.75</v>
      </c>
      <c r="AO17" s="3" t="s">
        <v>14</v>
      </c>
      <c r="AP17" s="7">
        <f>IF($B$5&gt;0,IF($U$6=FALSE,0,IF(C17=FALSE,0,ROUNDUP($B$5/10,0)*200)),0)</f>
        <v>200</v>
      </c>
      <c r="AQ17" s="7"/>
      <c r="AR17" s="7"/>
      <c r="AS17" s="7">
        <f t="shared" ref="AS17:AS29" si="21">IF($S$6=FALSE,0,SUM(AP17:AR17))</f>
        <v>200</v>
      </c>
      <c r="AT17" s="22">
        <f>AS17*$L$5</f>
        <v>950</v>
      </c>
      <c r="AU17" s="22">
        <f t="shared" si="3"/>
        <v>3823.75</v>
      </c>
      <c r="AV17" s="7">
        <f>IF($B$5&gt;0,IF($U$7=FALSE,0,IF(C17=FALSE,0,2000)),0)</f>
        <v>2000</v>
      </c>
      <c r="AW17" s="22">
        <f t="shared" ref="AW17:AW29" si="22">IF($S$6=FALSE,0,SUM(AV17:AV17))</f>
        <v>2000</v>
      </c>
      <c r="AX17" s="22">
        <f t="shared" si="4"/>
        <v>5823.75</v>
      </c>
      <c r="AY17" s="15" t="str">
        <f t="shared" si="5"/>
        <v>大陸</v>
      </c>
      <c r="AZ17" s="25">
        <f t="shared" ref="AZ17:AZ29" si="23">AN17</f>
        <v>2873.75</v>
      </c>
      <c r="BA17" s="25">
        <f t="shared" ref="BA17:BA29" si="24">AT17</f>
        <v>950</v>
      </c>
      <c r="BB17" s="25">
        <f t="shared" ref="BB17:BB29" si="25">AW17</f>
        <v>2000</v>
      </c>
      <c r="BD17" s="3" t="str">
        <f t="shared" ref="BD17:BD29" si="26">A17</f>
        <v>大陸</v>
      </c>
      <c r="BE17" s="25">
        <f t="shared" ref="BE17:BE31" si="27">AA17</f>
        <v>32887.5</v>
      </c>
      <c r="BF17" s="25">
        <f t="shared" ref="BF17:BF31" si="28">AA41</f>
        <v>0</v>
      </c>
      <c r="BG17" s="25">
        <f t="shared" ref="BG17:BG31" si="29">AX17</f>
        <v>5823.75</v>
      </c>
      <c r="BH17" s="79">
        <f t="shared" si="7"/>
        <v>176900</v>
      </c>
      <c r="BI17" s="95">
        <f t="shared" ref="BI17:BI31" si="30">BE17+BF17</f>
        <v>32887.5</v>
      </c>
      <c r="BJ17" s="80">
        <f t="shared" ref="BJ17:BJ31" si="31">BE17+BG17</f>
        <v>38711.25</v>
      </c>
      <c r="BK17" s="80">
        <f t="shared" ref="BK17:BK31" si="32">BE17+BF17+BG17</f>
        <v>38711.25</v>
      </c>
      <c r="BL17" s="80">
        <f t="shared" ref="BL17:BL31" si="33">BG17+BH17</f>
        <v>182723.75</v>
      </c>
      <c r="BM17" s="80">
        <f t="shared" ref="BM17:BM31" si="34">BI17+BL17</f>
        <v>215611.25</v>
      </c>
      <c r="BO17" s="25">
        <f t="shared" ref="BO17:BO31" si="35">AA17</f>
        <v>32887.5</v>
      </c>
      <c r="BP17" s="25">
        <f t="shared" ref="BP17:BP31" si="36">AX17</f>
        <v>5823.75</v>
      </c>
      <c r="BR17" s="25">
        <f t="shared" ref="BR17:BR31" si="37">AC17</f>
        <v>2375</v>
      </c>
      <c r="BS17" s="25">
        <f t="shared" ref="BS17:BS31" si="38">AD17</f>
        <v>4512.5</v>
      </c>
      <c r="BT17" s="25">
        <f t="shared" ref="BT17:BT31" si="39">AE17</f>
        <v>26000</v>
      </c>
      <c r="BU17" s="25">
        <f t="shared" ref="BU17:BU31" si="40">BF17+BG17+BH17</f>
        <v>182723.75</v>
      </c>
    </row>
    <row r="18" spans="1:73" x14ac:dyDescent="0.25">
      <c r="A18" s="3" t="s">
        <v>4</v>
      </c>
      <c r="B18" s="3" t="s">
        <v>43</v>
      </c>
      <c r="C18" s="15" t="b">
        <v>1</v>
      </c>
      <c r="D18" s="3" t="s">
        <v>15</v>
      </c>
      <c r="E18" s="7">
        <f>IF($B$5&gt;0,IF($U$5=FALSE,0,IF(C18=FALSE,0,IF($B$9="500人以上",1300,520))),0)</f>
        <v>520</v>
      </c>
      <c r="F18" s="7">
        <v>0</v>
      </c>
      <c r="G18" s="7">
        <v>0</v>
      </c>
      <c r="H18" s="7">
        <v>0</v>
      </c>
      <c r="I18" s="7">
        <f t="shared" si="13"/>
        <v>520</v>
      </c>
      <c r="J18" s="7">
        <f>I18*$J$5</f>
        <v>16640</v>
      </c>
      <c r="K18" s="3" t="s">
        <v>15</v>
      </c>
      <c r="L18" s="7">
        <f>IF($B$5&gt;0,IF($U$6=FALSE,0,IF(C18=FALSE,0,400+150)),0)</f>
        <v>550</v>
      </c>
      <c r="M18" s="7">
        <v>0</v>
      </c>
      <c r="N18" s="7">
        <v>0</v>
      </c>
      <c r="O18" s="7">
        <v>0</v>
      </c>
      <c r="P18" s="7">
        <f>IF($B$5&gt;0,IF($U$6=FALSE,0,IF(C18=FALSE,0,100)),0)</f>
        <v>100</v>
      </c>
      <c r="Q18" s="7">
        <v>0</v>
      </c>
      <c r="R18" s="7">
        <f t="shared" si="14"/>
        <v>650</v>
      </c>
      <c r="S18" s="7">
        <f>R18*$J$5</f>
        <v>20800</v>
      </c>
      <c r="T18" s="7">
        <f t="shared" si="15"/>
        <v>37440</v>
      </c>
      <c r="U18" s="7">
        <f>IF($B$5&gt;0,IF($U$7=FALSE,0,IF(C18=FALSE,0,IF(選項!$K$2=1,30000,40000))),0)</f>
        <v>40000</v>
      </c>
      <c r="V18" s="7">
        <v>0</v>
      </c>
      <c r="W18" s="7">
        <f>IF($B$5&gt;0,IF($U$7=FALSE,0,IF(C18=FALSE,0,IF($B$6/$B$5&lt;=10,0,IF(選項!$K$2=1,1000*($B$6-$B$5*10),2000*($B$6-$B$5*10))))),0)</f>
        <v>0</v>
      </c>
      <c r="X18" s="7">
        <f>IF($B$5&gt;0,IF($U$7=FALSE,0,IF(C18=FALSE,0,IF(選項!$K$2=1,10000*($B$5-1),25000*($B$5-1)))),0)</f>
        <v>0</v>
      </c>
      <c r="Y18" s="7">
        <v>0</v>
      </c>
      <c r="Z18" s="7">
        <f t="shared" si="16"/>
        <v>40000</v>
      </c>
      <c r="AA18" s="7">
        <f t="shared" si="0"/>
        <v>77440</v>
      </c>
      <c r="AB18" s="3" t="str">
        <f t="shared" si="1"/>
        <v>美國</v>
      </c>
      <c r="AC18" s="25">
        <f t="shared" si="17"/>
        <v>16640</v>
      </c>
      <c r="AD18" s="25">
        <f t="shared" si="18"/>
        <v>20800</v>
      </c>
      <c r="AE18" s="25">
        <f t="shared" si="19"/>
        <v>40000</v>
      </c>
      <c r="AG18" s="15" t="str">
        <f t="shared" si="2"/>
        <v>美國</v>
      </c>
      <c r="AH18" s="3">
        <f>IF($B$5&gt;0,IF(C18=FALSE,0,1),0)</f>
        <v>1</v>
      </c>
      <c r="AI18" s="3" t="s">
        <v>15</v>
      </c>
      <c r="AJ18" s="7">
        <f>IF($B$5&gt;0,IF($U$5=FALSE,0,IF(C18=FALSE,0,IF($B$9="500人以上",1300,520))),0)</f>
        <v>520</v>
      </c>
      <c r="AK18" s="7"/>
      <c r="AL18" s="7"/>
      <c r="AM18" s="7">
        <f t="shared" si="20"/>
        <v>520</v>
      </c>
      <c r="AN18" s="22">
        <f>AM18*$J$5</f>
        <v>16640</v>
      </c>
      <c r="AO18" s="3" t="s">
        <v>15</v>
      </c>
      <c r="AP18" s="7">
        <f>IF($B$5&gt;0,IF($U$6=FALSE,0,IF(C18=FALSE,0,370)),0)</f>
        <v>370</v>
      </c>
      <c r="AQ18" s="7"/>
      <c r="AR18" s="7"/>
      <c r="AS18" s="7">
        <f t="shared" si="21"/>
        <v>370</v>
      </c>
      <c r="AT18" s="22">
        <f>AS18*$J$5</f>
        <v>11840</v>
      </c>
      <c r="AU18" s="22">
        <f t="shared" si="3"/>
        <v>28480</v>
      </c>
      <c r="AV18" s="7">
        <f>IF($B$5&gt;0,IF($U$7=FALSE,0,IF(C18=FALSE,0,2000)),0)</f>
        <v>2000</v>
      </c>
      <c r="AW18" s="22">
        <f t="shared" si="22"/>
        <v>2000</v>
      </c>
      <c r="AX18" s="22">
        <f t="shared" si="4"/>
        <v>30480</v>
      </c>
      <c r="AY18" s="15" t="str">
        <f t="shared" si="5"/>
        <v>美國</v>
      </c>
      <c r="AZ18" s="25">
        <f t="shared" si="23"/>
        <v>16640</v>
      </c>
      <c r="BA18" s="25">
        <f t="shared" si="24"/>
        <v>11840</v>
      </c>
      <c r="BB18" s="25">
        <f t="shared" si="25"/>
        <v>2000</v>
      </c>
      <c r="BD18" s="3" t="str">
        <f t="shared" si="26"/>
        <v>美國</v>
      </c>
      <c r="BE18" s="25">
        <f t="shared" si="27"/>
        <v>77440</v>
      </c>
      <c r="BF18" s="25">
        <f t="shared" si="28"/>
        <v>64520</v>
      </c>
      <c r="BG18" s="25">
        <f t="shared" si="29"/>
        <v>30480</v>
      </c>
      <c r="BH18" s="79">
        <f t="shared" si="7"/>
        <v>0</v>
      </c>
      <c r="BI18" s="95">
        <f t="shared" si="30"/>
        <v>141960</v>
      </c>
      <c r="BJ18" s="80">
        <f t="shared" si="31"/>
        <v>107920</v>
      </c>
      <c r="BK18" s="80">
        <f t="shared" si="32"/>
        <v>172440</v>
      </c>
      <c r="BL18" s="80">
        <f t="shared" si="33"/>
        <v>30480</v>
      </c>
      <c r="BM18" s="80">
        <f t="shared" si="34"/>
        <v>172440</v>
      </c>
      <c r="BO18" s="25">
        <f t="shared" si="35"/>
        <v>77440</v>
      </c>
      <c r="BP18" s="25">
        <f t="shared" si="36"/>
        <v>30480</v>
      </c>
      <c r="BR18" s="25">
        <f t="shared" si="37"/>
        <v>16640</v>
      </c>
      <c r="BS18" s="25">
        <f t="shared" si="38"/>
        <v>20800</v>
      </c>
      <c r="BT18" s="25">
        <f t="shared" si="39"/>
        <v>40000</v>
      </c>
      <c r="BU18" s="25">
        <f t="shared" si="40"/>
        <v>95000</v>
      </c>
    </row>
    <row r="19" spans="1:73" x14ac:dyDescent="0.25">
      <c r="A19" s="3" t="s">
        <v>107</v>
      </c>
      <c r="B19" s="3" t="s">
        <v>43</v>
      </c>
      <c r="C19" s="15" t="b">
        <v>1</v>
      </c>
      <c r="D19" s="3" t="s">
        <v>16</v>
      </c>
      <c r="E19" s="7">
        <f>IF($B$5&gt;0,IF($U$5=FALSE,0,IF(C19=FALSE,0,350)),0)</f>
        <v>350</v>
      </c>
      <c r="F19" s="7">
        <v>0</v>
      </c>
      <c r="G19" s="7">
        <f>IF($B$5&gt;0,IF($U$5=FALSE,0,IF(C19=FALSE,0,($B$5-1)*125)),0)</f>
        <v>0</v>
      </c>
      <c r="H19" s="7">
        <v>0</v>
      </c>
      <c r="I19" s="7">
        <f t="shared" si="13"/>
        <v>350</v>
      </c>
      <c r="J19" s="7">
        <f>I19*$J$6</f>
        <v>13125</v>
      </c>
      <c r="K19" s="3" t="s">
        <v>16</v>
      </c>
      <c r="L19" s="7">
        <f>IF($B$5&gt;0,IF($U$6=FALSE,0,IF(C19=FALSE,0,150)),0)</f>
        <v>150</v>
      </c>
      <c r="M19" s="7">
        <v>0</v>
      </c>
      <c r="N19" s="7">
        <v>0</v>
      </c>
      <c r="O19" s="7">
        <f>IF($B$5&gt;0,IF($U$6=FALSE,0,IF(C19=FALSE,0,($B$5-1)*50)),0)</f>
        <v>0</v>
      </c>
      <c r="P19" s="7">
        <v>0</v>
      </c>
      <c r="Q19" s="7">
        <v>0</v>
      </c>
      <c r="R19" s="7">
        <f t="shared" si="14"/>
        <v>150</v>
      </c>
      <c r="S19" s="7">
        <f>R19*$J$6</f>
        <v>5625</v>
      </c>
      <c r="T19" s="7">
        <f t="shared" si="15"/>
        <v>18750</v>
      </c>
      <c r="U19" s="7">
        <f t="shared" ref="U19:U25" si="41">IF($B$5&gt;0,IF($U$7=FALSE,0,IF(C19=FALSE,0,30000)),0)</f>
        <v>30000</v>
      </c>
      <c r="V19" s="7">
        <v>0</v>
      </c>
      <c r="W19" s="7">
        <v>0</v>
      </c>
      <c r="X19" s="7">
        <f>IF($B$5&gt;0,IF($U$7=FALSE,0,IF(C19=FALSE,0,IF(選項!$K$2=1,10000*($B$5-1),20000*($B$5-1)))),0)</f>
        <v>0</v>
      </c>
      <c r="Y19" s="7">
        <v>0</v>
      </c>
      <c r="Z19" s="7">
        <f t="shared" si="16"/>
        <v>30000</v>
      </c>
      <c r="AA19" s="7">
        <f t="shared" si="0"/>
        <v>48750</v>
      </c>
      <c r="AB19" s="3" t="str">
        <f t="shared" si="1"/>
        <v>歐盟</v>
      </c>
      <c r="AC19" s="25">
        <f t="shared" si="17"/>
        <v>13125</v>
      </c>
      <c r="AD19" s="25">
        <f t="shared" si="18"/>
        <v>5625</v>
      </c>
      <c r="AE19" s="25">
        <f t="shared" si="19"/>
        <v>30000</v>
      </c>
      <c r="AG19" s="15" t="str">
        <f t="shared" si="2"/>
        <v>歐盟</v>
      </c>
      <c r="AH19" s="3">
        <f t="shared" ref="AH19:AH25" si="42">IF($B$5&gt;0,IF(C19=FALSE,0,$B$5),0)</f>
        <v>1</v>
      </c>
      <c r="AI19" s="3" t="s">
        <v>16</v>
      </c>
      <c r="AJ19" s="7">
        <v>0</v>
      </c>
      <c r="AK19" s="7">
        <v>0</v>
      </c>
      <c r="AL19" s="7"/>
      <c r="AM19" s="7">
        <f t="shared" si="20"/>
        <v>0</v>
      </c>
      <c r="AN19" s="22">
        <f>AM19*$J$6</f>
        <v>0</v>
      </c>
      <c r="AO19" s="3" t="s">
        <v>16</v>
      </c>
      <c r="AP19" s="7">
        <f>IF($B$5&gt;0,IF($U$6=FALSE,0,IF(C19=FALSE,0,0)),0)</f>
        <v>0</v>
      </c>
      <c r="AQ19" s="7">
        <f>IF($B$5&gt;0,IF($U$6=FALSE,0,IF(C19=FALSE,0,IF($B$5&gt;1,($B$5-1)*0,0))),0)</f>
        <v>0</v>
      </c>
      <c r="AR19" s="7"/>
      <c r="AS19" s="7">
        <f t="shared" si="21"/>
        <v>0</v>
      </c>
      <c r="AT19" s="22">
        <f>AS19*$J$6</f>
        <v>0</v>
      </c>
      <c r="AU19" s="22">
        <f t="shared" si="3"/>
        <v>0</v>
      </c>
      <c r="AV19" s="7">
        <f>IF($B$5&gt;0,IF($U$7=FALSE,0,IF(C19=FALSE,0,IF($B$5&gt;5,2000+2000*(ROUNDDOWN($B$5/5,0)-1),2000))),0)</f>
        <v>2000</v>
      </c>
      <c r="AW19" s="22">
        <f t="shared" si="22"/>
        <v>2000</v>
      </c>
      <c r="AX19" s="22">
        <f t="shared" si="4"/>
        <v>2000</v>
      </c>
      <c r="AY19" s="15" t="str">
        <f t="shared" si="5"/>
        <v>歐盟</v>
      </c>
      <c r="AZ19" s="25">
        <f t="shared" si="23"/>
        <v>0</v>
      </c>
      <c r="BA19" s="25">
        <f t="shared" si="24"/>
        <v>0</v>
      </c>
      <c r="BB19" s="25">
        <f t="shared" si="25"/>
        <v>2000</v>
      </c>
      <c r="BD19" s="3" t="str">
        <f t="shared" si="26"/>
        <v>歐盟</v>
      </c>
      <c r="BE19" s="25">
        <f t="shared" si="27"/>
        <v>48750</v>
      </c>
      <c r="BF19" s="25">
        <f t="shared" si="28"/>
        <v>0</v>
      </c>
      <c r="BG19" s="25">
        <f t="shared" si="29"/>
        <v>2000</v>
      </c>
      <c r="BH19" s="79">
        <f t="shared" si="7"/>
        <v>80800</v>
      </c>
      <c r="BI19" s="95">
        <f t="shared" si="30"/>
        <v>48750</v>
      </c>
      <c r="BJ19" s="80">
        <f t="shared" si="31"/>
        <v>50750</v>
      </c>
      <c r="BK19" s="80">
        <f t="shared" si="32"/>
        <v>50750</v>
      </c>
      <c r="BL19" s="80">
        <f t="shared" si="33"/>
        <v>82800</v>
      </c>
      <c r="BM19" s="80">
        <f t="shared" si="34"/>
        <v>131550</v>
      </c>
      <c r="BO19" s="25">
        <f t="shared" si="35"/>
        <v>48750</v>
      </c>
      <c r="BP19" s="25">
        <f t="shared" si="36"/>
        <v>2000</v>
      </c>
      <c r="BR19" s="25">
        <f t="shared" si="37"/>
        <v>13125</v>
      </c>
      <c r="BS19" s="25">
        <f t="shared" si="38"/>
        <v>5625</v>
      </c>
      <c r="BT19" s="25">
        <f t="shared" si="39"/>
        <v>30000</v>
      </c>
      <c r="BU19" s="25">
        <f t="shared" si="40"/>
        <v>82800</v>
      </c>
    </row>
    <row r="20" spans="1:73" x14ac:dyDescent="0.25">
      <c r="A20" s="3" t="s">
        <v>224</v>
      </c>
      <c r="B20" s="3" t="s">
        <v>43</v>
      </c>
      <c r="C20" s="15" t="b">
        <v>1</v>
      </c>
      <c r="D20" s="3" t="s">
        <v>225</v>
      </c>
      <c r="E20" s="7">
        <f>IF($B$5&gt;0,IF($U$5=FALSE,0,IF(C20=FALSE,0,ROUNDUP($B$5/50,0)*50)),0)</f>
        <v>50</v>
      </c>
      <c r="F20" s="7">
        <v>0</v>
      </c>
      <c r="G20" s="10">
        <f>IF($B$5&gt;0,IF($U$5=FALSE,0,IF(C20=FALSE,0,IF($B$5&gt;40,100,IF($B$5&gt;30,80,IF($B$5&gt;20,60,IF($B$5&gt;10,40,IF($B$5&gt;1,20,0))))))),0)</f>
        <v>0</v>
      </c>
      <c r="H20" s="7">
        <v>0</v>
      </c>
      <c r="I20" s="7">
        <f t="shared" si="13"/>
        <v>50</v>
      </c>
      <c r="J20" s="7">
        <f>I20*$J$6</f>
        <v>1875</v>
      </c>
      <c r="K20" s="3" t="s">
        <v>16</v>
      </c>
      <c r="L20" s="7">
        <f>IF($B$5&gt;0,IF($U$6=FALSE,0,IF(C20=FALSE,0,ROUNDUP($B$5/50,0)*160)),0)</f>
        <v>160</v>
      </c>
      <c r="M20" s="7">
        <v>0</v>
      </c>
      <c r="N20" s="7">
        <v>0</v>
      </c>
      <c r="O20" s="10">
        <f>IF($B$5&gt;0,IF($U$6=FALSE,0,IF(C20=FALSE,0,IF($B$5&gt;40,240,IF($B$5&gt;30,190,IF($B$5&gt;20,140,IF($B$5&gt;10,90,IF($B$5&gt;1,40,0))))))),0)</f>
        <v>0</v>
      </c>
      <c r="P20" s="7">
        <v>0</v>
      </c>
      <c r="Q20" s="7">
        <v>0</v>
      </c>
      <c r="R20" s="7">
        <f t="shared" si="14"/>
        <v>160</v>
      </c>
      <c r="S20" s="7">
        <f>R20*$J$6</f>
        <v>6000</v>
      </c>
      <c r="T20" s="7">
        <f>J20+S20</f>
        <v>7875</v>
      </c>
      <c r="U20" s="7">
        <f>IF($B$5&gt;0,IF($U$7=FALSE,0,IF(C20=FALSE,0,ROUNDUP($B$5/50,0)*30000)),0)</f>
        <v>30000</v>
      </c>
      <c r="V20" s="7">
        <v>0</v>
      </c>
      <c r="W20" s="7">
        <f>IF($B$5&gt;0,IF($U$7=FALSE,0,IF(C20=FALSE,0,IF($B$6/$B$5&lt;=10,0,IF(選項!$K$2=1,1000*($B$6-$B$5*10),2000*($B$6-$B$5*10))))),0)</f>
        <v>0</v>
      </c>
      <c r="X20" s="7">
        <f>IF($B$5&gt;0,IF($U$7=FALSE,0,IF(C20=FALSE,0,IF(選項!$K$2=1,10000*($B$5-1),20000*($B$5-1)))),0)</f>
        <v>0</v>
      </c>
      <c r="Y20" s="7">
        <v>0</v>
      </c>
      <c r="Z20" s="7">
        <f t="shared" si="16"/>
        <v>30000</v>
      </c>
      <c r="AA20" s="7">
        <f>T20+Z20</f>
        <v>37875</v>
      </c>
      <c r="AB20" s="3" t="str">
        <f>A20</f>
        <v>英國</v>
      </c>
      <c r="AC20" s="25">
        <f>J20</f>
        <v>1875</v>
      </c>
      <c r="AD20" s="25">
        <f>S20</f>
        <v>6000</v>
      </c>
      <c r="AE20" s="25">
        <f>Z20</f>
        <v>30000</v>
      </c>
      <c r="AG20" s="15" t="str">
        <f>A20</f>
        <v>英國</v>
      </c>
      <c r="AH20" s="3">
        <f t="shared" si="42"/>
        <v>1</v>
      </c>
      <c r="AI20" s="3" t="s">
        <v>16</v>
      </c>
      <c r="AJ20" s="7">
        <v>0</v>
      </c>
      <c r="AK20" s="7">
        <v>0</v>
      </c>
      <c r="AL20" s="7"/>
      <c r="AM20" s="7">
        <f t="shared" si="20"/>
        <v>0</v>
      </c>
      <c r="AN20" s="22">
        <f>AM20*$J$6</f>
        <v>0</v>
      </c>
      <c r="AO20" s="3" t="s">
        <v>16</v>
      </c>
      <c r="AP20" s="7">
        <v>0</v>
      </c>
      <c r="AQ20" s="7">
        <v>0</v>
      </c>
      <c r="AR20" s="7"/>
      <c r="AS20" s="7">
        <f t="shared" si="21"/>
        <v>0</v>
      </c>
      <c r="AT20" s="22">
        <f>AS20*$J$6</f>
        <v>0</v>
      </c>
      <c r="AU20" s="22">
        <f>AN20+AT20</f>
        <v>0</v>
      </c>
      <c r="AV20" s="7">
        <f>IF($B$5&gt;0,IF($U$7=FALSE,0,IF(C20=FALSE,0,IF($B$5&gt;5,2000+2000*(ROUNDDOWN($B$5/5,0)-1),2000))),0)</f>
        <v>2000</v>
      </c>
      <c r="AW20" s="22">
        <f t="shared" si="22"/>
        <v>2000</v>
      </c>
      <c r="AX20" s="22">
        <f>AU20+AW20</f>
        <v>2000</v>
      </c>
      <c r="AY20" s="15" t="str">
        <f>A20</f>
        <v>英國</v>
      </c>
      <c r="AZ20" s="25">
        <f>AN20</f>
        <v>0</v>
      </c>
      <c r="BA20" s="25">
        <f>AT20</f>
        <v>0</v>
      </c>
      <c r="BB20" s="25">
        <f>AW20</f>
        <v>2000</v>
      </c>
      <c r="BD20" s="3" t="str">
        <f>A20</f>
        <v>英國</v>
      </c>
      <c r="BE20" s="25">
        <f t="shared" si="27"/>
        <v>37875</v>
      </c>
      <c r="BF20" s="25">
        <f t="shared" si="28"/>
        <v>0</v>
      </c>
      <c r="BG20" s="25">
        <f t="shared" si="29"/>
        <v>2000</v>
      </c>
      <c r="BH20" s="79">
        <f t="shared" si="7"/>
        <v>55840</v>
      </c>
      <c r="BI20" s="95">
        <f t="shared" si="30"/>
        <v>37875</v>
      </c>
      <c r="BJ20" s="80">
        <f t="shared" si="31"/>
        <v>39875</v>
      </c>
      <c r="BK20" s="80">
        <f t="shared" si="32"/>
        <v>39875</v>
      </c>
      <c r="BL20" s="80">
        <f t="shared" si="33"/>
        <v>57840</v>
      </c>
      <c r="BM20" s="80">
        <f t="shared" si="34"/>
        <v>95715</v>
      </c>
      <c r="BO20" s="25">
        <f t="shared" si="35"/>
        <v>37875</v>
      </c>
      <c r="BP20" s="25">
        <f t="shared" si="36"/>
        <v>2000</v>
      </c>
      <c r="BR20" s="25">
        <f t="shared" si="37"/>
        <v>1875</v>
      </c>
      <c r="BS20" s="25">
        <f t="shared" si="38"/>
        <v>6000</v>
      </c>
      <c r="BT20" s="25">
        <f t="shared" si="39"/>
        <v>30000</v>
      </c>
      <c r="BU20" s="25">
        <f t="shared" si="40"/>
        <v>57840</v>
      </c>
    </row>
    <row r="21" spans="1:73" x14ac:dyDescent="0.25">
      <c r="A21" s="3" t="s">
        <v>5</v>
      </c>
      <c r="B21" s="3" t="s">
        <v>43</v>
      </c>
      <c r="C21" s="15" t="b">
        <v>1</v>
      </c>
      <c r="D21" s="3" t="s">
        <v>17</v>
      </c>
      <c r="E21" s="7">
        <f>IF($B$5&gt;0,IF($U$5=FALSE,0,IF(C21=FALSE,0,16000)),0)</f>
        <v>16000</v>
      </c>
      <c r="F21" s="7">
        <v>0</v>
      </c>
      <c r="G21" s="7">
        <f>IF($B$5&gt;0,IF($U$5=FALSE,0,IF(C21=FALSE,0,($B$5-1)*16000)),0)</f>
        <v>0</v>
      </c>
      <c r="H21" s="7">
        <v>0</v>
      </c>
      <c r="I21" s="7">
        <f t="shared" si="13"/>
        <v>16000</v>
      </c>
      <c r="J21" s="7">
        <f>I21*$J$7</f>
        <v>3360</v>
      </c>
      <c r="K21" s="3" t="s">
        <v>17</v>
      </c>
      <c r="L21" s="7">
        <f>IF($B$5&gt;0,IF($U$6=FALSE,0,IF(C21=FALSE,0,93200)),0)</f>
        <v>93200</v>
      </c>
      <c r="M21" s="7">
        <v>0</v>
      </c>
      <c r="N21" s="7">
        <v>0</v>
      </c>
      <c r="O21" s="7">
        <f>IF($B$5&gt;0,IF($U$6=FALSE,0,IF(C21=FALSE,0,($B$5-1)*93200)),0)</f>
        <v>0</v>
      </c>
      <c r="P21" s="7">
        <v>0</v>
      </c>
      <c r="Q21" s="7">
        <v>0</v>
      </c>
      <c r="R21" s="7">
        <f t="shared" si="14"/>
        <v>93200</v>
      </c>
      <c r="S21" s="7">
        <f>R21*$J$7</f>
        <v>19572</v>
      </c>
      <c r="T21" s="7">
        <f t="shared" si="15"/>
        <v>22932</v>
      </c>
      <c r="U21" s="7">
        <f t="shared" si="41"/>
        <v>30000</v>
      </c>
      <c r="V21" s="7">
        <v>0</v>
      </c>
      <c r="W21" s="7">
        <f>IF($B$5&gt;0,IF($U$7=FALSE,0,IF(C21=FALSE,0,IF($B$6/$B$5&lt;=10,0,IF(選項!$K$2=1,1000*($B$6-$B$5*10),2000*($B$6-$B$5*10))))),0)</f>
        <v>0</v>
      </c>
      <c r="X21" s="7">
        <f>IF($B$5&gt;0,IF($U$7=FALSE,0,IF(C21=FALSE,0,IF(選項!$K$2=1,10000*($B$5-1),20000*($B$5-1)))),0)</f>
        <v>0</v>
      </c>
      <c r="Y21" s="7">
        <v>0</v>
      </c>
      <c r="Z21" s="7">
        <f t="shared" si="16"/>
        <v>30000</v>
      </c>
      <c r="AA21" s="7">
        <f t="shared" si="0"/>
        <v>52932</v>
      </c>
      <c r="AB21" s="3" t="str">
        <f t="shared" si="1"/>
        <v>日本</v>
      </c>
      <c r="AC21" s="25">
        <f t="shared" si="17"/>
        <v>3360</v>
      </c>
      <c r="AD21" s="25">
        <f t="shared" si="18"/>
        <v>19572</v>
      </c>
      <c r="AE21" s="25">
        <f t="shared" si="19"/>
        <v>30000</v>
      </c>
      <c r="AG21" s="15" t="str">
        <f t="shared" si="2"/>
        <v>日本</v>
      </c>
      <c r="AH21" s="3">
        <f t="shared" si="42"/>
        <v>1</v>
      </c>
      <c r="AI21" s="3" t="s">
        <v>17</v>
      </c>
      <c r="AJ21" s="7">
        <f>IF($B$5&gt;0,IF($U$5=FALSE,0,IF(C21=FALSE,0,25500)),0)</f>
        <v>25500</v>
      </c>
      <c r="AK21" s="7">
        <f>IF($B$5&gt;0,IF($U$5=FALSE,0,IF(C21=FALSE,0,(25500)*($B$5-1))),0)</f>
        <v>0</v>
      </c>
      <c r="AL21" s="7"/>
      <c r="AM21" s="7">
        <f t="shared" si="20"/>
        <v>25500</v>
      </c>
      <c r="AN21" s="22">
        <f>AM21*$J$7</f>
        <v>5355</v>
      </c>
      <c r="AO21" s="3" t="s">
        <v>17</v>
      </c>
      <c r="AP21" s="7">
        <f>IF($B$5&gt;0,IF($U$6=FALSE,0,IF(C21=FALSE,0,8000)),0)</f>
        <v>8000</v>
      </c>
      <c r="AQ21" s="7">
        <f>IF($B$5&gt;0,IF($U$6=FALSE,0,IF(C21=FALSE,0,(8000)*($B$5-1))),0)</f>
        <v>0</v>
      </c>
      <c r="AR21" s="7"/>
      <c r="AS21" s="7">
        <f t="shared" si="21"/>
        <v>8000</v>
      </c>
      <c r="AT21" s="22">
        <f>AS21*$J$7</f>
        <v>1680</v>
      </c>
      <c r="AU21" s="22">
        <f t="shared" si="3"/>
        <v>7035</v>
      </c>
      <c r="AV21" s="7">
        <f>IF($B$5&gt;0,IF($U$7=FALSE,0,IF(C21=FALSE,0,$B$5*2000)),0)</f>
        <v>2000</v>
      </c>
      <c r="AW21" s="22">
        <f t="shared" si="22"/>
        <v>2000</v>
      </c>
      <c r="AX21" s="22">
        <f t="shared" si="4"/>
        <v>9035</v>
      </c>
      <c r="AY21" s="15" t="str">
        <f t="shared" si="5"/>
        <v>日本</v>
      </c>
      <c r="AZ21" s="25">
        <f t="shared" si="23"/>
        <v>5355</v>
      </c>
      <c r="BA21" s="25">
        <f t="shared" si="24"/>
        <v>1680</v>
      </c>
      <c r="BB21" s="25">
        <f t="shared" si="25"/>
        <v>2000</v>
      </c>
      <c r="BD21" s="3" t="str">
        <f t="shared" si="26"/>
        <v>日本</v>
      </c>
      <c r="BE21" s="25">
        <f t="shared" si="27"/>
        <v>52932</v>
      </c>
      <c r="BF21" s="25">
        <f t="shared" si="28"/>
        <v>48100</v>
      </c>
      <c r="BG21" s="25">
        <f t="shared" si="29"/>
        <v>9035</v>
      </c>
      <c r="BH21" s="79">
        <f t="shared" si="7"/>
        <v>232808</v>
      </c>
      <c r="BI21" s="95">
        <f t="shared" si="30"/>
        <v>101032</v>
      </c>
      <c r="BJ21" s="80">
        <f t="shared" si="31"/>
        <v>61967</v>
      </c>
      <c r="BK21" s="80">
        <f t="shared" si="32"/>
        <v>110067</v>
      </c>
      <c r="BL21" s="80">
        <f t="shared" si="33"/>
        <v>241843</v>
      </c>
      <c r="BM21" s="80">
        <f t="shared" si="34"/>
        <v>342875</v>
      </c>
      <c r="BO21" s="25">
        <f t="shared" si="35"/>
        <v>52932</v>
      </c>
      <c r="BP21" s="25">
        <f t="shared" si="36"/>
        <v>9035</v>
      </c>
      <c r="BR21" s="25">
        <f t="shared" si="37"/>
        <v>3360</v>
      </c>
      <c r="BS21" s="25">
        <f t="shared" si="38"/>
        <v>19572</v>
      </c>
      <c r="BT21" s="25">
        <f t="shared" si="39"/>
        <v>30000</v>
      </c>
      <c r="BU21" s="25">
        <f t="shared" si="40"/>
        <v>289943</v>
      </c>
    </row>
    <row r="22" spans="1:73" x14ac:dyDescent="0.25">
      <c r="A22" s="3" t="s">
        <v>6</v>
      </c>
      <c r="B22" s="3" t="s">
        <v>43</v>
      </c>
      <c r="C22" s="15" t="b">
        <v>1</v>
      </c>
      <c r="D22" s="3" t="s">
        <v>18</v>
      </c>
      <c r="E22" s="7">
        <f>IF($B$5&gt;0,IF($U$5=FALSE,0,IF(C22=FALSE,0,94000)),0)</f>
        <v>94000</v>
      </c>
      <c r="F22" s="7">
        <v>0</v>
      </c>
      <c r="G22" s="7">
        <f>IF($B$5&gt;0,IF($U$5=FALSE,0,IF(C22=FALSE,0,($B$5-1)*94000)),0)</f>
        <v>0</v>
      </c>
      <c r="H22" s="7">
        <v>0</v>
      </c>
      <c r="I22" s="7">
        <f t="shared" si="13"/>
        <v>94000</v>
      </c>
      <c r="J22" s="7">
        <f>I22*$J$8</f>
        <v>2350</v>
      </c>
      <c r="K22" s="3" t="s">
        <v>15</v>
      </c>
      <c r="L22" s="7">
        <f>IF($B$5&gt;0,IF($U$6=FALSE,0,IF(C22=FALSE,0,700)),0)</f>
        <v>700</v>
      </c>
      <c r="M22" s="7">
        <v>0</v>
      </c>
      <c r="N22" s="7">
        <v>0</v>
      </c>
      <c r="O22" s="7">
        <f>IF($B$5&gt;0,IF($U$6=FALSE,0,IF(C22=FALSE,0,($B$5-1)*700)),0)</f>
        <v>0</v>
      </c>
      <c r="P22" s="7">
        <v>0</v>
      </c>
      <c r="Q22" s="7">
        <v>0</v>
      </c>
      <c r="R22" s="7">
        <f t="shared" si="14"/>
        <v>700</v>
      </c>
      <c r="S22" s="7">
        <f>R22*$J$5</f>
        <v>22400</v>
      </c>
      <c r="T22" s="7">
        <f t="shared" si="15"/>
        <v>24750</v>
      </c>
      <c r="U22" s="7">
        <f t="shared" si="41"/>
        <v>30000</v>
      </c>
      <c r="V22" s="7">
        <v>0</v>
      </c>
      <c r="W22" s="7">
        <f>IF($B$5&gt;0,IF($U$7=FALSE,0,IF(C22=FALSE,0,IF($B$6/$B$5&lt;=10,0,IF(選項!$K$2=1,1000*($B$6-$B$5*10),2000*($B$6-$B$5*10))))),0)</f>
        <v>0</v>
      </c>
      <c r="X22" s="7">
        <f>IF($B$5&gt;0,IF($U$7=FALSE,0,IF(C22=FALSE,0,IF(選項!$K$2=1,10000*($B$5-1),20000*($B$5-1)))),0)</f>
        <v>0</v>
      </c>
      <c r="Y22" s="7">
        <v>0</v>
      </c>
      <c r="Z22" s="7">
        <f t="shared" si="16"/>
        <v>30000</v>
      </c>
      <c r="AA22" s="7">
        <f t="shared" si="0"/>
        <v>54750</v>
      </c>
      <c r="AB22" s="3" t="str">
        <f t="shared" si="1"/>
        <v>韓國</v>
      </c>
      <c r="AC22" s="25">
        <f t="shared" si="17"/>
        <v>2350</v>
      </c>
      <c r="AD22" s="25">
        <f t="shared" si="18"/>
        <v>22400</v>
      </c>
      <c r="AE22" s="25">
        <f t="shared" si="19"/>
        <v>30000</v>
      </c>
      <c r="AG22" s="15" t="str">
        <f t="shared" si="2"/>
        <v>韓國</v>
      </c>
      <c r="AH22" s="3">
        <f t="shared" si="42"/>
        <v>1</v>
      </c>
      <c r="AI22" s="3" t="s">
        <v>18</v>
      </c>
      <c r="AJ22" s="7">
        <f>IF($B$5&gt;0,IF($U$5=FALSE,0,IF(C22=FALSE,0,75000)),0)</f>
        <v>75000</v>
      </c>
      <c r="AK22" s="7">
        <f>IF($B$5&gt;0,IF($U$5=FALSE,0,IF(C22=FALSE,0,75000*($B$5-1))),0)</f>
        <v>0</v>
      </c>
      <c r="AL22" s="7"/>
      <c r="AM22" s="7">
        <f t="shared" si="20"/>
        <v>75000</v>
      </c>
      <c r="AN22" s="22">
        <f>AM22*$J$8</f>
        <v>1875</v>
      </c>
      <c r="AO22" s="3" t="s">
        <v>15</v>
      </c>
      <c r="AP22" s="7">
        <f>IF($B$5&gt;0,IF($U$6=FALSE,0,IF(C22=FALSE,0,200)),0)</f>
        <v>200</v>
      </c>
      <c r="AQ22" s="7">
        <f>IF($B$5&gt;0,IF($U$6=FALSE,0,IF(C22=FALSE,0,200*($B$5-1))),0)</f>
        <v>0</v>
      </c>
      <c r="AR22" s="7"/>
      <c r="AS22" s="7">
        <f t="shared" si="21"/>
        <v>200</v>
      </c>
      <c r="AT22" s="22">
        <f>AS22*$J$5</f>
        <v>6400</v>
      </c>
      <c r="AU22" s="22">
        <f t="shared" si="3"/>
        <v>8275</v>
      </c>
      <c r="AV22" s="7">
        <f>IF($B$5&gt;0,IF($U$7=FALSE,0,IF(C22=FALSE,0,$B$5*2000)),0)</f>
        <v>2000</v>
      </c>
      <c r="AW22" s="22">
        <f t="shared" si="22"/>
        <v>2000</v>
      </c>
      <c r="AX22" s="22">
        <f t="shared" si="4"/>
        <v>10275</v>
      </c>
      <c r="AY22" s="15" t="str">
        <f t="shared" si="5"/>
        <v>韓國</v>
      </c>
      <c r="AZ22" s="25">
        <f t="shared" si="23"/>
        <v>1875</v>
      </c>
      <c r="BA22" s="25">
        <f t="shared" si="24"/>
        <v>6400</v>
      </c>
      <c r="BB22" s="25">
        <f t="shared" si="25"/>
        <v>2000</v>
      </c>
      <c r="BD22" s="3" t="str">
        <f t="shared" si="26"/>
        <v>韓國</v>
      </c>
      <c r="BE22" s="25">
        <f t="shared" si="27"/>
        <v>54750</v>
      </c>
      <c r="BF22" s="25">
        <f t="shared" si="28"/>
        <v>114600</v>
      </c>
      <c r="BG22" s="25">
        <f t="shared" si="29"/>
        <v>10275</v>
      </c>
      <c r="BH22" s="79">
        <f t="shared" si="7"/>
        <v>248095</v>
      </c>
      <c r="BI22" s="95">
        <f t="shared" si="30"/>
        <v>169350</v>
      </c>
      <c r="BJ22" s="80">
        <f t="shared" si="31"/>
        <v>65025</v>
      </c>
      <c r="BK22" s="80">
        <f t="shared" si="32"/>
        <v>179625</v>
      </c>
      <c r="BL22" s="80">
        <f t="shared" si="33"/>
        <v>258370</v>
      </c>
      <c r="BM22" s="80">
        <f t="shared" si="34"/>
        <v>427720</v>
      </c>
      <c r="BO22" s="25">
        <f t="shared" si="35"/>
        <v>54750</v>
      </c>
      <c r="BP22" s="25">
        <f t="shared" si="36"/>
        <v>10275</v>
      </c>
      <c r="BR22" s="25">
        <f t="shared" si="37"/>
        <v>2350</v>
      </c>
      <c r="BS22" s="25">
        <f t="shared" si="38"/>
        <v>22400</v>
      </c>
      <c r="BT22" s="25">
        <f t="shared" si="39"/>
        <v>30000</v>
      </c>
      <c r="BU22" s="25">
        <f t="shared" si="40"/>
        <v>372970</v>
      </c>
    </row>
    <row r="23" spans="1:73" x14ac:dyDescent="0.25">
      <c r="A23" s="3" t="s">
        <v>35</v>
      </c>
      <c r="B23" s="3" t="s">
        <v>43</v>
      </c>
      <c r="C23" s="15" t="b">
        <v>1</v>
      </c>
      <c r="D23" s="3" t="s">
        <v>36</v>
      </c>
      <c r="E23" s="7">
        <f>IF($B$5&gt;0,IF($U$5=FALSE,0,IF(C23=FALSE,0,IF($B$6&lt;10,591.95,591.95+14.62*($B$6-10)))),0)</f>
        <v>591.95000000000005</v>
      </c>
      <c r="F23" s="7">
        <v>0</v>
      </c>
      <c r="G23" s="7">
        <v>0</v>
      </c>
      <c r="H23" s="7">
        <v>0</v>
      </c>
      <c r="I23" s="7">
        <f>IF($S$5=FALSE,0,SUM(E23:H23))</f>
        <v>591.95000000000005</v>
      </c>
      <c r="J23" s="7">
        <f>I23*$L$9</f>
        <v>13910.825000000001</v>
      </c>
      <c r="K23" s="3" t="s">
        <v>36</v>
      </c>
      <c r="L23" s="7">
        <f>IF($B$5&gt;0,IF($U$6=FALSE,0,IF(C23=FALSE,0,915)),0)</f>
        <v>915</v>
      </c>
      <c r="M23" s="7">
        <v>0</v>
      </c>
      <c r="N23" s="7">
        <v>0</v>
      </c>
      <c r="O23" s="7">
        <v>0</v>
      </c>
      <c r="P23" s="7">
        <v>0</v>
      </c>
      <c r="Q23" s="7">
        <v>0</v>
      </c>
      <c r="R23" s="7">
        <f>IF($S$5=FALSE,0,SUM(L23:Q23))</f>
        <v>915</v>
      </c>
      <c r="S23" s="7">
        <f>R23*$L$9</f>
        <v>21502.5</v>
      </c>
      <c r="T23" s="7">
        <f>J23+S23</f>
        <v>35413.324999999997</v>
      </c>
      <c r="U23" s="7">
        <f>IF($B$5&gt;0,IF($U$7=FALSE,0,IF(C23=FALSE,0,30000)),0)</f>
        <v>30000</v>
      </c>
      <c r="V23" s="7">
        <v>0</v>
      </c>
      <c r="W23" s="7">
        <f>IF($B$5&gt;0,IF($U$7=FALSE,0,IF(C23=FALSE,0,IF($B$6/$B$5&lt;=10,0,IF(選項!$K$2=1,1000*($B$6-$B$5*10),2000*($B$6-$B$5*10))))),0)</f>
        <v>0</v>
      </c>
      <c r="X23" s="7">
        <f>IF($B$5&gt;0,IF($U$7=FALSE,0,IF(C23=FALSE,0,IF(選項!$K$2=1,10000*($B$5-1),20000*($B$5-1)))),0)</f>
        <v>0</v>
      </c>
      <c r="Y23" s="7">
        <v>0</v>
      </c>
      <c r="Z23" s="7">
        <f>IF($S$5=FALSE,0,SUM(U23:Y23))</f>
        <v>30000</v>
      </c>
      <c r="AA23" s="7">
        <f>T23+Z23</f>
        <v>65413.324999999997</v>
      </c>
      <c r="AB23" s="3" t="str">
        <f>A23</f>
        <v>加拿大</v>
      </c>
      <c r="AC23" s="25">
        <f>J23</f>
        <v>13910.825000000001</v>
      </c>
      <c r="AD23" s="25">
        <f>S23</f>
        <v>21502.5</v>
      </c>
      <c r="AE23" s="25">
        <f>Z23</f>
        <v>30000</v>
      </c>
      <c r="AG23" s="15" t="str">
        <f>A23</f>
        <v>加拿大</v>
      </c>
      <c r="AH23" s="3">
        <f>IF($B$5&gt;0,IF(C23=FALSE,0,1),0)</f>
        <v>1</v>
      </c>
      <c r="AI23" s="3" t="s">
        <v>36</v>
      </c>
      <c r="AJ23" s="7">
        <f>IF($B$5&gt;0,IF($U$5=FALSE,0,IF(C23=FALSE,0,0)),0)</f>
        <v>0</v>
      </c>
      <c r="AK23" s="7"/>
      <c r="AL23" s="7"/>
      <c r="AM23" s="7">
        <f>IF($S$6=FALSE,0,SUM(AJ23:AL23))</f>
        <v>0</v>
      </c>
      <c r="AN23" s="22">
        <f>AM23*$L$9</f>
        <v>0</v>
      </c>
      <c r="AO23" s="3" t="s">
        <v>36</v>
      </c>
      <c r="AP23" s="7">
        <f>IF($B$5&gt;0,IF($U$6=FALSE,0,IF(C23=FALSE,0,315)),0)</f>
        <v>315</v>
      </c>
      <c r="AQ23" s="7"/>
      <c r="AR23" s="7"/>
      <c r="AS23" s="7">
        <f>IF($S$6=FALSE,0,SUM(AP23:AR23))</f>
        <v>315</v>
      </c>
      <c r="AT23" s="22">
        <f>AS23*$L$9</f>
        <v>7402.5</v>
      </c>
      <c r="AU23" s="22">
        <f>AN23+AT23</f>
        <v>7402.5</v>
      </c>
      <c r="AV23" s="7">
        <f t="shared" ref="AV23" si="43">IF($B$5&gt;0,IF($U$7=FALSE,0,IF(C23=FALSE,0,2000)),0)</f>
        <v>2000</v>
      </c>
      <c r="AW23" s="22">
        <f>IF($S$6=FALSE,0,SUM(AV23:AV23))</f>
        <v>2000</v>
      </c>
      <c r="AX23" s="22">
        <f>AU23+AW23</f>
        <v>9402.5</v>
      </c>
      <c r="AY23" s="15" t="str">
        <f>A23</f>
        <v>加拿大</v>
      </c>
      <c r="AZ23" s="25">
        <f>AN23</f>
        <v>0</v>
      </c>
      <c r="BA23" s="25">
        <f>AT23</f>
        <v>7402.5</v>
      </c>
      <c r="BB23" s="25">
        <f>AW23</f>
        <v>2000</v>
      </c>
      <c r="BD23" s="3" t="str">
        <f>A23</f>
        <v>加拿大</v>
      </c>
      <c r="BE23" s="25">
        <f t="shared" si="27"/>
        <v>65413.324999999997</v>
      </c>
      <c r="BF23" s="25">
        <f t="shared" si="28"/>
        <v>43800</v>
      </c>
      <c r="BG23" s="25">
        <f t="shared" si="29"/>
        <v>9402.5</v>
      </c>
      <c r="BH23" s="79">
        <f t="shared" si="7"/>
        <v>24571.27</v>
      </c>
      <c r="BI23" s="95">
        <f t="shared" si="30"/>
        <v>109213.325</v>
      </c>
      <c r="BJ23" s="80">
        <f t="shared" si="31"/>
        <v>74815.824999999997</v>
      </c>
      <c r="BK23" s="80">
        <f t="shared" si="32"/>
        <v>118615.825</v>
      </c>
      <c r="BL23" s="80">
        <f t="shared" si="33"/>
        <v>33973.770000000004</v>
      </c>
      <c r="BM23" s="80">
        <f t="shared" si="34"/>
        <v>143187.095</v>
      </c>
      <c r="BO23" s="25">
        <f t="shared" si="35"/>
        <v>65413.324999999997</v>
      </c>
      <c r="BP23" s="25">
        <f t="shared" si="36"/>
        <v>9402.5</v>
      </c>
      <c r="BR23" s="25">
        <f t="shared" si="37"/>
        <v>13910.825000000001</v>
      </c>
      <c r="BS23" s="25">
        <f t="shared" si="38"/>
        <v>21502.5</v>
      </c>
      <c r="BT23" s="25">
        <f t="shared" si="39"/>
        <v>30000</v>
      </c>
      <c r="BU23" s="25">
        <f t="shared" si="40"/>
        <v>77773.77</v>
      </c>
    </row>
    <row r="24" spans="1:73" x14ac:dyDescent="0.25">
      <c r="A24" s="145" t="s">
        <v>315</v>
      </c>
      <c r="B24" s="3" t="s">
        <v>43</v>
      </c>
      <c r="C24" s="15" t="b">
        <v>1</v>
      </c>
      <c r="D24" s="3" t="s">
        <v>317</v>
      </c>
      <c r="E24" s="7">
        <f>IF(選項!$K$2=1,0,IF($B$5&gt;0,IF($U$5=FALSE,0,IF(C24=FALSE,0,200)),0))</f>
        <v>200</v>
      </c>
      <c r="F24" s="7">
        <v>0</v>
      </c>
      <c r="G24" s="7">
        <f>IF(選項!$K$2=1,0,IF($B$5&gt;0,IF($U$5=FALSE,0,IF(C24=FALSE,0,200*($B$5-1))),0))</f>
        <v>0</v>
      </c>
      <c r="H24" s="7">
        <v>0</v>
      </c>
      <c r="I24" s="7">
        <f>IF($S$5=FALSE,0,SUM(E24:H24))</f>
        <v>200</v>
      </c>
      <c r="J24" s="7">
        <f>I24*$L$10</f>
        <v>4600</v>
      </c>
      <c r="K24" s="3" t="s">
        <v>317</v>
      </c>
      <c r="L24" s="7">
        <f>IF(選項!$K$2=1,0,IF($B$5&gt;0,IF($U$6=FALSE,0,IF(C24=FALSE,0,1390)),0))</f>
        <v>1390</v>
      </c>
      <c r="M24" s="7">
        <v>0</v>
      </c>
      <c r="N24" s="7">
        <v>0</v>
      </c>
      <c r="O24" s="7">
        <f>IF(選項!$K$2=1,0,IF($B$5&gt;0,IF($U$6=FALSE,0,IF(C24=FALSE,0,1390*($B$5-1))),0))</f>
        <v>0</v>
      </c>
      <c r="P24" s="7">
        <v>0</v>
      </c>
      <c r="Q24" s="7">
        <v>0</v>
      </c>
      <c r="R24" s="7">
        <f>IF($S$5=FALSE,0,SUM(L24:Q24))</f>
        <v>1390</v>
      </c>
      <c r="S24" s="7">
        <f>R24*$L$10</f>
        <v>31970</v>
      </c>
      <c r="T24" s="7">
        <f>J24+S24</f>
        <v>36570</v>
      </c>
      <c r="U24" s="7">
        <f>IF(選項!$K$2=1,0,IF($B$5&gt;0,IF($U$7=FALSE,0,IF(C24=FALSE,0,30000)),0))</f>
        <v>30000</v>
      </c>
      <c r="V24" s="7">
        <v>0</v>
      </c>
      <c r="W24" s="7">
        <f>IF($B$5&gt;0,IF($U$7=FALSE,0,IF(C24=FALSE,0,IF($B$6/$B$5&lt;=10,0,IF(選項!$K$2=1,1000*($B$6-$B$5*10),2000*($B$6-$B$5*10))))),0)</f>
        <v>0</v>
      </c>
      <c r="X24" s="7">
        <f>IF(選項!$K$2=1,0,IF($B$5&gt;0,IF($U$7=FALSE,0,IF(C24=FALSE,0,IF(選項!$K$2=1,10000*($B$5-1),20000*($B$5-1)))),0))</f>
        <v>0</v>
      </c>
      <c r="Y24" s="7">
        <v>0</v>
      </c>
      <c r="Z24" s="7">
        <f>IF($S$5=FALSE,0,SUM(U24:Y24))</f>
        <v>30000</v>
      </c>
      <c r="AA24" s="7">
        <f>T24+Z24</f>
        <v>66570</v>
      </c>
      <c r="AB24" s="3" t="str">
        <f>A24</f>
        <v>澳洲</v>
      </c>
      <c r="AC24" s="25">
        <f>J24</f>
        <v>4600</v>
      </c>
      <c r="AD24" s="25">
        <f>S24</f>
        <v>31970</v>
      </c>
      <c r="AE24" s="25">
        <f>Z24</f>
        <v>30000</v>
      </c>
      <c r="AG24" s="15" t="str">
        <f>A24</f>
        <v>澳洲</v>
      </c>
      <c r="AH24" s="3">
        <f t="shared" ref="AH24" si="44">IF($B$5&gt;0,IF(C24=FALSE,0,$B$5),0)</f>
        <v>1</v>
      </c>
      <c r="AI24" s="3" t="s">
        <v>317</v>
      </c>
      <c r="AJ24" s="7">
        <f>IF(選項!$K$2=1,0,IF($B$5&gt;0,IF($U$5=FALSE,0,IF(C24=FALSE,0,0)),0))</f>
        <v>0</v>
      </c>
      <c r="AK24" s="7">
        <f>IF(選項!$K$2=1,0,IF($B$5&gt;0,IF($U$5=FALSE,0,IF(C24=FALSE,0,($B$5-1)*0)),0))</f>
        <v>0</v>
      </c>
      <c r="AL24" s="7"/>
      <c r="AM24" s="7">
        <f>IF($S$6=FALSE,0,SUM(AJ24:AL24))</f>
        <v>0</v>
      </c>
      <c r="AN24" s="22">
        <f>AM24*$L$10</f>
        <v>0</v>
      </c>
      <c r="AO24" s="3" t="s">
        <v>317</v>
      </c>
      <c r="AP24" s="7">
        <f>IF(選項!$K$2=1,0,IF($B$5&gt;0,IF($U$6=FALSE,0,IF(C24=FALSE,0,555)),0))</f>
        <v>555</v>
      </c>
      <c r="AQ24" s="7">
        <f>IF(選項!$K$2=1,0,IF($B$5&gt;0,IF($U$6=FALSE,0,IF(C24=FALSE,0,555*($B$5-1))),0))</f>
        <v>0</v>
      </c>
      <c r="AR24" s="7"/>
      <c r="AS24" s="7">
        <f>IF($S$6=FALSE,0,SUM(AP24:AR24))</f>
        <v>555</v>
      </c>
      <c r="AT24" s="22">
        <f>AS24*$L$10</f>
        <v>12765</v>
      </c>
      <c r="AU24" s="22">
        <f>AN24+AT24</f>
        <v>12765</v>
      </c>
      <c r="AV24" s="7">
        <f>IF(選項!$K$2=1,0,IF($B$5&gt;0,IF($U$7=FALSE,0,IF(C24=FALSE,0,$B$5*2000)),0))</f>
        <v>2000</v>
      </c>
      <c r="AW24" s="22">
        <f>IF($S$6=FALSE,0,SUM(AV24:AV24))</f>
        <v>2000</v>
      </c>
      <c r="AX24" s="22">
        <f>AU24+AW24</f>
        <v>14765</v>
      </c>
      <c r="AY24" s="15" t="str">
        <f>A24</f>
        <v>澳洲</v>
      </c>
      <c r="AZ24" s="25">
        <f>AN24</f>
        <v>0</v>
      </c>
      <c r="BA24" s="25">
        <f>AT24</f>
        <v>12765</v>
      </c>
      <c r="BB24" s="25">
        <f>AW24</f>
        <v>2000</v>
      </c>
      <c r="BD24" s="3" t="str">
        <f>A24</f>
        <v>澳洲</v>
      </c>
      <c r="BE24" s="25">
        <f t="shared" si="27"/>
        <v>66570</v>
      </c>
      <c r="BF24" s="25">
        <f t="shared" si="28"/>
        <v>47655</v>
      </c>
      <c r="BG24" s="25">
        <f t="shared" si="29"/>
        <v>14765</v>
      </c>
      <c r="BH24" s="79">
        <f t="shared" si="7"/>
        <v>27310</v>
      </c>
      <c r="BI24" s="95">
        <f t="shared" si="30"/>
        <v>114225</v>
      </c>
      <c r="BJ24" s="80">
        <f t="shared" si="31"/>
        <v>81335</v>
      </c>
      <c r="BK24" s="80">
        <f t="shared" si="32"/>
        <v>128990</v>
      </c>
      <c r="BL24" s="80">
        <f t="shared" si="33"/>
        <v>42075</v>
      </c>
      <c r="BM24" s="80">
        <f t="shared" si="34"/>
        <v>156300</v>
      </c>
      <c r="BO24" s="25">
        <f t="shared" si="35"/>
        <v>66570</v>
      </c>
      <c r="BP24" s="25">
        <f t="shared" si="36"/>
        <v>14765</v>
      </c>
      <c r="BR24" s="25">
        <f t="shared" si="37"/>
        <v>4600</v>
      </c>
      <c r="BS24" s="25">
        <f t="shared" si="38"/>
        <v>31970</v>
      </c>
      <c r="BT24" s="25">
        <f t="shared" si="39"/>
        <v>30000</v>
      </c>
      <c r="BU24" s="25">
        <f t="shared" si="40"/>
        <v>89730</v>
      </c>
    </row>
    <row r="25" spans="1:73" x14ac:dyDescent="0.25">
      <c r="A25" s="3" t="s">
        <v>7</v>
      </c>
      <c r="B25" s="3" t="s">
        <v>43</v>
      </c>
      <c r="C25" s="15" t="b">
        <v>1</v>
      </c>
      <c r="D25" s="3" t="s">
        <v>19</v>
      </c>
      <c r="E25" s="7">
        <f>IF($B$5&gt;0,IF($U$5=FALSE,0,IF(C25=FALSE,0,200)),0)</f>
        <v>200</v>
      </c>
      <c r="F25" s="7">
        <v>0</v>
      </c>
      <c r="G25" s="7">
        <f>IF($B$5&gt;0,IF($U$5=FALSE,0,IF(C25=FALSE,0,($B$5-1)*200)),0)</f>
        <v>0</v>
      </c>
      <c r="H25" s="7">
        <v>0</v>
      </c>
      <c r="I25" s="7">
        <f t="shared" si="13"/>
        <v>200</v>
      </c>
      <c r="J25" s="7">
        <f>I25*$L$6</f>
        <v>5000</v>
      </c>
      <c r="K25" s="3" t="s">
        <v>19</v>
      </c>
      <c r="L25" s="7">
        <f>IF($B$5&gt;0,IF($U$6=FALSE,0,IF(C25=FALSE,0,550)),0)</f>
        <v>550</v>
      </c>
      <c r="M25" s="7">
        <v>0</v>
      </c>
      <c r="N25" s="7">
        <v>0</v>
      </c>
      <c r="O25" s="7">
        <f>IF($B$5&gt;0,IF($U$6=FALSE,0,IF(C25=FALSE,0,($B$5-1)*450)),0)</f>
        <v>0</v>
      </c>
      <c r="P25" s="7">
        <v>0</v>
      </c>
      <c r="Q25" s="7">
        <v>0</v>
      </c>
      <c r="R25" s="7">
        <f t="shared" si="14"/>
        <v>550</v>
      </c>
      <c r="S25" s="7">
        <f>R25*$L$6</f>
        <v>13750</v>
      </c>
      <c r="T25" s="7">
        <f t="shared" si="15"/>
        <v>18750</v>
      </c>
      <c r="U25" s="7">
        <f t="shared" si="41"/>
        <v>30000</v>
      </c>
      <c r="V25" s="7">
        <v>0</v>
      </c>
      <c r="W25" s="7">
        <f>IF($B$5&gt;0,IF($U$7=FALSE,0,IF(C25=FALSE,0,IF($B$6/$B$5&lt;=10,0,IF(選項!$K$2=1,1000*($B$6-$B$5*10),2000*($B$6-$B$5*10))))),0)</f>
        <v>0</v>
      </c>
      <c r="X25" s="7">
        <f>IF($B$5&gt;0,IF($U$7=FALSE,0,IF(C25=FALSE,0,IF(選項!$K$2=1,10000*($B$5-1),20000*($B$5-1)))),0)</f>
        <v>0</v>
      </c>
      <c r="Y25" s="7">
        <v>0</v>
      </c>
      <c r="Z25" s="7">
        <f t="shared" si="16"/>
        <v>30000</v>
      </c>
      <c r="AA25" s="7">
        <f t="shared" si="0"/>
        <v>48750</v>
      </c>
      <c r="AB25" s="3" t="str">
        <f t="shared" si="1"/>
        <v>新加坡</v>
      </c>
      <c r="AC25" s="25">
        <f t="shared" si="17"/>
        <v>5000</v>
      </c>
      <c r="AD25" s="25">
        <f t="shared" si="18"/>
        <v>13750</v>
      </c>
      <c r="AE25" s="25">
        <f t="shared" si="19"/>
        <v>30000</v>
      </c>
      <c r="AG25" s="15" t="str">
        <f t="shared" si="2"/>
        <v>新加坡</v>
      </c>
      <c r="AH25" s="3">
        <f t="shared" si="42"/>
        <v>1</v>
      </c>
      <c r="AI25" s="3" t="s">
        <v>19</v>
      </c>
      <c r="AJ25" s="7">
        <f>IF($B$5&gt;0,IF($U$5=FALSE,0,IF(C25=FALSE,0,0)),0)</f>
        <v>0</v>
      </c>
      <c r="AK25" s="7">
        <f>IF($B$5&gt;0,IF($U$5=FALSE,0,IF(C25=FALSE,0,0)),0)</f>
        <v>0</v>
      </c>
      <c r="AL25" s="7"/>
      <c r="AM25" s="7">
        <f t="shared" si="20"/>
        <v>0</v>
      </c>
      <c r="AN25" s="22">
        <f>AM25*$L$6</f>
        <v>0</v>
      </c>
      <c r="AO25" s="3" t="s">
        <v>19</v>
      </c>
      <c r="AP25" s="7">
        <f>IF($B$5&gt;0,IF($U$6=FALSE,0,IF(C25=FALSE,0,300)),0)</f>
        <v>300</v>
      </c>
      <c r="AQ25" s="7">
        <f>IF($B$5&gt;0,IF($U$6=FALSE,0,IF(C25=FALSE,0,200*($B$5-1))),0)</f>
        <v>0</v>
      </c>
      <c r="AR25" s="7"/>
      <c r="AS25" s="7">
        <f t="shared" si="21"/>
        <v>300</v>
      </c>
      <c r="AT25" s="22">
        <f>AS25*$L$6</f>
        <v>7500</v>
      </c>
      <c r="AU25" s="22">
        <f t="shared" si="3"/>
        <v>7500</v>
      </c>
      <c r="AV25" s="7">
        <f>IF($B$5&gt;0,IF($U$7=FALSE,0,IF(C25=FALSE,0,IF($B$5&gt;5,2000+2000*(ROUNDDOWN($B$5/5,0)-1),2000))),0)</f>
        <v>2000</v>
      </c>
      <c r="AW25" s="22">
        <f t="shared" si="22"/>
        <v>2000</v>
      </c>
      <c r="AX25" s="22">
        <f t="shared" si="4"/>
        <v>9500</v>
      </c>
      <c r="AY25" s="15" t="str">
        <f t="shared" si="5"/>
        <v>新加坡</v>
      </c>
      <c r="AZ25" s="25">
        <f t="shared" si="23"/>
        <v>0</v>
      </c>
      <c r="BA25" s="25">
        <f t="shared" si="24"/>
        <v>7500</v>
      </c>
      <c r="BB25" s="25">
        <f t="shared" si="25"/>
        <v>2000</v>
      </c>
      <c r="BD25" s="3" t="str">
        <f t="shared" si="26"/>
        <v>新加坡</v>
      </c>
      <c r="BE25" s="25">
        <f t="shared" si="27"/>
        <v>48750</v>
      </c>
      <c r="BF25" s="25">
        <f t="shared" si="28"/>
        <v>0</v>
      </c>
      <c r="BG25" s="25">
        <f t="shared" si="29"/>
        <v>9500</v>
      </c>
      <c r="BH25" s="79">
        <f t="shared" si="7"/>
        <v>46250</v>
      </c>
      <c r="BI25" s="95">
        <f t="shared" si="30"/>
        <v>48750</v>
      </c>
      <c r="BJ25" s="80">
        <f t="shared" si="31"/>
        <v>58250</v>
      </c>
      <c r="BK25" s="80">
        <f t="shared" si="32"/>
        <v>58250</v>
      </c>
      <c r="BL25" s="80">
        <f t="shared" si="33"/>
        <v>55750</v>
      </c>
      <c r="BM25" s="80">
        <f t="shared" si="34"/>
        <v>104500</v>
      </c>
      <c r="BO25" s="25">
        <f t="shared" si="35"/>
        <v>48750</v>
      </c>
      <c r="BP25" s="25">
        <f t="shared" si="36"/>
        <v>9500</v>
      </c>
      <c r="BR25" s="25">
        <f t="shared" si="37"/>
        <v>5000</v>
      </c>
      <c r="BS25" s="25">
        <f t="shared" si="38"/>
        <v>13750</v>
      </c>
      <c r="BT25" s="25">
        <f t="shared" si="39"/>
        <v>30000</v>
      </c>
      <c r="BU25" s="25">
        <f t="shared" si="40"/>
        <v>55750</v>
      </c>
    </row>
    <row r="26" spans="1:73" x14ac:dyDescent="0.25">
      <c r="A26" s="3" t="s">
        <v>10</v>
      </c>
      <c r="B26" s="3" t="s">
        <v>43</v>
      </c>
      <c r="C26" s="15" t="b">
        <v>1</v>
      </c>
      <c r="D26" s="3" t="s">
        <v>22</v>
      </c>
      <c r="E26" s="7">
        <f>IF($B$5&gt;0,IF($U$5=FALSE,0,IF(C26=FALSE,0,500+200*$B$6)),0)</f>
        <v>2100</v>
      </c>
      <c r="F26" s="7">
        <v>0</v>
      </c>
      <c r="G26" s="7">
        <f>IF($B$5&gt;0,IF($U$5=FALSE,0,IF(C26=FALSE,0,500*($B$5-1))),0)</f>
        <v>0</v>
      </c>
      <c r="H26" s="7">
        <v>0</v>
      </c>
      <c r="I26" s="7">
        <f>IF($S$5=FALSE,0,SUM(E26:H26))</f>
        <v>2100</v>
      </c>
      <c r="J26" s="7">
        <f>I26*$L$8</f>
        <v>17430</v>
      </c>
      <c r="K26" s="3" t="s">
        <v>22</v>
      </c>
      <c r="L26" s="7">
        <f>IF($B$5&gt;0,IF($U$6=FALSE,0,IF(C26=FALSE,0,800+150+150)),0)</f>
        <v>1100</v>
      </c>
      <c r="M26" s="7">
        <v>0</v>
      </c>
      <c r="N26" s="7">
        <v>0</v>
      </c>
      <c r="O26" s="7">
        <f>IF($B$5&gt;0,IF($U$6=FALSE,0,IF(C26=FALSE,0,800*($B$5-1))),0)</f>
        <v>0</v>
      </c>
      <c r="P26" s="7">
        <v>0</v>
      </c>
      <c r="Q26" s="7">
        <v>0</v>
      </c>
      <c r="R26" s="7">
        <f>IF($S$5=FALSE,0,SUM(L26:Q26))</f>
        <v>1100</v>
      </c>
      <c r="S26" s="7">
        <f>R26*$L$8</f>
        <v>9130</v>
      </c>
      <c r="T26" s="7">
        <f>J26+S26</f>
        <v>26560</v>
      </c>
      <c r="U26" s="7">
        <f>IF($B$5&gt;0,IF($U$7=FALSE,0,IF(C26=FALSE,0,30000)),0)</f>
        <v>30000</v>
      </c>
      <c r="V26" s="7">
        <v>0</v>
      </c>
      <c r="W26" s="7">
        <f>IF($B$5&gt;0,IF($U$7=FALSE,0,IF(C26=FALSE,0,IF($B$6/$B$5&lt;=10,0,IF(選項!$K$2=1,1000*($B$6-$B$5*10),2000*($B$6-$B$5*10))))),0)</f>
        <v>0</v>
      </c>
      <c r="X26" s="7">
        <f>IF($B$5&gt;0,IF($U$7=FALSE,0,IF(C26=FALSE,0,IF(選項!$K$2=1,10000*($B$5-1),20000*($B$5-1)))),0)</f>
        <v>0</v>
      </c>
      <c r="Y26" s="7">
        <v>0</v>
      </c>
      <c r="Z26" s="7">
        <f>IF($S$5=FALSE,0,SUM(U26:Y26))</f>
        <v>30000</v>
      </c>
      <c r="AA26" s="7">
        <f>T26+Z26</f>
        <v>56560</v>
      </c>
      <c r="AB26" s="3" t="str">
        <f>A26</f>
        <v>馬來西亞</v>
      </c>
      <c r="AC26" s="25">
        <f>J26</f>
        <v>17430</v>
      </c>
      <c r="AD26" s="25">
        <f>S26</f>
        <v>9130</v>
      </c>
      <c r="AE26" s="25">
        <f>Z26</f>
        <v>30000</v>
      </c>
      <c r="AG26" s="15" t="str">
        <f>A26</f>
        <v>馬來西亞</v>
      </c>
      <c r="AH26" s="3">
        <f>IF($B$5&gt;0,IF(C26=FALSE,0,$B$5),0)</f>
        <v>1</v>
      </c>
      <c r="AI26" s="3" t="s">
        <v>22</v>
      </c>
      <c r="AJ26" s="7">
        <f>IF($B$5&gt;0,IF($U$5=FALSE,0,IF(C26=FALSE,0,0)),0)</f>
        <v>0</v>
      </c>
      <c r="AK26" s="7">
        <f>IF($B$5&gt;0,IF($U$5=FALSE,0,IF(C26=FALSE,0,0)),0)</f>
        <v>0</v>
      </c>
      <c r="AL26" s="7"/>
      <c r="AM26" s="7">
        <f>IF($S$6=FALSE,0,SUM(AJ26:AL26))</f>
        <v>0</v>
      </c>
      <c r="AN26" s="22">
        <f>AM26*$L$8</f>
        <v>0</v>
      </c>
      <c r="AO26" s="3" t="s">
        <v>22</v>
      </c>
      <c r="AP26" s="7">
        <f>IF($B$5&gt;0,IF($U$6=FALSE,0,IF(C26=FALSE,0,500)),0)</f>
        <v>500</v>
      </c>
      <c r="AQ26" s="7">
        <f>IF($B$5&gt;0,IF($U$6=FALSE,0,IF(C26=FALSE,0,($B$5-1)*500)),0)</f>
        <v>0</v>
      </c>
      <c r="AR26" s="7"/>
      <c r="AS26" s="7">
        <f>IF($S$6=FALSE,0,SUM(AP26:AR26))</f>
        <v>500</v>
      </c>
      <c r="AT26" s="22">
        <f>AS26*$L$8</f>
        <v>4150</v>
      </c>
      <c r="AU26" s="22">
        <f>AN26+AT26</f>
        <v>4150</v>
      </c>
      <c r="AV26" s="7">
        <f>IF($B$5&gt;0,IF($U$7=FALSE,0,IF(C26=FALSE,0,$B$5*2000)),0)</f>
        <v>2000</v>
      </c>
      <c r="AW26" s="22">
        <f>IF($S$6=FALSE,0,SUM(AV26:AV26))</f>
        <v>2000</v>
      </c>
      <c r="AX26" s="22">
        <f>AU26+AW26</f>
        <v>6150</v>
      </c>
      <c r="AY26" s="15" t="str">
        <f>A26</f>
        <v>馬來西亞</v>
      </c>
      <c r="AZ26" s="25">
        <f>AN26</f>
        <v>0</v>
      </c>
      <c r="BA26" s="25">
        <f>AT26</f>
        <v>4150</v>
      </c>
      <c r="BB26" s="25">
        <f>AW26</f>
        <v>2000</v>
      </c>
      <c r="BD26" s="3" t="str">
        <f>A26</f>
        <v>馬來西亞</v>
      </c>
      <c r="BE26" s="25">
        <f t="shared" si="27"/>
        <v>56560</v>
      </c>
      <c r="BF26" s="25">
        <f t="shared" si="28"/>
        <v>35790</v>
      </c>
      <c r="BG26" s="25">
        <f t="shared" si="29"/>
        <v>6150</v>
      </c>
      <c r="BH26" s="79">
        <f t="shared" si="7"/>
        <v>66480</v>
      </c>
      <c r="BI26" s="95">
        <f t="shared" si="30"/>
        <v>92350</v>
      </c>
      <c r="BJ26" s="80">
        <f t="shared" si="31"/>
        <v>62710</v>
      </c>
      <c r="BK26" s="80">
        <f t="shared" si="32"/>
        <v>98500</v>
      </c>
      <c r="BL26" s="80">
        <f t="shared" si="33"/>
        <v>72630</v>
      </c>
      <c r="BM26" s="80">
        <f t="shared" si="34"/>
        <v>164980</v>
      </c>
      <c r="BO26" s="25">
        <f t="shared" si="35"/>
        <v>56560</v>
      </c>
      <c r="BP26" s="25">
        <f t="shared" si="36"/>
        <v>6150</v>
      </c>
      <c r="BR26" s="25">
        <f t="shared" si="37"/>
        <v>17430</v>
      </c>
      <c r="BS26" s="25">
        <f t="shared" si="38"/>
        <v>9130</v>
      </c>
      <c r="BT26" s="25">
        <f t="shared" si="39"/>
        <v>30000</v>
      </c>
      <c r="BU26" s="25">
        <f t="shared" si="40"/>
        <v>108420</v>
      </c>
    </row>
    <row r="27" spans="1:73" x14ac:dyDescent="0.25">
      <c r="A27" s="51" t="s">
        <v>116</v>
      </c>
      <c r="B27" s="3" t="s">
        <v>43</v>
      </c>
      <c r="C27" s="15" t="b">
        <v>1</v>
      </c>
      <c r="D27" s="3" t="s">
        <v>15</v>
      </c>
      <c r="E27" s="7">
        <f>IF($B$5&gt;0,IF($U$5=FALSE,0,IF(C27=FALSE,0,81+22)),0)</f>
        <v>103</v>
      </c>
      <c r="F27" s="7">
        <v>0</v>
      </c>
      <c r="G27" s="7">
        <f>IF($B$5&gt;0,IF($U$5=FALSE,0,IF(C27=FALSE,0,($B$5-1)*41)),0)</f>
        <v>0</v>
      </c>
      <c r="H27" s="7">
        <v>0</v>
      </c>
      <c r="I27" s="7">
        <f t="shared" si="13"/>
        <v>103</v>
      </c>
      <c r="J27" s="7">
        <f>I27*$J$5</f>
        <v>3296</v>
      </c>
      <c r="K27" s="3" t="s">
        <v>15</v>
      </c>
      <c r="L27" s="7">
        <f>IF($B$5&gt;0,IF($U$6=FALSE,0,IF(C27=FALSE,0,250+100)),0)</f>
        <v>350</v>
      </c>
      <c r="M27" s="7">
        <v>0</v>
      </c>
      <c r="N27" s="7">
        <v>0</v>
      </c>
      <c r="O27" s="7">
        <f>IF($B$5&gt;0,IF($U$6=FALSE,0,IF(C27=FALSE,0,($B$5-1)*0)),0)</f>
        <v>0</v>
      </c>
      <c r="P27" s="7">
        <v>0</v>
      </c>
      <c r="Q27" s="7">
        <f>IF($B$5&gt;0,IF($U$6=FALSE,0,IF(C27=FALSE,0,10*$B$6)),0)</f>
        <v>80</v>
      </c>
      <c r="R27" s="7">
        <f t="shared" si="14"/>
        <v>430</v>
      </c>
      <c r="S27" s="7">
        <f>R27*$J$5</f>
        <v>13760</v>
      </c>
      <c r="T27" s="7">
        <f>J27+S27</f>
        <v>17056</v>
      </c>
      <c r="U27" s="7">
        <f>IF($B$5&gt;0,IF($U$7=FALSE,0,IF(C27=FALSE,0,IF(選項!$K$2=1,30000,40000))),0)</f>
        <v>40000</v>
      </c>
      <c r="V27" s="7">
        <v>0</v>
      </c>
      <c r="W27" s="7">
        <f>IF($B$5&gt;0,IF($U$7=FALSE,0,IF(C27=FALSE,0,IF($B$6/$B$5&lt;=10,0,IF(選項!$K$2=1,1000*($B$6-$B$5*10),2000*($B$6-$B$5*10))))),0)</f>
        <v>0</v>
      </c>
      <c r="X27" s="7">
        <f>IF($B$5&gt;0,IF($U$7=FALSE,0,IF(C27=FALSE,0,IF(選項!$K$2=1,10000*($B$5-1),25000*($B$5-1)))),0)</f>
        <v>0</v>
      </c>
      <c r="Y27" s="7">
        <v>0</v>
      </c>
      <c r="Z27" s="7">
        <f t="shared" si="16"/>
        <v>40000</v>
      </c>
      <c r="AA27" s="7">
        <f>T27+Z27</f>
        <v>57056</v>
      </c>
      <c r="AB27" s="3" t="str">
        <f>A27</f>
        <v>菲律賓</v>
      </c>
      <c r="AC27" s="25">
        <f>J27</f>
        <v>3296</v>
      </c>
      <c r="AD27" s="25">
        <f>S27</f>
        <v>13760</v>
      </c>
      <c r="AE27" s="25">
        <f>Z27</f>
        <v>40000</v>
      </c>
      <c r="AG27" s="15" t="str">
        <f>A27</f>
        <v>菲律賓</v>
      </c>
      <c r="AH27" s="3">
        <f>IF($B$5&gt;0,IF(C27=FALSE,0,1),0)</f>
        <v>1</v>
      </c>
      <c r="AI27" s="3" t="s">
        <v>15</v>
      </c>
      <c r="AJ27" s="7">
        <f>IF($B$5&gt;0,IF($U$5=FALSE,0,IF(C27=FALSE,0,22+27)),0)</f>
        <v>49</v>
      </c>
      <c r="AK27" s="7">
        <f>IF($B$5&gt;0,IF($U$5=FALSE,0,IF(C27=FALSE,0,0)),0)</f>
        <v>0</v>
      </c>
      <c r="AL27" s="7"/>
      <c r="AM27" s="7">
        <f t="shared" si="20"/>
        <v>49</v>
      </c>
      <c r="AN27" s="22">
        <f>AM27*$J$5</f>
        <v>1568</v>
      </c>
      <c r="AO27" s="3" t="s">
        <v>15</v>
      </c>
      <c r="AP27" s="7">
        <f>IF($B$5&gt;0,IF($U$6=FALSE,0,IF(C27=FALSE,0,100+150)),0)</f>
        <v>250</v>
      </c>
      <c r="AQ27" s="7"/>
      <c r="AR27" s="7"/>
      <c r="AS27" s="7">
        <f t="shared" si="21"/>
        <v>250</v>
      </c>
      <c r="AT27" s="22">
        <f>AS27*$J$5</f>
        <v>8000</v>
      </c>
      <c r="AU27" s="22">
        <f>AN27+AT27</f>
        <v>9568</v>
      </c>
      <c r="AV27" s="7">
        <f t="shared" ref="AV27" si="45">IF($B$5&gt;0,IF($U$7=FALSE,0,IF(C27=FALSE,0,2000)),0)</f>
        <v>2000</v>
      </c>
      <c r="AW27" s="22">
        <f t="shared" si="22"/>
        <v>2000</v>
      </c>
      <c r="AX27" s="22">
        <f>AU27+AW27</f>
        <v>11568</v>
      </c>
      <c r="AY27" s="15" t="str">
        <f>A27</f>
        <v>菲律賓</v>
      </c>
      <c r="AZ27" s="25">
        <f>AN27</f>
        <v>1568</v>
      </c>
      <c r="BA27" s="25">
        <f>AT27</f>
        <v>8000</v>
      </c>
      <c r="BB27" s="25">
        <f>AW27</f>
        <v>2000</v>
      </c>
      <c r="BD27" s="3" t="str">
        <f>A27</f>
        <v>菲律賓</v>
      </c>
      <c r="BE27" s="25">
        <f t="shared" si="27"/>
        <v>57056</v>
      </c>
      <c r="BF27" s="25">
        <f t="shared" si="28"/>
        <v>0</v>
      </c>
      <c r="BG27" s="25">
        <f t="shared" si="29"/>
        <v>11568</v>
      </c>
      <c r="BH27" s="79">
        <f t="shared" si="7"/>
        <v>22480</v>
      </c>
      <c r="BI27" s="95">
        <f t="shared" si="30"/>
        <v>57056</v>
      </c>
      <c r="BJ27" s="80">
        <f t="shared" si="31"/>
        <v>68624</v>
      </c>
      <c r="BK27" s="80">
        <f t="shared" si="32"/>
        <v>68624</v>
      </c>
      <c r="BL27" s="80">
        <f t="shared" si="33"/>
        <v>34048</v>
      </c>
      <c r="BM27" s="80">
        <f t="shared" si="34"/>
        <v>91104</v>
      </c>
      <c r="BO27" s="25">
        <f t="shared" si="35"/>
        <v>57056</v>
      </c>
      <c r="BP27" s="25">
        <f t="shared" si="36"/>
        <v>11568</v>
      </c>
      <c r="BR27" s="25">
        <f t="shared" si="37"/>
        <v>3296</v>
      </c>
      <c r="BS27" s="25">
        <f t="shared" si="38"/>
        <v>13760</v>
      </c>
      <c r="BT27" s="25">
        <f t="shared" si="39"/>
        <v>40000</v>
      </c>
      <c r="BU27" s="25">
        <f t="shared" si="40"/>
        <v>34048</v>
      </c>
    </row>
    <row r="28" spans="1:73" x14ac:dyDescent="0.25">
      <c r="A28" s="3" t="s">
        <v>96</v>
      </c>
      <c r="B28" s="3" t="s">
        <v>43</v>
      </c>
      <c r="C28" s="15" t="b">
        <v>1</v>
      </c>
      <c r="D28" s="3" t="s">
        <v>15</v>
      </c>
      <c r="E28" s="7">
        <f>IF($B$5&gt;0,IF($U$5=FALSE,0,IF(C28=FALSE,0,80)),0)</f>
        <v>80</v>
      </c>
      <c r="F28" s="7">
        <v>0</v>
      </c>
      <c r="G28" s="7">
        <f>IF($B$5&gt;0,IF($U$5=FALSE,0,IF(C28=FALSE,0,($B$5-1)*80)),0)</f>
        <v>0</v>
      </c>
      <c r="H28" s="7">
        <v>0</v>
      </c>
      <c r="I28" s="7">
        <f>IF($S$5=FALSE,0,SUM(E28:H28))</f>
        <v>80</v>
      </c>
      <c r="J28" s="7">
        <f>I28*$J$5</f>
        <v>2560</v>
      </c>
      <c r="K28" s="3" t="s">
        <v>15</v>
      </c>
      <c r="L28" s="7">
        <f>IF($B$5&gt;0,IF($U$6=FALSE,0,IF(C28=FALSE,0,500)),0)</f>
        <v>500</v>
      </c>
      <c r="M28" s="7">
        <v>0</v>
      </c>
      <c r="N28" s="7">
        <v>0</v>
      </c>
      <c r="O28" s="7">
        <f>IF($B$5&gt;0,IF($U$6=FALSE,0,IF(C28=FALSE,0,($B$5-1)*500)),0)</f>
        <v>0</v>
      </c>
      <c r="P28" s="7">
        <v>0</v>
      </c>
      <c r="Q28" s="7">
        <f>IF($B$5&gt;0,IF($U$6=FALSE,0,IF(C28=FALSE,0,$B$6*10)),0)</f>
        <v>80</v>
      </c>
      <c r="R28" s="7">
        <f>IF($S$5=FALSE,0,SUM(L28:Q28))</f>
        <v>580</v>
      </c>
      <c r="S28" s="7">
        <f>R28*$J$5</f>
        <v>18560</v>
      </c>
      <c r="T28" s="7">
        <f>J28+S28</f>
        <v>21120</v>
      </c>
      <c r="U28" s="7">
        <f>IF($B$5&gt;0,IF($U$7=FALSE,0,IF(C28=FALSE,0,30000)),0)</f>
        <v>30000</v>
      </c>
      <c r="V28" s="7">
        <v>0</v>
      </c>
      <c r="W28" s="7">
        <f>IF($B$5&gt;0,IF($U$7=FALSE,0,IF(C28=FALSE,0,IF($B$6/$B$5&lt;=10,0,IF(選項!$K$2=1,1000*($B$6-$B$5*10),2000*($B$6-$B$5*10))))),0)</f>
        <v>0</v>
      </c>
      <c r="X28" s="7">
        <f>IF($B$5&gt;0,IF($U$7=FALSE,0,IF(C28=FALSE,0,IF(選項!$K$2=1,10000*($B$5-1),20000*($B$5-1)))),0)</f>
        <v>0</v>
      </c>
      <c r="Y28" s="7">
        <v>0</v>
      </c>
      <c r="Z28" s="7">
        <f>IF($S$5=FALSE,0,SUM(U28:Y28))</f>
        <v>30000</v>
      </c>
      <c r="AA28" s="7">
        <f>T28+Z28</f>
        <v>51120</v>
      </c>
      <c r="AB28" s="3" t="str">
        <f>A28</f>
        <v>印尼</v>
      </c>
      <c r="AC28" s="25">
        <f>J28</f>
        <v>2560</v>
      </c>
      <c r="AD28" s="25">
        <f>S28</f>
        <v>18560</v>
      </c>
      <c r="AE28" s="25">
        <f>Z28</f>
        <v>30000</v>
      </c>
      <c r="AG28" s="15" t="str">
        <f>A28</f>
        <v>印尼</v>
      </c>
      <c r="AH28" s="3">
        <f>IF($B$5&gt;0,IF(C28=FALSE,0,$B$5),0)</f>
        <v>1</v>
      </c>
      <c r="AI28" s="3" t="s">
        <v>15</v>
      </c>
      <c r="AJ28" s="7">
        <v>0</v>
      </c>
      <c r="AK28" s="7"/>
      <c r="AL28" s="7"/>
      <c r="AM28" s="7">
        <f>IF($S$6=FALSE,0,SUM(AJ28:AL28))</f>
        <v>0</v>
      </c>
      <c r="AN28" s="22">
        <f>AM28*$J$5</f>
        <v>0</v>
      </c>
      <c r="AO28" s="3" t="s">
        <v>15</v>
      </c>
      <c r="AP28" s="7">
        <f>IF($B$5&gt;0,IF($U$6=FALSE,0,IF(C28=FALSE,0,150)),0)</f>
        <v>150</v>
      </c>
      <c r="AQ28" s="7">
        <f>IF($B$5&gt;0,IF($U$6=FALSE,0,IF(C28=FALSE,0,($B$5-1)*150)),0)</f>
        <v>0</v>
      </c>
      <c r="AR28" s="7"/>
      <c r="AS28" s="7">
        <f>IF($S$6=FALSE,0,SUM(AP28:AR28))</f>
        <v>150</v>
      </c>
      <c r="AT28" s="22">
        <f>AS28*$J$5</f>
        <v>4800</v>
      </c>
      <c r="AU28" s="22">
        <f>AN28+AT28</f>
        <v>4800</v>
      </c>
      <c r="AV28" s="7">
        <f>IF($B$5&gt;0,IF($U$7=FALSE,0,IF(C28=FALSE,0,$B$5*2000)),0)</f>
        <v>2000</v>
      </c>
      <c r="AW28" s="22">
        <f>IF($S$6=FALSE,0,SUM(AV28:AV28))</f>
        <v>2000</v>
      </c>
      <c r="AX28" s="22">
        <f>AU28+AW28</f>
        <v>6800</v>
      </c>
      <c r="AY28" s="15" t="str">
        <f>A28</f>
        <v>印尼</v>
      </c>
      <c r="AZ28" s="25">
        <f>AN28</f>
        <v>0</v>
      </c>
      <c r="BA28" s="25">
        <f>AT28</f>
        <v>4800</v>
      </c>
      <c r="BB28" s="25">
        <f>AW28</f>
        <v>2000</v>
      </c>
      <c r="BD28" s="3" t="str">
        <f>A28</f>
        <v>印尼</v>
      </c>
      <c r="BE28" s="25">
        <f t="shared" si="27"/>
        <v>51120</v>
      </c>
      <c r="BF28" s="25">
        <f t="shared" si="28"/>
        <v>42600</v>
      </c>
      <c r="BG28" s="25">
        <f t="shared" si="29"/>
        <v>6800</v>
      </c>
      <c r="BH28" s="79">
        <f t="shared" si="7"/>
        <v>0</v>
      </c>
      <c r="BI28" s="95">
        <f t="shared" si="30"/>
        <v>93720</v>
      </c>
      <c r="BJ28" s="80">
        <f t="shared" si="31"/>
        <v>57920</v>
      </c>
      <c r="BK28" s="80">
        <f t="shared" si="32"/>
        <v>100520</v>
      </c>
      <c r="BL28" s="80">
        <f t="shared" si="33"/>
        <v>6800</v>
      </c>
      <c r="BM28" s="80">
        <f t="shared" si="34"/>
        <v>100520</v>
      </c>
      <c r="BO28" s="25">
        <f t="shared" si="35"/>
        <v>51120</v>
      </c>
      <c r="BP28" s="25">
        <f t="shared" si="36"/>
        <v>6800</v>
      </c>
      <c r="BR28" s="25">
        <f t="shared" si="37"/>
        <v>2560</v>
      </c>
      <c r="BS28" s="25">
        <f t="shared" si="38"/>
        <v>18560</v>
      </c>
      <c r="BT28" s="25">
        <f t="shared" si="39"/>
        <v>30000</v>
      </c>
      <c r="BU28" s="25">
        <f t="shared" si="40"/>
        <v>49400</v>
      </c>
    </row>
    <row r="29" spans="1:73" x14ac:dyDescent="0.25">
      <c r="A29" s="3" t="s">
        <v>8</v>
      </c>
      <c r="B29" s="3" t="s">
        <v>43</v>
      </c>
      <c r="C29" s="15" t="b">
        <v>1</v>
      </c>
      <c r="D29" s="3" t="s">
        <v>20</v>
      </c>
      <c r="E29" s="7">
        <f>IF(選項!$K$2=1,0,IF($B$5&gt;0,IF($U$5=FALSE,0,IF(C29=FALSE,0,150000+120000+60000*($B$6-1))),0))</f>
        <v>690000</v>
      </c>
      <c r="F29" s="7">
        <f>IF(選項!$K$2=1,0,IF($B$5&gt;0,IF($U$5=FALSE,0,IF(C29=FALSE,0,1180000)),0))</f>
        <v>1180000</v>
      </c>
      <c r="G29" s="7">
        <v>0</v>
      </c>
      <c r="H29" s="7">
        <v>0</v>
      </c>
      <c r="I29" s="7">
        <f t="shared" si="13"/>
        <v>1870000</v>
      </c>
      <c r="J29" s="7">
        <f>I29*$L$7</f>
        <v>2618</v>
      </c>
      <c r="K29" s="3" t="s">
        <v>15</v>
      </c>
      <c r="L29" s="7">
        <f>IF(選項!$K$2=1,0,IF($B$5&gt;0,IF($U$6=FALSE,0,IF(C29=FALSE,0,200+40+12*($B$6-1)+125)),0))</f>
        <v>449</v>
      </c>
      <c r="M29" s="7">
        <v>0</v>
      </c>
      <c r="N29" s="7">
        <f>IF(選項!$K$2=1,0,IF($B$5&gt;0,IF($U$6=FALSE,0,IF(C29=FALSE,0,90)),0))</f>
        <v>90</v>
      </c>
      <c r="O29" s="7">
        <f>IF(選項!$K$2=1,0,IF($B$5&gt;0,IF($U$6=FALSE,0,IF(C29=FALSE,0,(50+50)*($B$5-1))),0))</f>
        <v>0</v>
      </c>
      <c r="P29" s="7">
        <v>0</v>
      </c>
      <c r="Q29" s="7">
        <v>0</v>
      </c>
      <c r="R29" s="7">
        <f t="shared" si="14"/>
        <v>539</v>
      </c>
      <c r="S29" s="7">
        <f>R29*$J$5</f>
        <v>17248</v>
      </c>
      <c r="T29" s="7">
        <f t="shared" si="15"/>
        <v>19866</v>
      </c>
      <c r="U29" s="7">
        <f>IF(選項!$K$2=1,0,IF($B$5&gt;0,IF($U$7=FALSE,0,IF(C29=FALSE,0,30000)),0))</f>
        <v>30000</v>
      </c>
      <c r="V29" s="7">
        <v>0</v>
      </c>
      <c r="W29" s="7">
        <f>IF($B$5&gt;0,IF($U$7=FALSE,0,IF(C29=FALSE,0,IF($B$6/$B$5&lt;=10,0,IF(選項!$K$2=1,1000*($B$6-$B$5*10),2000*($B$6-$B$5*10))))),0)</f>
        <v>0</v>
      </c>
      <c r="X29" s="7">
        <f>IF(選項!$K$2=1,0,IF($B$5&gt;0,IF($U$7=FALSE,0,IF(C29=FALSE,0,IF(選項!$K$2=1,10000*($B$5-1),20000*($B$5-1)))),0))</f>
        <v>0</v>
      </c>
      <c r="Y29" s="7">
        <v>0</v>
      </c>
      <c r="Z29" s="7">
        <f t="shared" si="16"/>
        <v>30000</v>
      </c>
      <c r="AA29" s="7">
        <f t="shared" si="0"/>
        <v>49866</v>
      </c>
      <c r="AB29" s="3" t="str">
        <f t="shared" si="1"/>
        <v>越南</v>
      </c>
      <c r="AC29" s="25">
        <f t="shared" si="17"/>
        <v>2618</v>
      </c>
      <c r="AD29" s="25">
        <f t="shared" si="18"/>
        <v>17248</v>
      </c>
      <c r="AE29" s="25">
        <f t="shared" si="19"/>
        <v>30000</v>
      </c>
      <c r="AG29" s="15" t="str">
        <f t="shared" si="2"/>
        <v>越南</v>
      </c>
      <c r="AH29" s="3">
        <f>IF(選項!$K$2=1,0,IF($B$5&gt;0,IF(C29=FALSE,0,1),0))</f>
        <v>1</v>
      </c>
      <c r="AI29" s="3" t="s">
        <v>20</v>
      </c>
      <c r="AJ29" s="7">
        <f>IF(選項!$K$2=1,0,IF($B$5&gt;0,IF($U$5=FALSE,0,IF(C29=FALSE,0,240000+120000)),0))</f>
        <v>360000</v>
      </c>
      <c r="AK29" s="7">
        <f>IF(選項!$K$2=1,0,IF($B$5&gt;0,IF($U$5=FALSE,0,IF(C29=FALSE,0,($B$5-1)*100000)),0))</f>
        <v>0</v>
      </c>
      <c r="AL29" s="7">
        <f>IF(選項!$K$2=1,0,IF($B$5&gt;0,IF($U$5=FALSE,0,IF(C29=FALSE,0,($B$6-1)*60000)),0))</f>
        <v>420000</v>
      </c>
      <c r="AM29" s="7">
        <f t="shared" si="20"/>
        <v>780000</v>
      </c>
      <c r="AN29" s="22">
        <f>AM29*$L$7</f>
        <v>1092</v>
      </c>
      <c r="AO29" s="3" t="s">
        <v>15</v>
      </c>
      <c r="AP29" s="7">
        <f>IF(選項!$K$2=1,0,IF($B$5&gt;0,IF($U$6=FALSE,0,IF(C29=FALSE,0,90+40)),0))</f>
        <v>130</v>
      </c>
      <c r="AQ29" s="7">
        <f>IF(選項!$K$2=1,0,IF($B$5&gt;0,IF($U$6=FALSE,0,IF(C29=FALSE,0,($B$5-1)*32)),0))</f>
        <v>0</v>
      </c>
      <c r="AR29" s="7">
        <f>IF(選項!$K$2=1,0,IF($B$5&gt;0,IF($U$6=FALSE,0,IF(C29=FALSE,0,($B$6-1)*12)),0))</f>
        <v>84</v>
      </c>
      <c r="AS29" s="7">
        <f t="shared" si="21"/>
        <v>214</v>
      </c>
      <c r="AT29" s="22">
        <f>AS29*$J$5</f>
        <v>6848</v>
      </c>
      <c r="AU29" s="22">
        <f t="shared" si="3"/>
        <v>7940</v>
      </c>
      <c r="AV29" s="7">
        <f>IF(選項!$K$2=1,0,IF($B$5&gt;0,IF($U$7=FALSE,0,IF(C29=FALSE,0,2000)),0))</f>
        <v>2000</v>
      </c>
      <c r="AW29" s="22">
        <f t="shared" si="22"/>
        <v>2000</v>
      </c>
      <c r="AX29" s="22">
        <f t="shared" si="4"/>
        <v>9940</v>
      </c>
      <c r="AY29" s="15" t="str">
        <f t="shared" si="5"/>
        <v>越南</v>
      </c>
      <c r="AZ29" s="25">
        <f t="shared" si="23"/>
        <v>1092</v>
      </c>
      <c r="BA29" s="25">
        <f t="shared" si="24"/>
        <v>6848</v>
      </c>
      <c r="BB29" s="25">
        <f t="shared" si="25"/>
        <v>2000</v>
      </c>
      <c r="BD29" s="3" t="str">
        <f t="shared" si="26"/>
        <v>越南</v>
      </c>
      <c r="BE29" s="25">
        <f t="shared" si="27"/>
        <v>49866</v>
      </c>
      <c r="BF29" s="25">
        <f t="shared" si="28"/>
        <v>60744</v>
      </c>
      <c r="BG29" s="25">
        <f t="shared" si="29"/>
        <v>9940</v>
      </c>
      <c r="BH29" s="79">
        <f t="shared" si="7"/>
        <v>23600</v>
      </c>
      <c r="BI29" s="95">
        <f t="shared" si="30"/>
        <v>110610</v>
      </c>
      <c r="BJ29" s="80">
        <f t="shared" si="31"/>
        <v>59806</v>
      </c>
      <c r="BK29" s="80">
        <f t="shared" si="32"/>
        <v>120550</v>
      </c>
      <c r="BL29" s="80">
        <f t="shared" si="33"/>
        <v>33540</v>
      </c>
      <c r="BM29" s="80">
        <f t="shared" si="34"/>
        <v>144150</v>
      </c>
      <c r="BO29" s="25">
        <f t="shared" si="35"/>
        <v>49866</v>
      </c>
      <c r="BP29" s="25">
        <f t="shared" si="36"/>
        <v>9940</v>
      </c>
      <c r="BR29" s="25">
        <f t="shared" si="37"/>
        <v>2618</v>
      </c>
      <c r="BS29" s="25">
        <f t="shared" si="38"/>
        <v>17248</v>
      </c>
      <c r="BT29" s="25">
        <f t="shared" si="39"/>
        <v>30000</v>
      </c>
      <c r="BU29" s="25">
        <f t="shared" si="40"/>
        <v>94284</v>
      </c>
    </row>
    <row r="30" spans="1:73" x14ac:dyDescent="0.25">
      <c r="A30" s="3" t="s">
        <v>9</v>
      </c>
      <c r="B30" s="3" t="s">
        <v>43</v>
      </c>
      <c r="C30" s="15" t="b">
        <v>1</v>
      </c>
      <c r="D30" s="3" t="s">
        <v>21</v>
      </c>
      <c r="E30" s="7">
        <f>IF($B$5&gt;0,IF($U$5=FALSE,0,IF(C30=FALSE,0,250)),0)</f>
        <v>250</v>
      </c>
      <c r="F30" s="7">
        <v>0</v>
      </c>
      <c r="G30" s="7">
        <f>IF($B$5&gt;0,IF($U$5=FALSE,0,IF(C30=FALSE,0,($B$5-1)*250)),0)</f>
        <v>0</v>
      </c>
      <c r="H30" s="7">
        <v>0</v>
      </c>
      <c r="I30" s="7">
        <f t="shared" ref="I30:I31" si="46">IF($S$5=FALSE,0,SUM(E30:H30))</f>
        <v>250</v>
      </c>
      <c r="J30" s="7">
        <f>I30*$J$9</f>
        <v>275</v>
      </c>
      <c r="K30" s="3" t="s">
        <v>21</v>
      </c>
      <c r="L30" s="7">
        <f>IF($B$5&gt;0,IF($U$6=FALSE,0,IF(C30=FALSE,0,14500)),0)</f>
        <v>14500</v>
      </c>
      <c r="M30" s="7">
        <v>0</v>
      </c>
      <c r="N30" s="7">
        <v>0</v>
      </c>
      <c r="O30" s="7">
        <f>IF($B$5&gt;0,IF($U$6=FALSE,0,IF(C30=FALSE,0,($B$5-1)*14500)),0)</f>
        <v>0</v>
      </c>
      <c r="P30" s="7">
        <v>0</v>
      </c>
      <c r="Q30" s="7">
        <f>IF($B$5&gt;0,IF($U$6=FALSE,0,IF(C30=FALSE,0,4000*$B$5)),0)</f>
        <v>4000</v>
      </c>
      <c r="R30" s="7">
        <f t="shared" ref="R30:R31" si="47">IF($S$5=FALSE,0,SUM(L30:Q30))</f>
        <v>18500</v>
      </c>
      <c r="S30" s="7">
        <f>R30*$J$9</f>
        <v>20350</v>
      </c>
      <c r="T30" s="7">
        <f t="shared" ref="T30:T31" si="48">J30+S30</f>
        <v>20625</v>
      </c>
      <c r="U30" s="7">
        <f t="shared" ref="U30:U31" si="49">IF($B$5&gt;0,IF($U$7=FALSE,0,IF(C30=FALSE,0,30000)),0)</f>
        <v>30000</v>
      </c>
      <c r="V30" s="7">
        <v>0</v>
      </c>
      <c r="W30" s="7">
        <v>0</v>
      </c>
      <c r="X30" s="7">
        <f>IF($B$5&gt;0,IF($U$7=FALSE,0,IF(C30=FALSE,0,IF(選項!$K$2=1,10000*($B$5-1),20000*($B$5-1)))),0)</f>
        <v>0</v>
      </c>
      <c r="Y30" s="7">
        <v>0</v>
      </c>
      <c r="Z30" s="7">
        <f t="shared" ref="Z30:Z31" si="50">IF($S$5=FALSE,0,SUM(U30:Y30))</f>
        <v>30000</v>
      </c>
      <c r="AA30" s="7">
        <f t="shared" ref="AA30:AA31" si="51">T30+Z30</f>
        <v>50625</v>
      </c>
      <c r="AB30" s="3" t="str">
        <f t="shared" ref="AB30:AB31" si="52">A30</f>
        <v>泰國</v>
      </c>
      <c r="AC30" s="25">
        <f t="shared" ref="AC30:AC31" si="53">J30</f>
        <v>275</v>
      </c>
      <c r="AD30" s="25">
        <f t="shared" ref="AD30:AD31" si="54">S30</f>
        <v>20350</v>
      </c>
      <c r="AE30" s="25">
        <f t="shared" ref="AE30:AE31" si="55">Z30</f>
        <v>30000</v>
      </c>
      <c r="AG30" s="15" t="str">
        <f t="shared" ref="AG30:AG31" si="56">A30</f>
        <v>泰國</v>
      </c>
      <c r="AH30" s="3">
        <f t="shared" ref="AH30:AH31" si="57">IF($B$5&gt;0,IF(C30=FALSE,0,$B$5),0)</f>
        <v>1</v>
      </c>
      <c r="AI30" s="3" t="s">
        <v>21</v>
      </c>
      <c r="AJ30" s="7">
        <f>IF($B$5&gt;0,IF($U$5=FALSE,0,IF(C30=FALSE,0,500)),0)</f>
        <v>500</v>
      </c>
      <c r="AK30" s="7">
        <f>IF($B$5&gt;0,IF($U$5=FALSE,0,IF(C30=FALSE,0,500*($B$5-1))),0)</f>
        <v>0</v>
      </c>
      <c r="AL30" s="7"/>
      <c r="AM30" s="7">
        <f t="shared" ref="AM30:AM31" si="58">IF($S$6=FALSE,0,SUM(AJ30:AL30))</f>
        <v>500</v>
      </c>
      <c r="AN30" s="22">
        <f>AM30*$J$9</f>
        <v>550</v>
      </c>
      <c r="AO30" s="3" t="s">
        <v>21</v>
      </c>
      <c r="AP30" s="7">
        <f>IF($B$5&gt;0,IF($U$6=FALSE,0,IF(C30=FALSE,0,3500)),0)</f>
        <v>3500</v>
      </c>
      <c r="AQ30" s="7">
        <f>IF($B$5&gt;0,IF($U$6=FALSE,0,IF(C30=FALSE,0,($B$5-1)*3500)),0)</f>
        <v>0</v>
      </c>
      <c r="AR30" s="7"/>
      <c r="AS30" s="7">
        <f t="shared" ref="AS30:AS31" si="59">IF($S$6=FALSE,0,SUM(AP30:AR30))</f>
        <v>3500</v>
      </c>
      <c r="AT30" s="22">
        <f>AS30*$J$9</f>
        <v>3850.0000000000005</v>
      </c>
      <c r="AU30" s="22">
        <f t="shared" ref="AU30:AU31" si="60">AN30+AT30</f>
        <v>4400</v>
      </c>
      <c r="AV30" s="7">
        <f>IF($B$5&gt;0,IF($U$7=FALSE,0,IF(C30=FALSE,0,$B$5*2000)),0)</f>
        <v>2000</v>
      </c>
      <c r="AW30" s="22">
        <f t="shared" ref="AW30" si="61">IF($S$6=FALSE,0,SUM(AV30:AV30))</f>
        <v>2000</v>
      </c>
      <c r="AX30" s="22">
        <f t="shared" ref="AX30:AX31" si="62">AU30+AW30</f>
        <v>6400</v>
      </c>
      <c r="AY30" s="15" t="str">
        <f t="shared" ref="AY30:AY31" si="63">A30</f>
        <v>泰國</v>
      </c>
      <c r="AZ30" s="25">
        <f t="shared" ref="AZ30:AZ31" si="64">AN30</f>
        <v>550</v>
      </c>
      <c r="BA30" s="25">
        <f t="shared" ref="BA30:BA31" si="65">AT30</f>
        <v>3850.0000000000005</v>
      </c>
      <c r="BB30" s="25">
        <f t="shared" ref="BB30:BB31" si="66">AW30</f>
        <v>2000</v>
      </c>
      <c r="BD30" s="3" t="str">
        <f t="shared" ref="BD30:BD31" si="67">A30</f>
        <v>泰國</v>
      </c>
      <c r="BE30" s="25">
        <f t="shared" si="27"/>
        <v>50625</v>
      </c>
      <c r="BF30" s="25">
        <f t="shared" si="28"/>
        <v>41335</v>
      </c>
      <c r="BG30" s="25">
        <f t="shared" si="29"/>
        <v>6400</v>
      </c>
      <c r="BH30" s="79">
        <f t="shared" si="7"/>
        <v>60195</v>
      </c>
      <c r="BI30" s="95">
        <f t="shared" si="30"/>
        <v>91960</v>
      </c>
      <c r="BJ30" s="80">
        <f t="shared" si="31"/>
        <v>57025</v>
      </c>
      <c r="BK30" s="80">
        <f t="shared" si="32"/>
        <v>98360</v>
      </c>
      <c r="BL30" s="80">
        <f t="shared" si="33"/>
        <v>66595</v>
      </c>
      <c r="BM30" s="80">
        <f t="shared" si="34"/>
        <v>158555</v>
      </c>
      <c r="BO30" s="25">
        <f t="shared" si="35"/>
        <v>50625</v>
      </c>
      <c r="BP30" s="25">
        <f t="shared" si="36"/>
        <v>6400</v>
      </c>
      <c r="BR30" s="25">
        <f t="shared" si="37"/>
        <v>275</v>
      </c>
      <c r="BS30" s="25">
        <f t="shared" si="38"/>
        <v>20350</v>
      </c>
      <c r="BT30" s="25">
        <f t="shared" si="39"/>
        <v>30000</v>
      </c>
      <c r="BU30" s="25">
        <f t="shared" si="40"/>
        <v>107930</v>
      </c>
    </row>
    <row r="31" spans="1:73" x14ac:dyDescent="0.25">
      <c r="A31" s="3" t="s">
        <v>309</v>
      </c>
      <c r="B31" s="3" t="s">
        <v>43</v>
      </c>
      <c r="C31" s="15" t="b">
        <v>1</v>
      </c>
      <c r="D31" s="3" t="s">
        <v>15</v>
      </c>
      <c r="E31" s="7">
        <f>IF($B$5&gt;0,IF($U$5=FALSE,0,IF(C31=FALSE,0,57)),0)</f>
        <v>57</v>
      </c>
      <c r="F31" s="7">
        <v>0</v>
      </c>
      <c r="G31" s="7">
        <f>IF($B$5&gt;0,IF($U$5=FALSE,0,IF(C31=FALSE,0,($B$5-1)*57)),0)</f>
        <v>0</v>
      </c>
      <c r="H31" s="7">
        <v>0</v>
      </c>
      <c r="I31" s="7">
        <f t="shared" si="46"/>
        <v>57</v>
      </c>
      <c r="J31" s="7">
        <f>I31*$J$5</f>
        <v>1824</v>
      </c>
      <c r="K31" s="3" t="s">
        <v>15</v>
      </c>
      <c r="L31" s="7">
        <f>IF($B$5&gt;0,IF($U$6=FALSE,0,IF(C31=FALSE,0,250)),0)</f>
        <v>250</v>
      </c>
      <c r="M31" s="7">
        <v>0</v>
      </c>
      <c r="N31" s="7">
        <v>0</v>
      </c>
      <c r="O31" s="7">
        <f>IF($B$5&gt;0,IF($U$6=FALSE,0,IF(C31=FALSE,0,($B$5-1)*250)),0)</f>
        <v>0</v>
      </c>
      <c r="P31" s="7">
        <v>0</v>
      </c>
      <c r="Q31" s="7">
        <v>0</v>
      </c>
      <c r="R31" s="7">
        <f t="shared" si="47"/>
        <v>250</v>
      </c>
      <c r="S31" s="7">
        <f>R31*$J$5</f>
        <v>8000</v>
      </c>
      <c r="T31" s="7">
        <f t="shared" si="48"/>
        <v>9824</v>
      </c>
      <c r="U31" s="7">
        <f t="shared" si="49"/>
        <v>30000</v>
      </c>
      <c r="V31" s="7">
        <v>0</v>
      </c>
      <c r="W31" s="7">
        <f>IF($B$5&gt;0,IF($U$7=FALSE,0,IF(C31=FALSE,0,IF($B$6/$B$5&lt;=10,0,IF(選項!$K$2=1,1000*($B$6-$B$5*10),2000*($B$6-$B$5*10))))),0)</f>
        <v>0</v>
      </c>
      <c r="X31" s="7">
        <f>IF($B$5&gt;0,IF($U$7=FALSE,0,IF(C31=FALSE,0,IF(選項!$K$2=1,10000*($B$5-1),20000*($B$5-1)))),0)</f>
        <v>0</v>
      </c>
      <c r="Y31" s="7">
        <v>0</v>
      </c>
      <c r="Z31" s="7">
        <f t="shared" si="50"/>
        <v>30000</v>
      </c>
      <c r="AA31" s="7">
        <f t="shared" si="51"/>
        <v>39824</v>
      </c>
      <c r="AB31" s="3" t="str">
        <f t="shared" si="52"/>
        <v>印度</v>
      </c>
      <c r="AC31" s="25">
        <f t="shared" si="53"/>
        <v>1824</v>
      </c>
      <c r="AD31" s="25">
        <f t="shared" si="54"/>
        <v>8000</v>
      </c>
      <c r="AE31" s="25">
        <f t="shared" si="55"/>
        <v>30000</v>
      </c>
      <c r="AG31" s="15" t="str">
        <f t="shared" si="56"/>
        <v>印度</v>
      </c>
      <c r="AH31" s="3">
        <f t="shared" si="57"/>
        <v>1</v>
      </c>
      <c r="AI31" s="3" t="s">
        <v>15</v>
      </c>
      <c r="AJ31" s="7">
        <v>0</v>
      </c>
      <c r="AK31" s="7"/>
      <c r="AL31" s="7"/>
      <c r="AM31" s="7">
        <f t="shared" si="58"/>
        <v>0</v>
      </c>
      <c r="AN31" s="22">
        <f>AM31*$J$5</f>
        <v>0</v>
      </c>
      <c r="AO31" s="3" t="s">
        <v>15</v>
      </c>
      <c r="AP31" s="7">
        <f>IF($B$5&gt;0,IF($U$6=FALSE,0,IF(C31=FALSE,0,100)),0)</f>
        <v>100</v>
      </c>
      <c r="AQ31" s="7">
        <f>IF($B$5&gt;0,IF($U$6=FALSE,0,IF(C31=FALSE,0,($B$5-1)*100)),0)</f>
        <v>0</v>
      </c>
      <c r="AR31" s="7"/>
      <c r="AS31" s="7">
        <f t="shared" si="59"/>
        <v>100</v>
      </c>
      <c r="AT31" s="22">
        <f>AS31*$J$5</f>
        <v>3200</v>
      </c>
      <c r="AU31" s="22">
        <f t="shared" si="60"/>
        <v>3200</v>
      </c>
      <c r="AV31" s="7">
        <f>IF($B$5&gt;0,IF($U$7=FALSE,0,IF(C31=FALSE,0,$B$5*2000)),0)</f>
        <v>2000</v>
      </c>
      <c r="AW31" s="22">
        <f t="shared" ref="AW31" si="68">IF($S$6=FALSE,0,SUM(AV31:AV31))</f>
        <v>2000</v>
      </c>
      <c r="AX31" s="22">
        <f t="shared" si="62"/>
        <v>5200</v>
      </c>
      <c r="AY31" s="15" t="str">
        <f t="shared" si="63"/>
        <v>印度</v>
      </c>
      <c r="AZ31" s="25">
        <f t="shared" si="64"/>
        <v>0</v>
      </c>
      <c r="BA31" s="25">
        <f t="shared" si="65"/>
        <v>3200</v>
      </c>
      <c r="BB31" s="25">
        <f t="shared" si="66"/>
        <v>2000</v>
      </c>
      <c r="BD31" s="3" t="str">
        <f t="shared" si="67"/>
        <v>印度</v>
      </c>
      <c r="BE31" s="25">
        <f t="shared" si="27"/>
        <v>39824</v>
      </c>
      <c r="BF31" s="25">
        <f t="shared" si="28"/>
        <v>39400</v>
      </c>
      <c r="BG31" s="25">
        <f t="shared" si="29"/>
        <v>5200</v>
      </c>
      <c r="BH31" s="79">
        <f t="shared" si="7"/>
        <v>11848</v>
      </c>
      <c r="BI31" s="95">
        <f t="shared" si="30"/>
        <v>79224</v>
      </c>
      <c r="BJ31" s="80">
        <f t="shared" si="31"/>
        <v>45024</v>
      </c>
      <c r="BK31" s="80">
        <f t="shared" si="32"/>
        <v>84424</v>
      </c>
      <c r="BL31" s="80">
        <f t="shared" si="33"/>
        <v>17048</v>
      </c>
      <c r="BM31" s="80">
        <f t="shared" si="34"/>
        <v>96272</v>
      </c>
      <c r="BO31" s="25">
        <f t="shared" si="35"/>
        <v>39824</v>
      </c>
      <c r="BP31" s="25">
        <f t="shared" si="36"/>
        <v>5200</v>
      </c>
      <c r="BR31" s="25">
        <f t="shared" si="37"/>
        <v>1824</v>
      </c>
      <c r="BS31" s="25">
        <f t="shared" si="38"/>
        <v>8000</v>
      </c>
      <c r="BT31" s="25">
        <f t="shared" si="39"/>
        <v>30000</v>
      </c>
      <c r="BU31" s="25">
        <f t="shared" si="40"/>
        <v>56448</v>
      </c>
    </row>
    <row r="32" spans="1:73" ht="20.25" thickBot="1" x14ac:dyDescent="0.35">
      <c r="A32" s="5"/>
      <c r="B32" s="5"/>
      <c r="C32" s="5"/>
      <c r="D32" s="5"/>
      <c r="E32" s="5"/>
      <c r="F32" s="5"/>
      <c r="G32" s="5"/>
      <c r="H32" s="5"/>
      <c r="I32" s="8" t="s">
        <v>45</v>
      </c>
      <c r="J32" s="11">
        <f>SUM(J16:J31)</f>
        <v>93638.824999999997</v>
      </c>
      <c r="K32" s="5"/>
      <c r="L32" s="5"/>
      <c r="M32" s="5"/>
      <c r="N32" s="5"/>
      <c r="O32" s="5"/>
      <c r="P32" s="5"/>
      <c r="Q32" s="5"/>
      <c r="R32" s="8" t="s">
        <v>45</v>
      </c>
      <c r="S32" s="11">
        <f>SUM(S16:S31)</f>
        <v>233180</v>
      </c>
      <c r="T32" s="11">
        <f>SUM(T16:T31)</f>
        <v>326818.82500000001</v>
      </c>
      <c r="U32" s="5"/>
      <c r="V32" s="5"/>
      <c r="W32" s="5"/>
      <c r="X32" s="5"/>
      <c r="Y32" s="5"/>
      <c r="Z32" s="11">
        <f>SUM(Z16:Z31)</f>
        <v>489000</v>
      </c>
      <c r="AA32" s="11">
        <f>SUM(AA16:AA31)</f>
        <v>815818.82499999995</v>
      </c>
      <c r="AB32" s="3"/>
      <c r="AC32" s="19">
        <f>SUM(AC16:AC31)</f>
        <v>93638.824999999997</v>
      </c>
      <c r="AD32" s="19">
        <f>SUM(AD16:AD31)</f>
        <v>233180</v>
      </c>
      <c r="AE32" s="19">
        <f>SUM(AE16:AE31)</f>
        <v>489000</v>
      </c>
      <c r="AG32" s="15"/>
      <c r="AH32" s="12"/>
      <c r="AI32" s="3"/>
      <c r="AJ32" s="7"/>
      <c r="AK32" s="7"/>
      <c r="AL32" s="7"/>
      <c r="AM32" s="8" t="s">
        <v>45</v>
      </c>
      <c r="AN32" s="20">
        <f>SUM(AN16:AN31)</f>
        <v>30953.75</v>
      </c>
      <c r="AO32" s="3"/>
      <c r="AP32" s="7"/>
      <c r="AQ32" s="7"/>
      <c r="AR32" s="7"/>
      <c r="AS32" s="8" t="s">
        <v>45</v>
      </c>
      <c r="AT32" s="20">
        <f>SUM(AT16:AT31)</f>
        <v>79385.5</v>
      </c>
      <c r="AU32" s="20">
        <f>SUM(AU16:AU31)</f>
        <v>110339.25</v>
      </c>
      <c r="AV32" s="11">
        <f>SUM(AV16:AV31)</f>
        <v>30000</v>
      </c>
      <c r="AW32" s="20">
        <f>SUM(AW16:AW31)</f>
        <v>30000</v>
      </c>
      <c r="AX32" s="20">
        <f>SUM(AX16:AX31)</f>
        <v>140339.25</v>
      </c>
      <c r="AY32" s="26"/>
      <c r="AZ32" s="19">
        <f>SUM(AZ16:AZ31)</f>
        <v>30953.75</v>
      </c>
      <c r="BA32" s="19">
        <f>SUM(BA16:BA31)</f>
        <v>79385.5</v>
      </c>
      <c r="BB32" s="19">
        <f>SUM(BB16:BB31)</f>
        <v>30000</v>
      </c>
      <c r="BC32" s="27"/>
      <c r="BD32" s="3"/>
      <c r="BE32" s="19">
        <f t="shared" ref="BE32:BM32" si="69">SUM(BE16:BE31)</f>
        <v>815818.82499999995</v>
      </c>
      <c r="BF32" s="19">
        <f t="shared" si="69"/>
        <v>558544</v>
      </c>
      <c r="BG32" s="19">
        <f t="shared" si="69"/>
        <v>140339.25</v>
      </c>
      <c r="BH32" s="94">
        <f t="shared" si="69"/>
        <v>1142577.27</v>
      </c>
      <c r="BI32" s="97">
        <f t="shared" si="69"/>
        <v>1374362.825</v>
      </c>
      <c r="BJ32" s="96">
        <f t="shared" si="69"/>
        <v>956158.07499999995</v>
      </c>
      <c r="BK32" s="96">
        <f t="shared" si="69"/>
        <v>1514702.075</v>
      </c>
      <c r="BL32" s="96">
        <f t="shared" si="69"/>
        <v>1282916.52</v>
      </c>
      <c r="BM32" s="96">
        <f t="shared" si="69"/>
        <v>2657279.3449999997</v>
      </c>
      <c r="BN32" s="27"/>
      <c r="BO32" s="19">
        <f>SUM(BO16:BO31)</f>
        <v>815818.82499999995</v>
      </c>
      <c r="BP32" s="19">
        <f>SUM(BP16:BP31)</f>
        <v>140339.25</v>
      </c>
      <c r="BR32" s="19">
        <f>SUM(BR16:BR31)</f>
        <v>93638.824999999997</v>
      </c>
      <c r="BS32" s="19">
        <f>SUM(BS16:BS31)</f>
        <v>233180</v>
      </c>
      <c r="BT32" s="19">
        <f>SUM(BT16:BT31)</f>
        <v>489000</v>
      </c>
      <c r="BU32" s="19">
        <f>SUM(BU16:BU31)</f>
        <v>1841460.52</v>
      </c>
    </row>
    <row r="33" spans="1:73" ht="20.25" thickTop="1" x14ac:dyDescent="0.3">
      <c r="G33" s="127" t="s">
        <v>303</v>
      </c>
      <c r="I33" s="144"/>
      <c r="J33" s="75"/>
      <c r="R33" s="74"/>
      <c r="S33" s="75"/>
      <c r="T33" s="75"/>
      <c r="Z33" s="75"/>
      <c r="AA33" s="75"/>
      <c r="AB33" s="77"/>
      <c r="AC33" s="83"/>
      <c r="AD33" s="83"/>
      <c r="AE33" s="83"/>
      <c r="AG33" s="84"/>
      <c r="AH33" s="85"/>
      <c r="AI33" s="77"/>
      <c r="AJ33" s="76"/>
      <c r="AK33" s="76"/>
      <c r="AL33" s="76"/>
      <c r="AM33" s="74"/>
      <c r="AN33" s="86"/>
      <c r="AO33" s="77"/>
      <c r="AP33" s="76"/>
      <c r="AQ33" s="76"/>
      <c r="AR33" s="76"/>
      <c r="AS33" s="74"/>
      <c r="AT33" s="86"/>
      <c r="AU33" s="86"/>
      <c r="AV33" s="75"/>
      <c r="AW33" s="86"/>
      <c r="AX33" s="86"/>
      <c r="AY33" s="87"/>
      <c r="AZ33" s="83"/>
      <c r="BA33" s="83"/>
      <c r="BB33" s="83"/>
      <c r="BC33" s="27"/>
      <c r="BD33" s="77"/>
      <c r="BO33" s="83"/>
      <c r="BP33" s="83"/>
      <c r="BR33" s="83"/>
      <c r="BS33" s="83"/>
      <c r="BT33" s="83"/>
      <c r="BU33" s="83"/>
    </row>
    <row r="34" spans="1:73" ht="19.5" x14ac:dyDescent="0.3">
      <c r="I34" s="74"/>
      <c r="J34" s="75"/>
      <c r="R34" s="74"/>
      <c r="S34" s="75"/>
      <c r="T34" s="75"/>
      <c r="Z34" s="75"/>
      <c r="AA34" s="75"/>
      <c r="AB34" s="77"/>
      <c r="AC34" s="83"/>
      <c r="AD34" s="83"/>
      <c r="AE34" s="83"/>
      <c r="AG34" s="84"/>
      <c r="AH34" s="85"/>
      <c r="AI34" s="77"/>
      <c r="AJ34" s="76"/>
      <c r="AK34" s="76"/>
      <c r="AL34" s="76"/>
      <c r="AM34" s="74"/>
      <c r="AN34" s="86"/>
      <c r="AO34" s="77"/>
      <c r="AP34" s="76"/>
      <c r="AQ34" s="76"/>
      <c r="AR34" s="76"/>
      <c r="AS34" s="74"/>
      <c r="AT34" s="86"/>
      <c r="AU34" s="86"/>
      <c r="AV34" s="75"/>
      <c r="AW34" s="86"/>
      <c r="AX34" s="86"/>
      <c r="AY34" s="87"/>
      <c r="AZ34" s="83"/>
      <c r="BA34" s="83"/>
      <c r="BB34" s="83"/>
      <c r="BC34" s="27"/>
      <c r="BD34" s="77"/>
      <c r="BO34" s="83"/>
      <c r="BP34" s="83"/>
      <c r="BR34" s="83"/>
      <c r="BS34" s="83"/>
      <c r="BT34" s="83"/>
      <c r="BU34" s="83"/>
    </row>
    <row r="35" spans="1:73" ht="19.5" x14ac:dyDescent="0.3">
      <c r="I35" s="74"/>
      <c r="J35" s="75"/>
      <c r="R35" s="74"/>
      <c r="S35" s="75"/>
      <c r="T35" s="75"/>
      <c r="Z35" s="75"/>
      <c r="AA35" s="75"/>
      <c r="AB35" s="77"/>
      <c r="AC35" s="83"/>
      <c r="AD35" s="83"/>
      <c r="AE35" s="83"/>
      <c r="AG35" s="84"/>
      <c r="AH35" s="85"/>
      <c r="AI35" s="77"/>
      <c r="AJ35" s="76"/>
      <c r="AK35" s="76"/>
      <c r="AL35" s="76"/>
      <c r="AM35" s="74"/>
      <c r="AN35" s="86"/>
      <c r="AO35" s="77"/>
      <c r="AP35" s="76"/>
      <c r="AQ35" s="76"/>
      <c r="AR35" s="76"/>
      <c r="AS35" s="74"/>
      <c r="AT35" s="86"/>
      <c r="AU35" s="86"/>
      <c r="AV35" s="75"/>
      <c r="AW35" s="86"/>
      <c r="AX35" s="86"/>
      <c r="AY35" s="87"/>
      <c r="AZ35" s="83"/>
      <c r="BA35" s="83"/>
      <c r="BB35" s="83"/>
      <c r="BC35" s="27"/>
      <c r="BD35" s="77"/>
      <c r="BO35" s="83"/>
      <c r="BP35" s="83"/>
      <c r="BR35" s="83"/>
      <c r="BS35" s="83"/>
      <c r="BT35" s="83"/>
      <c r="BU35" s="83"/>
    </row>
    <row r="36" spans="1:73" ht="16.5" customHeight="1" x14ac:dyDescent="0.25">
      <c r="A36" s="9" t="s">
        <v>238</v>
      </c>
      <c r="AG36" s="9" t="s">
        <v>237</v>
      </c>
      <c r="AH36" s="77"/>
      <c r="AM36" s="74"/>
      <c r="AN36" s="75"/>
      <c r="AS36" s="74"/>
      <c r="AT36" s="75"/>
      <c r="AU36" s="75"/>
      <c r="AW36" s="75"/>
      <c r="AX36" s="75"/>
      <c r="AY36" s="77"/>
    </row>
    <row r="37" spans="1:73" ht="16.5" customHeight="1" x14ac:dyDescent="0.25">
      <c r="A37" s="199" t="s">
        <v>179</v>
      </c>
      <c r="B37" s="200"/>
      <c r="C37" s="200"/>
      <c r="D37" s="200"/>
      <c r="E37" s="200"/>
      <c r="F37" s="200"/>
      <c r="G37" s="200"/>
      <c r="H37" s="200"/>
      <c r="I37" s="200"/>
      <c r="J37" s="200"/>
      <c r="K37" s="200"/>
      <c r="L37" s="200"/>
      <c r="M37" s="200"/>
      <c r="N37" s="200"/>
      <c r="O37" s="200"/>
      <c r="P37" s="200"/>
      <c r="Q37" s="200"/>
      <c r="R37" s="200"/>
      <c r="S37" s="200"/>
      <c r="T37" s="201"/>
      <c r="U37" s="201"/>
      <c r="V37" s="201"/>
      <c r="W37" s="201"/>
      <c r="X37" s="201"/>
      <c r="Y37" s="201"/>
      <c r="Z37" s="201"/>
      <c r="AA37" s="225"/>
      <c r="AC37" s="169" t="s">
        <v>180</v>
      </c>
      <c r="AD37" s="170"/>
      <c r="AE37" s="170"/>
      <c r="AG37" s="182" t="s">
        <v>178</v>
      </c>
      <c r="AH37" s="183"/>
      <c r="AI37" s="183"/>
      <c r="AJ37" s="183"/>
      <c r="AK37" s="183"/>
      <c r="AL37" s="183"/>
      <c r="AM37" s="183"/>
      <c r="AN37" s="183"/>
      <c r="AO37" s="183"/>
      <c r="AP37" s="183"/>
      <c r="AQ37" s="183"/>
      <c r="AR37" s="183"/>
      <c r="AS37" s="183"/>
      <c r="AT37" s="183"/>
      <c r="AU37" s="183"/>
      <c r="AV37" s="183"/>
      <c r="AW37" s="183"/>
      <c r="AX37" s="183"/>
      <c r="AY37" s="183"/>
      <c r="AZ37" s="169" t="s">
        <v>182</v>
      </c>
      <c r="BA37" s="170"/>
      <c r="BB37" s="170"/>
    </row>
    <row r="38" spans="1:73" ht="33" customHeight="1" x14ac:dyDescent="0.25">
      <c r="A38" s="191" t="s">
        <v>90</v>
      </c>
      <c r="B38" s="191" t="s">
        <v>0</v>
      </c>
      <c r="C38" s="180" t="s">
        <v>73</v>
      </c>
      <c r="D38" s="192" t="s">
        <v>205</v>
      </c>
      <c r="E38" s="193"/>
      <c r="F38" s="193"/>
      <c r="G38" s="193"/>
      <c r="H38" s="193"/>
      <c r="I38" s="194"/>
      <c r="J38" s="179"/>
      <c r="K38" s="192" t="s">
        <v>206</v>
      </c>
      <c r="L38" s="193"/>
      <c r="M38" s="193"/>
      <c r="N38" s="193"/>
      <c r="O38" s="193"/>
      <c r="P38" s="193"/>
      <c r="Q38" s="193"/>
      <c r="R38" s="194"/>
      <c r="S38" s="179"/>
      <c r="T38" s="16" t="s">
        <v>207</v>
      </c>
      <c r="U38" s="177" t="s">
        <v>27</v>
      </c>
      <c r="V38" s="178"/>
      <c r="W38" s="178"/>
      <c r="X38" s="178"/>
      <c r="Y38" s="179"/>
      <c r="Z38" s="198" t="s">
        <v>208</v>
      </c>
      <c r="AA38" s="198" t="s">
        <v>235</v>
      </c>
      <c r="AB38" s="176" t="s">
        <v>90</v>
      </c>
      <c r="AC38" s="165" t="s">
        <v>209</v>
      </c>
      <c r="AD38" s="165" t="s">
        <v>210</v>
      </c>
      <c r="AE38" s="174" t="s">
        <v>211</v>
      </c>
      <c r="AG38" s="176" t="s">
        <v>90</v>
      </c>
      <c r="AH38" s="181" t="s">
        <v>0</v>
      </c>
      <c r="AI38" s="184" t="s">
        <v>212</v>
      </c>
      <c r="AJ38" s="185"/>
      <c r="AK38" s="185"/>
      <c r="AL38" s="185"/>
      <c r="AM38" s="186"/>
      <c r="AN38" s="187"/>
      <c r="AO38" s="184" t="s">
        <v>213</v>
      </c>
      <c r="AP38" s="185"/>
      <c r="AQ38" s="185"/>
      <c r="AR38" s="185"/>
      <c r="AS38" s="186"/>
      <c r="AT38" s="187"/>
      <c r="AU38" s="23" t="s">
        <v>214</v>
      </c>
      <c r="AV38" s="18" t="s">
        <v>27</v>
      </c>
      <c r="AW38" s="197" t="s">
        <v>215</v>
      </c>
      <c r="AX38" s="197" t="s">
        <v>236</v>
      </c>
      <c r="AY38" s="176" t="s">
        <v>90</v>
      </c>
      <c r="AZ38" s="165" t="s">
        <v>216</v>
      </c>
      <c r="BA38" s="165" t="s">
        <v>217</v>
      </c>
      <c r="BB38" s="174" t="s">
        <v>218</v>
      </c>
    </row>
    <row r="39" spans="1:73" ht="16.5" customHeight="1" x14ac:dyDescent="0.25">
      <c r="A39" s="191"/>
      <c r="B39" s="191"/>
      <c r="C39" s="176"/>
      <c r="D39" s="4" t="s">
        <v>12</v>
      </c>
      <c r="E39" s="3" t="s">
        <v>187</v>
      </c>
      <c r="F39" s="3" t="s">
        <v>186</v>
      </c>
      <c r="G39" s="3" t="s">
        <v>229</v>
      </c>
      <c r="H39" s="3" t="s">
        <v>26</v>
      </c>
      <c r="I39" s="4" t="s">
        <v>51</v>
      </c>
      <c r="J39" s="4" t="s">
        <v>41</v>
      </c>
      <c r="K39" s="4" t="s">
        <v>12</v>
      </c>
      <c r="L39" s="3" t="s">
        <v>184</v>
      </c>
      <c r="M39" s="3" t="s">
        <v>183</v>
      </c>
      <c r="N39" s="3" t="s">
        <v>185</v>
      </c>
      <c r="O39" s="3" t="s">
        <v>186</v>
      </c>
      <c r="P39" s="3" t="s">
        <v>229</v>
      </c>
      <c r="Q39" s="3" t="s">
        <v>26</v>
      </c>
      <c r="R39" s="4" t="s">
        <v>51</v>
      </c>
      <c r="S39" s="4" t="s">
        <v>41</v>
      </c>
      <c r="T39" s="4" t="s">
        <v>41</v>
      </c>
      <c r="U39" s="3" t="s">
        <v>183</v>
      </c>
      <c r="V39" s="3" t="s">
        <v>186</v>
      </c>
      <c r="W39" s="3" t="s">
        <v>26</v>
      </c>
      <c r="X39" s="3" t="s">
        <v>39</v>
      </c>
      <c r="Y39" s="3" t="s">
        <v>39</v>
      </c>
      <c r="Z39" s="191"/>
      <c r="AA39" s="191"/>
      <c r="AB39" s="176"/>
      <c r="AC39" s="166"/>
      <c r="AD39" s="166"/>
      <c r="AE39" s="175"/>
      <c r="AG39" s="176"/>
      <c r="AH39" s="181"/>
      <c r="AI39" s="24" t="s">
        <v>12</v>
      </c>
      <c r="AJ39" s="3" t="s">
        <v>188</v>
      </c>
      <c r="AK39" s="51"/>
      <c r="AL39" s="3"/>
      <c r="AM39" s="24" t="s">
        <v>51</v>
      </c>
      <c r="AN39" s="24" t="s">
        <v>41</v>
      </c>
      <c r="AO39" s="24" t="s">
        <v>12</v>
      </c>
      <c r="AP39" s="3" t="s">
        <v>188</v>
      </c>
      <c r="AQ39" s="51"/>
      <c r="AR39" s="3"/>
      <c r="AS39" s="24" t="s">
        <v>51</v>
      </c>
      <c r="AT39" s="24" t="s">
        <v>41</v>
      </c>
      <c r="AU39" s="24" t="s">
        <v>41</v>
      </c>
      <c r="AV39" s="3" t="s">
        <v>188</v>
      </c>
      <c r="AW39" s="181"/>
      <c r="AX39" s="181"/>
      <c r="AY39" s="176"/>
      <c r="AZ39" s="166"/>
      <c r="BA39" s="166"/>
      <c r="BB39" s="175"/>
    </row>
    <row r="40" spans="1:73" x14ac:dyDescent="0.25">
      <c r="A40" s="3" t="s">
        <v>2</v>
      </c>
      <c r="B40" s="3" t="s">
        <v>43</v>
      </c>
      <c r="C40" s="15" t="b">
        <f t="shared" ref="C40:C48" si="70">C16</f>
        <v>1</v>
      </c>
      <c r="D40" s="3" t="s">
        <v>13</v>
      </c>
      <c r="E40" s="7"/>
      <c r="F40" s="7"/>
      <c r="G40" s="7"/>
      <c r="H40" s="7"/>
      <c r="I40" s="7">
        <f>IF($S$8=FALSE,0,SUM(E40:H40))</f>
        <v>0</v>
      </c>
      <c r="J40" s="7">
        <f>I40*1</f>
        <v>0</v>
      </c>
      <c r="K40" s="3" t="s">
        <v>13</v>
      </c>
      <c r="L40" s="7"/>
      <c r="M40" s="7"/>
      <c r="N40" s="7"/>
      <c r="O40" s="7"/>
      <c r="P40" s="7"/>
      <c r="Q40" s="7"/>
      <c r="R40" s="7">
        <f>IF($S$8=FALSE,0,SUM(L40:Q40))</f>
        <v>0</v>
      </c>
      <c r="S40" s="7">
        <f>R40*1</f>
        <v>0</v>
      </c>
      <c r="T40" s="7">
        <f>J40+S40</f>
        <v>0</v>
      </c>
      <c r="U40" s="7">
        <f>IF($B$5&gt;0,IF($U$7=FALSE,0,IF(C40=FALSE,0,$B$5*20000)),0)</f>
        <v>20000</v>
      </c>
      <c r="V40" s="7"/>
      <c r="W40" s="7"/>
      <c r="X40" s="7"/>
      <c r="Y40" s="7"/>
      <c r="Z40" s="7">
        <f>IF($S$8=FALSE,0,SUM(U40:Y40))</f>
        <v>20000</v>
      </c>
      <c r="AA40" s="7">
        <f t="shared" ref="AA40:AA53" si="71">T40+Z40</f>
        <v>20000</v>
      </c>
      <c r="AB40" s="3" t="str">
        <f t="shared" ref="AB40:AB53" si="72">A40</f>
        <v>台灣</v>
      </c>
      <c r="AC40" s="25">
        <f>J40</f>
        <v>0</v>
      </c>
      <c r="AD40" s="25">
        <f>S40</f>
        <v>0</v>
      </c>
      <c r="AE40" s="25">
        <f>Z40</f>
        <v>20000</v>
      </c>
      <c r="AG40" s="15" t="str">
        <f t="shared" ref="AG40:AG53" si="73">A40</f>
        <v>台灣</v>
      </c>
      <c r="AH40" s="3" t="s">
        <v>43</v>
      </c>
      <c r="AI40" s="3" t="s">
        <v>13</v>
      </c>
      <c r="AJ40" s="7">
        <f>IF($U$5=FALSE,0,IF(C40=FALSE,0,HLOOKUP(選項!$N$2,D年費表!$AH$2:$BG$19,2)))</f>
        <v>29400</v>
      </c>
      <c r="AK40" s="7"/>
      <c r="AL40" s="7"/>
      <c r="AM40" s="7">
        <f>IF($S$7=FALSE,0,SUM(AJ40:AL40))</f>
        <v>29400</v>
      </c>
      <c r="AN40" s="22">
        <f>AM40*1</f>
        <v>29400</v>
      </c>
      <c r="AO40" s="3" t="s">
        <v>13</v>
      </c>
      <c r="AP40" s="7">
        <f>IF($U$6=FALSE,0,IF(C40=FALSE,0,HLOOKUP(選項!$N$2,D年費表!$AH$24:$BG$41,2)))</f>
        <v>0</v>
      </c>
      <c r="AQ40" s="7"/>
      <c r="AR40" s="7"/>
      <c r="AS40" s="7">
        <f>IF($S$7=FALSE,0,SUM(AP40:AR40))</f>
        <v>0</v>
      </c>
      <c r="AT40" s="22">
        <f>AS40*1</f>
        <v>0</v>
      </c>
      <c r="AU40" s="22">
        <f t="shared" ref="AU40:AU53" si="74">AN40+AT40</f>
        <v>29400</v>
      </c>
      <c r="AV40" s="7">
        <f>IF($U$7=FALSE,0,IF(C40=FALSE,0,HLOOKUP(選項!$N$2,D年費表!$AH$46:$BG$63,2)))</f>
        <v>36000</v>
      </c>
      <c r="AW40" s="22">
        <f>IF($S$7=FALSE,0,SUM(AV40:AV40))</f>
        <v>36000</v>
      </c>
      <c r="AX40" s="22">
        <f t="shared" ref="AX40:AX53" si="75">AU40+AW40</f>
        <v>65400</v>
      </c>
      <c r="AY40" s="15" t="str">
        <f t="shared" ref="AY40:AY53" si="76">A40</f>
        <v>台灣</v>
      </c>
      <c r="AZ40" s="25">
        <f>AN40</f>
        <v>29400</v>
      </c>
      <c r="BA40" s="25">
        <f>AT40</f>
        <v>0</v>
      </c>
      <c r="BB40" s="25">
        <f>AW40</f>
        <v>36000</v>
      </c>
    </row>
    <row r="41" spans="1:73" x14ac:dyDescent="0.25">
      <c r="A41" s="3" t="s">
        <v>3</v>
      </c>
      <c r="B41" s="3" t="s">
        <v>43</v>
      </c>
      <c r="C41" s="15" t="b">
        <f t="shared" si="70"/>
        <v>1</v>
      </c>
      <c r="D41" s="3" t="s">
        <v>14</v>
      </c>
      <c r="E41" s="7"/>
      <c r="F41" s="7"/>
      <c r="G41" s="7"/>
      <c r="H41" s="7"/>
      <c r="I41" s="7">
        <f t="shared" ref="I41:I53" si="77">IF($S$8=FALSE,0,SUM(E41:H41))</f>
        <v>0</v>
      </c>
      <c r="J41" s="7">
        <f>I41*$L$5</f>
        <v>0</v>
      </c>
      <c r="K41" s="3" t="s">
        <v>14</v>
      </c>
      <c r="L41" s="7"/>
      <c r="M41" s="7"/>
      <c r="N41" s="7"/>
      <c r="O41" s="7"/>
      <c r="P41" s="7"/>
      <c r="Q41" s="7"/>
      <c r="R41" s="7">
        <f t="shared" ref="R41:R53" si="78">IF($S$8=FALSE,0,SUM(L41:Q41))</f>
        <v>0</v>
      </c>
      <c r="S41" s="7">
        <f>R41*$L$5</f>
        <v>0</v>
      </c>
      <c r="T41" s="7">
        <f t="shared" ref="T41:T53" si="79">J41+S41</f>
        <v>0</v>
      </c>
      <c r="U41" s="7"/>
      <c r="V41" s="7"/>
      <c r="W41" s="7"/>
      <c r="X41" s="7"/>
      <c r="Y41" s="7"/>
      <c r="Z41" s="7">
        <f t="shared" ref="Z41:Z53" si="80">IF($S$8=FALSE,0,SUM(U41:Y41))</f>
        <v>0</v>
      </c>
      <c r="AA41" s="7">
        <f t="shared" si="71"/>
        <v>0</v>
      </c>
      <c r="AB41" s="3" t="str">
        <f t="shared" si="72"/>
        <v>大陸</v>
      </c>
      <c r="AC41" s="25">
        <f t="shared" ref="AC41:AC53" si="81">J41</f>
        <v>0</v>
      </c>
      <c r="AD41" s="25">
        <f t="shared" ref="AD41:AD53" si="82">S41</f>
        <v>0</v>
      </c>
      <c r="AE41" s="25">
        <f t="shared" ref="AE41:AE53" si="83">Z41</f>
        <v>0</v>
      </c>
      <c r="AG41" s="15" t="str">
        <f t="shared" si="73"/>
        <v>大陸</v>
      </c>
      <c r="AH41" s="3" t="s">
        <v>43</v>
      </c>
      <c r="AI41" s="3" t="s">
        <v>14</v>
      </c>
      <c r="AJ41" s="7">
        <f>IF($U$5=FALSE,0,IF(C41=FALSE,0,HLOOKUP(選項!$N$2,D年費表!$AH$2:$BG$19,3)))</f>
        <v>25600</v>
      </c>
      <c r="AK41" s="7"/>
      <c r="AL41" s="7"/>
      <c r="AM41" s="7">
        <f t="shared" ref="AM41:AM53" si="84">IF($S$7=FALSE,0,SUM(AJ41:AL41))</f>
        <v>25600</v>
      </c>
      <c r="AN41" s="22">
        <f>AM41*$L$5</f>
        <v>121600</v>
      </c>
      <c r="AO41" s="3" t="s">
        <v>14</v>
      </c>
      <c r="AP41" s="7">
        <f>IF($U$6=FALSE,0,IF(C41=FALSE,0,HLOOKUP(選項!$N$2,D年費表!$AH$24:$BG$41,3)))</f>
        <v>2800</v>
      </c>
      <c r="AQ41" s="7"/>
      <c r="AR41" s="7"/>
      <c r="AS41" s="7">
        <f t="shared" ref="AS41:AS53" si="85">IF($S$7=FALSE,0,SUM(AP41:AR41))</f>
        <v>2800</v>
      </c>
      <c r="AT41" s="22">
        <f>AS41*$L$5</f>
        <v>13300</v>
      </c>
      <c r="AU41" s="22">
        <f t="shared" si="74"/>
        <v>134900</v>
      </c>
      <c r="AV41" s="7">
        <f>IF($U$7=FALSE,0,IF(C41=FALSE,0,HLOOKUP(選項!$N$2,D年費表!$AH$46:$BG$63,3)))</f>
        <v>42000</v>
      </c>
      <c r="AW41" s="22">
        <f t="shared" ref="AW41:AW53" si="86">IF($S$7=FALSE,0,SUM(AV41:AV41))</f>
        <v>42000</v>
      </c>
      <c r="AX41" s="22">
        <f t="shared" si="75"/>
        <v>176900</v>
      </c>
      <c r="AY41" s="15" t="str">
        <f t="shared" si="76"/>
        <v>大陸</v>
      </c>
      <c r="AZ41" s="25">
        <f t="shared" ref="AZ41:AZ53" si="87">AN41</f>
        <v>121600</v>
      </c>
      <c r="BA41" s="25">
        <f t="shared" ref="BA41:BA53" si="88">AT41</f>
        <v>13300</v>
      </c>
      <c r="BB41" s="25">
        <f t="shared" ref="BB41:BB53" si="89">AW41</f>
        <v>42000</v>
      </c>
    </row>
    <row r="42" spans="1:73" x14ac:dyDescent="0.25">
      <c r="A42" s="3" t="s">
        <v>4</v>
      </c>
      <c r="B42" s="3" t="s">
        <v>43</v>
      </c>
      <c r="C42" s="15" t="b">
        <f t="shared" si="70"/>
        <v>1</v>
      </c>
      <c r="D42" s="3" t="s">
        <v>15</v>
      </c>
      <c r="E42" s="7"/>
      <c r="F42" s="7"/>
      <c r="G42" s="7"/>
      <c r="H42" s="7"/>
      <c r="I42" s="7">
        <f t="shared" si="77"/>
        <v>0</v>
      </c>
      <c r="J42" s="7">
        <f>I42*$J$5</f>
        <v>0</v>
      </c>
      <c r="K42" s="3" t="s">
        <v>15</v>
      </c>
      <c r="L42" s="7">
        <f>IF($B$5&gt;0,IF($U$6=FALSE,0,IF(C42=FALSE,0,135)),0)</f>
        <v>135</v>
      </c>
      <c r="M42" s="7">
        <f>IF($B$5&gt;0,IF($U$6=FALSE,0,IF(C42=FALSE,0,1100)),0)</f>
        <v>1100</v>
      </c>
      <c r="N42" s="7"/>
      <c r="O42" s="7"/>
      <c r="P42" s="7"/>
      <c r="Q42" s="7"/>
      <c r="R42" s="7">
        <f t="shared" si="78"/>
        <v>1235</v>
      </c>
      <c r="S42" s="7">
        <f>R42*$J$5</f>
        <v>39520</v>
      </c>
      <c r="T42" s="7">
        <f t="shared" si="79"/>
        <v>39520</v>
      </c>
      <c r="U42" s="7">
        <f>IF($B$5&gt;0,IF($U$7=FALSE,0,IF(C42=FALSE,0,25000)),0)</f>
        <v>25000</v>
      </c>
      <c r="V42" s="7"/>
      <c r="W42" s="7"/>
      <c r="X42" s="7"/>
      <c r="Y42" s="7"/>
      <c r="Z42" s="7">
        <f t="shared" si="80"/>
        <v>25000</v>
      </c>
      <c r="AA42" s="7">
        <f t="shared" si="71"/>
        <v>64520</v>
      </c>
      <c r="AB42" s="3" t="str">
        <f t="shared" si="72"/>
        <v>美國</v>
      </c>
      <c r="AC42" s="25">
        <f t="shared" si="81"/>
        <v>0</v>
      </c>
      <c r="AD42" s="25">
        <f t="shared" si="82"/>
        <v>39520</v>
      </c>
      <c r="AE42" s="25">
        <f t="shared" si="83"/>
        <v>25000</v>
      </c>
      <c r="AG42" s="15" t="str">
        <f t="shared" si="73"/>
        <v>美國</v>
      </c>
      <c r="AH42" s="3" t="s">
        <v>43</v>
      </c>
      <c r="AI42" s="3" t="s">
        <v>15</v>
      </c>
      <c r="AJ42" s="7">
        <f>IF($U$5=FALSE,0,IF(C42=FALSE,0,HLOOKUP(選項!$N$2,D年費表!$AH$2:$BG$19,4)))</f>
        <v>0</v>
      </c>
      <c r="AK42" s="7"/>
      <c r="AL42" s="7"/>
      <c r="AM42" s="7">
        <f t="shared" si="84"/>
        <v>0</v>
      </c>
      <c r="AN42" s="22">
        <f>AM42*$J$5</f>
        <v>0</v>
      </c>
      <c r="AO42" s="3" t="s">
        <v>15</v>
      </c>
      <c r="AP42" s="7">
        <f>IF($U$6=FALSE,0,IF(C42=FALSE,0,HLOOKUP(選項!$N$2,D年費表!$AH$24:$BG$41,4)))</f>
        <v>0</v>
      </c>
      <c r="AQ42" s="7"/>
      <c r="AR42" s="7"/>
      <c r="AS42" s="7">
        <f t="shared" si="85"/>
        <v>0</v>
      </c>
      <c r="AT42" s="22">
        <f>AS42*$J$5</f>
        <v>0</v>
      </c>
      <c r="AU42" s="22">
        <f t="shared" si="74"/>
        <v>0</v>
      </c>
      <c r="AV42" s="7">
        <f>IF($U$7=FALSE,0,IF(C42=FALSE,0,HLOOKUP(選項!$N$2,D年費表!$AH$46:$BG$63,4)))</f>
        <v>0</v>
      </c>
      <c r="AW42" s="22">
        <f t="shared" si="86"/>
        <v>0</v>
      </c>
      <c r="AX42" s="22">
        <f t="shared" si="75"/>
        <v>0</v>
      </c>
      <c r="AY42" s="15" t="str">
        <f t="shared" si="76"/>
        <v>美國</v>
      </c>
      <c r="AZ42" s="25">
        <f t="shared" si="87"/>
        <v>0</v>
      </c>
      <c r="BA42" s="25">
        <f t="shared" si="88"/>
        <v>0</v>
      </c>
      <c r="BB42" s="25">
        <f t="shared" si="89"/>
        <v>0</v>
      </c>
    </row>
    <row r="43" spans="1:73" x14ac:dyDescent="0.25">
      <c r="A43" s="3" t="s">
        <v>107</v>
      </c>
      <c r="B43" s="3" t="s">
        <v>43</v>
      </c>
      <c r="C43" s="15" t="b">
        <f t="shared" si="70"/>
        <v>1</v>
      </c>
      <c r="D43" s="3" t="s">
        <v>16</v>
      </c>
      <c r="E43" s="7"/>
      <c r="F43" s="7"/>
      <c r="G43" s="7"/>
      <c r="H43" s="7"/>
      <c r="I43" s="7">
        <f t="shared" si="77"/>
        <v>0</v>
      </c>
      <c r="J43" s="7">
        <f>I43*$J$6</f>
        <v>0</v>
      </c>
      <c r="K43" s="3" t="s">
        <v>16</v>
      </c>
      <c r="L43" s="7"/>
      <c r="M43" s="7"/>
      <c r="N43" s="7"/>
      <c r="O43" s="7"/>
      <c r="P43" s="7"/>
      <c r="Q43" s="7"/>
      <c r="R43" s="7">
        <f t="shared" si="78"/>
        <v>0</v>
      </c>
      <c r="S43" s="7">
        <f>R43*$J$6</f>
        <v>0</v>
      </c>
      <c r="T43" s="7">
        <f t="shared" si="79"/>
        <v>0</v>
      </c>
      <c r="U43" s="7"/>
      <c r="V43" s="7"/>
      <c r="W43" s="7"/>
      <c r="X43" s="7"/>
      <c r="Y43" s="7"/>
      <c r="Z43" s="7">
        <f t="shared" si="80"/>
        <v>0</v>
      </c>
      <c r="AA43" s="7">
        <f t="shared" si="71"/>
        <v>0</v>
      </c>
      <c r="AB43" s="3" t="str">
        <f t="shared" si="72"/>
        <v>歐盟</v>
      </c>
      <c r="AC43" s="25">
        <f t="shared" si="81"/>
        <v>0</v>
      </c>
      <c r="AD43" s="25">
        <f t="shared" si="82"/>
        <v>0</v>
      </c>
      <c r="AE43" s="25">
        <f t="shared" si="83"/>
        <v>0</v>
      </c>
      <c r="AG43" s="15" t="str">
        <f t="shared" si="73"/>
        <v>歐盟</v>
      </c>
      <c r="AH43" s="3" t="s">
        <v>43</v>
      </c>
      <c r="AI43" s="123" t="s">
        <v>16</v>
      </c>
      <c r="AJ43" s="7">
        <f>IF($U$5=FALSE,0,IF(C43=FALSE,0,HLOOKUP(選項!$N$2,D年費表!$AH$2:$BG$19,5)))</f>
        <v>1500</v>
      </c>
      <c r="AK43" s="7"/>
      <c r="AL43" s="7"/>
      <c r="AM43" s="7">
        <f t="shared" si="84"/>
        <v>1500</v>
      </c>
      <c r="AN43" s="78">
        <f>AM43*$J$5</f>
        <v>48000</v>
      </c>
      <c r="AO43" s="123" t="s">
        <v>16</v>
      </c>
      <c r="AP43" s="7">
        <f>IF($U$6=FALSE,0,IF(C43=FALSE,0,HLOOKUP(選項!$N$2,D年費表!$AH$24:$BG$41,5)))</f>
        <v>400</v>
      </c>
      <c r="AQ43" s="7"/>
      <c r="AR43" s="7"/>
      <c r="AS43" s="7">
        <f t="shared" si="85"/>
        <v>400</v>
      </c>
      <c r="AT43" s="78">
        <f>AS43*$J$5</f>
        <v>12800</v>
      </c>
      <c r="AU43" s="22">
        <f t="shared" si="74"/>
        <v>60800</v>
      </c>
      <c r="AV43" s="7">
        <f>IF($U$7=FALSE,0,IF(C43=FALSE,0,HLOOKUP(選項!$N$2,D年費表!$AH$46:$BG$63,5)))</f>
        <v>20000</v>
      </c>
      <c r="AW43" s="22">
        <f t="shared" si="86"/>
        <v>20000</v>
      </c>
      <c r="AX43" s="22">
        <f t="shared" si="75"/>
        <v>80800</v>
      </c>
      <c r="AY43" s="15" t="str">
        <f t="shared" si="76"/>
        <v>歐盟</v>
      </c>
      <c r="AZ43" s="25">
        <f t="shared" si="87"/>
        <v>48000</v>
      </c>
      <c r="BA43" s="25">
        <f t="shared" si="88"/>
        <v>12800</v>
      </c>
      <c r="BB43" s="25">
        <f t="shared" si="89"/>
        <v>20000</v>
      </c>
    </row>
    <row r="44" spans="1:73" x14ac:dyDescent="0.25">
      <c r="A44" s="3" t="s">
        <v>224</v>
      </c>
      <c r="B44" s="3" t="s">
        <v>43</v>
      </c>
      <c r="C44" s="15" t="b">
        <f t="shared" si="70"/>
        <v>1</v>
      </c>
      <c r="D44" s="3" t="s">
        <v>16</v>
      </c>
      <c r="E44" s="7"/>
      <c r="F44" s="7"/>
      <c r="G44" s="7"/>
      <c r="H44" s="7"/>
      <c r="I44" s="7">
        <f t="shared" si="77"/>
        <v>0</v>
      </c>
      <c r="J44" s="7">
        <f>I44*$J$6</f>
        <v>0</v>
      </c>
      <c r="K44" s="3" t="s">
        <v>16</v>
      </c>
      <c r="L44" s="7"/>
      <c r="M44" s="7"/>
      <c r="N44" s="7"/>
      <c r="O44" s="7"/>
      <c r="P44" s="7"/>
      <c r="Q44" s="7"/>
      <c r="R44" s="7">
        <f t="shared" si="78"/>
        <v>0</v>
      </c>
      <c r="S44" s="7">
        <f>R44*$J$6</f>
        <v>0</v>
      </c>
      <c r="T44" s="7">
        <f t="shared" si="79"/>
        <v>0</v>
      </c>
      <c r="U44" s="7"/>
      <c r="V44" s="7"/>
      <c r="W44" s="7"/>
      <c r="X44" s="7"/>
      <c r="Y44" s="7"/>
      <c r="Z44" s="7">
        <f t="shared" si="80"/>
        <v>0</v>
      </c>
      <c r="AA44" s="7">
        <f t="shared" si="71"/>
        <v>0</v>
      </c>
      <c r="AB44" s="3" t="str">
        <f t="shared" si="72"/>
        <v>英國</v>
      </c>
      <c r="AC44" s="25">
        <f t="shared" si="81"/>
        <v>0</v>
      </c>
      <c r="AD44" s="25">
        <f t="shared" si="82"/>
        <v>0</v>
      </c>
      <c r="AE44" s="25">
        <f t="shared" si="83"/>
        <v>0</v>
      </c>
      <c r="AG44" s="15" t="str">
        <f t="shared" si="73"/>
        <v>英國</v>
      </c>
      <c r="AH44" s="3" t="s">
        <v>43</v>
      </c>
      <c r="AI44" s="123" t="s">
        <v>16</v>
      </c>
      <c r="AJ44" s="7">
        <f>IF($U$5=FALSE,0,IF(C44=FALSE,0,HLOOKUP(選項!$N$2,D年費表!$AH$2:$BG$19,6)))</f>
        <v>520</v>
      </c>
      <c r="AK44" s="7"/>
      <c r="AL44" s="7"/>
      <c r="AM44" s="7">
        <f t="shared" si="84"/>
        <v>520</v>
      </c>
      <c r="AN44" s="78">
        <f>AM44*$J$5</f>
        <v>16640</v>
      </c>
      <c r="AO44" s="123" t="s">
        <v>16</v>
      </c>
      <c r="AP44" s="7">
        <f>IF($U$6=FALSE,0,IF(C44=FALSE,0,HLOOKUP(選項!$N$2,D年費表!$AH$24:$BG$41,6)))</f>
        <v>600</v>
      </c>
      <c r="AQ44" s="7"/>
      <c r="AR44" s="7"/>
      <c r="AS44" s="7">
        <f t="shared" si="85"/>
        <v>600</v>
      </c>
      <c r="AT44" s="78">
        <f>AS44*$J$5</f>
        <v>19200</v>
      </c>
      <c r="AU44" s="22">
        <f t="shared" si="74"/>
        <v>35840</v>
      </c>
      <c r="AV44" s="7">
        <f>IF($U$7=FALSE,0,IF(C44=FALSE,0,HLOOKUP(選項!$N$2,D年費表!$AH$46:$BG$63,6)))</f>
        <v>20000</v>
      </c>
      <c r="AW44" s="22">
        <f t="shared" si="86"/>
        <v>20000</v>
      </c>
      <c r="AX44" s="22">
        <f t="shared" si="75"/>
        <v>55840</v>
      </c>
      <c r="AY44" s="15" t="str">
        <f t="shared" si="76"/>
        <v>英國</v>
      </c>
      <c r="AZ44" s="25">
        <f t="shared" si="87"/>
        <v>16640</v>
      </c>
      <c r="BA44" s="25">
        <f t="shared" si="88"/>
        <v>19200</v>
      </c>
      <c r="BB44" s="25">
        <f t="shared" si="89"/>
        <v>20000</v>
      </c>
    </row>
    <row r="45" spans="1:73" x14ac:dyDescent="0.25">
      <c r="A45" s="3" t="s">
        <v>5</v>
      </c>
      <c r="B45" s="3" t="s">
        <v>43</v>
      </c>
      <c r="C45" s="15" t="b">
        <f t="shared" si="70"/>
        <v>1</v>
      </c>
      <c r="D45" s="3" t="s">
        <v>17</v>
      </c>
      <c r="E45" s="7"/>
      <c r="F45" s="7"/>
      <c r="G45" s="7"/>
      <c r="H45" s="7"/>
      <c r="I45" s="7">
        <f t="shared" si="77"/>
        <v>0</v>
      </c>
      <c r="J45" s="7">
        <f>I45*$J$7</f>
        <v>0</v>
      </c>
      <c r="K45" s="3" t="s">
        <v>17</v>
      </c>
      <c r="L45" s="7">
        <f>IF($B$5&gt;0,IF($U$6=FALSE,0,IF(C45=FALSE,0,30000)),0)</f>
        <v>30000</v>
      </c>
      <c r="M45" s="7">
        <f>IF($B$5&gt;0,IF($U$6=FALSE,0,IF(C45=FALSE,0,80000)),0)</f>
        <v>80000</v>
      </c>
      <c r="N45" s="7"/>
      <c r="O45" s="7"/>
      <c r="P45" s="7">
        <f>IF($B$5&gt;0,IF($U$6=FALSE,0,IF(C45=FALSE,0,($B$5-1)*80000)),0)</f>
        <v>0</v>
      </c>
      <c r="Q45" s="7"/>
      <c r="R45" s="7">
        <f t="shared" si="78"/>
        <v>110000</v>
      </c>
      <c r="S45" s="7">
        <f>R45*$J$7</f>
        <v>23100</v>
      </c>
      <c r="T45" s="7">
        <f t="shared" si="79"/>
        <v>23100</v>
      </c>
      <c r="U45" s="7">
        <f>IF($B$5&gt;0,IF($U$7=FALSE,0,IF(C45=FALSE,0,$B$5*25000)),0)</f>
        <v>25000</v>
      </c>
      <c r="V45" s="7"/>
      <c r="W45" s="7"/>
      <c r="X45" s="7"/>
      <c r="Y45" s="7"/>
      <c r="Z45" s="7">
        <f t="shared" si="80"/>
        <v>25000</v>
      </c>
      <c r="AA45" s="7">
        <f t="shared" si="71"/>
        <v>48100</v>
      </c>
      <c r="AB45" s="3" t="str">
        <f t="shared" si="72"/>
        <v>日本</v>
      </c>
      <c r="AC45" s="25">
        <f t="shared" si="81"/>
        <v>0</v>
      </c>
      <c r="AD45" s="25">
        <f t="shared" si="82"/>
        <v>23100</v>
      </c>
      <c r="AE45" s="25">
        <f t="shared" si="83"/>
        <v>25000</v>
      </c>
      <c r="AG45" s="15" t="str">
        <f t="shared" si="73"/>
        <v>日本</v>
      </c>
      <c r="AH45" s="3" t="s">
        <v>43</v>
      </c>
      <c r="AI45" s="3" t="s">
        <v>17</v>
      </c>
      <c r="AJ45" s="7">
        <f>IF($U$5=FALSE,0,IF(C45=FALSE,0,HLOOKUP(選項!$N$2,D年費表!$AH$2:$BG$19,7)))</f>
        <v>371800</v>
      </c>
      <c r="AK45" s="7"/>
      <c r="AL45" s="7"/>
      <c r="AM45" s="7">
        <f t="shared" si="84"/>
        <v>371800</v>
      </c>
      <c r="AN45" s="22">
        <f>AM45*$J$7</f>
        <v>78078</v>
      </c>
      <c r="AO45" s="3" t="s">
        <v>17</v>
      </c>
      <c r="AP45" s="7">
        <f>IF($U$6=FALSE,0,IF(C45=FALSE,0,HLOOKUP(選項!$N$2,D年費表!$AH$24:$BG$41,7)))</f>
        <v>213000</v>
      </c>
      <c r="AQ45" s="7"/>
      <c r="AR45" s="7"/>
      <c r="AS45" s="7">
        <f t="shared" si="85"/>
        <v>213000</v>
      </c>
      <c r="AT45" s="22">
        <f>AS45*$J$7</f>
        <v>44730</v>
      </c>
      <c r="AU45" s="22">
        <f t="shared" si="74"/>
        <v>122808</v>
      </c>
      <c r="AV45" s="7">
        <f>IF($U$7=FALSE,0,IF(C45=FALSE,0,HLOOKUP(選項!$N$2,D年費表!$AH$46:$BG$63,7)))</f>
        <v>110000</v>
      </c>
      <c r="AW45" s="22">
        <f t="shared" si="86"/>
        <v>110000</v>
      </c>
      <c r="AX45" s="22">
        <f t="shared" si="75"/>
        <v>232808</v>
      </c>
      <c r="AY45" s="15" t="str">
        <f t="shared" si="76"/>
        <v>日本</v>
      </c>
      <c r="AZ45" s="25">
        <f t="shared" si="87"/>
        <v>78078</v>
      </c>
      <c r="BA45" s="25">
        <f t="shared" si="88"/>
        <v>44730</v>
      </c>
      <c r="BB45" s="25">
        <f t="shared" si="89"/>
        <v>110000</v>
      </c>
    </row>
    <row r="46" spans="1:73" x14ac:dyDescent="0.25">
      <c r="A46" s="3" t="s">
        <v>6</v>
      </c>
      <c r="B46" s="3" t="s">
        <v>43</v>
      </c>
      <c r="C46" s="15" t="b">
        <f t="shared" si="70"/>
        <v>1</v>
      </c>
      <c r="D46" s="3" t="s">
        <v>18</v>
      </c>
      <c r="E46" s="7"/>
      <c r="F46" s="7"/>
      <c r="G46" s="7"/>
      <c r="H46" s="7"/>
      <c r="I46" s="7">
        <f t="shared" si="77"/>
        <v>0</v>
      </c>
      <c r="J46" s="7">
        <f>I46*$J$8</f>
        <v>0</v>
      </c>
      <c r="K46" s="3" t="s">
        <v>15</v>
      </c>
      <c r="L46" s="7"/>
      <c r="M46" s="7">
        <f>IF($B$5&gt;0,IF($U$6=FALSE,0,IF(C46=FALSE,0,300+2500)),0)</f>
        <v>2800</v>
      </c>
      <c r="N46" s="7"/>
      <c r="O46" s="7"/>
      <c r="P46" s="7">
        <f>IF($B$5&gt;0,IF($U$6=FALSE,0,IF(C46=FALSE,0,($B$5-1)*1000)),0)</f>
        <v>0</v>
      </c>
      <c r="Q46" s="7"/>
      <c r="R46" s="7">
        <f t="shared" si="78"/>
        <v>2800</v>
      </c>
      <c r="S46" s="7">
        <f>R46*$J$5</f>
        <v>89600</v>
      </c>
      <c r="T46" s="7">
        <f t="shared" si="79"/>
        <v>89600</v>
      </c>
      <c r="U46" s="7">
        <f>IF($B$5&gt;0,IF($U$7=FALSE,0,IF(C46=FALSE,0,$B$5*25000)),0)</f>
        <v>25000</v>
      </c>
      <c r="V46" s="7"/>
      <c r="W46" s="7"/>
      <c r="X46" s="7"/>
      <c r="Y46" s="7"/>
      <c r="Z46" s="7">
        <f t="shared" si="80"/>
        <v>25000</v>
      </c>
      <c r="AA46" s="7">
        <f t="shared" si="71"/>
        <v>114600</v>
      </c>
      <c r="AB46" s="3" t="str">
        <f t="shared" si="72"/>
        <v>韓國</v>
      </c>
      <c r="AC46" s="25">
        <f t="shared" si="81"/>
        <v>0</v>
      </c>
      <c r="AD46" s="25">
        <f t="shared" si="82"/>
        <v>89600</v>
      </c>
      <c r="AE46" s="25">
        <f t="shared" si="83"/>
        <v>25000</v>
      </c>
      <c r="AG46" s="15" t="str">
        <f t="shared" si="73"/>
        <v>韓國</v>
      </c>
      <c r="AH46" s="3" t="s">
        <v>43</v>
      </c>
      <c r="AI46" s="3" t="s">
        <v>18</v>
      </c>
      <c r="AJ46" s="7">
        <f>IF($U$5=FALSE,0,IF(C46=FALSE,0,HLOOKUP(選項!$N$2,D年費表!$AH$2:$BG$19,8)))</f>
        <v>2415000</v>
      </c>
      <c r="AK46" s="7"/>
      <c r="AL46" s="7"/>
      <c r="AM46" s="7">
        <f t="shared" si="84"/>
        <v>2415000</v>
      </c>
      <c r="AN46" s="22">
        <f>AM46*$J$8</f>
        <v>60375</v>
      </c>
      <c r="AO46" s="3" t="s">
        <v>15</v>
      </c>
      <c r="AP46" s="7">
        <f>IF($U$6=FALSE,0,IF(C46=FALSE,0,HLOOKUP(選項!$N$2,D年費表!$AH$24:$BG$41,8)))</f>
        <v>3210</v>
      </c>
      <c r="AQ46" s="7"/>
      <c r="AR46" s="7"/>
      <c r="AS46" s="7">
        <f t="shared" si="85"/>
        <v>3210</v>
      </c>
      <c r="AT46" s="22">
        <f>AS46*$J$5</f>
        <v>102720</v>
      </c>
      <c r="AU46" s="22">
        <f t="shared" si="74"/>
        <v>163095</v>
      </c>
      <c r="AV46" s="7">
        <f>IF($U$7=FALSE,0,IF(C46=FALSE,0,HLOOKUP(選項!$N$2,D年費表!$AH$46:$BG$63,8)))</f>
        <v>85000</v>
      </c>
      <c r="AW46" s="22">
        <f t="shared" si="86"/>
        <v>85000</v>
      </c>
      <c r="AX46" s="22">
        <f t="shared" si="75"/>
        <v>248095</v>
      </c>
      <c r="AY46" s="15" t="str">
        <f t="shared" si="76"/>
        <v>韓國</v>
      </c>
      <c r="AZ46" s="25">
        <f t="shared" si="87"/>
        <v>60375</v>
      </c>
      <c r="BA46" s="25">
        <f t="shared" si="88"/>
        <v>102720</v>
      </c>
      <c r="BB46" s="25">
        <f t="shared" si="89"/>
        <v>85000</v>
      </c>
    </row>
    <row r="47" spans="1:73" x14ac:dyDescent="0.25">
      <c r="A47" s="3" t="s">
        <v>35</v>
      </c>
      <c r="B47" s="3" t="s">
        <v>43</v>
      </c>
      <c r="C47" s="15" t="b">
        <f t="shared" si="70"/>
        <v>1</v>
      </c>
      <c r="D47" s="3" t="s">
        <v>36</v>
      </c>
      <c r="E47" s="7"/>
      <c r="F47" s="7"/>
      <c r="G47" s="7"/>
      <c r="H47" s="7"/>
      <c r="I47" s="7">
        <f>IF($S$8=FALSE,0,SUM(E47:H47))</f>
        <v>0</v>
      </c>
      <c r="J47" s="7">
        <f>I47*$L$9</f>
        <v>0</v>
      </c>
      <c r="K47" s="3" t="s">
        <v>36</v>
      </c>
      <c r="L47" s="7"/>
      <c r="M47" s="7">
        <f>IF($B$5&gt;0,IF($U$6=FALSE,0,IF(C47=FALSE,0,800)),0)</f>
        <v>800</v>
      </c>
      <c r="N47" s="7"/>
      <c r="O47" s="7"/>
      <c r="P47" s="7"/>
      <c r="Q47" s="7"/>
      <c r="R47" s="7">
        <f>IF($S$8=FALSE,0,SUM(L47:Q47))</f>
        <v>800</v>
      </c>
      <c r="S47" s="7">
        <f>R47*$L$9</f>
        <v>18800</v>
      </c>
      <c r="T47" s="7">
        <f>J47+S47</f>
        <v>18800</v>
      </c>
      <c r="U47" s="7">
        <f>IF($B$5&gt;0,IF($U$7=FALSE,0,IF(C47=FALSE,0,25000)),0)</f>
        <v>25000</v>
      </c>
      <c r="V47" s="7"/>
      <c r="W47" s="7"/>
      <c r="X47" s="7"/>
      <c r="Y47" s="7"/>
      <c r="Z47" s="7">
        <f>IF($S$8=FALSE,0,SUM(U47:Y47))</f>
        <v>25000</v>
      </c>
      <c r="AA47" s="7">
        <f>T47+Z47</f>
        <v>43800</v>
      </c>
      <c r="AB47" s="3" t="str">
        <f>A47</f>
        <v>加拿大</v>
      </c>
      <c r="AC47" s="25">
        <f>J47</f>
        <v>0</v>
      </c>
      <c r="AD47" s="25">
        <f>S47</f>
        <v>18800</v>
      </c>
      <c r="AE47" s="25">
        <f>Z47</f>
        <v>25000</v>
      </c>
      <c r="AG47" s="15" t="str">
        <f>A47</f>
        <v>加拿大</v>
      </c>
      <c r="AH47" s="3" t="s">
        <v>43</v>
      </c>
      <c r="AI47" s="3" t="s">
        <v>36</v>
      </c>
      <c r="AJ47" s="7">
        <f>IF($U$5=FALSE,0,IF(C47=FALSE,0,HLOOKUP(選項!$N$2,D年費表!$AH$2:$BG$19,9)))</f>
        <v>517.82000000000005</v>
      </c>
      <c r="AK47" s="7"/>
      <c r="AL47" s="7"/>
      <c r="AM47" s="7">
        <f>IF($S$7=FALSE,0,SUM(AJ47:AL47))</f>
        <v>517.82000000000005</v>
      </c>
      <c r="AN47" s="22">
        <f>AM47*$L$9</f>
        <v>12168.77</v>
      </c>
      <c r="AO47" s="3" t="s">
        <v>36</v>
      </c>
      <c r="AP47" s="7">
        <f>IF($U$6=FALSE,0,IF(C47=FALSE,0,HLOOKUP(選項!$N$2,D年費表!$AH$24:$BG$41,9)))</f>
        <v>315</v>
      </c>
      <c r="AQ47" s="7"/>
      <c r="AR47" s="7"/>
      <c r="AS47" s="7">
        <f>IF($S$7=FALSE,0,SUM(AP47:AR47))</f>
        <v>315</v>
      </c>
      <c r="AT47" s="22">
        <f>AS47*$L$9</f>
        <v>7402.5</v>
      </c>
      <c r="AU47" s="22">
        <f>AN47+AT47</f>
        <v>19571.27</v>
      </c>
      <c r="AV47" s="7">
        <f>IF($U$7=FALSE,0,IF(C47=FALSE,0,HLOOKUP(選項!$N$2,D年費表!$AH$46:$BG$63,9)))</f>
        <v>5000</v>
      </c>
      <c r="AW47" s="22">
        <f>IF($S$7=FALSE,0,SUM(AV47:AV47))</f>
        <v>5000</v>
      </c>
      <c r="AX47" s="22">
        <f>AU47+AW47</f>
        <v>24571.27</v>
      </c>
      <c r="AY47" s="15" t="str">
        <f>A47</f>
        <v>加拿大</v>
      </c>
      <c r="AZ47" s="25">
        <f>AN47</f>
        <v>12168.77</v>
      </c>
      <c r="BA47" s="25">
        <f>AT47</f>
        <v>7402.5</v>
      </c>
      <c r="BB47" s="25">
        <f>AW47</f>
        <v>5000</v>
      </c>
    </row>
    <row r="48" spans="1:73" x14ac:dyDescent="0.25">
      <c r="A48" s="145" t="s">
        <v>315</v>
      </c>
      <c r="B48" s="3" t="s">
        <v>43</v>
      </c>
      <c r="C48" s="15" t="b">
        <f t="shared" si="70"/>
        <v>1</v>
      </c>
      <c r="D48" s="3" t="s">
        <v>317</v>
      </c>
      <c r="E48" s="7">
        <f>IF(選項!$K$2=1,0,IF($B$5&gt;0,IF($U$5=FALSE,0,IF(C48=FALSE,0,0)),0))</f>
        <v>0</v>
      </c>
      <c r="F48" s="7"/>
      <c r="G48" s="7"/>
      <c r="H48" s="7"/>
      <c r="I48" s="7">
        <f>IF($S$8=FALSE,0,SUM(E48:H48))</f>
        <v>0</v>
      </c>
      <c r="J48" s="7">
        <f>I48*$L$10</f>
        <v>0</v>
      </c>
      <c r="K48" s="3" t="s">
        <v>317</v>
      </c>
      <c r="L48" s="7">
        <f>IF(選項!$K$2=1,0,IF($B$5&gt;0,IF($U$6=FALSE,0,IF(C48=FALSE,0,410)),0))</f>
        <v>410</v>
      </c>
      <c r="M48" s="7">
        <f>IF(選項!$K$2=1,0,IF($B$5&gt;0,IF($U$6=FALSE,0,IF(C48=FALSE,0,575)),0))</f>
        <v>575</v>
      </c>
      <c r="N48" s="7"/>
      <c r="O48" s="7"/>
      <c r="P48" s="7">
        <f>IF(選項!$K$2=1,0,IF($B$5&gt;0,IF($U$6=FALSE,0,IF(C48=FALSE,0,($B$5-1)*(410+575))),0))</f>
        <v>0</v>
      </c>
      <c r="Q48" s="7"/>
      <c r="R48" s="7">
        <f>IF($S$8=FALSE,0,SUM(L48:Q48))</f>
        <v>985</v>
      </c>
      <c r="S48" s="7">
        <f>R48*$L$10</f>
        <v>22655</v>
      </c>
      <c r="T48" s="7">
        <f>J48+S48</f>
        <v>22655</v>
      </c>
      <c r="U48" s="7">
        <f>IF(選項!$K$2=1,0,IF($B$5&gt;0,IF($U$7=FALSE,0,IF(C48=FALSE,0,$B$5*25000)),0))</f>
        <v>25000</v>
      </c>
      <c r="V48" s="7"/>
      <c r="W48" s="7"/>
      <c r="X48" s="7"/>
      <c r="Y48" s="7"/>
      <c r="Z48" s="7">
        <f>IF($S$8=FALSE,0,SUM(U48:Y48))</f>
        <v>25000</v>
      </c>
      <c r="AA48" s="7">
        <f>T48+Z48</f>
        <v>47655</v>
      </c>
      <c r="AB48" s="3" t="str">
        <f>A48</f>
        <v>澳洲</v>
      </c>
      <c r="AC48" s="25">
        <f>J48</f>
        <v>0</v>
      </c>
      <c r="AD48" s="25">
        <f>S48</f>
        <v>22655</v>
      </c>
      <c r="AE48" s="25">
        <f>Z48</f>
        <v>25000</v>
      </c>
      <c r="AG48" s="15" t="str">
        <f>A48</f>
        <v>澳洲</v>
      </c>
      <c r="AH48" s="3" t="s">
        <v>43</v>
      </c>
      <c r="AI48" s="3" t="s">
        <v>317</v>
      </c>
      <c r="AJ48" s="7">
        <f>IF(選項!$K$2=1,0,IF($U$5=FALSE,0,IF(C48=FALSE,0,HLOOKUP(選項!$N$2,D年費表!$AH$2:$BG$19,10))))</f>
        <v>400</v>
      </c>
      <c r="AK48" s="7"/>
      <c r="AL48" s="7"/>
      <c r="AM48" s="7">
        <f>IF($S$7=FALSE,0,SUM(AJ48:AL48))</f>
        <v>400</v>
      </c>
      <c r="AN48" s="22">
        <f>AM48*$L$10</f>
        <v>9200</v>
      </c>
      <c r="AO48" s="3" t="s">
        <v>317</v>
      </c>
      <c r="AP48" s="7">
        <f>IF(選項!$K$2=1,0,IF($U$6=FALSE,0,IF(C48=FALSE,0,HLOOKUP(選項!$N$2,D年費表!$AH$24:$BG$41,10))))</f>
        <v>570</v>
      </c>
      <c r="AQ48" s="7"/>
      <c r="AR48" s="7"/>
      <c r="AS48" s="7">
        <f>IF($S$7=FALSE,0,SUM(AP48:AR48))</f>
        <v>570</v>
      </c>
      <c r="AT48" s="22">
        <f>AS48*$L$10</f>
        <v>13110</v>
      </c>
      <c r="AU48" s="22">
        <f>AN48+AT48</f>
        <v>22310</v>
      </c>
      <c r="AV48" s="7">
        <f>IF(選項!$K$2=1,0,IF($U$7=FALSE,0,IF(C48=FALSE,0,HLOOKUP(選項!$N$2,D年費表!$AH$46:$BG$63,10))))</f>
        <v>5000</v>
      </c>
      <c r="AW48" s="22">
        <f>IF($S$7=FALSE,0,SUM(AV48:AV48))</f>
        <v>5000</v>
      </c>
      <c r="AX48" s="22">
        <f>AU48+AW48</f>
        <v>27310</v>
      </c>
      <c r="AY48" s="15" t="str">
        <f>A48</f>
        <v>澳洲</v>
      </c>
      <c r="AZ48" s="25">
        <f>AN48</f>
        <v>9200</v>
      </c>
      <c r="BA48" s="25">
        <f>AT48</f>
        <v>13110</v>
      </c>
      <c r="BB48" s="25">
        <f>AW48</f>
        <v>5000</v>
      </c>
    </row>
    <row r="49" spans="1:90" x14ac:dyDescent="0.25">
      <c r="A49" s="3" t="s">
        <v>7</v>
      </c>
      <c r="B49" s="3" t="s">
        <v>43</v>
      </c>
      <c r="C49" s="15" t="b">
        <f t="shared" ref="C49:C54" si="90">C25</f>
        <v>1</v>
      </c>
      <c r="D49" s="3" t="s">
        <v>19</v>
      </c>
      <c r="E49" s="7"/>
      <c r="F49" s="7"/>
      <c r="G49" s="7"/>
      <c r="H49" s="7"/>
      <c r="I49" s="7">
        <f t="shared" si="77"/>
        <v>0</v>
      </c>
      <c r="J49" s="7">
        <f>I49*$L$6</f>
        <v>0</v>
      </c>
      <c r="K49" s="3" t="s">
        <v>19</v>
      </c>
      <c r="L49" s="7"/>
      <c r="M49" s="7"/>
      <c r="N49" s="7"/>
      <c r="O49" s="7"/>
      <c r="P49" s="7"/>
      <c r="Q49" s="7"/>
      <c r="R49" s="7">
        <f t="shared" si="78"/>
        <v>0</v>
      </c>
      <c r="S49" s="7">
        <f>R49*$L$6</f>
        <v>0</v>
      </c>
      <c r="T49" s="7">
        <f t="shared" si="79"/>
        <v>0</v>
      </c>
      <c r="U49" s="7"/>
      <c r="V49" s="7"/>
      <c r="W49" s="7"/>
      <c r="X49" s="7"/>
      <c r="Y49" s="7"/>
      <c r="Z49" s="7">
        <f t="shared" si="80"/>
        <v>0</v>
      </c>
      <c r="AA49" s="7">
        <f t="shared" si="71"/>
        <v>0</v>
      </c>
      <c r="AB49" s="3" t="str">
        <f t="shared" si="72"/>
        <v>新加坡</v>
      </c>
      <c r="AC49" s="25">
        <f t="shared" si="81"/>
        <v>0</v>
      </c>
      <c r="AD49" s="25">
        <f t="shared" si="82"/>
        <v>0</v>
      </c>
      <c r="AE49" s="25">
        <f t="shared" si="83"/>
        <v>0</v>
      </c>
      <c r="AG49" s="15" t="str">
        <f t="shared" si="73"/>
        <v>新加坡</v>
      </c>
      <c r="AH49" s="3" t="s">
        <v>43</v>
      </c>
      <c r="AI49" s="3" t="s">
        <v>19</v>
      </c>
      <c r="AJ49" s="7">
        <f>IF($U$5=FALSE,0,IF(C49=FALSE,0,HLOOKUP(選項!$N$2,D年費表!$AH$2:$BG$19,11)))</f>
        <v>550</v>
      </c>
      <c r="AK49" s="7"/>
      <c r="AL49" s="7"/>
      <c r="AM49" s="7">
        <f t="shared" si="84"/>
        <v>550</v>
      </c>
      <c r="AN49" s="22">
        <f>AM49*$L$6</f>
        <v>13750</v>
      </c>
      <c r="AO49" s="3" t="s">
        <v>19</v>
      </c>
      <c r="AP49" s="7">
        <f>IF($U$6=FALSE,0,IF(C49=FALSE,0,HLOOKUP(選項!$N$2,D年費表!$AH$24:$BG$41,11)))</f>
        <v>900</v>
      </c>
      <c r="AQ49" s="7"/>
      <c r="AR49" s="7"/>
      <c r="AS49" s="7">
        <f t="shared" si="85"/>
        <v>900</v>
      </c>
      <c r="AT49" s="22">
        <f>AS49*$L$6</f>
        <v>22500</v>
      </c>
      <c r="AU49" s="22">
        <f t="shared" si="74"/>
        <v>36250</v>
      </c>
      <c r="AV49" s="7">
        <f>IF($U$7=FALSE,0,IF(C49=FALSE,0,HLOOKUP(選項!$N$2,D年費表!$AH$46:$BG$63,11)))</f>
        <v>10000</v>
      </c>
      <c r="AW49" s="22">
        <f t="shared" si="86"/>
        <v>10000</v>
      </c>
      <c r="AX49" s="22">
        <f t="shared" si="75"/>
        <v>46250</v>
      </c>
      <c r="AY49" s="15" t="str">
        <f t="shared" si="76"/>
        <v>新加坡</v>
      </c>
      <c r="AZ49" s="25">
        <f t="shared" si="87"/>
        <v>13750</v>
      </c>
      <c r="BA49" s="25">
        <f t="shared" si="88"/>
        <v>22500</v>
      </c>
      <c r="BB49" s="25">
        <f t="shared" si="89"/>
        <v>10000</v>
      </c>
    </row>
    <row r="50" spans="1:90" x14ac:dyDescent="0.25">
      <c r="A50" s="3" t="s">
        <v>10</v>
      </c>
      <c r="B50" s="3" t="s">
        <v>43</v>
      </c>
      <c r="C50" s="15" t="b">
        <f t="shared" si="90"/>
        <v>1</v>
      </c>
      <c r="D50" s="3" t="s">
        <v>22</v>
      </c>
      <c r="E50" s="7"/>
      <c r="F50" s="7"/>
      <c r="G50" s="7"/>
      <c r="H50" s="7"/>
      <c r="I50" s="7">
        <f>IF($S$8=FALSE,0,SUM(E50:H50))</f>
        <v>0</v>
      </c>
      <c r="J50" s="7">
        <f>I50*$L$8</f>
        <v>0</v>
      </c>
      <c r="K50" s="3" t="s">
        <v>22</v>
      </c>
      <c r="L50" s="7">
        <f>IF($B$5&gt;0,IF($U$6=FALSE,0,IF(C50=FALSE,0,300)),0)</f>
        <v>300</v>
      </c>
      <c r="M50" s="7">
        <f>IF($B$5&gt;0,IF($U$6=FALSE,0,IF(C50=FALSE,0,1000)),0)</f>
        <v>1000</v>
      </c>
      <c r="N50" s="7"/>
      <c r="O50" s="7"/>
      <c r="P50" s="7"/>
      <c r="Q50" s="7"/>
      <c r="R50" s="7">
        <f>IF($S$8=FALSE,0,SUM(L50:Q50))</f>
        <v>1300</v>
      </c>
      <c r="S50" s="7">
        <f>R50*$L$8</f>
        <v>10790.000000000002</v>
      </c>
      <c r="T50" s="7">
        <f>J50+S50</f>
        <v>10790.000000000002</v>
      </c>
      <c r="U50" s="7">
        <f>IF($B$5&gt;0,IF($U$7=FALSE,0,IF(C50=FALSE,0,$B$5*25000)),0)</f>
        <v>25000</v>
      </c>
      <c r="V50" s="7"/>
      <c r="W50" s="7"/>
      <c r="X50" s="7"/>
      <c r="Y50" s="7"/>
      <c r="Z50" s="7">
        <f>IF($S$8=FALSE,0,SUM(U50:Y50))</f>
        <v>25000</v>
      </c>
      <c r="AA50" s="7">
        <f>T50+Z50</f>
        <v>35790</v>
      </c>
      <c r="AB50" s="3" t="str">
        <f>A50</f>
        <v>馬來西亞</v>
      </c>
      <c r="AC50" s="25">
        <f>J50</f>
        <v>0</v>
      </c>
      <c r="AD50" s="25">
        <f>S50</f>
        <v>10790.000000000002</v>
      </c>
      <c r="AE50" s="25">
        <f>Z50</f>
        <v>25000</v>
      </c>
      <c r="AG50" s="15" t="str">
        <f>A50</f>
        <v>馬來西亞</v>
      </c>
      <c r="AH50" s="3" t="s">
        <v>43</v>
      </c>
      <c r="AI50" s="3" t="s">
        <v>22</v>
      </c>
      <c r="AJ50" s="7">
        <f>IF($U$5=FALSE,0,IF(C50=FALSE,0,HLOOKUP(選項!$N$2,D年費表!$AH$2:$BG$19,12)))</f>
        <v>3200</v>
      </c>
      <c r="AK50" s="7"/>
      <c r="AL50" s="7"/>
      <c r="AM50" s="7">
        <f>IF($S$7=FALSE,0,SUM(AJ50:AL50))</f>
        <v>3200</v>
      </c>
      <c r="AN50" s="22">
        <f>AM50*$L$8</f>
        <v>26560.000000000004</v>
      </c>
      <c r="AO50" s="3" t="s">
        <v>22</v>
      </c>
      <c r="AP50" s="7">
        <f>IF($U$6=FALSE,0,IF(C50=FALSE,0,HLOOKUP(選項!$N$2,D年費表!$AH$24:$BG$41,12)))</f>
        <v>2400</v>
      </c>
      <c r="AQ50" s="7"/>
      <c r="AR50" s="7"/>
      <c r="AS50" s="7">
        <f>IF($S$7=FALSE,0,SUM(AP50:AR50))</f>
        <v>2400</v>
      </c>
      <c r="AT50" s="22">
        <f>AS50*$L$8</f>
        <v>19920</v>
      </c>
      <c r="AU50" s="22">
        <f>AN50+AT50</f>
        <v>46480</v>
      </c>
      <c r="AV50" s="7">
        <f>IF($U$7=FALSE,0,IF(C50=FALSE,0,HLOOKUP(選項!$N$2,D年費表!$AH$46:$BG$63,12)))</f>
        <v>20000</v>
      </c>
      <c r="AW50" s="22">
        <f>IF($S$7=FALSE,0,SUM(AV50:AV50))</f>
        <v>20000</v>
      </c>
      <c r="AX50" s="22">
        <f>AU50+AW50</f>
        <v>66480</v>
      </c>
      <c r="AY50" s="15" t="str">
        <f>A50</f>
        <v>馬來西亞</v>
      </c>
      <c r="AZ50" s="25">
        <f>AN50</f>
        <v>26560.000000000004</v>
      </c>
      <c r="BA50" s="25">
        <f>AT50</f>
        <v>19920</v>
      </c>
      <c r="BB50" s="25">
        <f>AW50</f>
        <v>20000</v>
      </c>
    </row>
    <row r="51" spans="1:90" x14ac:dyDescent="0.25">
      <c r="A51" s="51" t="s">
        <v>116</v>
      </c>
      <c r="B51" s="3" t="s">
        <v>43</v>
      </c>
      <c r="C51" s="15" t="b">
        <f t="shared" si="90"/>
        <v>1</v>
      </c>
      <c r="D51" s="3" t="s">
        <v>15</v>
      </c>
      <c r="E51" s="7"/>
      <c r="F51" s="7"/>
      <c r="G51" s="7"/>
      <c r="H51" s="7"/>
      <c r="I51" s="7">
        <f t="shared" si="77"/>
        <v>0</v>
      </c>
      <c r="J51" s="7">
        <f>I51*$J$5</f>
        <v>0</v>
      </c>
      <c r="K51" s="3" t="s">
        <v>15</v>
      </c>
      <c r="L51" s="7"/>
      <c r="M51" s="7"/>
      <c r="N51" s="7"/>
      <c r="O51" s="7"/>
      <c r="P51" s="7"/>
      <c r="Q51" s="7"/>
      <c r="R51" s="7">
        <f t="shared" si="78"/>
        <v>0</v>
      </c>
      <c r="S51" s="7">
        <f>R51*$J$5</f>
        <v>0</v>
      </c>
      <c r="T51" s="7">
        <f t="shared" si="79"/>
        <v>0</v>
      </c>
      <c r="U51" s="7"/>
      <c r="V51" s="7"/>
      <c r="W51" s="7"/>
      <c r="X51" s="7"/>
      <c r="Y51" s="7"/>
      <c r="Z51" s="7">
        <f t="shared" si="80"/>
        <v>0</v>
      </c>
      <c r="AA51" s="7">
        <f t="shared" si="71"/>
        <v>0</v>
      </c>
      <c r="AB51" s="3" t="str">
        <f t="shared" si="72"/>
        <v>菲律賓</v>
      </c>
      <c r="AC51" s="25">
        <f t="shared" si="81"/>
        <v>0</v>
      </c>
      <c r="AD51" s="25">
        <f t="shared" si="82"/>
        <v>0</v>
      </c>
      <c r="AE51" s="25">
        <f t="shared" si="83"/>
        <v>0</v>
      </c>
      <c r="AG51" s="15" t="str">
        <f t="shared" si="73"/>
        <v>菲律賓</v>
      </c>
      <c r="AH51" s="3" t="s">
        <v>43</v>
      </c>
      <c r="AI51" s="3" t="s">
        <v>15</v>
      </c>
      <c r="AJ51" s="7">
        <f>IF($U$5=FALSE,0,IF(C51=FALSE,0,HLOOKUP(選項!$N$2,D年費表!$AH$2:$BG$19,13)))</f>
        <v>190</v>
      </c>
      <c r="AK51" s="7"/>
      <c r="AL51" s="7"/>
      <c r="AM51" s="7">
        <f t="shared" si="84"/>
        <v>190</v>
      </c>
      <c r="AN51" s="22">
        <f>AM51*$J$5</f>
        <v>6080</v>
      </c>
      <c r="AO51" s="3" t="s">
        <v>15</v>
      </c>
      <c r="AP51" s="7">
        <f>IF($U$6=FALSE,0,IF(C51=FALSE,0,HLOOKUP(選項!$N$2,D年費表!$AH$24:$BG$41,13)))</f>
        <v>200</v>
      </c>
      <c r="AQ51" s="7"/>
      <c r="AR51" s="7"/>
      <c r="AS51" s="7">
        <f t="shared" si="85"/>
        <v>200</v>
      </c>
      <c r="AT51" s="22">
        <f>AS51*$J$5</f>
        <v>6400</v>
      </c>
      <c r="AU51" s="22">
        <f t="shared" si="74"/>
        <v>12480</v>
      </c>
      <c r="AV51" s="7">
        <f>IF($U$7=FALSE,0,IF(C51=FALSE,0,HLOOKUP(選項!$N$2,D年費表!$AH$46:$BG$63,13)))</f>
        <v>10000</v>
      </c>
      <c r="AW51" s="22">
        <f t="shared" si="86"/>
        <v>10000</v>
      </c>
      <c r="AX51" s="22">
        <f t="shared" si="75"/>
        <v>22480</v>
      </c>
      <c r="AY51" s="15" t="str">
        <f t="shared" si="76"/>
        <v>菲律賓</v>
      </c>
      <c r="AZ51" s="25">
        <f t="shared" si="87"/>
        <v>6080</v>
      </c>
      <c r="BA51" s="25">
        <f t="shared" si="88"/>
        <v>6400</v>
      </c>
      <c r="BB51" s="25">
        <f t="shared" si="89"/>
        <v>10000</v>
      </c>
    </row>
    <row r="52" spans="1:90" x14ac:dyDescent="0.25">
      <c r="A52" s="3" t="s">
        <v>96</v>
      </c>
      <c r="B52" s="3" t="s">
        <v>43</v>
      </c>
      <c r="C52" s="15" t="b">
        <f t="shared" si="90"/>
        <v>1</v>
      </c>
      <c r="D52" s="3" t="s">
        <v>15</v>
      </c>
      <c r="E52" s="7">
        <f>IF($B$5&gt;0,IF($U$5=FALSE,0,IF(C52=FALSE,0,100)),0)</f>
        <v>100</v>
      </c>
      <c r="F52" s="7"/>
      <c r="G52" s="7">
        <f>IF($B$5&gt;0,IF($U$5=FALSE,0,IF(C52=FALSE,0,($B$5-1)*100)),0)</f>
        <v>0</v>
      </c>
      <c r="H52" s="7"/>
      <c r="I52" s="7">
        <f>IF($S$8=FALSE,0,SUM(E52:H52))</f>
        <v>100</v>
      </c>
      <c r="J52" s="7">
        <f>I52*$J$5</f>
        <v>3200</v>
      </c>
      <c r="K52" s="3" t="s">
        <v>15</v>
      </c>
      <c r="L52" s="7"/>
      <c r="M52" s="7">
        <f>IF($B$5&gt;0,IF($U$6=FALSE,0,IF(C52=FALSE,0,450)),0)</f>
        <v>450</v>
      </c>
      <c r="N52" s="7"/>
      <c r="O52" s="7"/>
      <c r="P52" s="7">
        <f>IF($B$5&gt;0,IF($U$6=FALSE,0,IF(C52=FALSE,0,($B$5-1)*450)),0)</f>
        <v>0</v>
      </c>
      <c r="Q52" s="7"/>
      <c r="R52" s="7">
        <f>IF($S$8=FALSE,0,SUM(L52:Q52))</f>
        <v>450</v>
      </c>
      <c r="S52" s="7">
        <f>R52*$J$5</f>
        <v>14400</v>
      </c>
      <c r="T52" s="7">
        <f>J52+S52</f>
        <v>17600</v>
      </c>
      <c r="U52" s="7">
        <f>IF($B$5&gt;0,IF($U$7=FALSE,0,IF(C52=FALSE,0,$B$5*25000)),0)</f>
        <v>25000</v>
      </c>
      <c r="V52" s="7"/>
      <c r="W52" s="7"/>
      <c r="X52" s="7"/>
      <c r="Y52" s="7"/>
      <c r="Z52" s="7">
        <f>IF($S$8=FALSE,0,SUM(U52:Y52))</f>
        <v>25000</v>
      </c>
      <c r="AA52" s="7">
        <f>T52+Z52</f>
        <v>42600</v>
      </c>
      <c r="AB52" s="3" t="str">
        <f>A52</f>
        <v>印尼</v>
      </c>
      <c r="AC52" s="25">
        <f>J52</f>
        <v>3200</v>
      </c>
      <c r="AD52" s="25">
        <f>S52</f>
        <v>14400</v>
      </c>
      <c r="AE52" s="25">
        <f>Z52</f>
        <v>25000</v>
      </c>
      <c r="AG52" s="15" t="str">
        <f>A52</f>
        <v>印尼</v>
      </c>
      <c r="AH52" s="3" t="s">
        <v>43</v>
      </c>
      <c r="AI52" s="3" t="s">
        <v>15</v>
      </c>
      <c r="AJ52" s="7">
        <f>IF($U$5=FALSE,0,IF(C52=FALSE,0,HLOOKUP(選項!$N$2,D年費表!$AH$2:$BG$19,14)))</f>
        <v>0</v>
      </c>
      <c r="AK52" s="7"/>
      <c r="AL52" s="7"/>
      <c r="AM52" s="7">
        <f>IF($S$7=FALSE,0,SUM(AJ52:AL52))</f>
        <v>0</v>
      </c>
      <c r="AN52" s="22">
        <f>AM52*$J$5</f>
        <v>0</v>
      </c>
      <c r="AO52" s="3" t="s">
        <v>15</v>
      </c>
      <c r="AP52" s="7">
        <f>IF($U$6=FALSE,0,IF(C52=FALSE,0,HLOOKUP(選項!$N$2,D年費表!$AH$24:$BG$41,14)))</f>
        <v>0</v>
      </c>
      <c r="AQ52" s="7"/>
      <c r="AR52" s="7"/>
      <c r="AS52" s="7">
        <f>IF($S$7=FALSE,0,SUM(AP52:AR52))</f>
        <v>0</v>
      </c>
      <c r="AT52" s="22">
        <f>AS52*$J$5</f>
        <v>0</v>
      </c>
      <c r="AU52" s="22">
        <f>AN52+AT52</f>
        <v>0</v>
      </c>
      <c r="AV52" s="7">
        <f>IF($U$7=FALSE,0,IF(C52=FALSE,0,HLOOKUP(選項!$N$2,D年費表!$AH$46:$BG$63,14)))</f>
        <v>0</v>
      </c>
      <c r="AW52" s="22">
        <f>IF($S$7=FALSE,0,SUM(AV52:AV52))</f>
        <v>0</v>
      </c>
      <c r="AX52" s="22">
        <f>AU52+AW52</f>
        <v>0</v>
      </c>
      <c r="AY52" s="15" t="str">
        <f>A52</f>
        <v>印尼</v>
      </c>
      <c r="AZ52" s="25">
        <f>AN52</f>
        <v>0</v>
      </c>
      <c r="BA52" s="25">
        <f>AT52</f>
        <v>0</v>
      </c>
      <c r="BB52" s="25">
        <f>AW52</f>
        <v>0</v>
      </c>
    </row>
    <row r="53" spans="1:90" x14ac:dyDescent="0.25">
      <c r="A53" s="3" t="s">
        <v>8</v>
      </c>
      <c r="B53" s="3" t="s">
        <v>43</v>
      </c>
      <c r="C53" s="15" t="b">
        <f t="shared" si="90"/>
        <v>1</v>
      </c>
      <c r="D53" s="3" t="s">
        <v>20</v>
      </c>
      <c r="E53" s="7">
        <f>IF(選項!$K$2=1,0,IF($B$5&gt;0,IF($U$5=FALSE,0,IF(C53=FALSE,0,160000)),0))</f>
        <v>160000</v>
      </c>
      <c r="F53" s="7"/>
      <c r="G53" s="7"/>
      <c r="H53" s="7"/>
      <c r="I53" s="7">
        <f t="shared" si="77"/>
        <v>160000</v>
      </c>
      <c r="J53" s="7">
        <f>I53*$L$7</f>
        <v>224</v>
      </c>
      <c r="K53" s="3" t="s">
        <v>15</v>
      </c>
      <c r="L53" s="7"/>
      <c r="M53" s="7">
        <f>IF(選項!$K$2=1,0,IF($B$5&gt;0,IF($U$6=FALSE,0,IF(C53=FALSE,0,110+1000)),0))</f>
        <v>1110</v>
      </c>
      <c r="N53" s="7"/>
      <c r="O53" s="7"/>
      <c r="P53" s="7"/>
      <c r="Q53" s="7"/>
      <c r="R53" s="7">
        <f t="shared" si="78"/>
        <v>1110</v>
      </c>
      <c r="S53" s="7">
        <f>R53*$J$5</f>
        <v>35520</v>
      </c>
      <c r="T53" s="7">
        <f t="shared" si="79"/>
        <v>35744</v>
      </c>
      <c r="U53" s="7">
        <f>IF(選項!$K$2=1,0,IF($B$5&gt;0,IF($U$7=FALSE,0,IF(C53=FALSE,0,25000)),0))</f>
        <v>25000</v>
      </c>
      <c r="V53" s="7"/>
      <c r="W53" s="7"/>
      <c r="X53" s="7"/>
      <c r="Y53" s="7"/>
      <c r="Z53" s="7">
        <f t="shared" si="80"/>
        <v>25000</v>
      </c>
      <c r="AA53" s="7">
        <f t="shared" si="71"/>
        <v>60744</v>
      </c>
      <c r="AB53" s="3" t="str">
        <f t="shared" si="72"/>
        <v>越南</v>
      </c>
      <c r="AC53" s="25">
        <f t="shared" si="81"/>
        <v>224</v>
      </c>
      <c r="AD53" s="25">
        <f t="shared" si="82"/>
        <v>35520</v>
      </c>
      <c r="AE53" s="25">
        <f t="shared" si="83"/>
        <v>25000</v>
      </c>
      <c r="AG53" s="15" t="str">
        <f t="shared" si="73"/>
        <v>越南</v>
      </c>
      <c r="AH53" s="3" t="s">
        <v>43</v>
      </c>
      <c r="AI53" s="3" t="s">
        <v>20</v>
      </c>
      <c r="AJ53" s="7">
        <f>IF(選項!$K$2=1,0,IF($U$5=FALSE,0,IF(C53=FALSE,0,HLOOKUP(選項!$N$2,D年費表!$AH$2:$BG$19,15))))</f>
        <v>2400000</v>
      </c>
      <c r="AK53" s="7"/>
      <c r="AL53" s="7"/>
      <c r="AM53" s="7">
        <f t="shared" si="84"/>
        <v>2400000</v>
      </c>
      <c r="AN53" s="22">
        <f>AM53*$L$7</f>
        <v>3360</v>
      </c>
      <c r="AO53" s="3" t="s">
        <v>15</v>
      </c>
      <c r="AP53" s="7">
        <f>IF(選項!$K$2=1,0,IF($U$6=FALSE,0,IF(C53=FALSE,0,HLOOKUP(選項!$N$2,D年費表!$AH$24:$BG$41,15))))</f>
        <v>320</v>
      </c>
      <c r="AQ53" s="7"/>
      <c r="AR53" s="7"/>
      <c r="AS53" s="7">
        <f t="shared" si="85"/>
        <v>320</v>
      </c>
      <c r="AT53" s="22">
        <f>AS53*$J$5</f>
        <v>10240</v>
      </c>
      <c r="AU53" s="22">
        <f t="shared" si="74"/>
        <v>13600</v>
      </c>
      <c r="AV53" s="7">
        <f>IF(選項!$K$2=1,0,IF($U$7=FALSE,0,IF(C53=FALSE,0,HLOOKUP(選項!$N$2,D年費表!$AH$46:$BG$63,15))))</f>
        <v>10000</v>
      </c>
      <c r="AW53" s="22">
        <f t="shared" si="86"/>
        <v>10000</v>
      </c>
      <c r="AX53" s="22">
        <f t="shared" si="75"/>
        <v>23600</v>
      </c>
      <c r="AY53" s="15" t="str">
        <f t="shared" si="76"/>
        <v>越南</v>
      </c>
      <c r="AZ53" s="25">
        <f t="shared" si="87"/>
        <v>3360</v>
      </c>
      <c r="BA53" s="25">
        <f t="shared" si="88"/>
        <v>10240</v>
      </c>
      <c r="BB53" s="25">
        <f t="shared" si="89"/>
        <v>10000</v>
      </c>
    </row>
    <row r="54" spans="1:90" x14ac:dyDescent="0.25">
      <c r="A54" s="3" t="s">
        <v>9</v>
      </c>
      <c r="B54" s="3" t="s">
        <v>43</v>
      </c>
      <c r="C54" s="15" t="b">
        <f t="shared" si="90"/>
        <v>1</v>
      </c>
      <c r="D54" s="3" t="s">
        <v>21</v>
      </c>
      <c r="E54" s="7">
        <f>IF($B$5&gt;0,IF($U$5=FALSE,0,IF(C54=FALSE,0,50)),0)</f>
        <v>50</v>
      </c>
      <c r="F54" s="7"/>
      <c r="G54" s="7">
        <f>IF($B$5&gt;0,IF($U$5=FALSE,0,IF(C54=FALSE,0,($B$5-1)*50)),0)</f>
        <v>0</v>
      </c>
      <c r="H54" s="7"/>
      <c r="I54" s="7">
        <f t="shared" ref="I54" si="91">IF($S$8=FALSE,0,SUM(E54:H54))</f>
        <v>50</v>
      </c>
      <c r="J54" s="7">
        <f>I54*$J$9</f>
        <v>55.000000000000007</v>
      </c>
      <c r="K54" s="3" t="s">
        <v>21</v>
      </c>
      <c r="L54" s="7"/>
      <c r="M54" s="7">
        <f>IF($B$5&gt;0,IF($U$6=FALSE,0,IF(C54=FALSE,0,6000+2800+6000)),0)</f>
        <v>14800</v>
      </c>
      <c r="N54" s="7"/>
      <c r="O54" s="7"/>
      <c r="P54" s="7">
        <f>IF($B$5&gt;0,IF($U$6=FALSE,0,IF(C54=FALSE,0,($B$5-1)*(6000+2800+6000))),0)</f>
        <v>0</v>
      </c>
      <c r="Q54" s="7"/>
      <c r="R54" s="7">
        <f t="shared" ref="R54" si="92">IF($S$8=FALSE,0,SUM(L54:Q54))</f>
        <v>14800</v>
      </c>
      <c r="S54" s="7">
        <f>R54*$J$9</f>
        <v>16280.000000000002</v>
      </c>
      <c r="T54" s="7">
        <f t="shared" ref="T54:T55" si="93">J54+S54</f>
        <v>16335.000000000002</v>
      </c>
      <c r="U54" s="7">
        <f>IF($B$5&gt;0,IF($U$7=FALSE,0,IF(C54=FALSE,0,$B$5*25000)),0)</f>
        <v>25000</v>
      </c>
      <c r="V54" s="7"/>
      <c r="W54" s="7"/>
      <c r="X54" s="7"/>
      <c r="Y54" s="7"/>
      <c r="Z54" s="7">
        <f t="shared" ref="Z54" si="94">IF($S$8=FALSE,0,SUM(U54:Y54))</f>
        <v>25000</v>
      </c>
      <c r="AA54" s="7">
        <f t="shared" ref="AA54:AA55" si="95">T54+Z54</f>
        <v>41335</v>
      </c>
      <c r="AB54" s="3" t="str">
        <f t="shared" ref="AB54:AB55" si="96">A54</f>
        <v>泰國</v>
      </c>
      <c r="AC54" s="25">
        <f t="shared" ref="AC54:AC55" si="97">J54</f>
        <v>55.000000000000007</v>
      </c>
      <c r="AD54" s="25">
        <f t="shared" ref="AD54:AD55" si="98">S54</f>
        <v>16280.000000000002</v>
      </c>
      <c r="AE54" s="25">
        <f t="shared" ref="AE54:AE55" si="99">Z54</f>
        <v>25000</v>
      </c>
      <c r="AG54" s="15" t="str">
        <f t="shared" ref="AG54:AG55" si="100">A54</f>
        <v>泰國</v>
      </c>
      <c r="AH54" s="3" t="s">
        <v>43</v>
      </c>
      <c r="AI54" s="3" t="s">
        <v>21</v>
      </c>
      <c r="AJ54" s="7">
        <f>IF($U$5=FALSE,0,IF(C54=FALSE,0,HLOOKUP(選項!$N$2,D年費表!$AH$2:$BG$19,16)))</f>
        <v>8250</v>
      </c>
      <c r="AK54" s="7"/>
      <c r="AL54" s="7"/>
      <c r="AM54" s="7">
        <f t="shared" ref="AM54:AM55" si="101">IF($S$7=FALSE,0,SUM(AJ54:AL54))</f>
        <v>8250</v>
      </c>
      <c r="AN54" s="22">
        <f>AM54*$J$9</f>
        <v>9075</v>
      </c>
      <c r="AO54" s="3" t="s">
        <v>21</v>
      </c>
      <c r="AP54" s="7">
        <f>IF($U$6=FALSE,0,IF(C54=FALSE,0,HLOOKUP(選項!$N$2,D年費表!$AH$24:$BG$41,16)))</f>
        <v>19200</v>
      </c>
      <c r="AQ54" s="7"/>
      <c r="AR54" s="7"/>
      <c r="AS54" s="7">
        <f t="shared" ref="AS54:AS55" si="102">IF($S$7=FALSE,0,SUM(AP54:AR54))</f>
        <v>19200</v>
      </c>
      <c r="AT54" s="22">
        <f>AS54*$J$9</f>
        <v>21120</v>
      </c>
      <c r="AU54" s="22">
        <f t="shared" ref="AU54:AU55" si="103">AN54+AT54</f>
        <v>30195</v>
      </c>
      <c r="AV54" s="7">
        <f>IF($U$7=FALSE,0,IF(C54=FALSE,0,HLOOKUP(選項!$N$2,D年費表!$AH$46:$BG$63,16)))</f>
        <v>30000</v>
      </c>
      <c r="AW54" s="22">
        <f t="shared" ref="AW54:AW55" si="104">IF($S$7=FALSE,0,SUM(AV54:AV54))</f>
        <v>30000</v>
      </c>
      <c r="AX54" s="22">
        <f t="shared" ref="AX54:AX55" si="105">AU54+AW54</f>
        <v>60195</v>
      </c>
      <c r="AY54" s="15" t="str">
        <f t="shared" ref="AY54:AY55" si="106">A54</f>
        <v>泰國</v>
      </c>
      <c r="AZ54" s="25">
        <f t="shared" ref="AZ54:AZ55" si="107">AN54</f>
        <v>9075</v>
      </c>
      <c r="BA54" s="25">
        <f t="shared" ref="BA54:BA55" si="108">AT54</f>
        <v>21120</v>
      </c>
      <c r="BB54" s="25">
        <f t="shared" ref="BB54:BB55" si="109">AW54</f>
        <v>30000</v>
      </c>
    </row>
    <row r="55" spans="1:90" x14ac:dyDescent="0.25">
      <c r="A55" s="3" t="s">
        <v>309</v>
      </c>
      <c r="B55" s="3" t="s">
        <v>43</v>
      </c>
      <c r="C55" s="15" t="b">
        <f>C31</f>
        <v>1</v>
      </c>
      <c r="D55" s="3" t="s">
        <v>15</v>
      </c>
      <c r="E55" s="7"/>
      <c r="F55" s="7"/>
      <c r="G55" s="7"/>
      <c r="H55" s="7"/>
      <c r="I55" s="7">
        <f t="shared" ref="I55" si="110">IF($S$8=FALSE,0,SUM(E55:H55))</f>
        <v>0</v>
      </c>
      <c r="J55" s="7">
        <f>I55*$J$5</f>
        <v>0</v>
      </c>
      <c r="K55" s="3" t="s">
        <v>15</v>
      </c>
      <c r="L55" s="7">
        <f>IF($B$5&gt;0,IF($U$6=FALSE,0,IF(C55=FALSE,0,200)),0)</f>
        <v>200</v>
      </c>
      <c r="M55" s="7">
        <f>IF($B$5&gt;0,IF($U$6=FALSE,0,IF(C55=FALSE,0,250)),0)</f>
        <v>250</v>
      </c>
      <c r="N55" s="7"/>
      <c r="O55" s="7"/>
      <c r="P55" s="7">
        <f>IF($B$5&gt;0,IF($U$6=FALSE,0,IF(C55=FALSE,0,($B$5-1)*(200+250))),0)</f>
        <v>0</v>
      </c>
      <c r="Q55" s="7"/>
      <c r="R55" s="7">
        <f t="shared" ref="R55" si="111">IF($S$8=FALSE,0,SUM(L55:Q55))</f>
        <v>450</v>
      </c>
      <c r="S55" s="7">
        <f>R55*$J$5</f>
        <v>14400</v>
      </c>
      <c r="T55" s="7">
        <f t="shared" si="93"/>
        <v>14400</v>
      </c>
      <c r="U55" s="7">
        <f>IF($B$5&gt;0,IF($U$7=FALSE,0,IF(C55=FALSE,0,$B$5*25000)),0)</f>
        <v>25000</v>
      </c>
      <c r="V55" s="7"/>
      <c r="W55" s="7"/>
      <c r="X55" s="7"/>
      <c r="Y55" s="7"/>
      <c r="Z55" s="7">
        <f t="shared" ref="Z55" si="112">IF($S$8=FALSE,0,SUM(U55:Y55))</f>
        <v>25000</v>
      </c>
      <c r="AA55" s="7">
        <f t="shared" si="95"/>
        <v>39400</v>
      </c>
      <c r="AB55" s="3" t="str">
        <f t="shared" si="96"/>
        <v>印度</v>
      </c>
      <c r="AC55" s="25">
        <f t="shared" si="97"/>
        <v>0</v>
      </c>
      <c r="AD55" s="25">
        <f t="shared" si="98"/>
        <v>14400</v>
      </c>
      <c r="AE55" s="25">
        <f t="shared" si="99"/>
        <v>25000</v>
      </c>
      <c r="AG55" s="15" t="str">
        <f t="shared" si="100"/>
        <v>印度</v>
      </c>
      <c r="AH55" s="3" t="s">
        <v>43</v>
      </c>
      <c r="AI55" s="3" t="s">
        <v>15</v>
      </c>
      <c r="AJ55" s="7">
        <f>IF($U$5=FALSE,0,IF(C55=FALSE,0,HLOOKUP(選項!$N$2,D年費表!$AH$2:$BG$19,17)))</f>
        <v>114</v>
      </c>
      <c r="AK55" s="7"/>
      <c r="AL55" s="7"/>
      <c r="AM55" s="7">
        <f t="shared" si="101"/>
        <v>114</v>
      </c>
      <c r="AN55" s="22">
        <f>AM55*$J$5</f>
        <v>3648</v>
      </c>
      <c r="AO55" s="3" t="s">
        <v>15</v>
      </c>
      <c r="AP55" s="7">
        <f>IF($U$6=FALSE,0,IF(C55=FALSE,0,HLOOKUP(選項!$N$2,D年費表!$AH$24:$BG$41,17)))</f>
        <v>100</v>
      </c>
      <c r="AQ55" s="7"/>
      <c r="AR55" s="7"/>
      <c r="AS55" s="7">
        <f t="shared" si="102"/>
        <v>100</v>
      </c>
      <c r="AT55" s="22">
        <f>AS55*$J$5</f>
        <v>3200</v>
      </c>
      <c r="AU55" s="22">
        <f t="shared" si="103"/>
        <v>6848</v>
      </c>
      <c r="AV55" s="7">
        <f>IF($U$7=FALSE,0,IF(C55=FALSE,0,HLOOKUP(選項!$N$2,D年費表!$AH$46:$BG$63,17)))</f>
        <v>5000</v>
      </c>
      <c r="AW55" s="22">
        <f t="shared" si="104"/>
        <v>5000</v>
      </c>
      <c r="AX55" s="22">
        <f t="shared" si="105"/>
        <v>11848</v>
      </c>
      <c r="AY55" s="15" t="str">
        <f t="shared" si="106"/>
        <v>印度</v>
      </c>
      <c r="AZ55" s="25">
        <f t="shared" si="107"/>
        <v>3648</v>
      </c>
      <c r="BA55" s="25">
        <f t="shared" si="108"/>
        <v>3200</v>
      </c>
      <c r="BB55" s="25">
        <f t="shared" si="109"/>
        <v>5000</v>
      </c>
    </row>
    <row r="56" spans="1:90" ht="19.5" x14ac:dyDescent="0.25">
      <c r="A56" s="5"/>
      <c r="B56" s="5"/>
      <c r="C56" s="5"/>
      <c r="D56" s="5"/>
      <c r="E56" s="5"/>
      <c r="F56" s="5"/>
      <c r="G56" s="5"/>
      <c r="H56" s="5"/>
      <c r="I56" s="8" t="s">
        <v>45</v>
      </c>
      <c r="J56" s="11">
        <f>SUM(J40:J55)</f>
        <v>3479</v>
      </c>
      <c r="K56" s="5"/>
      <c r="L56" s="5"/>
      <c r="M56" s="5"/>
      <c r="N56" s="5"/>
      <c r="O56" s="5"/>
      <c r="P56" s="5"/>
      <c r="Q56" s="5"/>
      <c r="R56" s="8" t="s">
        <v>45</v>
      </c>
      <c r="S56" s="11">
        <f>SUM(S40:S55)</f>
        <v>285065</v>
      </c>
      <c r="T56" s="11">
        <f>SUM(T40:T55)</f>
        <v>288544</v>
      </c>
      <c r="U56" s="5"/>
      <c r="V56" s="5"/>
      <c r="W56" s="5"/>
      <c r="X56" s="5"/>
      <c r="Y56" s="5"/>
      <c r="Z56" s="11">
        <f>SUM(Z40:Z55)</f>
        <v>270000</v>
      </c>
      <c r="AA56" s="11">
        <f>SUM(AA40:AA55)</f>
        <v>558544</v>
      </c>
      <c r="AB56" s="3"/>
      <c r="AC56" s="19">
        <f>SUM(AC40:AC55)</f>
        <v>3479</v>
      </c>
      <c r="AD56" s="19">
        <f>SUM(AD40:AD55)</f>
        <v>285065</v>
      </c>
      <c r="AE56" s="19">
        <f>SUM(AE40:AE55)</f>
        <v>270000</v>
      </c>
      <c r="AG56" s="15"/>
      <c r="AH56" s="12"/>
      <c r="AI56" s="3"/>
      <c r="AJ56" s="7"/>
      <c r="AK56" s="7"/>
      <c r="AL56" s="7"/>
      <c r="AM56" s="8" t="s">
        <v>45</v>
      </c>
      <c r="AN56" s="20">
        <f>SUM(AN40:AN55)</f>
        <v>437934.77</v>
      </c>
      <c r="AO56" s="3"/>
      <c r="AP56" s="7"/>
      <c r="AQ56" s="7"/>
      <c r="AR56" s="7"/>
      <c r="AS56" s="8" t="s">
        <v>45</v>
      </c>
      <c r="AT56" s="20">
        <f>SUM(AT40:AT55)</f>
        <v>296642.5</v>
      </c>
      <c r="AU56" s="20">
        <f>SUM(AU40:AU55)</f>
        <v>734577.27</v>
      </c>
      <c r="AV56" s="11">
        <f>SUM(AV40:AV55)</f>
        <v>408000</v>
      </c>
      <c r="AW56" s="20">
        <f>SUM(AW40:AW55)</f>
        <v>408000</v>
      </c>
      <c r="AX56" s="20">
        <f>SUM(AX40:AX55)</f>
        <v>1142577.27</v>
      </c>
      <c r="AY56" s="26"/>
      <c r="AZ56" s="19">
        <f>SUM(AZ40:AZ55)</f>
        <v>437934.77</v>
      </c>
      <c r="BA56" s="19">
        <f>SUM(BA40:BA55)</f>
        <v>296642.5</v>
      </c>
      <c r="BB56" s="19">
        <f>SUM(BB40:BB55)</f>
        <v>408000</v>
      </c>
    </row>
    <row r="57" spans="1:90" ht="19.5" x14ac:dyDescent="0.25">
      <c r="I57" s="74"/>
      <c r="J57" s="75"/>
      <c r="R57" s="74"/>
      <c r="S57" s="75"/>
      <c r="T57" s="75"/>
      <c r="Z57" s="75"/>
      <c r="AA57" s="75"/>
      <c r="AB57" s="77"/>
      <c r="AC57" s="83"/>
      <c r="AD57" s="83"/>
      <c r="AE57" s="83"/>
      <c r="AG57" s="84"/>
      <c r="AH57" s="85"/>
      <c r="AI57" s="77"/>
      <c r="AJ57" s="77" t="s">
        <v>282</v>
      </c>
      <c r="AM57" s="74"/>
      <c r="AN57" s="75"/>
      <c r="AP57" s="77" t="s">
        <v>282</v>
      </c>
      <c r="AS57" s="74"/>
      <c r="AT57" s="75"/>
      <c r="AU57" s="75"/>
      <c r="AV57" s="77" t="s">
        <v>282</v>
      </c>
      <c r="AW57" s="75"/>
      <c r="AX57" s="86"/>
      <c r="AY57" s="87"/>
      <c r="AZ57" s="83"/>
      <c r="BA57" s="83"/>
      <c r="BB57" s="83"/>
    </row>
    <row r="58" spans="1:90" ht="19.5" x14ac:dyDescent="0.25">
      <c r="I58" s="74"/>
      <c r="J58" s="75"/>
      <c r="R58" s="74"/>
      <c r="S58" s="75"/>
      <c r="T58" s="75"/>
      <c r="Z58" s="75"/>
      <c r="AA58" s="75"/>
      <c r="AB58" s="77"/>
      <c r="AC58" s="83"/>
      <c r="AD58" s="83"/>
      <c r="AE58" s="83"/>
      <c r="AG58" s="84"/>
      <c r="AH58" s="85"/>
      <c r="AI58" s="77"/>
      <c r="AJ58" s="132" t="s">
        <v>281</v>
      </c>
      <c r="AM58" s="74"/>
      <c r="AN58" s="75"/>
      <c r="AS58" s="74"/>
      <c r="AT58" s="75"/>
      <c r="AU58" s="75"/>
      <c r="AW58" s="75"/>
      <c r="AX58" s="86"/>
      <c r="AY58" s="87"/>
      <c r="AZ58" s="83"/>
      <c r="BA58" s="83"/>
      <c r="BB58" s="83"/>
    </row>
    <row r="59" spans="1:90" ht="19.5" x14ac:dyDescent="0.25">
      <c r="I59" s="74"/>
      <c r="J59" s="75"/>
      <c r="R59" s="74"/>
      <c r="S59" s="75"/>
      <c r="T59" s="75"/>
      <c r="Z59" s="75"/>
      <c r="AA59" s="75"/>
      <c r="AB59" s="77"/>
      <c r="AC59" s="83"/>
      <c r="AD59" s="83"/>
      <c r="AE59" s="83"/>
      <c r="AG59" s="84"/>
      <c r="AH59" s="85"/>
      <c r="AI59" s="77"/>
      <c r="AJ59" s="76"/>
      <c r="AK59" s="76"/>
      <c r="AL59" s="76"/>
      <c r="AM59" s="74"/>
      <c r="AN59" s="86"/>
      <c r="AO59" s="77"/>
      <c r="AP59" s="76"/>
      <c r="AQ59" s="76"/>
      <c r="AR59" s="76"/>
      <c r="AS59" s="74"/>
      <c r="AT59" s="86"/>
      <c r="AU59" s="86"/>
      <c r="AV59" s="75"/>
      <c r="AW59" s="86"/>
      <c r="AX59" s="86"/>
      <c r="AY59" s="87"/>
      <c r="AZ59" s="83"/>
      <c r="BA59" s="83"/>
      <c r="BB59" s="83"/>
    </row>
    <row r="60" spans="1:90" x14ac:dyDescent="0.25">
      <c r="A60" s="9" t="s">
        <v>42</v>
      </c>
    </row>
    <row r="61" spans="1:90" s="47" customFormat="1" x14ac:dyDescent="0.25">
      <c r="A61" s="44" t="s">
        <v>98</v>
      </c>
      <c r="B61" s="48"/>
      <c r="C61" s="48"/>
      <c r="D61" s="48"/>
      <c r="E61" s="48"/>
      <c r="F61" s="48"/>
      <c r="G61" s="48"/>
      <c r="H61" s="48"/>
      <c r="I61" s="48"/>
      <c r="J61" s="48"/>
      <c r="K61" s="48"/>
      <c r="L61" s="48"/>
      <c r="M61" s="48"/>
      <c r="N61" s="40"/>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row>
    <row r="62" spans="1:90" s="47" customFormat="1" x14ac:dyDescent="0.25">
      <c r="A62" s="50" t="s">
        <v>97</v>
      </c>
      <c r="B62" s="48"/>
      <c r="C62" s="48"/>
      <c r="D62" s="48"/>
      <c r="E62" s="48"/>
      <c r="F62" s="48"/>
      <c r="G62" s="48"/>
      <c r="H62" s="48"/>
      <c r="I62" s="48"/>
      <c r="J62" s="48"/>
      <c r="K62" s="48"/>
      <c r="L62" s="48"/>
      <c r="M62" s="48"/>
      <c r="N62" s="40"/>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row>
    <row r="63" spans="1:90" s="47" customFormat="1" ht="15.75" x14ac:dyDescent="0.25">
      <c r="A63" s="40" t="s">
        <v>95</v>
      </c>
      <c r="B63" s="48"/>
      <c r="C63" s="48"/>
      <c r="D63" s="48"/>
      <c r="E63" s="48"/>
      <c r="F63" s="48"/>
      <c r="G63" s="48"/>
      <c r="H63" s="48"/>
      <c r="I63" s="48"/>
      <c r="J63" s="48"/>
      <c r="K63" s="48"/>
      <c r="L63" s="48"/>
      <c r="M63" s="48"/>
      <c r="N63" s="40"/>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row>
    <row r="64" spans="1:90" s="47" customFormat="1" x14ac:dyDescent="0.25">
      <c r="A64" s="50" t="s">
        <v>99</v>
      </c>
      <c r="B64" s="48"/>
      <c r="C64" s="48"/>
      <c r="D64" s="48"/>
      <c r="E64" s="48"/>
      <c r="F64" s="48"/>
      <c r="G64" s="48"/>
      <c r="H64" s="48"/>
      <c r="I64" s="48"/>
      <c r="J64" s="48"/>
      <c r="K64" s="48"/>
      <c r="L64" s="48"/>
      <c r="M64" s="48"/>
      <c r="N64" s="40"/>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row>
    <row r="65" spans="1:90" s="47" customFormat="1" x14ac:dyDescent="0.25">
      <c r="A65" s="40" t="s">
        <v>94</v>
      </c>
      <c r="B65" s="48"/>
      <c r="C65" s="48"/>
      <c r="D65" s="48"/>
      <c r="E65" s="48"/>
      <c r="F65" s="48"/>
      <c r="G65" s="48"/>
      <c r="H65" s="48"/>
      <c r="I65" s="48"/>
      <c r="J65" s="48"/>
      <c r="K65" s="48"/>
      <c r="L65" s="48"/>
      <c r="M65" s="48"/>
      <c r="N65" s="40"/>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row>
    <row r="66" spans="1:90" s="47" customFormat="1" x14ac:dyDescent="0.25">
      <c r="A66" s="40" t="s">
        <v>102</v>
      </c>
      <c r="B66" s="48"/>
      <c r="C66" s="48"/>
      <c r="D66" s="48"/>
      <c r="E66" s="48"/>
      <c r="F66" s="48"/>
      <c r="G66" s="48"/>
      <c r="H66" s="48"/>
      <c r="I66" s="48"/>
      <c r="J66" s="48"/>
      <c r="K66" s="48"/>
      <c r="L66" s="48"/>
      <c r="M66" s="48"/>
      <c r="N66" s="40"/>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row>
    <row r="67" spans="1:90" s="47" customFormat="1" x14ac:dyDescent="0.25">
      <c r="A67" s="40" t="s">
        <v>100</v>
      </c>
      <c r="B67" s="48"/>
      <c r="C67" s="48"/>
      <c r="D67" s="48"/>
      <c r="E67" s="48"/>
      <c r="F67" s="48"/>
      <c r="G67" s="48"/>
      <c r="H67" s="48"/>
      <c r="I67" s="48"/>
      <c r="J67" s="48"/>
      <c r="K67" s="48"/>
      <c r="L67" s="48"/>
      <c r="M67" s="48"/>
      <c r="N67" s="40"/>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row>
    <row r="68" spans="1:90" s="47" customFormat="1" x14ac:dyDescent="0.25">
      <c r="A68" s="40" t="s">
        <v>106</v>
      </c>
      <c r="B68" s="48"/>
      <c r="C68" s="48"/>
      <c r="D68" s="48"/>
      <c r="E68" s="48"/>
      <c r="F68" s="48"/>
      <c r="G68" s="48"/>
      <c r="H68" s="48"/>
      <c r="I68" s="48"/>
      <c r="J68" s="48"/>
      <c r="K68" s="48"/>
      <c r="L68" s="48"/>
      <c r="M68" s="48"/>
      <c r="N68" s="40"/>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row>
    <row r="69" spans="1:90" s="47" customFormat="1" ht="15.75" x14ac:dyDescent="0.25">
      <c r="A69" s="40" t="s">
        <v>108</v>
      </c>
      <c r="B69" s="48"/>
      <c r="C69" s="48"/>
      <c r="D69" s="48"/>
      <c r="E69" s="48"/>
      <c r="F69" s="48"/>
      <c r="G69" s="48"/>
      <c r="H69" s="48"/>
      <c r="I69" s="48"/>
      <c r="J69" s="48"/>
      <c r="K69" s="48"/>
      <c r="L69" s="48"/>
      <c r="M69" s="48"/>
      <c r="N69" s="40"/>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row>
    <row r="70" spans="1:90" s="47" customFormat="1" ht="15.75" x14ac:dyDescent="0.25">
      <c r="A70" s="40" t="s">
        <v>109</v>
      </c>
      <c r="B70" s="48"/>
      <c r="C70" s="48"/>
      <c r="D70" s="48"/>
      <c r="E70" s="48"/>
      <c r="F70" s="48"/>
      <c r="G70" s="48"/>
      <c r="H70" s="48"/>
      <c r="I70" s="48"/>
      <c r="J70" s="48"/>
      <c r="K70" s="48"/>
      <c r="L70" s="48"/>
      <c r="M70" s="48"/>
      <c r="N70" s="40"/>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row>
    <row r="71" spans="1:90" s="47" customFormat="1" ht="15.75" x14ac:dyDescent="0.25">
      <c r="A71" s="49" t="s">
        <v>110</v>
      </c>
      <c r="B71" s="48"/>
      <c r="C71" s="48"/>
      <c r="D71" s="48"/>
      <c r="E71" s="48"/>
      <c r="F71" s="48"/>
      <c r="G71" s="48"/>
      <c r="H71" s="48"/>
      <c r="I71" s="48"/>
      <c r="J71" s="48"/>
      <c r="K71" s="48"/>
      <c r="L71" s="48"/>
      <c r="M71" s="48"/>
      <c r="N71" s="40"/>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row>
    <row r="72" spans="1:90" s="34" customFormat="1" x14ac:dyDescent="0.25">
      <c r="A72" s="49" t="s">
        <v>101</v>
      </c>
      <c r="B72" s="35"/>
      <c r="C72" s="45"/>
      <c r="D72" s="35"/>
      <c r="E72" s="35"/>
      <c r="F72" s="35"/>
      <c r="G72" s="35"/>
      <c r="H72" s="35"/>
      <c r="I72" s="35"/>
      <c r="J72" s="35"/>
      <c r="K72" s="35"/>
      <c r="L72" s="35"/>
      <c r="M72" s="35"/>
      <c r="N72" s="32"/>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row>
    <row r="73" spans="1:90" s="34" customFormat="1" x14ac:dyDescent="0.25">
      <c r="A73" s="49" t="s">
        <v>93</v>
      </c>
      <c r="B73" s="35"/>
      <c r="C73" s="45"/>
      <c r="D73" s="35"/>
      <c r="E73" s="35"/>
      <c r="F73" s="35"/>
      <c r="G73" s="35"/>
      <c r="H73" s="35"/>
      <c r="I73" s="35"/>
      <c r="J73" s="35"/>
      <c r="K73" s="35"/>
      <c r="L73" s="35"/>
      <c r="M73" s="35"/>
      <c r="N73" s="32"/>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row>
    <row r="82" spans="1:8" x14ac:dyDescent="0.25">
      <c r="A82" s="1"/>
      <c r="D82" s="1"/>
      <c r="E82" s="1"/>
      <c r="F82" s="1"/>
      <c r="G82" s="1"/>
      <c r="H82" s="1"/>
    </row>
  </sheetData>
  <mergeCells count="77">
    <mergeCell ref="BA38:BA39"/>
    <mergeCell ref="BB38:BB39"/>
    <mergeCell ref="AO38:AT38"/>
    <mergeCell ref="AW38:AW39"/>
    <mergeCell ref="AX38:AX39"/>
    <mergeCell ref="AY38:AY39"/>
    <mergeCell ref="AZ38:AZ39"/>
    <mergeCell ref="AD38:AD39"/>
    <mergeCell ref="AE38:AE39"/>
    <mergeCell ref="AG38:AG39"/>
    <mergeCell ref="AH38:AH39"/>
    <mergeCell ref="AI38:AN38"/>
    <mergeCell ref="U38:Y38"/>
    <mergeCell ref="Z38:Z39"/>
    <mergeCell ref="AA38:AA39"/>
    <mergeCell ref="AB38:AB39"/>
    <mergeCell ref="AC38:AC39"/>
    <mergeCell ref="A38:A39"/>
    <mergeCell ref="B38:B39"/>
    <mergeCell ref="C38:C39"/>
    <mergeCell ref="D38:J38"/>
    <mergeCell ref="K38:S38"/>
    <mergeCell ref="BO13:BP13"/>
    <mergeCell ref="BR13:BU13"/>
    <mergeCell ref="AZ37:BB37"/>
    <mergeCell ref="BE14:BE15"/>
    <mergeCell ref="BG14:BG15"/>
    <mergeCell ref="BF14:BF15"/>
    <mergeCell ref="BH14:BH15"/>
    <mergeCell ref="BI14:BI15"/>
    <mergeCell ref="BJ14:BJ15"/>
    <mergeCell ref="BK14:BK15"/>
    <mergeCell ref="BL14:BL15"/>
    <mergeCell ref="BM14:BM15"/>
    <mergeCell ref="BD13:BM13"/>
    <mergeCell ref="A37:AA37"/>
    <mergeCell ref="AC37:AE37"/>
    <mergeCell ref="AG37:AY37"/>
    <mergeCell ref="BU14:BU15"/>
    <mergeCell ref="BO14:BO15"/>
    <mergeCell ref="BP14:BP15"/>
    <mergeCell ref="BR14:BR15"/>
    <mergeCell ref="BS14:BS15"/>
    <mergeCell ref="BT14:BT15"/>
    <mergeCell ref="C14:C15"/>
    <mergeCell ref="Z14:Z15"/>
    <mergeCell ref="AA14:AA15"/>
    <mergeCell ref="AB14:AB15"/>
    <mergeCell ref="AZ14:AZ15"/>
    <mergeCell ref="BA14:BA15"/>
    <mergeCell ref="BD14:BD15"/>
    <mergeCell ref="A4:B4"/>
    <mergeCell ref="A14:A15"/>
    <mergeCell ref="B14:B15"/>
    <mergeCell ref="U14:Y14"/>
    <mergeCell ref="D14:J14"/>
    <mergeCell ref="K14:S14"/>
    <mergeCell ref="I4:L4"/>
    <mergeCell ref="T4:U4"/>
    <mergeCell ref="A7:A8"/>
    <mergeCell ref="B7:B8"/>
    <mergeCell ref="R4:S4"/>
    <mergeCell ref="A13:AA13"/>
    <mergeCell ref="AC13:AE13"/>
    <mergeCell ref="AZ13:BB13"/>
    <mergeCell ref="BB14:BB15"/>
    <mergeCell ref="AG13:AY13"/>
    <mergeCell ref="AC14:AC15"/>
    <mergeCell ref="AD14:AD15"/>
    <mergeCell ref="AE14:AE15"/>
    <mergeCell ref="AG14:AG15"/>
    <mergeCell ref="AH14:AH15"/>
    <mergeCell ref="AI14:AN14"/>
    <mergeCell ref="AO14:AT14"/>
    <mergeCell ref="AW14:AW15"/>
    <mergeCell ref="AX14:AX15"/>
    <mergeCell ref="AY14:AY15"/>
  </mergeCells>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1</xdr:col>
                    <xdr:colOff>57150</xdr:colOff>
                    <xdr:row>6</xdr:row>
                    <xdr:rowOff>57150</xdr:rowOff>
                  </from>
                  <to>
                    <xdr:col>2</xdr:col>
                    <xdr:colOff>19050</xdr:colOff>
                    <xdr:row>6</xdr:row>
                    <xdr:rowOff>190500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1</xdr:col>
                    <xdr:colOff>57150</xdr:colOff>
                    <xdr:row>7</xdr:row>
                    <xdr:rowOff>38100</xdr:rowOff>
                  </from>
                  <to>
                    <xdr:col>2</xdr:col>
                    <xdr:colOff>19050</xdr:colOff>
                    <xdr:row>7</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7080-BC4A-45E9-B072-04232AA964DB}">
  <sheetPr codeName="工作表5"/>
  <dimension ref="A1:BG63"/>
  <sheetViews>
    <sheetView topLeftCell="AN1" workbookViewId="0">
      <selection activeCell="B7" sqref="B7:B8"/>
    </sheetView>
  </sheetViews>
  <sheetFormatPr defaultRowHeight="16.5" x14ac:dyDescent="0.25"/>
  <cols>
    <col min="5" max="7" width="10" bestFit="1" customWidth="1"/>
    <col min="8" max="8" width="11.125" bestFit="1" customWidth="1"/>
    <col min="9" max="9" width="12.75" bestFit="1" customWidth="1"/>
    <col min="10" max="13" width="11.125" bestFit="1" customWidth="1"/>
    <col min="14" max="14" width="12.75" bestFit="1" customWidth="1"/>
    <col min="15" max="23" width="11.125" bestFit="1" customWidth="1"/>
    <col min="24" max="24" width="10" bestFit="1" customWidth="1"/>
    <col min="29" max="29" width="11.125" bestFit="1" customWidth="1"/>
    <col min="35" max="35" width="10" bestFit="1" customWidth="1"/>
    <col min="36" max="42" width="11.125" bestFit="1" customWidth="1"/>
    <col min="43" max="50" width="12.25" bestFit="1" customWidth="1"/>
    <col min="51" max="59" width="11.125" bestFit="1" customWidth="1"/>
  </cols>
  <sheetData>
    <row r="1" spans="1:59" s="72" customFormat="1" x14ac:dyDescent="0.25">
      <c r="A1" s="149" t="s">
        <v>169</v>
      </c>
      <c r="B1" s="150"/>
      <c r="C1" s="151"/>
      <c r="D1" s="73" t="s">
        <v>170</v>
      </c>
      <c r="E1" s="70"/>
      <c r="F1" s="70"/>
      <c r="G1" s="70"/>
      <c r="H1" s="70"/>
      <c r="I1" s="70"/>
      <c r="J1" s="70"/>
      <c r="K1" s="70"/>
      <c r="L1" s="70"/>
      <c r="M1" s="70"/>
      <c r="N1" s="70"/>
      <c r="O1" s="70"/>
      <c r="P1" s="70"/>
      <c r="Q1" s="70"/>
      <c r="R1" s="70"/>
      <c r="S1" s="70"/>
      <c r="T1" s="70"/>
      <c r="U1" s="70"/>
      <c r="V1" s="70"/>
      <c r="W1" s="70"/>
      <c r="X1" s="70"/>
      <c r="Y1" s="70"/>
      <c r="Z1" s="70"/>
      <c r="AA1" s="70"/>
      <c r="AB1" s="70"/>
      <c r="AC1" s="70"/>
      <c r="AD1" s="70"/>
      <c r="AE1" s="149" t="s">
        <v>171</v>
      </c>
      <c r="AF1" s="150"/>
      <c r="AG1" s="151"/>
      <c r="AH1" s="73" t="s">
        <v>168</v>
      </c>
      <c r="AI1" s="70"/>
      <c r="AJ1" s="70"/>
      <c r="AK1" s="70"/>
      <c r="AL1" s="70"/>
      <c r="AM1" s="70"/>
      <c r="AN1" s="70"/>
      <c r="AO1" s="70"/>
      <c r="AP1" s="70"/>
      <c r="AQ1" s="70"/>
      <c r="AR1" s="70"/>
      <c r="AS1" s="70"/>
      <c r="AT1" s="70"/>
      <c r="AU1" s="70"/>
      <c r="AV1" s="70"/>
      <c r="AW1" s="70"/>
      <c r="AX1" s="70"/>
      <c r="AY1" s="70"/>
      <c r="AZ1" s="70"/>
      <c r="BA1" s="70"/>
      <c r="BB1" s="70"/>
      <c r="BC1" s="70"/>
      <c r="BD1" s="70"/>
      <c r="BE1" s="70"/>
      <c r="BF1" s="70"/>
      <c r="BG1" s="70"/>
    </row>
    <row r="2" spans="1:59" x14ac:dyDescent="0.25">
      <c r="A2" s="4" t="s">
        <v>90</v>
      </c>
      <c r="B2" s="4" t="s">
        <v>167</v>
      </c>
      <c r="C2" s="4" t="s">
        <v>12</v>
      </c>
      <c r="D2" s="4">
        <v>1</v>
      </c>
      <c r="E2" s="4">
        <v>2</v>
      </c>
      <c r="F2" s="4">
        <v>3</v>
      </c>
      <c r="G2" s="4">
        <v>4</v>
      </c>
      <c r="H2" s="4">
        <v>5</v>
      </c>
      <c r="I2" s="4">
        <v>6</v>
      </c>
      <c r="J2" s="4">
        <v>7</v>
      </c>
      <c r="K2" s="4">
        <v>8</v>
      </c>
      <c r="L2" s="4">
        <v>9</v>
      </c>
      <c r="M2" s="4">
        <v>10</v>
      </c>
      <c r="N2" s="4">
        <v>11</v>
      </c>
      <c r="O2" s="4">
        <v>12</v>
      </c>
      <c r="P2" s="4">
        <v>13</v>
      </c>
      <c r="Q2" s="4">
        <v>14</v>
      </c>
      <c r="R2" s="4">
        <v>15</v>
      </c>
      <c r="S2" s="4">
        <v>16</v>
      </c>
      <c r="T2" s="4">
        <v>17</v>
      </c>
      <c r="U2" s="4">
        <v>18</v>
      </c>
      <c r="V2" s="4">
        <v>19</v>
      </c>
      <c r="W2" s="4">
        <v>20</v>
      </c>
      <c r="X2" s="4">
        <v>21</v>
      </c>
      <c r="Y2" s="4">
        <v>22</v>
      </c>
      <c r="Z2" s="4">
        <v>23</v>
      </c>
      <c r="AA2" s="4">
        <v>24</v>
      </c>
      <c r="AB2" s="4">
        <v>25</v>
      </c>
      <c r="AC2" s="4" t="s">
        <v>166</v>
      </c>
      <c r="AD2" s="4"/>
      <c r="AE2" s="4" t="s">
        <v>90</v>
      </c>
      <c r="AF2" s="4" t="s">
        <v>167</v>
      </c>
      <c r="AG2" s="4" t="s">
        <v>12</v>
      </c>
      <c r="AH2" s="4">
        <v>1</v>
      </c>
      <c r="AI2" s="4">
        <v>2</v>
      </c>
      <c r="AJ2" s="4">
        <v>3</v>
      </c>
      <c r="AK2" s="4">
        <v>4</v>
      </c>
      <c r="AL2" s="4">
        <v>5</v>
      </c>
      <c r="AM2" s="4">
        <v>6</v>
      </c>
      <c r="AN2" s="4">
        <v>7</v>
      </c>
      <c r="AO2" s="4">
        <v>8</v>
      </c>
      <c r="AP2" s="4">
        <v>9</v>
      </c>
      <c r="AQ2" s="4">
        <v>10</v>
      </c>
      <c r="AR2" s="4">
        <v>11</v>
      </c>
      <c r="AS2" s="4">
        <v>12</v>
      </c>
      <c r="AT2" s="4">
        <v>13</v>
      </c>
      <c r="AU2" s="4">
        <v>14</v>
      </c>
      <c r="AV2" s="4">
        <v>15</v>
      </c>
      <c r="AW2" s="4">
        <v>16</v>
      </c>
      <c r="AX2" s="4">
        <v>17</v>
      </c>
      <c r="AY2" s="4">
        <v>18</v>
      </c>
      <c r="AZ2" s="4">
        <v>19</v>
      </c>
      <c r="BA2" s="4">
        <v>20</v>
      </c>
      <c r="BB2" s="4">
        <v>21</v>
      </c>
      <c r="BC2" s="4">
        <v>22</v>
      </c>
      <c r="BD2" s="4">
        <v>23</v>
      </c>
      <c r="BE2" s="4">
        <v>24</v>
      </c>
      <c r="BF2" s="4">
        <v>25</v>
      </c>
      <c r="BG2" s="4" t="s">
        <v>191</v>
      </c>
    </row>
    <row r="3" spans="1:59" x14ac:dyDescent="0.25">
      <c r="A3" s="81" t="s">
        <v>2</v>
      </c>
      <c r="B3" s="82" t="s">
        <v>43</v>
      </c>
      <c r="C3" s="3" t="s">
        <v>13</v>
      </c>
      <c r="D3" s="88"/>
      <c r="E3" s="88">
        <f>IF(設計案成本估算!$B$10="大企業",800,0)*設計案成本估算!$B$5</f>
        <v>0</v>
      </c>
      <c r="F3" s="88">
        <f>IF(設計案成本估算!$B$10="大企業",800,0)*設計案成本估算!$B$5</f>
        <v>0</v>
      </c>
      <c r="G3" s="88">
        <f>IF(設計案成本估算!$B$5&gt;0,IF(設計案成本估算!$B$10="大企業",2000,800)*設計案成本估算!$B$5,0)</f>
        <v>800</v>
      </c>
      <c r="H3" s="88">
        <f>IF(設計案成本估算!$B$5&gt;0,IF(設計案成本估算!$B$10="大企業",2000,800)*設計案成本估算!$B$5,0)</f>
        <v>800</v>
      </c>
      <c r="I3" s="88">
        <f>IF(設計案成本估算!$B$5&gt;0,IF(設計案成本估算!$B$10="大企業",2000,800)*設計案成本估算!$B$5,0)</f>
        <v>800</v>
      </c>
      <c r="J3" s="88">
        <f>IF(設計案成本估算!$B$5&gt;0,IF(設計案成本估算!$B$10="大企業",3000,3000)*設計案成本估算!$B$5,0)</f>
        <v>3000</v>
      </c>
      <c r="K3" s="88">
        <f>IF(設計案成本估算!$B$5&gt;0,IF(設計案成本估算!$B$10="大企業",3000,3000)*設計案成本估算!$B$5,0)</f>
        <v>3000</v>
      </c>
      <c r="L3" s="88">
        <f>IF(設計案成本估算!$B$5&gt;0,IF(設計案成本估算!$B$10="大企業",3000,3000)*設計案成本估算!$B$5,0)</f>
        <v>3000</v>
      </c>
      <c r="M3" s="88">
        <f>IF(設計案成本估算!$B$5&gt;0,IF(設計案成本估算!$B$10="大企業",3000,3000)*設計案成本估算!$B$5,0)</f>
        <v>3000</v>
      </c>
      <c r="N3" s="88">
        <f>IF(設計案成本估算!$B$5&gt;0,IF(設計案成本估算!$B$10="大企業",3000,3000)*設計案成本估算!$B$5,0)</f>
        <v>3000</v>
      </c>
      <c r="O3" s="88">
        <f>IF(設計案成本估算!$B$5&gt;0,IF(設計案成本估算!$B$10="大企業",3000,3000)*設計案成本估算!$B$5,0)</f>
        <v>3000</v>
      </c>
      <c r="P3" s="88">
        <f>IF(設計案成本估算!$B$5&gt;0,IF(設計案成本估算!$B$10="大企業",3000,3000)*設計案成本估算!$B$5,0)</f>
        <v>3000</v>
      </c>
      <c r="Q3" s="88">
        <f>IF(設計案成本估算!$B$5&gt;0,IF(設計案成本估算!$B$10="大企業",3000,3000)*設計案成本估算!$B$5,0)</f>
        <v>3000</v>
      </c>
      <c r="R3" s="88">
        <f>IF(設計案成本估算!$B$5&gt;0,IF(設計案成本估算!$B$10="大企業",3000,3000)*設計案成本估算!$B$5,0)</f>
        <v>3000</v>
      </c>
      <c r="S3" s="88"/>
      <c r="T3" s="88"/>
      <c r="U3" s="88"/>
      <c r="V3" s="88"/>
      <c r="W3" s="88"/>
      <c r="X3" s="88"/>
      <c r="Y3" s="88"/>
      <c r="Z3" s="88"/>
      <c r="AA3" s="88"/>
      <c r="AB3" s="88"/>
      <c r="AC3" s="71">
        <f>SUM(D3:AB3)</f>
        <v>29400</v>
      </c>
      <c r="AD3" s="12"/>
      <c r="AE3" s="81" t="s">
        <v>2</v>
      </c>
      <c r="AF3" s="12" t="str">
        <f>B3</f>
        <v>設計</v>
      </c>
      <c r="AG3" s="15" t="str">
        <f t="shared" ref="AG3:AH18" si="0">C3</f>
        <v>NTD</v>
      </c>
      <c r="AH3" s="12">
        <f>D3</f>
        <v>0</v>
      </c>
      <c r="AI3" s="71">
        <f t="shared" ref="AI3:BF15" si="1">AH3+E3</f>
        <v>0</v>
      </c>
      <c r="AJ3" s="71">
        <f t="shared" si="1"/>
        <v>0</v>
      </c>
      <c r="AK3" s="71">
        <f t="shared" si="1"/>
        <v>800</v>
      </c>
      <c r="AL3" s="71">
        <f t="shared" si="1"/>
        <v>1600</v>
      </c>
      <c r="AM3" s="71">
        <f t="shared" si="1"/>
        <v>2400</v>
      </c>
      <c r="AN3" s="71">
        <f t="shared" si="1"/>
        <v>5400</v>
      </c>
      <c r="AO3" s="71">
        <f t="shared" si="1"/>
        <v>8400</v>
      </c>
      <c r="AP3" s="71">
        <f t="shared" si="1"/>
        <v>11400</v>
      </c>
      <c r="AQ3" s="71">
        <f t="shared" si="1"/>
        <v>14400</v>
      </c>
      <c r="AR3" s="71">
        <f t="shared" si="1"/>
        <v>17400</v>
      </c>
      <c r="AS3" s="71">
        <f t="shared" si="1"/>
        <v>20400</v>
      </c>
      <c r="AT3" s="71">
        <f t="shared" si="1"/>
        <v>23400</v>
      </c>
      <c r="AU3" s="71">
        <f t="shared" si="1"/>
        <v>26400</v>
      </c>
      <c r="AV3" s="71">
        <f t="shared" si="1"/>
        <v>29400</v>
      </c>
      <c r="AW3" s="71">
        <f t="shared" si="1"/>
        <v>29400</v>
      </c>
      <c r="AX3" s="71">
        <f t="shared" si="1"/>
        <v>29400</v>
      </c>
      <c r="AY3" s="71">
        <f t="shared" si="1"/>
        <v>29400</v>
      </c>
      <c r="AZ3" s="71">
        <f t="shared" si="1"/>
        <v>29400</v>
      </c>
      <c r="BA3" s="71">
        <f t="shared" si="1"/>
        <v>29400</v>
      </c>
      <c r="BB3" s="71">
        <f t="shared" si="1"/>
        <v>29400</v>
      </c>
      <c r="BC3" s="71">
        <f t="shared" si="1"/>
        <v>29400</v>
      </c>
      <c r="BD3" s="71">
        <f t="shared" si="1"/>
        <v>29400</v>
      </c>
      <c r="BE3" s="71">
        <f t="shared" si="1"/>
        <v>29400</v>
      </c>
      <c r="BF3" s="71">
        <f t="shared" si="1"/>
        <v>29400</v>
      </c>
      <c r="BG3" s="71">
        <f>BF3</f>
        <v>29400</v>
      </c>
    </row>
    <row r="4" spans="1:59" x14ac:dyDescent="0.25">
      <c r="A4" s="81" t="s">
        <v>3</v>
      </c>
      <c r="B4" s="82" t="s">
        <v>43</v>
      </c>
      <c r="C4" s="3" t="s">
        <v>14</v>
      </c>
      <c r="D4" s="88"/>
      <c r="E4" s="88">
        <f>IF(設計案成本估算!$B$5&gt;0,ROUNDUP(設計案成本估算!$B$5/10,0)*600,0)</f>
        <v>600</v>
      </c>
      <c r="F4" s="88">
        <f>IF(設計案成本估算!$B$5&gt;0,ROUNDUP(設計案成本估算!$B$5/10,0)*600,0)</f>
        <v>600</v>
      </c>
      <c r="G4" s="88">
        <f>IF(設計案成本估算!$B$5&gt;0,ROUNDUP(設計案成本估算!$B$5/10,0)*900,0)</f>
        <v>900</v>
      </c>
      <c r="H4" s="88">
        <f>IF(設計案成本估算!$B$5&gt;0,ROUNDUP(設計案成本估算!$B$5/10,0)*900,0)</f>
        <v>900</v>
      </c>
      <c r="I4" s="88">
        <f>IF(設計案成本估算!$B$5&gt;0,ROUNDUP(設計案成本估算!$B$5/10,0)*1200,0)</f>
        <v>1200</v>
      </c>
      <c r="J4" s="88">
        <f>IF(設計案成本估算!$B$5&gt;0,ROUNDUP(設計案成本估算!$B$5/10,0)*1200,0)</f>
        <v>1200</v>
      </c>
      <c r="K4" s="88">
        <f>IF(設計案成本估算!$B$5&gt;0,ROUNDUP(設計案成本估算!$B$5/10,0)*1200,0)</f>
        <v>1200</v>
      </c>
      <c r="L4" s="88">
        <f>IF(設計案成本估算!$B$5&gt;0,ROUNDUP(設計案成本估算!$B$5/10,0)*2000,0)</f>
        <v>2000</v>
      </c>
      <c r="M4" s="88">
        <f>IF(設計案成本估算!$B$5&gt;0,ROUNDUP(設計案成本估算!$B$5/10,0)*2000,0)</f>
        <v>2000</v>
      </c>
      <c r="N4" s="88">
        <f>IF(設計案成本估算!$B$5&gt;0,ROUNDUP(設計案成本估算!$B$5/10,0)*3000,0)</f>
        <v>3000</v>
      </c>
      <c r="O4" s="88">
        <f>IF(設計案成本估算!$B$5&gt;0,ROUNDUP(設計案成本估算!$B$5/10,0)*3000,0)</f>
        <v>3000</v>
      </c>
      <c r="P4" s="88">
        <f>IF(設計案成本估算!$B$5&gt;0,ROUNDUP(設計案成本估算!$B$5/10,0)*3000,0)</f>
        <v>3000</v>
      </c>
      <c r="Q4" s="88">
        <f>IF(設計案成本估算!$B$5&gt;0,ROUNDUP(設計案成本估算!$B$5/10,0)*3000,0)</f>
        <v>3000</v>
      </c>
      <c r="R4" s="88">
        <f>IF(設計案成本估算!$B$5&gt;0,ROUNDUP(設計案成本估算!$B$5/10,0)*3000,0)</f>
        <v>3000</v>
      </c>
      <c r="S4" s="88"/>
      <c r="T4" s="88"/>
      <c r="U4" s="88"/>
      <c r="V4" s="88"/>
      <c r="W4" s="88"/>
      <c r="X4" s="88"/>
      <c r="Y4" s="88"/>
      <c r="Z4" s="88"/>
      <c r="AA4" s="88"/>
      <c r="AB4" s="88"/>
      <c r="AC4" s="71">
        <f t="shared" ref="AC4:AC19" si="2">SUM(D4:AB4)</f>
        <v>25600</v>
      </c>
      <c r="AD4" s="12"/>
      <c r="AE4" s="81" t="s">
        <v>3</v>
      </c>
      <c r="AF4" s="12" t="str">
        <f t="shared" ref="AF4:AF17" si="3">B4</f>
        <v>設計</v>
      </c>
      <c r="AG4" s="15" t="str">
        <f t="shared" si="0"/>
        <v>CNY</v>
      </c>
      <c r="AH4" s="12">
        <f t="shared" si="0"/>
        <v>0</v>
      </c>
      <c r="AI4" s="71">
        <f t="shared" ref="AI4:AJ17" si="4">AH4+E4</f>
        <v>600</v>
      </c>
      <c r="AJ4" s="71">
        <f t="shared" si="1"/>
        <v>1200</v>
      </c>
      <c r="AK4" s="71">
        <f t="shared" si="1"/>
        <v>2100</v>
      </c>
      <c r="AL4" s="71">
        <f t="shared" si="1"/>
        <v>3000</v>
      </c>
      <c r="AM4" s="71">
        <f t="shared" si="1"/>
        <v>4200</v>
      </c>
      <c r="AN4" s="71">
        <f t="shared" si="1"/>
        <v>5400</v>
      </c>
      <c r="AO4" s="71">
        <f t="shared" si="1"/>
        <v>6600</v>
      </c>
      <c r="AP4" s="71">
        <f t="shared" si="1"/>
        <v>8600</v>
      </c>
      <c r="AQ4" s="71">
        <f t="shared" si="1"/>
        <v>10600</v>
      </c>
      <c r="AR4" s="71">
        <f t="shared" si="1"/>
        <v>13600</v>
      </c>
      <c r="AS4" s="71">
        <f t="shared" si="1"/>
        <v>16600</v>
      </c>
      <c r="AT4" s="71">
        <f t="shared" si="1"/>
        <v>19600</v>
      </c>
      <c r="AU4" s="71">
        <f t="shared" si="1"/>
        <v>22600</v>
      </c>
      <c r="AV4" s="71">
        <f t="shared" si="1"/>
        <v>25600</v>
      </c>
      <c r="AW4" s="71">
        <f t="shared" si="1"/>
        <v>25600</v>
      </c>
      <c r="AX4" s="71">
        <f t="shared" si="1"/>
        <v>25600</v>
      </c>
      <c r="AY4" s="71">
        <f t="shared" si="1"/>
        <v>25600</v>
      </c>
      <c r="AZ4" s="71">
        <f t="shared" si="1"/>
        <v>25600</v>
      </c>
      <c r="BA4" s="71">
        <f t="shared" si="1"/>
        <v>25600</v>
      </c>
      <c r="BB4" s="71">
        <f t="shared" si="1"/>
        <v>25600</v>
      </c>
      <c r="BC4" s="71">
        <f t="shared" si="1"/>
        <v>25600</v>
      </c>
      <c r="BD4" s="71">
        <f t="shared" si="1"/>
        <v>25600</v>
      </c>
      <c r="BE4" s="71">
        <f t="shared" si="1"/>
        <v>25600</v>
      </c>
      <c r="BF4" s="71">
        <f t="shared" si="1"/>
        <v>25600</v>
      </c>
      <c r="BG4" s="71">
        <f t="shared" ref="BG4:BG17" si="5">BF4</f>
        <v>25600</v>
      </c>
    </row>
    <row r="5" spans="1:59" x14ac:dyDescent="0.25">
      <c r="A5" s="3" t="s">
        <v>4</v>
      </c>
      <c r="B5" s="82" t="s">
        <v>43</v>
      </c>
      <c r="C5" s="3" t="s">
        <v>15</v>
      </c>
      <c r="D5" s="88"/>
      <c r="E5" s="88"/>
      <c r="F5" s="88"/>
      <c r="G5" s="88"/>
      <c r="H5" s="88"/>
      <c r="I5" s="88"/>
      <c r="J5" s="88"/>
      <c r="K5" s="88"/>
      <c r="L5" s="88"/>
      <c r="M5" s="88"/>
      <c r="N5" s="88"/>
      <c r="O5" s="88"/>
      <c r="P5" s="88"/>
      <c r="Q5" s="88"/>
      <c r="R5" s="88"/>
      <c r="S5" s="88"/>
      <c r="T5" s="88"/>
      <c r="U5" s="88"/>
      <c r="V5" s="88"/>
      <c r="W5" s="88"/>
      <c r="X5" s="88"/>
      <c r="Y5" s="88"/>
      <c r="Z5" s="88"/>
      <c r="AA5" s="88"/>
      <c r="AB5" s="88"/>
      <c r="AC5" s="71">
        <f t="shared" si="2"/>
        <v>0</v>
      </c>
      <c r="AD5" s="12"/>
      <c r="AE5" s="3" t="s">
        <v>4</v>
      </c>
      <c r="AF5" s="12" t="str">
        <f t="shared" si="3"/>
        <v>設計</v>
      </c>
      <c r="AG5" s="15" t="str">
        <f t="shared" si="0"/>
        <v>USD</v>
      </c>
      <c r="AH5" s="12">
        <f t="shared" si="0"/>
        <v>0</v>
      </c>
      <c r="AI5" s="71">
        <f t="shared" si="4"/>
        <v>0</v>
      </c>
      <c r="AJ5" s="71">
        <f t="shared" si="1"/>
        <v>0</v>
      </c>
      <c r="AK5" s="71">
        <f t="shared" si="1"/>
        <v>0</v>
      </c>
      <c r="AL5" s="71">
        <f t="shared" si="1"/>
        <v>0</v>
      </c>
      <c r="AM5" s="71">
        <f t="shared" si="1"/>
        <v>0</v>
      </c>
      <c r="AN5" s="71">
        <f t="shared" si="1"/>
        <v>0</v>
      </c>
      <c r="AO5" s="71">
        <f t="shared" si="1"/>
        <v>0</v>
      </c>
      <c r="AP5" s="71">
        <f t="shared" si="1"/>
        <v>0</v>
      </c>
      <c r="AQ5" s="71">
        <f t="shared" si="1"/>
        <v>0</v>
      </c>
      <c r="AR5" s="71">
        <f t="shared" si="1"/>
        <v>0</v>
      </c>
      <c r="AS5" s="71">
        <f t="shared" si="1"/>
        <v>0</v>
      </c>
      <c r="AT5" s="71">
        <f t="shared" si="1"/>
        <v>0</v>
      </c>
      <c r="AU5" s="71">
        <f t="shared" si="1"/>
        <v>0</v>
      </c>
      <c r="AV5" s="71">
        <f t="shared" si="1"/>
        <v>0</v>
      </c>
      <c r="AW5" s="71">
        <f t="shared" si="1"/>
        <v>0</v>
      </c>
      <c r="AX5" s="71">
        <f t="shared" si="1"/>
        <v>0</v>
      </c>
      <c r="AY5" s="71">
        <f t="shared" si="1"/>
        <v>0</v>
      </c>
      <c r="AZ5" s="71">
        <f t="shared" si="1"/>
        <v>0</v>
      </c>
      <c r="BA5" s="71">
        <f t="shared" si="1"/>
        <v>0</v>
      </c>
      <c r="BB5" s="71">
        <f t="shared" si="1"/>
        <v>0</v>
      </c>
      <c r="BC5" s="71">
        <f t="shared" si="1"/>
        <v>0</v>
      </c>
      <c r="BD5" s="71">
        <f t="shared" si="1"/>
        <v>0</v>
      </c>
      <c r="BE5" s="71">
        <f t="shared" si="1"/>
        <v>0</v>
      </c>
      <c r="BF5" s="71">
        <f t="shared" si="1"/>
        <v>0</v>
      </c>
      <c r="BG5" s="71">
        <f t="shared" si="5"/>
        <v>0</v>
      </c>
    </row>
    <row r="6" spans="1:59" x14ac:dyDescent="0.25">
      <c r="A6" s="3" t="s">
        <v>107</v>
      </c>
      <c r="B6" s="82" t="s">
        <v>43</v>
      </c>
      <c r="C6" s="3" t="s">
        <v>16</v>
      </c>
      <c r="D6" s="88"/>
      <c r="E6" s="88"/>
      <c r="F6" s="88"/>
      <c r="G6" s="88"/>
      <c r="H6" s="88"/>
      <c r="I6" s="88">
        <f>IF(設計案成本估算!$B$5&gt;0,150*設計案成本估算!$B$5,0)</f>
        <v>150</v>
      </c>
      <c r="J6" s="88"/>
      <c r="K6" s="88"/>
      <c r="L6" s="88"/>
      <c r="M6" s="88"/>
      <c r="N6" s="88">
        <f>IF(設計案成本估算!$B$5&gt;0,250*設計案成本估算!$B$5,0)</f>
        <v>250</v>
      </c>
      <c r="O6" s="88"/>
      <c r="P6" s="88"/>
      <c r="Q6" s="88"/>
      <c r="R6" s="88"/>
      <c r="S6" s="88">
        <f>IF(設計案成本估算!$B$5&gt;0,400*設計案成本估算!$B$5,0)</f>
        <v>400</v>
      </c>
      <c r="T6" s="88"/>
      <c r="U6" s="88"/>
      <c r="V6" s="88"/>
      <c r="W6" s="88"/>
      <c r="X6" s="88">
        <f>IF(設計案成本估算!$B$5&gt;0,700*設計案成本估算!$B$5,0)</f>
        <v>700</v>
      </c>
      <c r="Y6" s="88"/>
      <c r="Z6" s="88"/>
      <c r="AA6" s="88"/>
      <c r="AB6" s="88"/>
      <c r="AC6" s="71">
        <f t="shared" si="2"/>
        <v>1500</v>
      </c>
      <c r="AD6" s="12"/>
      <c r="AE6" s="3" t="s">
        <v>107</v>
      </c>
      <c r="AF6" s="12" t="str">
        <f t="shared" si="3"/>
        <v>設計</v>
      </c>
      <c r="AG6" s="15" t="str">
        <f t="shared" si="0"/>
        <v>EUR</v>
      </c>
      <c r="AH6" s="12">
        <f t="shared" si="0"/>
        <v>0</v>
      </c>
      <c r="AI6" s="71">
        <f t="shared" si="4"/>
        <v>0</v>
      </c>
      <c r="AJ6" s="71">
        <f t="shared" si="1"/>
        <v>0</v>
      </c>
      <c r="AK6" s="71">
        <f t="shared" si="1"/>
        <v>0</v>
      </c>
      <c r="AL6" s="71">
        <f t="shared" si="1"/>
        <v>0</v>
      </c>
      <c r="AM6" s="71">
        <f t="shared" si="1"/>
        <v>150</v>
      </c>
      <c r="AN6" s="71">
        <f t="shared" si="1"/>
        <v>150</v>
      </c>
      <c r="AO6" s="71">
        <f t="shared" si="1"/>
        <v>150</v>
      </c>
      <c r="AP6" s="71">
        <f t="shared" si="1"/>
        <v>150</v>
      </c>
      <c r="AQ6" s="71">
        <f t="shared" si="1"/>
        <v>150</v>
      </c>
      <c r="AR6" s="71">
        <f t="shared" si="1"/>
        <v>400</v>
      </c>
      <c r="AS6" s="71">
        <f t="shared" si="1"/>
        <v>400</v>
      </c>
      <c r="AT6" s="71">
        <f t="shared" si="1"/>
        <v>400</v>
      </c>
      <c r="AU6" s="71">
        <f t="shared" si="1"/>
        <v>400</v>
      </c>
      <c r="AV6" s="71">
        <f t="shared" si="1"/>
        <v>400</v>
      </c>
      <c r="AW6" s="71">
        <f t="shared" si="1"/>
        <v>800</v>
      </c>
      <c r="AX6" s="71">
        <f t="shared" si="1"/>
        <v>800</v>
      </c>
      <c r="AY6" s="71">
        <f t="shared" si="1"/>
        <v>800</v>
      </c>
      <c r="AZ6" s="71">
        <f t="shared" si="1"/>
        <v>800</v>
      </c>
      <c r="BA6" s="71">
        <f t="shared" si="1"/>
        <v>800</v>
      </c>
      <c r="BB6" s="71">
        <f t="shared" si="1"/>
        <v>1500</v>
      </c>
      <c r="BC6" s="71">
        <f t="shared" si="1"/>
        <v>1500</v>
      </c>
      <c r="BD6" s="71">
        <f t="shared" si="1"/>
        <v>1500</v>
      </c>
      <c r="BE6" s="71">
        <f t="shared" si="1"/>
        <v>1500</v>
      </c>
      <c r="BF6" s="71">
        <f t="shared" si="1"/>
        <v>1500</v>
      </c>
      <c r="BG6" s="71">
        <f t="shared" si="5"/>
        <v>1500</v>
      </c>
    </row>
    <row r="7" spans="1:59" x14ac:dyDescent="0.25">
      <c r="A7" s="3" t="s">
        <v>224</v>
      </c>
      <c r="B7" s="82" t="s">
        <v>43</v>
      </c>
      <c r="C7" s="3" t="s">
        <v>16</v>
      </c>
      <c r="D7" s="88"/>
      <c r="E7" s="88"/>
      <c r="F7" s="88"/>
      <c r="G7" s="88"/>
      <c r="H7" s="88"/>
      <c r="I7" s="88">
        <f>IF(設計案成本估算!$B$5&gt;0,90*設計案成本估算!$B$5,0)</f>
        <v>90</v>
      </c>
      <c r="J7" s="88"/>
      <c r="K7" s="88"/>
      <c r="L7" s="88"/>
      <c r="M7" s="88"/>
      <c r="N7" s="88">
        <f>IF(設計案成本估算!$B$5&gt;0,115*設計案成本估算!$B$5,0)</f>
        <v>115</v>
      </c>
      <c r="O7" s="88"/>
      <c r="P7" s="88"/>
      <c r="Q7" s="88"/>
      <c r="R7" s="88"/>
      <c r="S7" s="88">
        <f>IF(設計案成本估算!$B$5&gt;0,140*設計案成本估算!$B$5,0)</f>
        <v>140</v>
      </c>
      <c r="T7" s="88"/>
      <c r="U7" s="88"/>
      <c r="V7" s="88"/>
      <c r="W7" s="88"/>
      <c r="X7" s="88">
        <f>IF(設計案成本估算!$B$5&gt;0,175*設計案成本估算!$B$5,0)</f>
        <v>175</v>
      </c>
      <c r="Y7" s="88"/>
      <c r="Z7" s="88"/>
      <c r="AA7" s="88"/>
      <c r="AB7" s="88"/>
      <c r="AC7" s="71">
        <f>SUM(D7:AB7)</f>
        <v>520</v>
      </c>
      <c r="AD7" s="12"/>
      <c r="AE7" s="3" t="s">
        <v>224</v>
      </c>
      <c r="AF7" s="12" t="str">
        <f>B7</f>
        <v>設計</v>
      </c>
      <c r="AG7" s="15" t="str">
        <f>C7</f>
        <v>EUR</v>
      </c>
      <c r="AH7" s="12">
        <f>D7</f>
        <v>0</v>
      </c>
      <c r="AI7" s="71">
        <f t="shared" ref="AI7:BF7" si="6">AH7+E7</f>
        <v>0</v>
      </c>
      <c r="AJ7" s="71">
        <f t="shared" si="6"/>
        <v>0</v>
      </c>
      <c r="AK7" s="71">
        <f t="shared" si="6"/>
        <v>0</v>
      </c>
      <c r="AL7" s="71">
        <f t="shared" si="6"/>
        <v>0</v>
      </c>
      <c r="AM7" s="71">
        <f t="shared" si="6"/>
        <v>90</v>
      </c>
      <c r="AN7" s="71">
        <f t="shared" si="6"/>
        <v>90</v>
      </c>
      <c r="AO7" s="71">
        <f t="shared" si="6"/>
        <v>90</v>
      </c>
      <c r="AP7" s="71">
        <f t="shared" si="6"/>
        <v>90</v>
      </c>
      <c r="AQ7" s="71">
        <f t="shared" si="6"/>
        <v>90</v>
      </c>
      <c r="AR7" s="71">
        <f t="shared" si="6"/>
        <v>205</v>
      </c>
      <c r="AS7" s="71">
        <f t="shared" si="6"/>
        <v>205</v>
      </c>
      <c r="AT7" s="71">
        <f t="shared" si="6"/>
        <v>205</v>
      </c>
      <c r="AU7" s="71">
        <f t="shared" si="6"/>
        <v>205</v>
      </c>
      <c r="AV7" s="71">
        <f t="shared" si="6"/>
        <v>205</v>
      </c>
      <c r="AW7" s="71">
        <f t="shared" si="6"/>
        <v>345</v>
      </c>
      <c r="AX7" s="71">
        <f t="shared" si="6"/>
        <v>345</v>
      </c>
      <c r="AY7" s="71">
        <f t="shared" si="6"/>
        <v>345</v>
      </c>
      <c r="AZ7" s="71">
        <f t="shared" si="6"/>
        <v>345</v>
      </c>
      <c r="BA7" s="71">
        <f t="shared" si="6"/>
        <v>345</v>
      </c>
      <c r="BB7" s="71">
        <f t="shared" si="6"/>
        <v>520</v>
      </c>
      <c r="BC7" s="71">
        <f t="shared" si="6"/>
        <v>520</v>
      </c>
      <c r="BD7" s="71">
        <f t="shared" si="6"/>
        <v>520</v>
      </c>
      <c r="BE7" s="71">
        <f t="shared" si="6"/>
        <v>520</v>
      </c>
      <c r="BF7" s="71">
        <f t="shared" si="6"/>
        <v>520</v>
      </c>
      <c r="BG7" s="71">
        <f>BF7</f>
        <v>520</v>
      </c>
    </row>
    <row r="8" spans="1:59" x14ac:dyDescent="0.25">
      <c r="A8" s="81" t="s">
        <v>5</v>
      </c>
      <c r="B8" s="82" t="s">
        <v>43</v>
      </c>
      <c r="C8" s="3" t="s">
        <v>17</v>
      </c>
      <c r="D8" s="88"/>
      <c r="E8" s="88"/>
      <c r="F8" s="88"/>
      <c r="G8" s="88">
        <f>IF(設計案成本估算!$B$5&gt;0,16900*設計案成本估算!$B$5,0)</f>
        <v>16900</v>
      </c>
      <c r="H8" s="88">
        <f>IF(設計案成本估算!$B$5&gt;0,16900*設計案成本估算!$B$5,0)</f>
        <v>16900</v>
      </c>
      <c r="I8" s="88">
        <f>IF(設計案成本估算!$B$5&gt;0,16900*設計案成本估算!$B$5,0)</f>
        <v>16900</v>
      </c>
      <c r="J8" s="88">
        <f>IF(設計案成本估算!$B$5&gt;0,16900*設計案成本估算!$B$5,0)</f>
        <v>16900</v>
      </c>
      <c r="K8" s="88">
        <f>IF(設計案成本估算!$B$5&gt;0,16900*設計案成本估算!$B$5,0)</f>
        <v>16900</v>
      </c>
      <c r="L8" s="88">
        <f>IF(設計案成本估算!$B$5&gt;0,16900*設計案成本估算!$B$5,0)</f>
        <v>16900</v>
      </c>
      <c r="M8" s="88">
        <f>IF(設計案成本估算!$B$5&gt;0,16900*設計案成本估算!$B$5,0)</f>
        <v>16900</v>
      </c>
      <c r="N8" s="88">
        <f>IF(設計案成本估算!$B$5&gt;0,16900*設計案成本估算!$B$5,0)</f>
        <v>16900</v>
      </c>
      <c r="O8" s="88">
        <f>IF(設計案成本估算!$B$5&gt;0,16900*設計案成本估算!$B$5,0)</f>
        <v>16900</v>
      </c>
      <c r="P8" s="88">
        <f>IF(設計案成本估算!$B$5&gt;0,16900*設計案成本估算!$B$5,0)</f>
        <v>16900</v>
      </c>
      <c r="Q8" s="88">
        <f>IF(設計案成本估算!$B$5&gt;0,16900*設計案成本估算!$B$5,0)</f>
        <v>16900</v>
      </c>
      <c r="R8" s="88">
        <f>IF(設計案成本估算!$B$5&gt;0,16900*設計案成本估算!$B$5,0)</f>
        <v>16900</v>
      </c>
      <c r="S8" s="88">
        <f>IF(設計案成本估算!$B$5&gt;0,16900*設計案成本估算!$B$5,0)</f>
        <v>16900</v>
      </c>
      <c r="T8" s="88">
        <f>IF(設計案成本估算!$B$5&gt;0,16900*設計案成本估算!$B$5,0)</f>
        <v>16900</v>
      </c>
      <c r="U8" s="88">
        <f>IF(設計案成本估算!$B$5&gt;0,16900*設計案成本估算!$B$5,0)</f>
        <v>16900</v>
      </c>
      <c r="V8" s="88">
        <f>IF(設計案成本估算!$B$5&gt;0,16900*設計案成本估算!$B$5,0)</f>
        <v>16900</v>
      </c>
      <c r="W8" s="88">
        <f>IF(設計案成本估算!$B$5&gt;0,16900*設計案成本估算!$B$5,0)</f>
        <v>16900</v>
      </c>
      <c r="X8" s="88">
        <f>IF(設計案成本估算!$B$5&gt;0,16900*設計案成本估算!$B$5,0)</f>
        <v>16900</v>
      </c>
      <c r="Y8" s="88">
        <f>IF(設計案成本估算!$B$5&gt;0,16900*設計案成本估算!$B$5,0)</f>
        <v>16900</v>
      </c>
      <c r="Z8" s="88">
        <f>IF(設計案成本估算!$B$5&gt;0,16900*設計案成本估算!$B$5,0)</f>
        <v>16900</v>
      </c>
      <c r="AA8" s="88">
        <f>IF(設計案成本估算!$B$5&gt;0,16900*設計案成本估算!$B$5,0)</f>
        <v>16900</v>
      </c>
      <c r="AB8" s="88">
        <f>IF(設計案成本估算!$B$5&gt;0,16900*設計案成本估算!$B$5,0)</f>
        <v>16900</v>
      </c>
      <c r="AC8" s="71">
        <f t="shared" si="2"/>
        <v>371800</v>
      </c>
      <c r="AD8" s="12"/>
      <c r="AE8" s="81" t="s">
        <v>5</v>
      </c>
      <c r="AF8" s="12" t="str">
        <f t="shared" si="3"/>
        <v>設計</v>
      </c>
      <c r="AG8" s="15" t="str">
        <f t="shared" si="0"/>
        <v>JPY</v>
      </c>
      <c r="AH8" s="12">
        <f t="shared" si="0"/>
        <v>0</v>
      </c>
      <c r="AI8" s="71">
        <f t="shared" si="4"/>
        <v>0</v>
      </c>
      <c r="AJ8" s="71">
        <f t="shared" si="1"/>
        <v>0</v>
      </c>
      <c r="AK8" s="71">
        <f t="shared" si="1"/>
        <v>16900</v>
      </c>
      <c r="AL8" s="71">
        <f t="shared" si="1"/>
        <v>33800</v>
      </c>
      <c r="AM8" s="71">
        <f t="shared" si="1"/>
        <v>50700</v>
      </c>
      <c r="AN8" s="71">
        <f t="shared" si="1"/>
        <v>67600</v>
      </c>
      <c r="AO8" s="71">
        <f t="shared" si="1"/>
        <v>84500</v>
      </c>
      <c r="AP8" s="71">
        <f t="shared" si="1"/>
        <v>101400</v>
      </c>
      <c r="AQ8" s="71">
        <f t="shared" si="1"/>
        <v>118300</v>
      </c>
      <c r="AR8" s="71">
        <f t="shared" si="1"/>
        <v>135200</v>
      </c>
      <c r="AS8" s="71">
        <f t="shared" si="1"/>
        <v>152100</v>
      </c>
      <c r="AT8" s="71">
        <f t="shared" si="1"/>
        <v>169000</v>
      </c>
      <c r="AU8" s="71">
        <f t="shared" si="1"/>
        <v>185900</v>
      </c>
      <c r="AV8" s="71">
        <f t="shared" si="1"/>
        <v>202800</v>
      </c>
      <c r="AW8" s="71">
        <f t="shared" si="1"/>
        <v>219700</v>
      </c>
      <c r="AX8" s="71">
        <f t="shared" si="1"/>
        <v>236600</v>
      </c>
      <c r="AY8" s="71">
        <f t="shared" si="1"/>
        <v>253500</v>
      </c>
      <c r="AZ8" s="71">
        <f t="shared" si="1"/>
        <v>270400</v>
      </c>
      <c r="BA8" s="71">
        <f t="shared" si="1"/>
        <v>287300</v>
      </c>
      <c r="BB8" s="71">
        <f t="shared" si="1"/>
        <v>304200</v>
      </c>
      <c r="BC8" s="71">
        <f t="shared" si="1"/>
        <v>321100</v>
      </c>
      <c r="BD8" s="71">
        <f t="shared" si="1"/>
        <v>338000</v>
      </c>
      <c r="BE8" s="71">
        <f t="shared" si="1"/>
        <v>354900</v>
      </c>
      <c r="BF8" s="71">
        <f t="shared" si="1"/>
        <v>371800</v>
      </c>
      <c r="BG8" s="71">
        <f t="shared" si="5"/>
        <v>371800</v>
      </c>
    </row>
    <row r="9" spans="1:59" x14ac:dyDescent="0.25">
      <c r="A9" s="81" t="s">
        <v>6</v>
      </c>
      <c r="B9" s="82" t="s">
        <v>43</v>
      </c>
      <c r="C9" s="3" t="s">
        <v>18</v>
      </c>
      <c r="D9" s="88"/>
      <c r="E9" s="88"/>
      <c r="F9" s="88"/>
      <c r="G9" s="88">
        <f>IF(設計案成本估算!$B$5&gt;0,35000*設計案成本估算!$B$5,0)</f>
        <v>35000</v>
      </c>
      <c r="H9" s="88">
        <f>IF(設計案成本估算!$B$5&gt;0,35000*設計案成本估算!$B$5,0)</f>
        <v>35000</v>
      </c>
      <c r="I9" s="88">
        <f>IF(設計案成本估算!$B$5&gt;0,35000*設計案成本估算!$B$5,0)</f>
        <v>35000</v>
      </c>
      <c r="J9" s="88">
        <f>IF(設計案成本估算!$B$5&gt;0,70000*設計案成本估算!$B$5,0)</f>
        <v>70000</v>
      </c>
      <c r="K9" s="88">
        <f>IF(設計案成本估算!$B$5&gt;0,70000*設計案成本估算!$B$5,0)</f>
        <v>70000</v>
      </c>
      <c r="L9" s="88">
        <f>IF(設計案成本估算!$B$5&gt;0,70000*設計案成本估算!$B$5,0)</f>
        <v>70000</v>
      </c>
      <c r="M9" s="88">
        <f>IF(設計案成本估算!$B$5&gt;0,140000*設計案成本估算!$B$5,0)</f>
        <v>140000</v>
      </c>
      <c r="N9" s="88">
        <f>IF(設計案成本估算!$B$5&gt;0,140000*設計案成本估算!$B$5,0)</f>
        <v>140000</v>
      </c>
      <c r="O9" s="88">
        <f>IF(設計案成本估算!$B$5&gt;0,140000*設計案成本估算!$B$5,0)</f>
        <v>140000</v>
      </c>
      <c r="P9" s="88">
        <f>IF(設計案成本估算!$B$5&gt;0,210000*設計案成本估算!$B$5,0)</f>
        <v>210000</v>
      </c>
      <c r="Q9" s="88">
        <f>IF(設計案成本估算!$B$5&gt;0,210000*設計案成本估算!$B$5,0)</f>
        <v>210000</v>
      </c>
      <c r="R9" s="88">
        <f>IF(設計案成本估算!$B$5&gt;0,210000*設計案成本估算!$B$5,0)</f>
        <v>210000</v>
      </c>
      <c r="S9" s="88">
        <f>IF(設計案成本估算!$B$5&gt;0,210000*設計案成本估算!$B$5,0)</f>
        <v>210000</v>
      </c>
      <c r="T9" s="88">
        <f>IF(設計案成本估算!$B$5&gt;0,210000*設計案成本估算!$B$5,0)</f>
        <v>210000</v>
      </c>
      <c r="U9" s="88">
        <f>IF(設計案成本估算!$B$5&gt;0,210000*設計案成本估算!$B$5,0)</f>
        <v>210000</v>
      </c>
      <c r="V9" s="88">
        <f>IF(設計案成本估算!$B$5&gt;0,210000*設計案成本估算!$B$5,0)</f>
        <v>210000</v>
      </c>
      <c r="W9" s="88">
        <f>IF(設計案成本估算!$B$5&gt;0,210000*設計案成本估算!$B$5,0)</f>
        <v>210000</v>
      </c>
      <c r="X9" s="88"/>
      <c r="Y9" s="88"/>
      <c r="Z9" s="88"/>
      <c r="AA9" s="88"/>
      <c r="AB9" s="88"/>
      <c r="AC9" s="71">
        <f t="shared" si="2"/>
        <v>2415000</v>
      </c>
      <c r="AD9" s="12"/>
      <c r="AE9" s="81" t="s">
        <v>6</v>
      </c>
      <c r="AF9" s="12" t="str">
        <f t="shared" si="3"/>
        <v>設計</v>
      </c>
      <c r="AG9" s="15" t="str">
        <f t="shared" si="0"/>
        <v>KRW</v>
      </c>
      <c r="AH9" s="12">
        <f t="shared" si="0"/>
        <v>0</v>
      </c>
      <c r="AI9" s="71">
        <f t="shared" si="4"/>
        <v>0</v>
      </c>
      <c r="AJ9" s="71">
        <f t="shared" si="1"/>
        <v>0</v>
      </c>
      <c r="AK9" s="71">
        <f t="shared" si="1"/>
        <v>35000</v>
      </c>
      <c r="AL9" s="71">
        <f t="shared" si="1"/>
        <v>70000</v>
      </c>
      <c r="AM9" s="71">
        <f t="shared" si="1"/>
        <v>105000</v>
      </c>
      <c r="AN9" s="71">
        <f t="shared" si="1"/>
        <v>175000</v>
      </c>
      <c r="AO9" s="71">
        <f t="shared" si="1"/>
        <v>245000</v>
      </c>
      <c r="AP9" s="71">
        <f t="shared" si="1"/>
        <v>315000</v>
      </c>
      <c r="AQ9" s="71">
        <f t="shared" si="1"/>
        <v>455000</v>
      </c>
      <c r="AR9" s="71">
        <f t="shared" si="1"/>
        <v>595000</v>
      </c>
      <c r="AS9" s="71">
        <f t="shared" si="1"/>
        <v>735000</v>
      </c>
      <c r="AT9" s="71">
        <f t="shared" si="1"/>
        <v>945000</v>
      </c>
      <c r="AU9" s="71">
        <f t="shared" si="1"/>
        <v>1155000</v>
      </c>
      <c r="AV9" s="71">
        <f t="shared" si="1"/>
        <v>1365000</v>
      </c>
      <c r="AW9" s="71">
        <f t="shared" si="1"/>
        <v>1575000</v>
      </c>
      <c r="AX9" s="71">
        <f t="shared" si="1"/>
        <v>1785000</v>
      </c>
      <c r="AY9" s="71">
        <f t="shared" si="1"/>
        <v>1995000</v>
      </c>
      <c r="AZ9" s="71">
        <f t="shared" si="1"/>
        <v>2205000</v>
      </c>
      <c r="BA9" s="71">
        <f t="shared" si="1"/>
        <v>2415000</v>
      </c>
      <c r="BB9" s="71">
        <f t="shared" si="1"/>
        <v>2415000</v>
      </c>
      <c r="BC9" s="71">
        <f t="shared" si="1"/>
        <v>2415000</v>
      </c>
      <c r="BD9" s="71">
        <f t="shared" si="1"/>
        <v>2415000</v>
      </c>
      <c r="BE9" s="71">
        <f t="shared" si="1"/>
        <v>2415000</v>
      </c>
      <c r="BF9" s="71">
        <f t="shared" si="1"/>
        <v>2415000</v>
      </c>
      <c r="BG9" s="71">
        <f t="shared" si="5"/>
        <v>2415000</v>
      </c>
    </row>
    <row r="10" spans="1:59" x14ac:dyDescent="0.25">
      <c r="A10" s="3" t="s">
        <v>35</v>
      </c>
      <c r="B10" s="82" t="s">
        <v>43</v>
      </c>
      <c r="C10" s="3" t="s">
        <v>36</v>
      </c>
      <c r="D10" s="88"/>
      <c r="E10" s="88"/>
      <c r="F10" s="88"/>
      <c r="G10" s="88"/>
      <c r="H10" s="88"/>
      <c r="I10" s="88">
        <f>IF(設計案成本估算!$B$5&gt;0,517.82,0)</f>
        <v>517.82000000000005</v>
      </c>
      <c r="J10" s="88"/>
      <c r="K10" s="88"/>
      <c r="L10" s="88"/>
      <c r="M10" s="88"/>
      <c r="N10" s="88"/>
      <c r="O10" s="88"/>
      <c r="P10" s="88"/>
      <c r="Q10" s="88"/>
      <c r="R10" s="88"/>
      <c r="S10" s="88"/>
      <c r="T10" s="88"/>
      <c r="U10" s="88"/>
      <c r="V10" s="88"/>
      <c r="W10" s="88"/>
      <c r="X10" s="88"/>
      <c r="Y10" s="88"/>
      <c r="Z10" s="88"/>
      <c r="AA10" s="88"/>
      <c r="AB10" s="88"/>
      <c r="AC10" s="71">
        <f>SUM(D10:AB10)</f>
        <v>517.82000000000005</v>
      </c>
      <c r="AD10" s="12"/>
      <c r="AE10" s="3" t="s">
        <v>35</v>
      </c>
      <c r="AF10" s="12" t="str">
        <f>B10</f>
        <v>設計</v>
      </c>
      <c r="AG10" s="15" t="str">
        <f>C10</f>
        <v>CAD</v>
      </c>
      <c r="AH10" s="12">
        <f>D10</f>
        <v>0</v>
      </c>
      <c r="AI10" s="71">
        <f t="shared" ref="AI10:BF10" si="7">AH10+E10</f>
        <v>0</v>
      </c>
      <c r="AJ10" s="71">
        <f t="shared" si="7"/>
        <v>0</v>
      </c>
      <c r="AK10" s="71">
        <f t="shared" si="7"/>
        <v>0</v>
      </c>
      <c r="AL10" s="71">
        <f t="shared" si="7"/>
        <v>0</v>
      </c>
      <c r="AM10" s="71">
        <f t="shared" si="7"/>
        <v>517.82000000000005</v>
      </c>
      <c r="AN10" s="71">
        <f t="shared" si="7"/>
        <v>517.82000000000005</v>
      </c>
      <c r="AO10" s="71">
        <f t="shared" si="7"/>
        <v>517.82000000000005</v>
      </c>
      <c r="AP10" s="71">
        <f t="shared" si="7"/>
        <v>517.82000000000005</v>
      </c>
      <c r="AQ10" s="71">
        <f t="shared" si="7"/>
        <v>517.82000000000005</v>
      </c>
      <c r="AR10" s="71">
        <f t="shared" si="7"/>
        <v>517.82000000000005</v>
      </c>
      <c r="AS10" s="71">
        <f t="shared" si="7"/>
        <v>517.82000000000005</v>
      </c>
      <c r="AT10" s="71">
        <f t="shared" si="7"/>
        <v>517.82000000000005</v>
      </c>
      <c r="AU10" s="71">
        <f t="shared" si="7"/>
        <v>517.82000000000005</v>
      </c>
      <c r="AV10" s="71">
        <f t="shared" si="7"/>
        <v>517.82000000000005</v>
      </c>
      <c r="AW10" s="71">
        <f t="shared" si="7"/>
        <v>517.82000000000005</v>
      </c>
      <c r="AX10" s="71">
        <f t="shared" si="7"/>
        <v>517.82000000000005</v>
      </c>
      <c r="AY10" s="71">
        <f t="shared" si="7"/>
        <v>517.82000000000005</v>
      </c>
      <c r="AZ10" s="71">
        <f t="shared" si="7"/>
        <v>517.82000000000005</v>
      </c>
      <c r="BA10" s="71">
        <f t="shared" si="7"/>
        <v>517.82000000000005</v>
      </c>
      <c r="BB10" s="71">
        <f t="shared" si="7"/>
        <v>517.82000000000005</v>
      </c>
      <c r="BC10" s="71">
        <f t="shared" si="7"/>
        <v>517.82000000000005</v>
      </c>
      <c r="BD10" s="71">
        <f t="shared" si="7"/>
        <v>517.82000000000005</v>
      </c>
      <c r="BE10" s="71">
        <f t="shared" si="7"/>
        <v>517.82000000000005</v>
      </c>
      <c r="BF10" s="71">
        <f t="shared" si="7"/>
        <v>517.82000000000005</v>
      </c>
      <c r="BG10" s="71">
        <f>BF10</f>
        <v>517.82000000000005</v>
      </c>
    </row>
    <row r="11" spans="1:59" x14ac:dyDescent="0.25">
      <c r="A11" s="146" t="s">
        <v>315</v>
      </c>
      <c r="B11" s="82" t="s">
        <v>43</v>
      </c>
      <c r="C11" s="3" t="s">
        <v>317</v>
      </c>
      <c r="D11" s="88"/>
      <c r="E11" s="88"/>
      <c r="F11" s="88"/>
      <c r="G11" s="88"/>
      <c r="H11" s="88"/>
      <c r="I11" s="88">
        <f>IF(設計案成本估算!$B$5&gt;0,400*設計案成本估算!$B$5,0)</f>
        <v>400</v>
      </c>
      <c r="J11" s="88"/>
      <c r="K11" s="88"/>
      <c r="L11" s="88"/>
      <c r="M11" s="88"/>
      <c r="N11" s="88"/>
      <c r="O11" s="88"/>
      <c r="P11" s="88"/>
      <c r="Q11" s="88"/>
      <c r="R11" s="88"/>
      <c r="S11" s="88"/>
      <c r="T11" s="88"/>
      <c r="U11" s="88"/>
      <c r="V11" s="88"/>
      <c r="W11" s="88"/>
      <c r="X11" s="88"/>
      <c r="Y11" s="88"/>
      <c r="Z11" s="88"/>
      <c r="AA11" s="88"/>
      <c r="AB11" s="88"/>
      <c r="AC11" s="71">
        <f>SUM(D11:AB11)</f>
        <v>400</v>
      </c>
      <c r="AD11" s="12"/>
      <c r="AE11" s="81" t="s">
        <v>309</v>
      </c>
      <c r="AF11" s="12" t="str">
        <f>B11</f>
        <v>設計</v>
      </c>
      <c r="AG11" s="15" t="str">
        <f t="shared" ref="AG11" si="8">C11</f>
        <v>AUD</v>
      </c>
      <c r="AH11" s="12">
        <f>D11</f>
        <v>0</v>
      </c>
      <c r="AI11" s="71">
        <f t="shared" ref="AI11:BF11" si="9">AH11+E11</f>
        <v>0</v>
      </c>
      <c r="AJ11" s="71">
        <f t="shared" si="9"/>
        <v>0</v>
      </c>
      <c r="AK11" s="71">
        <f t="shared" si="9"/>
        <v>0</v>
      </c>
      <c r="AL11" s="71">
        <f t="shared" si="9"/>
        <v>0</v>
      </c>
      <c r="AM11" s="71">
        <f t="shared" si="9"/>
        <v>400</v>
      </c>
      <c r="AN11" s="71">
        <f t="shared" si="9"/>
        <v>400</v>
      </c>
      <c r="AO11" s="71">
        <f t="shared" si="9"/>
        <v>400</v>
      </c>
      <c r="AP11" s="71">
        <f t="shared" si="9"/>
        <v>400</v>
      </c>
      <c r="AQ11" s="71">
        <f t="shared" si="9"/>
        <v>400</v>
      </c>
      <c r="AR11" s="71">
        <f t="shared" si="9"/>
        <v>400</v>
      </c>
      <c r="AS11" s="71">
        <f t="shared" si="9"/>
        <v>400</v>
      </c>
      <c r="AT11" s="71">
        <f t="shared" si="9"/>
        <v>400</v>
      </c>
      <c r="AU11" s="71">
        <f t="shared" si="9"/>
        <v>400</v>
      </c>
      <c r="AV11" s="71">
        <f t="shared" si="9"/>
        <v>400</v>
      </c>
      <c r="AW11" s="71">
        <f t="shared" si="9"/>
        <v>400</v>
      </c>
      <c r="AX11" s="71">
        <f t="shared" si="9"/>
        <v>400</v>
      </c>
      <c r="AY11" s="71">
        <f t="shared" si="9"/>
        <v>400</v>
      </c>
      <c r="AZ11" s="71">
        <f t="shared" si="9"/>
        <v>400</v>
      </c>
      <c r="BA11" s="71">
        <f t="shared" si="9"/>
        <v>400</v>
      </c>
      <c r="BB11" s="71">
        <f t="shared" si="9"/>
        <v>400</v>
      </c>
      <c r="BC11" s="71">
        <f t="shared" si="9"/>
        <v>400</v>
      </c>
      <c r="BD11" s="71">
        <f t="shared" si="9"/>
        <v>400</v>
      </c>
      <c r="BE11" s="71">
        <f t="shared" si="9"/>
        <v>400</v>
      </c>
      <c r="BF11" s="71">
        <f t="shared" si="9"/>
        <v>400</v>
      </c>
      <c r="BG11" s="71">
        <f>BF11</f>
        <v>400</v>
      </c>
    </row>
    <row r="12" spans="1:59" x14ac:dyDescent="0.25">
      <c r="A12" s="3" t="s">
        <v>7</v>
      </c>
      <c r="B12" s="82" t="s">
        <v>43</v>
      </c>
      <c r="C12" s="3" t="s">
        <v>19</v>
      </c>
      <c r="D12" s="88"/>
      <c r="E12" s="88"/>
      <c r="F12" s="88"/>
      <c r="G12" s="88"/>
      <c r="H12" s="88"/>
      <c r="I12" s="88">
        <f>IF(設計案成本估算!$B$5&gt;0,220*設計案成本估算!$B$5,0)</f>
        <v>220</v>
      </c>
      <c r="J12" s="88"/>
      <c r="K12" s="88"/>
      <c r="L12" s="88"/>
      <c r="M12" s="88"/>
      <c r="N12" s="88">
        <f>IF(設計案成本估算!$B$5&gt;0,330*設計案成本估算!$B$5,0)</f>
        <v>330</v>
      </c>
      <c r="O12" s="88"/>
      <c r="P12" s="88"/>
      <c r="Q12" s="88"/>
      <c r="R12" s="88"/>
      <c r="S12" s="88"/>
      <c r="T12" s="88"/>
      <c r="U12" s="88"/>
      <c r="V12" s="88"/>
      <c r="W12" s="88"/>
      <c r="X12" s="88"/>
      <c r="Y12" s="88"/>
      <c r="Z12" s="88"/>
      <c r="AA12" s="88"/>
      <c r="AB12" s="88"/>
      <c r="AC12" s="71">
        <f t="shared" si="2"/>
        <v>550</v>
      </c>
      <c r="AD12" s="12"/>
      <c r="AE12" s="3" t="s">
        <v>7</v>
      </c>
      <c r="AF12" s="12" t="str">
        <f t="shared" si="3"/>
        <v>設計</v>
      </c>
      <c r="AG12" s="15" t="str">
        <f t="shared" si="0"/>
        <v>SGD</v>
      </c>
      <c r="AH12" s="12">
        <f t="shared" si="0"/>
        <v>0</v>
      </c>
      <c r="AI12" s="71">
        <f t="shared" si="4"/>
        <v>0</v>
      </c>
      <c r="AJ12" s="71">
        <f t="shared" si="1"/>
        <v>0</v>
      </c>
      <c r="AK12" s="71">
        <f t="shared" si="1"/>
        <v>0</v>
      </c>
      <c r="AL12" s="71">
        <f t="shared" si="1"/>
        <v>0</v>
      </c>
      <c r="AM12" s="71">
        <f t="shared" si="1"/>
        <v>220</v>
      </c>
      <c r="AN12" s="71">
        <f t="shared" si="1"/>
        <v>220</v>
      </c>
      <c r="AO12" s="71">
        <f t="shared" si="1"/>
        <v>220</v>
      </c>
      <c r="AP12" s="71">
        <f t="shared" si="1"/>
        <v>220</v>
      </c>
      <c r="AQ12" s="71">
        <f t="shared" si="1"/>
        <v>220</v>
      </c>
      <c r="AR12" s="71">
        <f t="shared" si="1"/>
        <v>550</v>
      </c>
      <c r="AS12" s="71">
        <f t="shared" si="1"/>
        <v>550</v>
      </c>
      <c r="AT12" s="71">
        <f t="shared" si="1"/>
        <v>550</v>
      </c>
      <c r="AU12" s="71">
        <f t="shared" si="1"/>
        <v>550</v>
      </c>
      <c r="AV12" s="71">
        <f t="shared" si="1"/>
        <v>550</v>
      </c>
      <c r="AW12" s="71">
        <f t="shared" si="1"/>
        <v>550</v>
      </c>
      <c r="AX12" s="71">
        <f t="shared" si="1"/>
        <v>550</v>
      </c>
      <c r="AY12" s="71">
        <f t="shared" si="1"/>
        <v>550</v>
      </c>
      <c r="AZ12" s="71">
        <f t="shared" si="1"/>
        <v>550</v>
      </c>
      <c r="BA12" s="71">
        <f t="shared" si="1"/>
        <v>550</v>
      </c>
      <c r="BB12" s="71">
        <f t="shared" si="1"/>
        <v>550</v>
      </c>
      <c r="BC12" s="71">
        <f t="shared" si="1"/>
        <v>550</v>
      </c>
      <c r="BD12" s="71">
        <f t="shared" si="1"/>
        <v>550</v>
      </c>
      <c r="BE12" s="71">
        <f t="shared" si="1"/>
        <v>550</v>
      </c>
      <c r="BF12" s="71">
        <f t="shared" si="1"/>
        <v>550</v>
      </c>
      <c r="BG12" s="71">
        <f t="shared" si="5"/>
        <v>550</v>
      </c>
    </row>
    <row r="13" spans="1:59" x14ac:dyDescent="0.25">
      <c r="A13" s="81" t="s">
        <v>10</v>
      </c>
      <c r="B13" s="82" t="s">
        <v>43</v>
      </c>
      <c r="C13" s="3" t="s">
        <v>22</v>
      </c>
      <c r="D13" s="88"/>
      <c r="E13" s="88"/>
      <c r="F13" s="88"/>
      <c r="G13" s="88"/>
      <c r="H13" s="88"/>
      <c r="I13" s="88">
        <f>IF(設計案成本估算!$B$5&gt;0,800*設計案成本估算!$B$5,0)</f>
        <v>800</v>
      </c>
      <c r="J13" s="88"/>
      <c r="K13" s="88"/>
      <c r="L13" s="88"/>
      <c r="M13" s="88"/>
      <c r="N13" s="88">
        <f>IF(設計案成本估算!$B$5&gt;0,800*設計案成本估算!$B$5,0)</f>
        <v>800</v>
      </c>
      <c r="O13" s="88"/>
      <c r="P13" s="88"/>
      <c r="Q13" s="88"/>
      <c r="R13" s="88"/>
      <c r="S13" s="88">
        <f>IF(設計案成本估算!$B$5&gt;0,800*設計案成本估算!$B$5,0)</f>
        <v>800</v>
      </c>
      <c r="T13" s="88"/>
      <c r="U13" s="88"/>
      <c r="V13" s="88"/>
      <c r="W13" s="88"/>
      <c r="X13" s="88">
        <f>IF(設計案成本估算!$B$5&gt;0,800*設計案成本估算!$B$5,0)</f>
        <v>800</v>
      </c>
      <c r="Y13" s="88"/>
      <c r="Z13" s="88"/>
      <c r="AA13" s="88"/>
      <c r="AB13" s="88"/>
      <c r="AC13" s="71">
        <f>SUM(D13:AB13)</f>
        <v>3200</v>
      </c>
      <c r="AD13" s="12"/>
      <c r="AE13" s="81" t="s">
        <v>10</v>
      </c>
      <c r="AF13" s="12" t="str">
        <f t="shared" ref="AF13:AH15" si="10">B13</f>
        <v>設計</v>
      </c>
      <c r="AG13" s="15" t="str">
        <f t="shared" si="10"/>
        <v>MYR</v>
      </c>
      <c r="AH13" s="12">
        <f t="shared" si="10"/>
        <v>0</v>
      </c>
      <c r="AI13" s="71">
        <f t="shared" ref="AI13:AR13" si="11">AH13+E13</f>
        <v>0</v>
      </c>
      <c r="AJ13" s="71">
        <f t="shared" si="11"/>
        <v>0</v>
      </c>
      <c r="AK13" s="71">
        <f t="shared" si="11"/>
        <v>0</v>
      </c>
      <c r="AL13" s="71">
        <f t="shared" si="11"/>
        <v>0</v>
      </c>
      <c r="AM13" s="71">
        <f t="shared" si="11"/>
        <v>800</v>
      </c>
      <c r="AN13" s="71">
        <f t="shared" si="11"/>
        <v>800</v>
      </c>
      <c r="AO13" s="71">
        <f t="shared" si="11"/>
        <v>800</v>
      </c>
      <c r="AP13" s="71">
        <f t="shared" si="11"/>
        <v>800</v>
      </c>
      <c r="AQ13" s="71">
        <f t="shared" si="11"/>
        <v>800</v>
      </c>
      <c r="AR13" s="71">
        <f t="shared" si="11"/>
        <v>1600</v>
      </c>
      <c r="AS13" s="71">
        <f t="shared" si="1"/>
        <v>1600</v>
      </c>
      <c r="AT13" s="71">
        <f t="shared" si="1"/>
        <v>1600</v>
      </c>
      <c r="AU13" s="71">
        <f t="shared" si="1"/>
        <v>1600</v>
      </c>
      <c r="AV13" s="71">
        <f t="shared" si="1"/>
        <v>1600</v>
      </c>
      <c r="AW13" s="71">
        <f t="shared" si="1"/>
        <v>2400</v>
      </c>
      <c r="AX13" s="71">
        <f t="shared" si="1"/>
        <v>2400</v>
      </c>
      <c r="AY13" s="71">
        <f t="shared" si="1"/>
        <v>2400</v>
      </c>
      <c r="AZ13" s="71">
        <f t="shared" si="1"/>
        <v>2400</v>
      </c>
      <c r="BA13" s="71">
        <f t="shared" si="1"/>
        <v>2400</v>
      </c>
      <c r="BB13" s="71">
        <f t="shared" si="1"/>
        <v>3200</v>
      </c>
      <c r="BC13" s="71">
        <f t="shared" si="1"/>
        <v>3200</v>
      </c>
      <c r="BD13" s="71">
        <f t="shared" si="1"/>
        <v>3200</v>
      </c>
      <c r="BE13" s="71">
        <f t="shared" si="1"/>
        <v>3200</v>
      </c>
      <c r="BF13" s="71">
        <f t="shared" si="1"/>
        <v>3200</v>
      </c>
      <c r="BG13" s="71">
        <f>BF13</f>
        <v>3200</v>
      </c>
    </row>
    <row r="14" spans="1:59" x14ac:dyDescent="0.25">
      <c r="A14" s="51" t="s">
        <v>116</v>
      </c>
      <c r="B14" s="82" t="s">
        <v>43</v>
      </c>
      <c r="C14" s="3" t="s">
        <v>15</v>
      </c>
      <c r="D14" s="88"/>
      <c r="E14" s="88"/>
      <c r="F14" s="88"/>
      <c r="G14" s="88"/>
      <c r="H14" s="88"/>
      <c r="I14" s="88">
        <f>IF(設計案成本估算!$B$5&gt;0,71+41*(設計案成本估算!$B$5-1),0)</f>
        <v>71</v>
      </c>
      <c r="J14" s="88"/>
      <c r="K14" s="88"/>
      <c r="L14" s="88"/>
      <c r="M14" s="88"/>
      <c r="N14" s="88">
        <f>IF(設計案成本估算!$B$5&gt;0,119+41*(設計案成本估算!$B$5-1),0)</f>
        <v>119</v>
      </c>
      <c r="O14" s="88"/>
      <c r="P14" s="88"/>
      <c r="Q14" s="88"/>
      <c r="R14" s="88"/>
      <c r="S14" s="88"/>
      <c r="T14" s="88"/>
      <c r="U14" s="88"/>
      <c r="V14" s="88"/>
      <c r="W14" s="88"/>
      <c r="X14" s="88"/>
      <c r="Y14" s="88"/>
      <c r="Z14" s="88"/>
      <c r="AA14" s="88"/>
      <c r="AB14" s="88"/>
      <c r="AC14" s="71">
        <f>SUM(D14:AB14)</f>
        <v>190</v>
      </c>
      <c r="AD14" s="12"/>
      <c r="AE14" s="51" t="s">
        <v>116</v>
      </c>
      <c r="AF14" s="12" t="str">
        <f>B14</f>
        <v>設計</v>
      </c>
      <c r="AG14" s="15" t="str">
        <f>C14</f>
        <v>USD</v>
      </c>
      <c r="AH14" s="12">
        <f>D14</f>
        <v>0</v>
      </c>
      <c r="AI14" s="71">
        <f t="shared" ref="AI14:BF14" si="12">AH14+E14</f>
        <v>0</v>
      </c>
      <c r="AJ14" s="71">
        <f t="shared" si="12"/>
        <v>0</v>
      </c>
      <c r="AK14" s="71">
        <f t="shared" si="12"/>
        <v>0</v>
      </c>
      <c r="AL14" s="71">
        <f t="shared" si="12"/>
        <v>0</v>
      </c>
      <c r="AM14" s="71">
        <f t="shared" si="12"/>
        <v>71</v>
      </c>
      <c r="AN14" s="71">
        <f t="shared" si="12"/>
        <v>71</v>
      </c>
      <c r="AO14" s="71">
        <f t="shared" si="12"/>
        <v>71</v>
      </c>
      <c r="AP14" s="71">
        <f t="shared" si="12"/>
        <v>71</v>
      </c>
      <c r="AQ14" s="71">
        <f t="shared" si="12"/>
        <v>71</v>
      </c>
      <c r="AR14" s="71">
        <f t="shared" si="12"/>
        <v>190</v>
      </c>
      <c r="AS14" s="71">
        <f t="shared" si="12"/>
        <v>190</v>
      </c>
      <c r="AT14" s="71">
        <f t="shared" si="12"/>
        <v>190</v>
      </c>
      <c r="AU14" s="71">
        <f t="shared" si="12"/>
        <v>190</v>
      </c>
      <c r="AV14" s="71">
        <f t="shared" si="12"/>
        <v>190</v>
      </c>
      <c r="AW14" s="71">
        <f t="shared" si="12"/>
        <v>190</v>
      </c>
      <c r="AX14" s="71">
        <f t="shared" si="12"/>
        <v>190</v>
      </c>
      <c r="AY14" s="71">
        <f t="shared" si="12"/>
        <v>190</v>
      </c>
      <c r="AZ14" s="71">
        <f t="shared" si="12"/>
        <v>190</v>
      </c>
      <c r="BA14" s="71">
        <f t="shared" si="12"/>
        <v>190</v>
      </c>
      <c r="BB14" s="71">
        <f t="shared" si="12"/>
        <v>190</v>
      </c>
      <c r="BC14" s="71">
        <f t="shared" si="12"/>
        <v>190</v>
      </c>
      <c r="BD14" s="71">
        <f t="shared" si="12"/>
        <v>190</v>
      </c>
      <c r="BE14" s="71">
        <f t="shared" si="12"/>
        <v>190</v>
      </c>
      <c r="BF14" s="71">
        <f t="shared" si="12"/>
        <v>190</v>
      </c>
      <c r="BG14" s="71">
        <f>BF14</f>
        <v>190</v>
      </c>
    </row>
    <row r="15" spans="1:59" x14ac:dyDescent="0.25">
      <c r="A15" s="81" t="s">
        <v>96</v>
      </c>
      <c r="B15" s="82" t="s">
        <v>43</v>
      </c>
      <c r="C15" s="3" t="s">
        <v>15</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71">
        <f>SUM(D15:AB15)</f>
        <v>0</v>
      </c>
      <c r="AD15" s="12"/>
      <c r="AE15" s="81" t="s">
        <v>96</v>
      </c>
      <c r="AF15" s="12" t="str">
        <f t="shared" si="10"/>
        <v>設計</v>
      </c>
      <c r="AG15" s="15" t="str">
        <f t="shared" si="10"/>
        <v>USD</v>
      </c>
      <c r="AH15" s="12">
        <f t="shared" si="10"/>
        <v>0</v>
      </c>
      <c r="AI15" s="71">
        <f t="shared" si="1"/>
        <v>0</v>
      </c>
      <c r="AJ15" s="71">
        <f t="shared" si="1"/>
        <v>0</v>
      </c>
      <c r="AK15" s="71">
        <f t="shared" si="1"/>
        <v>0</v>
      </c>
      <c r="AL15" s="71">
        <f t="shared" si="1"/>
        <v>0</v>
      </c>
      <c r="AM15" s="71">
        <f t="shared" si="1"/>
        <v>0</v>
      </c>
      <c r="AN15" s="71">
        <f t="shared" si="1"/>
        <v>0</v>
      </c>
      <c r="AO15" s="71">
        <f t="shared" si="1"/>
        <v>0</v>
      </c>
      <c r="AP15" s="71">
        <f t="shared" si="1"/>
        <v>0</v>
      </c>
      <c r="AQ15" s="71">
        <f t="shared" si="1"/>
        <v>0</v>
      </c>
      <c r="AR15" s="71">
        <f t="shared" si="1"/>
        <v>0</v>
      </c>
      <c r="AS15" s="71">
        <f t="shared" si="1"/>
        <v>0</v>
      </c>
      <c r="AT15" s="71">
        <f t="shared" si="1"/>
        <v>0</v>
      </c>
      <c r="AU15" s="71">
        <f t="shared" si="1"/>
        <v>0</v>
      </c>
      <c r="AV15" s="71">
        <f t="shared" si="1"/>
        <v>0</v>
      </c>
      <c r="AW15" s="71">
        <f t="shared" si="1"/>
        <v>0</v>
      </c>
      <c r="AX15" s="71">
        <f t="shared" si="1"/>
        <v>0</v>
      </c>
      <c r="AY15" s="71">
        <f t="shared" si="1"/>
        <v>0</v>
      </c>
      <c r="AZ15" s="71">
        <f t="shared" si="1"/>
        <v>0</v>
      </c>
      <c r="BA15" s="71">
        <f t="shared" si="1"/>
        <v>0</v>
      </c>
      <c r="BB15" s="71">
        <f t="shared" si="1"/>
        <v>0</v>
      </c>
      <c r="BC15" s="71">
        <f t="shared" si="1"/>
        <v>0</v>
      </c>
      <c r="BD15" s="71">
        <f t="shared" si="1"/>
        <v>0</v>
      </c>
      <c r="BE15" s="71">
        <f t="shared" si="1"/>
        <v>0</v>
      </c>
      <c r="BF15" s="71">
        <f t="shared" si="1"/>
        <v>0</v>
      </c>
      <c r="BG15" s="71">
        <f>BF15</f>
        <v>0</v>
      </c>
    </row>
    <row r="16" spans="1:59" x14ac:dyDescent="0.25">
      <c r="A16" s="81" t="s">
        <v>8</v>
      </c>
      <c r="B16" s="82" t="s">
        <v>43</v>
      </c>
      <c r="C16" s="3" t="s">
        <v>20</v>
      </c>
      <c r="D16" s="88"/>
      <c r="E16" s="88"/>
      <c r="F16" s="88"/>
      <c r="G16" s="88"/>
      <c r="H16" s="88"/>
      <c r="I16" s="88">
        <f>IF(設計案成本估算!$B$5&gt;0,1200000+800000*(設計案成本估算!$B$5-1),0)</f>
        <v>1200000</v>
      </c>
      <c r="J16" s="88"/>
      <c r="K16" s="88"/>
      <c r="L16" s="88"/>
      <c r="M16" s="88"/>
      <c r="N16" s="88">
        <f>IF(設計案成本估算!$B$5&gt;0,1200000+800000*(設計案成本估算!$B$5-1),0)</f>
        <v>1200000</v>
      </c>
      <c r="O16" s="88"/>
      <c r="P16" s="88"/>
      <c r="Q16" s="88"/>
      <c r="R16" s="88"/>
      <c r="S16" s="88"/>
      <c r="T16" s="88"/>
      <c r="U16" s="88"/>
      <c r="V16" s="88"/>
      <c r="W16" s="88"/>
      <c r="X16" s="88"/>
      <c r="Y16" s="88"/>
      <c r="Z16" s="88"/>
      <c r="AA16" s="88"/>
      <c r="AB16" s="88"/>
      <c r="AC16" s="71" t="e">
        <f>3000000+IF(#REF!&lt;2,0,2600000*(#REF!-1))</f>
        <v>#REF!</v>
      </c>
      <c r="AD16" s="12"/>
      <c r="AE16" s="81" t="s">
        <v>8</v>
      </c>
      <c r="AF16" s="12" t="str">
        <f t="shared" si="3"/>
        <v>設計</v>
      </c>
      <c r="AG16" s="15" t="str">
        <f t="shared" si="0"/>
        <v>VND</v>
      </c>
      <c r="AH16" s="12">
        <f t="shared" si="0"/>
        <v>0</v>
      </c>
      <c r="AI16" s="71">
        <f t="shared" si="4"/>
        <v>0</v>
      </c>
      <c r="AJ16" s="71">
        <f t="shared" si="4"/>
        <v>0</v>
      </c>
      <c r="AK16" s="71">
        <f t="shared" ref="AK16:AZ17" si="13">AJ16+G16</f>
        <v>0</v>
      </c>
      <c r="AL16" s="71">
        <f t="shared" si="13"/>
        <v>0</v>
      </c>
      <c r="AM16" s="71">
        <f t="shared" si="13"/>
        <v>1200000</v>
      </c>
      <c r="AN16" s="71">
        <f t="shared" si="13"/>
        <v>1200000</v>
      </c>
      <c r="AO16" s="71">
        <f t="shared" si="13"/>
        <v>1200000</v>
      </c>
      <c r="AP16" s="71">
        <f t="shared" si="13"/>
        <v>1200000</v>
      </c>
      <c r="AQ16" s="71">
        <f t="shared" si="13"/>
        <v>1200000</v>
      </c>
      <c r="AR16" s="71">
        <f t="shared" si="13"/>
        <v>2400000</v>
      </c>
      <c r="AS16" s="71">
        <f t="shared" si="13"/>
        <v>2400000</v>
      </c>
      <c r="AT16" s="71">
        <f t="shared" si="13"/>
        <v>2400000</v>
      </c>
      <c r="AU16" s="71">
        <f t="shared" si="13"/>
        <v>2400000</v>
      </c>
      <c r="AV16" s="71">
        <f t="shared" si="13"/>
        <v>2400000</v>
      </c>
      <c r="AW16" s="71">
        <f t="shared" si="13"/>
        <v>2400000</v>
      </c>
      <c r="AX16" s="71">
        <f t="shared" si="13"/>
        <v>2400000</v>
      </c>
      <c r="AY16" s="71">
        <f t="shared" si="13"/>
        <v>2400000</v>
      </c>
      <c r="AZ16" s="71">
        <f t="shared" si="13"/>
        <v>2400000</v>
      </c>
      <c r="BA16" s="71">
        <f t="shared" ref="BA16:BF17" si="14">AZ16+W16</f>
        <v>2400000</v>
      </c>
      <c r="BB16" s="71">
        <f t="shared" si="14"/>
        <v>2400000</v>
      </c>
      <c r="BC16" s="71">
        <f t="shared" si="14"/>
        <v>2400000</v>
      </c>
      <c r="BD16" s="71">
        <f t="shared" si="14"/>
        <v>2400000</v>
      </c>
      <c r="BE16" s="71">
        <f t="shared" si="14"/>
        <v>2400000</v>
      </c>
      <c r="BF16" s="71">
        <f t="shared" si="14"/>
        <v>2400000</v>
      </c>
      <c r="BG16" s="71">
        <f t="shared" si="5"/>
        <v>2400000</v>
      </c>
    </row>
    <row r="17" spans="1:59" ht="15.75" customHeight="1" x14ac:dyDescent="0.25">
      <c r="A17" s="81" t="s">
        <v>9</v>
      </c>
      <c r="B17" s="82" t="s">
        <v>43</v>
      </c>
      <c r="C17" s="3" t="s">
        <v>21</v>
      </c>
      <c r="D17" s="88"/>
      <c r="E17" s="88"/>
      <c r="F17" s="88"/>
      <c r="G17" s="88"/>
      <c r="H17" s="88">
        <f>IF(設計案成本估算!$B$5&gt;0,500*設計案成本估算!$B$5,0)</f>
        <v>500</v>
      </c>
      <c r="I17" s="88">
        <f>IF(設計案成本估算!$B$5&gt;0,650*設計案成本估算!$B$5,0)</f>
        <v>650</v>
      </c>
      <c r="J17" s="88">
        <f>IF(設計案成本估算!$B$5&gt;0,950*設計案成本估算!$B$5,0)</f>
        <v>950</v>
      </c>
      <c r="K17" s="88">
        <f>IF(設計案成本估算!$B$5&gt;0,1400*設計案成本估算!$B$5,0)</f>
        <v>1400</v>
      </c>
      <c r="L17" s="88">
        <f>IF(設計案成本估算!$B$5&gt;0,2000*設計案成本估算!$B$5,0)</f>
        <v>2000</v>
      </c>
      <c r="M17" s="88">
        <f>IF(設計案成本估算!$B$5&gt;0,2750*設計案成本估算!$B$5,0)</f>
        <v>2750</v>
      </c>
      <c r="N17" s="88"/>
      <c r="O17" s="88"/>
      <c r="P17" s="88"/>
      <c r="Q17" s="88"/>
      <c r="R17" s="88"/>
      <c r="S17" s="88"/>
      <c r="T17" s="88"/>
      <c r="U17" s="88"/>
      <c r="V17" s="88"/>
      <c r="W17" s="88"/>
      <c r="X17" s="88"/>
      <c r="Y17" s="88"/>
      <c r="Z17" s="88"/>
      <c r="AA17" s="88"/>
      <c r="AB17" s="88"/>
      <c r="AC17" s="71">
        <f t="shared" si="2"/>
        <v>8250</v>
      </c>
      <c r="AD17" s="12"/>
      <c r="AE17" s="81" t="s">
        <v>9</v>
      </c>
      <c r="AF17" s="12" t="str">
        <f t="shared" si="3"/>
        <v>設計</v>
      </c>
      <c r="AG17" s="15" t="str">
        <f t="shared" si="0"/>
        <v>THB</v>
      </c>
      <c r="AH17" s="12">
        <f t="shared" si="0"/>
        <v>0</v>
      </c>
      <c r="AI17" s="71">
        <f t="shared" si="4"/>
        <v>0</v>
      </c>
      <c r="AJ17" s="71">
        <f t="shared" si="4"/>
        <v>0</v>
      </c>
      <c r="AK17" s="71">
        <f t="shared" si="13"/>
        <v>0</v>
      </c>
      <c r="AL17" s="71">
        <f t="shared" si="13"/>
        <v>500</v>
      </c>
      <c r="AM17" s="71">
        <f t="shared" si="13"/>
        <v>1150</v>
      </c>
      <c r="AN17" s="71">
        <f t="shared" si="13"/>
        <v>2100</v>
      </c>
      <c r="AO17" s="71">
        <f t="shared" si="13"/>
        <v>3500</v>
      </c>
      <c r="AP17" s="71">
        <f t="shared" si="13"/>
        <v>5500</v>
      </c>
      <c r="AQ17" s="71">
        <f t="shared" si="13"/>
        <v>8250</v>
      </c>
      <c r="AR17" s="71">
        <f t="shared" si="13"/>
        <v>8250</v>
      </c>
      <c r="AS17" s="71">
        <f t="shared" si="13"/>
        <v>8250</v>
      </c>
      <c r="AT17" s="71">
        <f t="shared" si="13"/>
        <v>8250</v>
      </c>
      <c r="AU17" s="71">
        <f t="shared" si="13"/>
        <v>8250</v>
      </c>
      <c r="AV17" s="71">
        <f t="shared" si="13"/>
        <v>8250</v>
      </c>
      <c r="AW17" s="71">
        <f t="shared" si="13"/>
        <v>8250</v>
      </c>
      <c r="AX17" s="71">
        <f t="shared" si="13"/>
        <v>8250</v>
      </c>
      <c r="AY17" s="71">
        <f t="shared" si="13"/>
        <v>8250</v>
      </c>
      <c r="AZ17" s="71">
        <f t="shared" si="13"/>
        <v>8250</v>
      </c>
      <c r="BA17" s="71">
        <f t="shared" si="14"/>
        <v>8250</v>
      </c>
      <c r="BB17" s="71">
        <f t="shared" si="14"/>
        <v>8250</v>
      </c>
      <c r="BC17" s="71">
        <f t="shared" si="14"/>
        <v>8250</v>
      </c>
      <c r="BD17" s="71">
        <f t="shared" si="14"/>
        <v>8250</v>
      </c>
      <c r="BE17" s="71">
        <f t="shared" si="14"/>
        <v>8250</v>
      </c>
      <c r="BF17" s="71">
        <f t="shared" si="14"/>
        <v>8250</v>
      </c>
      <c r="BG17" s="71">
        <f t="shared" si="5"/>
        <v>8250</v>
      </c>
    </row>
    <row r="18" spans="1:59" x14ac:dyDescent="0.25">
      <c r="A18" s="81" t="s">
        <v>309</v>
      </c>
      <c r="B18" s="82" t="s">
        <v>43</v>
      </c>
      <c r="C18" s="3" t="s">
        <v>15</v>
      </c>
      <c r="D18" s="88"/>
      <c r="E18" s="88"/>
      <c r="F18" s="88"/>
      <c r="G18" s="88"/>
      <c r="H18" s="88"/>
      <c r="I18" s="88"/>
      <c r="J18" s="88"/>
      <c r="K18" s="88"/>
      <c r="L18" s="88"/>
      <c r="M18" s="88"/>
      <c r="N18" s="88">
        <f>IF(設計案成本估算!$B$5&gt;0,114*設計案成本估算!$B$5,0)</f>
        <v>114</v>
      </c>
      <c r="O18" s="88"/>
      <c r="P18" s="88"/>
      <c r="Q18" s="88"/>
      <c r="R18" s="88"/>
      <c r="S18" s="88"/>
      <c r="T18" s="88"/>
      <c r="U18" s="88"/>
      <c r="V18" s="88"/>
      <c r="W18" s="88"/>
      <c r="X18" s="88"/>
      <c r="Y18" s="88"/>
      <c r="Z18" s="88"/>
      <c r="AA18" s="88"/>
      <c r="AB18" s="88"/>
      <c r="AC18" s="71">
        <f>SUM(D18:AB18)</f>
        <v>114</v>
      </c>
      <c r="AD18" s="12"/>
      <c r="AE18" s="81" t="s">
        <v>309</v>
      </c>
      <c r="AF18" s="12" t="str">
        <f>B18</f>
        <v>設計</v>
      </c>
      <c r="AG18" s="15" t="str">
        <f t="shared" si="0"/>
        <v>USD</v>
      </c>
      <c r="AH18" s="12">
        <f>D18</f>
        <v>0</v>
      </c>
      <c r="AI18" s="71">
        <f t="shared" ref="AI18" si="15">AH18+E18</f>
        <v>0</v>
      </c>
      <c r="AJ18" s="71">
        <f t="shared" ref="AJ18" si="16">AI18+F18</f>
        <v>0</v>
      </c>
      <c r="AK18" s="71">
        <f t="shared" ref="AK18" si="17">AJ18+G18</f>
        <v>0</v>
      </c>
      <c r="AL18" s="71">
        <f t="shared" ref="AL18" si="18">AK18+H18</f>
        <v>0</v>
      </c>
      <c r="AM18" s="71">
        <f t="shared" ref="AM18" si="19">AL18+I18</f>
        <v>0</v>
      </c>
      <c r="AN18" s="71">
        <f t="shared" ref="AN18" si="20">AM18+J18</f>
        <v>0</v>
      </c>
      <c r="AO18" s="71">
        <f t="shared" ref="AO18" si="21">AN18+K18</f>
        <v>0</v>
      </c>
      <c r="AP18" s="71">
        <f t="shared" ref="AP18" si="22">AO18+L18</f>
        <v>0</v>
      </c>
      <c r="AQ18" s="71">
        <f t="shared" ref="AQ18" si="23">AP18+M18</f>
        <v>0</v>
      </c>
      <c r="AR18" s="71">
        <f t="shared" ref="AR18" si="24">AQ18+N18</f>
        <v>114</v>
      </c>
      <c r="AS18" s="71">
        <f t="shared" ref="AS18" si="25">AR18+O18</f>
        <v>114</v>
      </c>
      <c r="AT18" s="71">
        <f t="shared" ref="AT18" si="26">AS18+P18</f>
        <v>114</v>
      </c>
      <c r="AU18" s="71">
        <f t="shared" ref="AU18" si="27">AT18+Q18</f>
        <v>114</v>
      </c>
      <c r="AV18" s="71">
        <f t="shared" ref="AV18" si="28">AU18+R18</f>
        <v>114</v>
      </c>
      <c r="AW18" s="71">
        <f t="shared" ref="AW18" si="29">AV18+S18</f>
        <v>114</v>
      </c>
      <c r="AX18" s="71">
        <f t="shared" ref="AX18" si="30">AW18+T18</f>
        <v>114</v>
      </c>
      <c r="AY18" s="71">
        <f t="shared" ref="AY18" si="31">AX18+U18</f>
        <v>114</v>
      </c>
      <c r="AZ18" s="71">
        <f t="shared" ref="AZ18" si="32">AY18+V18</f>
        <v>114</v>
      </c>
      <c r="BA18" s="71">
        <f t="shared" ref="BA18" si="33">AZ18+W18</f>
        <v>114</v>
      </c>
      <c r="BB18" s="71">
        <f t="shared" ref="BB18" si="34">BA18+X18</f>
        <v>114</v>
      </c>
      <c r="BC18" s="71">
        <f t="shared" ref="BC18" si="35">BB18+Y18</f>
        <v>114</v>
      </c>
      <c r="BD18" s="71">
        <f t="shared" ref="BD18" si="36">BC18+Z18</f>
        <v>114</v>
      </c>
      <c r="BE18" s="71">
        <f t="shared" ref="BE18" si="37">BD18+AA18</f>
        <v>114</v>
      </c>
      <c r="BF18" s="71">
        <f t="shared" ref="BF18" si="38">BE18+AB18</f>
        <v>114</v>
      </c>
      <c r="BG18" s="71">
        <f>BF18</f>
        <v>114</v>
      </c>
    </row>
    <row r="19" spans="1:59" x14ac:dyDescent="0.25">
      <c r="A19" s="5"/>
      <c r="B19" s="82" t="s">
        <v>43</v>
      </c>
      <c r="C19" s="5"/>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71">
        <f t="shared" si="2"/>
        <v>0</v>
      </c>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row>
    <row r="20" spans="1:59" x14ac:dyDescent="0.25">
      <c r="A20" s="143" t="s">
        <v>313</v>
      </c>
      <c r="D20" s="90"/>
      <c r="E20" s="90"/>
      <c r="F20" s="90"/>
      <c r="G20" s="90"/>
      <c r="H20" s="90"/>
      <c r="I20" s="90"/>
      <c r="J20" s="90"/>
      <c r="K20" s="90"/>
      <c r="L20" s="90"/>
      <c r="M20" s="90"/>
      <c r="N20" s="90"/>
      <c r="O20" s="90"/>
      <c r="P20" s="90"/>
      <c r="Q20" s="90"/>
      <c r="R20" s="90"/>
      <c r="S20" s="90"/>
      <c r="T20" s="90"/>
      <c r="U20" s="90"/>
      <c r="V20" s="90"/>
      <c r="W20" s="90"/>
      <c r="X20" s="90"/>
      <c r="Y20" s="90"/>
      <c r="Z20" s="90"/>
      <c r="AA20" s="90"/>
      <c r="AB20" s="90"/>
    </row>
    <row r="21" spans="1:59" x14ac:dyDescent="0.25">
      <c r="A21" s="143" t="s">
        <v>314</v>
      </c>
      <c r="D21" s="90"/>
      <c r="E21" s="90"/>
      <c r="F21" s="90"/>
      <c r="G21" s="90"/>
      <c r="H21" s="90"/>
      <c r="I21" s="90"/>
      <c r="J21" s="90"/>
      <c r="K21" s="90"/>
      <c r="L21" s="90"/>
      <c r="M21" s="90"/>
      <c r="N21" s="90"/>
      <c r="O21" s="90"/>
      <c r="P21" s="90"/>
      <c r="Q21" s="90"/>
      <c r="R21" s="90"/>
      <c r="S21" s="90"/>
      <c r="T21" s="90"/>
      <c r="U21" s="90"/>
      <c r="V21" s="90"/>
      <c r="W21" s="90"/>
      <c r="X21" s="90"/>
      <c r="Y21" s="90"/>
      <c r="Z21" s="90"/>
      <c r="AA21" s="90"/>
      <c r="AB21" s="90"/>
    </row>
    <row r="22" spans="1:59" x14ac:dyDescent="0.25">
      <c r="D22" s="90"/>
      <c r="E22" s="90"/>
      <c r="F22" s="90"/>
      <c r="G22" s="90"/>
      <c r="H22" s="90"/>
      <c r="I22" s="90"/>
      <c r="J22" s="90"/>
      <c r="K22" s="90"/>
      <c r="L22" s="90"/>
      <c r="M22" s="90"/>
      <c r="N22" s="90"/>
      <c r="O22" s="90"/>
      <c r="P22" s="90"/>
      <c r="Q22" s="90"/>
      <c r="R22" s="90"/>
      <c r="S22" s="90"/>
      <c r="T22" s="90"/>
      <c r="U22" s="90"/>
      <c r="V22" s="90"/>
      <c r="W22" s="90"/>
      <c r="X22" s="90"/>
      <c r="Y22" s="90"/>
      <c r="Z22" s="90"/>
      <c r="AA22" s="90"/>
      <c r="AB22" s="90"/>
    </row>
    <row r="23" spans="1:59" s="72" customFormat="1" x14ac:dyDescent="0.25">
      <c r="A23" s="149" t="s">
        <v>172</v>
      </c>
      <c r="B23" s="150"/>
      <c r="C23" s="151"/>
      <c r="D23" s="91" t="s">
        <v>170</v>
      </c>
      <c r="E23" s="92"/>
      <c r="F23" s="92"/>
      <c r="G23" s="92"/>
      <c r="H23" s="92"/>
      <c r="I23" s="92"/>
      <c r="J23" s="92"/>
      <c r="K23" s="92"/>
      <c r="L23" s="92"/>
      <c r="M23" s="92"/>
      <c r="N23" s="92"/>
      <c r="O23" s="92"/>
      <c r="P23" s="92"/>
      <c r="Q23" s="92"/>
      <c r="R23" s="92"/>
      <c r="S23" s="92"/>
      <c r="T23" s="92"/>
      <c r="U23" s="92"/>
      <c r="V23" s="92"/>
      <c r="W23" s="92"/>
      <c r="X23" s="92"/>
      <c r="Y23" s="92"/>
      <c r="Z23" s="92"/>
      <c r="AA23" s="92"/>
      <c r="AB23" s="92"/>
      <c r="AC23" s="70"/>
      <c r="AD23" s="70"/>
      <c r="AE23" s="149" t="s">
        <v>174</v>
      </c>
      <c r="AF23" s="150"/>
      <c r="AG23" s="151"/>
      <c r="AH23" s="73" t="s">
        <v>168</v>
      </c>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row>
    <row r="24" spans="1:59" x14ac:dyDescent="0.25">
      <c r="A24" s="4" t="s">
        <v>90</v>
      </c>
      <c r="B24" s="4" t="s">
        <v>167</v>
      </c>
      <c r="C24" s="4" t="s">
        <v>12</v>
      </c>
      <c r="D24" s="93">
        <v>1</v>
      </c>
      <c r="E24" s="93">
        <v>2</v>
      </c>
      <c r="F24" s="93">
        <v>3</v>
      </c>
      <c r="G24" s="93">
        <v>4</v>
      </c>
      <c r="H24" s="93">
        <v>5</v>
      </c>
      <c r="I24" s="93">
        <v>6</v>
      </c>
      <c r="J24" s="93">
        <v>7</v>
      </c>
      <c r="K24" s="93">
        <v>8</v>
      </c>
      <c r="L24" s="93">
        <v>9</v>
      </c>
      <c r="M24" s="93">
        <v>10</v>
      </c>
      <c r="N24" s="93">
        <v>11</v>
      </c>
      <c r="O24" s="93">
        <v>12</v>
      </c>
      <c r="P24" s="93">
        <v>13</v>
      </c>
      <c r="Q24" s="93">
        <v>14</v>
      </c>
      <c r="R24" s="93">
        <v>15</v>
      </c>
      <c r="S24" s="93">
        <v>16</v>
      </c>
      <c r="T24" s="93">
        <v>17</v>
      </c>
      <c r="U24" s="93">
        <v>18</v>
      </c>
      <c r="V24" s="93">
        <v>19</v>
      </c>
      <c r="W24" s="93">
        <v>20</v>
      </c>
      <c r="X24" s="93">
        <v>21</v>
      </c>
      <c r="Y24" s="93">
        <v>22</v>
      </c>
      <c r="Z24" s="93">
        <v>23</v>
      </c>
      <c r="AA24" s="93">
        <v>24</v>
      </c>
      <c r="AB24" s="93">
        <v>25</v>
      </c>
      <c r="AC24" s="4" t="s">
        <v>166</v>
      </c>
      <c r="AD24" s="4"/>
      <c r="AE24" s="4" t="s">
        <v>90</v>
      </c>
      <c r="AF24" s="4" t="s">
        <v>167</v>
      </c>
      <c r="AG24" s="4" t="s">
        <v>12</v>
      </c>
      <c r="AH24" s="4">
        <v>1</v>
      </c>
      <c r="AI24" s="4">
        <v>2</v>
      </c>
      <c r="AJ24" s="4">
        <v>3</v>
      </c>
      <c r="AK24" s="4">
        <v>4</v>
      </c>
      <c r="AL24" s="4">
        <v>5</v>
      </c>
      <c r="AM24" s="4">
        <v>6</v>
      </c>
      <c r="AN24" s="4">
        <v>7</v>
      </c>
      <c r="AO24" s="4">
        <v>8</v>
      </c>
      <c r="AP24" s="4">
        <v>9</v>
      </c>
      <c r="AQ24" s="4">
        <v>10</v>
      </c>
      <c r="AR24" s="4">
        <v>11</v>
      </c>
      <c r="AS24" s="4">
        <v>12</v>
      </c>
      <c r="AT24" s="4">
        <v>13</v>
      </c>
      <c r="AU24" s="4">
        <v>14</v>
      </c>
      <c r="AV24" s="4">
        <v>15</v>
      </c>
      <c r="AW24" s="4">
        <v>16</v>
      </c>
      <c r="AX24" s="4">
        <v>17</v>
      </c>
      <c r="AY24" s="4">
        <v>18</v>
      </c>
      <c r="AZ24" s="4">
        <v>19</v>
      </c>
      <c r="BA24" s="4">
        <v>20</v>
      </c>
      <c r="BB24" s="4">
        <v>21</v>
      </c>
      <c r="BC24" s="4">
        <v>22</v>
      </c>
      <c r="BD24" s="4">
        <v>23</v>
      </c>
      <c r="BE24" s="4">
        <v>24</v>
      </c>
      <c r="BF24" s="4">
        <v>25</v>
      </c>
      <c r="BG24" s="4" t="s">
        <v>191</v>
      </c>
    </row>
    <row r="25" spans="1:59" x14ac:dyDescent="0.25">
      <c r="A25" s="81" t="s">
        <v>2</v>
      </c>
      <c r="B25" s="82" t="s">
        <v>43</v>
      </c>
      <c r="C25" s="3" t="s">
        <v>13</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71">
        <f>SUM(D25:AB25)</f>
        <v>0</v>
      </c>
      <c r="AD25" s="12"/>
      <c r="AE25" s="81" t="s">
        <v>2</v>
      </c>
      <c r="AF25" s="12" t="str">
        <f>B25</f>
        <v>設計</v>
      </c>
      <c r="AG25" s="15" t="str">
        <f t="shared" ref="AG25:AH39" si="39">C25</f>
        <v>NTD</v>
      </c>
      <c r="AH25" s="12">
        <f>D25</f>
        <v>0</v>
      </c>
      <c r="AI25" s="71">
        <f>AH25+E25</f>
        <v>0</v>
      </c>
      <c r="AJ25" s="71">
        <f t="shared" ref="AJ25:AY39" si="40">AI25+F25</f>
        <v>0</v>
      </c>
      <c r="AK25" s="71">
        <f t="shared" si="40"/>
        <v>0</v>
      </c>
      <c r="AL25" s="71">
        <f t="shared" si="40"/>
        <v>0</v>
      </c>
      <c r="AM25" s="71">
        <f t="shared" si="40"/>
        <v>0</v>
      </c>
      <c r="AN25" s="71">
        <f t="shared" si="40"/>
        <v>0</v>
      </c>
      <c r="AO25" s="71">
        <f t="shared" si="40"/>
        <v>0</v>
      </c>
      <c r="AP25" s="71">
        <f t="shared" si="40"/>
        <v>0</v>
      </c>
      <c r="AQ25" s="71">
        <f t="shared" si="40"/>
        <v>0</v>
      </c>
      <c r="AR25" s="71">
        <f t="shared" si="40"/>
        <v>0</v>
      </c>
      <c r="AS25" s="71">
        <f t="shared" si="40"/>
        <v>0</v>
      </c>
      <c r="AT25" s="71">
        <f t="shared" si="40"/>
        <v>0</v>
      </c>
      <c r="AU25" s="71">
        <f t="shared" si="40"/>
        <v>0</v>
      </c>
      <c r="AV25" s="71">
        <f t="shared" si="40"/>
        <v>0</v>
      </c>
      <c r="AW25" s="71">
        <f t="shared" si="40"/>
        <v>0</v>
      </c>
      <c r="AX25" s="71">
        <f t="shared" si="40"/>
        <v>0</v>
      </c>
      <c r="AY25" s="71">
        <f t="shared" si="40"/>
        <v>0</v>
      </c>
      <c r="AZ25" s="71">
        <f t="shared" ref="AZ25:BF39" si="41">AY25+V25</f>
        <v>0</v>
      </c>
      <c r="BA25" s="71">
        <f t="shared" si="41"/>
        <v>0</v>
      </c>
      <c r="BB25" s="71">
        <f t="shared" si="41"/>
        <v>0</v>
      </c>
      <c r="BC25" s="71">
        <f t="shared" si="41"/>
        <v>0</v>
      </c>
      <c r="BD25" s="71">
        <f t="shared" si="41"/>
        <v>0</v>
      </c>
      <c r="BE25" s="71">
        <f t="shared" si="41"/>
        <v>0</v>
      </c>
      <c r="BF25" s="71">
        <f t="shared" si="41"/>
        <v>0</v>
      </c>
      <c r="BG25" s="71">
        <f>BF25</f>
        <v>0</v>
      </c>
    </row>
    <row r="26" spans="1:59" x14ac:dyDescent="0.25">
      <c r="A26" s="81" t="s">
        <v>3</v>
      </c>
      <c r="B26" s="82" t="s">
        <v>43</v>
      </c>
      <c r="C26" s="3" t="s">
        <v>14</v>
      </c>
      <c r="D26" s="88"/>
      <c r="E26" s="88">
        <f>IF(設計案成本估算!$B$5&gt;0,ROUNDUP(設計案成本估算!$B$5/10,0)*200,0)</f>
        <v>200</v>
      </c>
      <c r="F26" s="88">
        <f>IF(設計案成本估算!$B$5&gt;0,ROUNDUP(設計案成本估算!$B$5/10,0)*200,0)</f>
        <v>200</v>
      </c>
      <c r="G26" s="88">
        <f>IF(設計案成本估算!$B$5&gt;0,ROUNDUP(設計案成本估算!$B$5/10,0)*200,0)</f>
        <v>200</v>
      </c>
      <c r="H26" s="88">
        <f>IF(設計案成本估算!$B$5&gt;0,ROUNDUP(設計案成本估算!$B$5/10,0)*200,0)</f>
        <v>200</v>
      </c>
      <c r="I26" s="88">
        <f>IF(設計案成本估算!$B$5&gt;0,ROUNDUP(設計案成本估算!$B$5/10,0)*200,0)</f>
        <v>200</v>
      </c>
      <c r="J26" s="88">
        <f>IF(設計案成本估算!$B$5&gt;0,ROUNDUP(設計案成本估算!$B$5/10,0)*200,0)</f>
        <v>200</v>
      </c>
      <c r="K26" s="88">
        <f>IF(設計案成本估算!$B$5&gt;0,ROUNDUP(設計案成本估算!$B$5/10,0)*200,0)</f>
        <v>200</v>
      </c>
      <c r="L26" s="88">
        <f>IF(設計案成本估算!$B$5&gt;0,ROUNDUP(設計案成本估算!$B$5/10,0)*200,0)</f>
        <v>200</v>
      </c>
      <c r="M26" s="88">
        <f>IF(設計案成本估算!$B$5&gt;0,ROUNDUP(設計案成本估算!$B$5/10,0)*200,0)</f>
        <v>200</v>
      </c>
      <c r="N26" s="88">
        <f>IF(設計案成本估算!$B$5&gt;0,ROUNDUP(設計案成本估算!$B$5/10,0)*200,0)</f>
        <v>200</v>
      </c>
      <c r="O26" s="88">
        <f>IF(設計案成本估算!$B$5&gt;0,ROUNDUP(設計案成本估算!$B$5/10,0)*200,0)</f>
        <v>200</v>
      </c>
      <c r="P26" s="88">
        <f>IF(設計案成本估算!$B$5&gt;0,ROUNDUP(設計案成本估算!$B$5/10,0)*200,0)</f>
        <v>200</v>
      </c>
      <c r="Q26" s="88">
        <f>IF(設計案成本估算!$B$5&gt;0,ROUNDUP(設計案成本估算!$B$5/10,0)*200,0)</f>
        <v>200</v>
      </c>
      <c r="R26" s="88">
        <f>IF(設計案成本估算!$B$5&gt;0,ROUNDUP(設計案成本估算!$B$5/10,0)*200,0)</f>
        <v>200</v>
      </c>
      <c r="S26" s="88"/>
      <c r="T26" s="88"/>
      <c r="U26" s="88"/>
      <c r="V26" s="88"/>
      <c r="W26" s="88"/>
      <c r="X26" s="88"/>
      <c r="Y26" s="88"/>
      <c r="Z26" s="88"/>
      <c r="AA26" s="88"/>
      <c r="AB26" s="88"/>
      <c r="AC26" s="71">
        <f t="shared" ref="AC26:AC41" si="42">SUM(D26:AB26)</f>
        <v>2800</v>
      </c>
      <c r="AD26" s="12"/>
      <c r="AE26" s="81" t="s">
        <v>3</v>
      </c>
      <c r="AF26" s="12" t="str">
        <f t="shared" ref="AF26:AF39" si="43">B26</f>
        <v>設計</v>
      </c>
      <c r="AG26" s="15" t="str">
        <f t="shared" si="39"/>
        <v>CNY</v>
      </c>
      <c r="AH26" s="12">
        <f t="shared" si="39"/>
        <v>0</v>
      </c>
      <c r="AI26" s="71">
        <f>AH26+E26</f>
        <v>200</v>
      </c>
      <c r="AJ26" s="71">
        <f t="shared" si="40"/>
        <v>400</v>
      </c>
      <c r="AK26" s="71">
        <f t="shared" si="40"/>
        <v>600</v>
      </c>
      <c r="AL26" s="71">
        <f t="shared" si="40"/>
        <v>800</v>
      </c>
      <c r="AM26" s="71">
        <f t="shared" si="40"/>
        <v>1000</v>
      </c>
      <c r="AN26" s="71">
        <f t="shared" si="40"/>
        <v>1200</v>
      </c>
      <c r="AO26" s="71">
        <f t="shared" si="40"/>
        <v>1400</v>
      </c>
      <c r="AP26" s="71">
        <f t="shared" si="40"/>
        <v>1600</v>
      </c>
      <c r="AQ26" s="71">
        <f t="shared" si="40"/>
        <v>1800</v>
      </c>
      <c r="AR26" s="71">
        <f t="shared" si="40"/>
        <v>2000</v>
      </c>
      <c r="AS26" s="71">
        <f t="shared" si="40"/>
        <v>2200</v>
      </c>
      <c r="AT26" s="71">
        <f t="shared" si="40"/>
        <v>2400</v>
      </c>
      <c r="AU26" s="71">
        <f t="shared" si="40"/>
        <v>2600</v>
      </c>
      <c r="AV26" s="71">
        <f t="shared" si="40"/>
        <v>2800</v>
      </c>
      <c r="AW26" s="71">
        <f t="shared" si="40"/>
        <v>2800</v>
      </c>
      <c r="AX26" s="71">
        <f t="shared" si="40"/>
        <v>2800</v>
      </c>
      <c r="AY26" s="71">
        <f t="shared" si="40"/>
        <v>2800</v>
      </c>
      <c r="AZ26" s="71">
        <f t="shared" si="41"/>
        <v>2800</v>
      </c>
      <c r="BA26" s="71">
        <f t="shared" si="41"/>
        <v>2800</v>
      </c>
      <c r="BB26" s="71">
        <f t="shared" si="41"/>
        <v>2800</v>
      </c>
      <c r="BC26" s="71">
        <f t="shared" si="41"/>
        <v>2800</v>
      </c>
      <c r="BD26" s="71">
        <f t="shared" si="41"/>
        <v>2800</v>
      </c>
      <c r="BE26" s="71">
        <f t="shared" si="41"/>
        <v>2800</v>
      </c>
      <c r="BF26" s="71">
        <f t="shared" si="41"/>
        <v>2800</v>
      </c>
      <c r="BG26" s="71">
        <f t="shared" ref="BG26:BG39" si="44">BF26</f>
        <v>2800</v>
      </c>
    </row>
    <row r="27" spans="1:59" x14ac:dyDescent="0.25">
      <c r="A27" s="3" t="s">
        <v>4</v>
      </c>
      <c r="B27" s="82" t="s">
        <v>43</v>
      </c>
      <c r="C27" s="3" t="s">
        <v>15</v>
      </c>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71">
        <f t="shared" si="42"/>
        <v>0</v>
      </c>
      <c r="AD27" s="12"/>
      <c r="AE27" s="3" t="s">
        <v>4</v>
      </c>
      <c r="AF27" s="12" t="str">
        <f t="shared" si="43"/>
        <v>設計</v>
      </c>
      <c r="AG27" s="15" t="str">
        <f t="shared" si="39"/>
        <v>USD</v>
      </c>
      <c r="AH27" s="12">
        <f t="shared" si="39"/>
        <v>0</v>
      </c>
      <c r="AI27" s="71">
        <f>AH27+E27</f>
        <v>0</v>
      </c>
      <c r="AJ27" s="71">
        <f t="shared" si="40"/>
        <v>0</v>
      </c>
      <c r="AK27" s="71">
        <f t="shared" si="40"/>
        <v>0</v>
      </c>
      <c r="AL27" s="71">
        <f t="shared" si="40"/>
        <v>0</v>
      </c>
      <c r="AM27" s="71">
        <f t="shared" si="40"/>
        <v>0</v>
      </c>
      <c r="AN27" s="71">
        <f t="shared" si="40"/>
        <v>0</v>
      </c>
      <c r="AO27" s="71">
        <f t="shared" si="40"/>
        <v>0</v>
      </c>
      <c r="AP27" s="71">
        <f t="shared" si="40"/>
        <v>0</v>
      </c>
      <c r="AQ27" s="71">
        <f t="shared" si="40"/>
        <v>0</v>
      </c>
      <c r="AR27" s="71">
        <f t="shared" si="40"/>
        <v>0</v>
      </c>
      <c r="AS27" s="71">
        <f t="shared" si="40"/>
        <v>0</v>
      </c>
      <c r="AT27" s="71">
        <f t="shared" si="40"/>
        <v>0</v>
      </c>
      <c r="AU27" s="71">
        <f t="shared" si="40"/>
        <v>0</v>
      </c>
      <c r="AV27" s="71">
        <f t="shared" si="40"/>
        <v>0</v>
      </c>
      <c r="AW27" s="71">
        <f t="shared" si="40"/>
        <v>0</v>
      </c>
      <c r="AX27" s="71">
        <f t="shared" si="40"/>
        <v>0</v>
      </c>
      <c r="AY27" s="71">
        <f t="shared" si="40"/>
        <v>0</v>
      </c>
      <c r="AZ27" s="71">
        <f t="shared" si="41"/>
        <v>0</v>
      </c>
      <c r="BA27" s="71">
        <f t="shared" si="41"/>
        <v>0</v>
      </c>
      <c r="BB27" s="71">
        <f t="shared" si="41"/>
        <v>0</v>
      </c>
      <c r="BC27" s="71">
        <f t="shared" si="41"/>
        <v>0</v>
      </c>
      <c r="BD27" s="71">
        <f t="shared" si="41"/>
        <v>0</v>
      </c>
      <c r="BE27" s="71">
        <f t="shared" si="41"/>
        <v>0</v>
      </c>
      <c r="BF27" s="71">
        <f t="shared" si="41"/>
        <v>0</v>
      </c>
      <c r="BG27" s="71">
        <f t="shared" si="44"/>
        <v>0</v>
      </c>
    </row>
    <row r="28" spans="1:59" x14ac:dyDescent="0.25">
      <c r="A28" s="3" t="s">
        <v>107</v>
      </c>
      <c r="B28" s="82" t="s">
        <v>43</v>
      </c>
      <c r="C28" s="3" t="s">
        <v>16</v>
      </c>
      <c r="D28" s="88"/>
      <c r="E28" s="88"/>
      <c r="F28" s="88"/>
      <c r="G28" s="88"/>
      <c r="H28" s="88"/>
      <c r="I28" s="88">
        <f>IF(設計案成本估算!$B$5&gt;0,100*設計案成本估算!$B$5,0)</f>
        <v>100</v>
      </c>
      <c r="J28" s="88"/>
      <c r="K28" s="88"/>
      <c r="L28" s="88"/>
      <c r="M28" s="88"/>
      <c r="N28" s="88">
        <f>IF(設計案成本估算!$B$5&gt;0,100*設計案成本估算!$B$5,0)</f>
        <v>100</v>
      </c>
      <c r="O28" s="88"/>
      <c r="P28" s="88"/>
      <c r="Q28" s="88"/>
      <c r="R28" s="88"/>
      <c r="S28" s="88">
        <f>IF(設計案成本估算!$B$5&gt;0,100*設計案成本估算!$B$5,0)</f>
        <v>100</v>
      </c>
      <c r="T28" s="88"/>
      <c r="U28" s="88"/>
      <c r="V28" s="88"/>
      <c r="W28" s="88"/>
      <c r="X28" s="88">
        <f>IF(設計案成本估算!$B$5&gt;0,100*設計案成本估算!$B$5,0)</f>
        <v>100</v>
      </c>
      <c r="Y28" s="88"/>
      <c r="Z28" s="88"/>
      <c r="AA28" s="88"/>
      <c r="AB28" s="88"/>
      <c r="AC28" s="71">
        <f t="shared" si="42"/>
        <v>400</v>
      </c>
      <c r="AD28" s="12"/>
      <c r="AE28" s="3" t="s">
        <v>107</v>
      </c>
      <c r="AF28" s="12" t="str">
        <f t="shared" si="43"/>
        <v>設計</v>
      </c>
      <c r="AG28" s="15" t="str">
        <f t="shared" si="39"/>
        <v>EUR</v>
      </c>
      <c r="AH28" s="12">
        <f t="shared" si="39"/>
        <v>0</v>
      </c>
      <c r="AI28" s="71">
        <f>AH28+E28</f>
        <v>0</v>
      </c>
      <c r="AJ28" s="71">
        <f t="shared" si="40"/>
        <v>0</v>
      </c>
      <c r="AK28" s="71">
        <f t="shared" si="40"/>
        <v>0</v>
      </c>
      <c r="AL28" s="71">
        <f t="shared" si="40"/>
        <v>0</v>
      </c>
      <c r="AM28" s="71">
        <f t="shared" si="40"/>
        <v>100</v>
      </c>
      <c r="AN28" s="71">
        <f t="shared" si="40"/>
        <v>100</v>
      </c>
      <c r="AO28" s="71">
        <f t="shared" si="40"/>
        <v>100</v>
      </c>
      <c r="AP28" s="71">
        <f t="shared" si="40"/>
        <v>100</v>
      </c>
      <c r="AQ28" s="71">
        <f t="shared" si="40"/>
        <v>100</v>
      </c>
      <c r="AR28" s="71">
        <f t="shared" si="40"/>
        <v>200</v>
      </c>
      <c r="AS28" s="71">
        <f t="shared" si="40"/>
        <v>200</v>
      </c>
      <c r="AT28" s="71">
        <f t="shared" si="40"/>
        <v>200</v>
      </c>
      <c r="AU28" s="71">
        <f t="shared" si="40"/>
        <v>200</v>
      </c>
      <c r="AV28" s="71">
        <f t="shared" si="40"/>
        <v>200</v>
      </c>
      <c r="AW28" s="71">
        <f t="shared" si="40"/>
        <v>300</v>
      </c>
      <c r="AX28" s="71">
        <f t="shared" si="40"/>
        <v>300</v>
      </c>
      <c r="AY28" s="71">
        <f t="shared" si="40"/>
        <v>300</v>
      </c>
      <c r="AZ28" s="71">
        <f t="shared" si="41"/>
        <v>300</v>
      </c>
      <c r="BA28" s="71">
        <f t="shared" si="41"/>
        <v>300</v>
      </c>
      <c r="BB28" s="71">
        <f t="shared" si="41"/>
        <v>400</v>
      </c>
      <c r="BC28" s="71">
        <f t="shared" si="41"/>
        <v>400</v>
      </c>
      <c r="BD28" s="71">
        <f t="shared" si="41"/>
        <v>400</v>
      </c>
      <c r="BE28" s="71">
        <f t="shared" si="41"/>
        <v>400</v>
      </c>
      <c r="BF28" s="71">
        <f t="shared" si="41"/>
        <v>400</v>
      </c>
      <c r="BG28" s="71">
        <f t="shared" si="44"/>
        <v>400</v>
      </c>
    </row>
    <row r="29" spans="1:59" x14ac:dyDescent="0.25">
      <c r="A29" s="3" t="s">
        <v>224</v>
      </c>
      <c r="B29" s="82" t="s">
        <v>43</v>
      </c>
      <c r="C29" s="3" t="s">
        <v>16</v>
      </c>
      <c r="D29" s="88"/>
      <c r="E29" s="88"/>
      <c r="F29" s="88"/>
      <c r="G29" s="88"/>
      <c r="H29" s="88"/>
      <c r="I29" s="88">
        <f>IF(設計案成本估算!$B$5&gt;0,150*設計案成本估算!$B$5,0)</f>
        <v>150</v>
      </c>
      <c r="J29" s="88"/>
      <c r="K29" s="88"/>
      <c r="L29" s="88"/>
      <c r="M29" s="88"/>
      <c r="N29" s="88">
        <f>IF(設計案成本估算!$B$5&gt;0,150*設計案成本估算!$B$5,0)</f>
        <v>150</v>
      </c>
      <c r="O29" s="88"/>
      <c r="P29" s="88"/>
      <c r="Q29" s="88"/>
      <c r="R29" s="88"/>
      <c r="S29" s="88">
        <f>IF(設計案成本估算!$B$5&gt;0,150*設計案成本估算!$B$5,0)</f>
        <v>150</v>
      </c>
      <c r="T29" s="88"/>
      <c r="U29" s="88"/>
      <c r="V29" s="88"/>
      <c r="W29" s="88"/>
      <c r="X29" s="88">
        <f>IF(設計案成本估算!$B$5&gt;0,150*設計案成本估算!$B$5,0)</f>
        <v>150</v>
      </c>
      <c r="Y29" s="88"/>
      <c r="Z29" s="88"/>
      <c r="AA29" s="88"/>
      <c r="AB29" s="88"/>
      <c r="AC29" s="71">
        <f>SUM(D29:AB29)</f>
        <v>600</v>
      </c>
      <c r="AD29" s="12"/>
      <c r="AE29" s="3" t="s">
        <v>224</v>
      </c>
      <c r="AF29" s="12" t="str">
        <f>B29</f>
        <v>設計</v>
      </c>
      <c r="AG29" s="15" t="str">
        <f>C29</f>
        <v>EUR</v>
      </c>
      <c r="AH29" s="12">
        <f>D29</f>
        <v>0</v>
      </c>
      <c r="AI29" s="71">
        <f t="shared" ref="AI29:AY29" si="45">AH29+E29</f>
        <v>0</v>
      </c>
      <c r="AJ29" s="71">
        <f t="shared" si="45"/>
        <v>0</v>
      </c>
      <c r="AK29" s="71">
        <f t="shared" si="45"/>
        <v>0</v>
      </c>
      <c r="AL29" s="71">
        <f t="shared" si="45"/>
        <v>0</v>
      </c>
      <c r="AM29" s="71">
        <f t="shared" si="45"/>
        <v>150</v>
      </c>
      <c r="AN29" s="71">
        <f t="shared" si="45"/>
        <v>150</v>
      </c>
      <c r="AO29" s="71">
        <f t="shared" si="45"/>
        <v>150</v>
      </c>
      <c r="AP29" s="71">
        <f t="shared" si="45"/>
        <v>150</v>
      </c>
      <c r="AQ29" s="71">
        <f t="shared" si="45"/>
        <v>150</v>
      </c>
      <c r="AR29" s="71">
        <f t="shared" si="45"/>
        <v>300</v>
      </c>
      <c r="AS29" s="71">
        <f t="shared" si="45"/>
        <v>300</v>
      </c>
      <c r="AT29" s="71">
        <f t="shared" si="45"/>
        <v>300</v>
      </c>
      <c r="AU29" s="71">
        <f t="shared" si="45"/>
        <v>300</v>
      </c>
      <c r="AV29" s="71">
        <f t="shared" si="45"/>
        <v>300</v>
      </c>
      <c r="AW29" s="71">
        <f t="shared" si="45"/>
        <v>450</v>
      </c>
      <c r="AX29" s="71">
        <f t="shared" si="45"/>
        <v>450</v>
      </c>
      <c r="AY29" s="71">
        <f t="shared" si="45"/>
        <v>450</v>
      </c>
      <c r="AZ29" s="71">
        <f t="shared" ref="AZ29:BF29" si="46">AY29+V29</f>
        <v>450</v>
      </c>
      <c r="BA29" s="71">
        <f t="shared" si="46"/>
        <v>450</v>
      </c>
      <c r="BB29" s="71">
        <f t="shared" si="46"/>
        <v>600</v>
      </c>
      <c r="BC29" s="71">
        <f t="shared" si="46"/>
        <v>600</v>
      </c>
      <c r="BD29" s="71">
        <f t="shared" si="46"/>
        <v>600</v>
      </c>
      <c r="BE29" s="71">
        <f t="shared" si="46"/>
        <v>600</v>
      </c>
      <c r="BF29" s="71">
        <f t="shared" si="46"/>
        <v>600</v>
      </c>
      <c r="BG29" s="71">
        <f>BF29</f>
        <v>600</v>
      </c>
    </row>
    <row r="30" spans="1:59" x14ac:dyDescent="0.25">
      <c r="A30" s="81" t="s">
        <v>5</v>
      </c>
      <c r="B30" s="82" t="s">
        <v>43</v>
      </c>
      <c r="C30" s="3" t="s">
        <v>17</v>
      </c>
      <c r="D30" s="88"/>
      <c r="E30" s="88"/>
      <c r="F30" s="88"/>
      <c r="G30" s="88">
        <f>IF(設計案成本估算!$B$5&gt;0,9000*設計案成本估算!$B$5,0)</f>
        <v>9000</v>
      </c>
      <c r="H30" s="88">
        <f>IF(設計案成本估算!$B$5&gt;0,9000*設計案成本估算!$B$5,0)</f>
        <v>9000</v>
      </c>
      <c r="I30" s="88">
        <f>IF(設計案成本估算!$B$5&gt;0,9000*設計案成本估算!$B$5,0)</f>
        <v>9000</v>
      </c>
      <c r="J30" s="88">
        <f>IF(設計案成本估算!$B$5&gt;0,9000*設計案成本估算!$B$5,0)</f>
        <v>9000</v>
      </c>
      <c r="K30" s="88">
        <f>IF(設計案成本估算!$B$5&gt;0,9000*設計案成本估算!$B$5,0)</f>
        <v>9000</v>
      </c>
      <c r="L30" s="88">
        <f>IF(設計案成本估算!$B$5&gt;0,9000*設計案成本估算!$B$5,0)</f>
        <v>9000</v>
      </c>
      <c r="M30" s="88">
        <f>IF(設計案成本估算!$B$5&gt;0,9000*設計案成本估算!$B$5,0)</f>
        <v>9000</v>
      </c>
      <c r="N30" s="88">
        <f>IF(設計案成本估算!$B$5&gt;0,10000*設計案成本估算!$B$5,0)</f>
        <v>10000</v>
      </c>
      <c r="O30" s="88">
        <f>IF(設計案成本估算!$B$5&gt;0,10000*設計案成本估算!$B$5,0)</f>
        <v>10000</v>
      </c>
      <c r="P30" s="88">
        <f>IF(設計案成本估算!$B$5&gt;0,10000*設計案成本估算!$B$5,0)</f>
        <v>10000</v>
      </c>
      <c r="Q30" s="88">
        <f>IF(設計案成本估算!$B$5&gt;0,10000*設計案成本估算!$B$5,0)</f>
        <v>10000</v>
      </c>
      <c r="R30" s="88">
        <f>IF(設計案成本估算!$B$5&gt;0,10000*設計案成本估算!$B$5,0)</f>
        <v>10000</v>
      </c>
      <c r="S30" s="88">
        <f>IF(設計案成本估算!$B$5&gt;0,10000*設計案成本估算!$B$5,0)</f>
        <v>10000</v>
      </c>
      <c r="T30" s="88">
        <f>IF(設計案成本估算!$B$5&gt;0,10000*設計案成本估算!$B$5,0)</f>
        <v>10000</v>
      </c>
      <c r="U30" s="88">
        <f>IF(設計案成本估算!$B$5&gt;0,10000*設計案成本估算!$B$5,0)</f>
        <v>10000</v>
      </c>
      <c r="V30" s="88">
        <f>IF(設計案成本估算!$B$5&gt;0,10000*設計案成本估算!$B$5,0)</f>
        <v>10000</v>
      </c>
      <c r="W30" s="88">
        <f>IF(設計案成本估算!$B$5&gt;0,10000*設計案成本估算!$B$5,0)</f>
        <v>10000</v>
      </c>
      <c r="X30" s="88">
        <f>IF(設計案成本估算!$B$5&gt;0,10000*設計案成本估算!$B$5,0)</f>
        <v>10000</v>
      </c>
      <c r="Y30" s="88">
        <f>IF(設計案成本估算!$B$5&gt;0,10000*設計案成本估算!$B$5,0)</f>
        <v>10000</v>
      </c>
      <c r="Z30" s="88">
        <f>IF(設計案成本估算!$B$5&gt;0,10000*設計案成本估算!$B$5,0)</f>
        <v>10000</v>
      </c>
      <c r="AA30" s="88">
        <f>IF(設計案成本估算!$B$5&gt;0,10000*設計案成本估算!$B$5,0)</f>
        <v>10000</v>
      </c>
      <c r="AB30" s="88">
        <f>IF(設計案成本估算!$B$5&gt;0,10000*設計案成本估算!$B$5,0)</f>
        <v>10000</v>
      </c>
      <c r="AC30" s="71">
        <f t="shared" si="42"/>
        <v>213000</v>
      </c>
      <c r="AD30" s="12"/>
      <c r="AE30" s="81" t="s">
        <v>5</v>
      </c>
      <c r="AF30" s="12" t="str">
        <f t="shared" si="43"/>
        <v>設計</v>
      </c>
      <c r="AG30" s="15" t="str">
        <f t="shared" si="39"/>
        <v>JPY</v>
      </c>
      <c r="AH30" s="12">
        <f t="shared" si="39"/>
        <v>0</v>
      </c>
      <c r="AI30" s="71">
        <f t="shared" ref="AI30:AI39" si="47">AH30+E30</f>
        <v>0</v>
      </c>
      <c r="AJ30" s="71">
        <f t="shared" si="40"/>
        <v>0</v>
      </c>
      <c r="AK30" s="71">
        <f t="shared" si="40"/>
        <v>9000</v>
      </c>
      <c r="AL30" s="71">
        <f t="shared" si="40"/>
        <v>18000</v>
      </c>
      <c r="AM30" s="71">
        <f t="shared" si="40"/>
        <v>27000</v>
      </c>
      <c r="AN30" s="71">
        <f t="shared" si="40"/>
        <v>36000</v>
      </c>
      <c r="AO30" s="71">
        <f t="shared" si="40"/>
        <v>45000</v>
      </c>
      <c r="AP30" s="71">
        <f t="shared" si="40"/>
        <v>54000</v>
      </c>
      <c r="AQ30" s="71">
        <f t="shared" si="40"/>
        <v>63000</v>
      </c>
      <c r="AR30" s="71">
        <f t="shared" si="40"/>
        <v>73000</v>
      </c>
      <c r="AS30" s="71">
        <f t="shared" si="40"/>
        <v>83000</v>
      </c>
      <c r="AT30" s="71">
        <f t="shared" si="40"/>
        <v>93000</v>
      </c>
      <c r="AU30" s="71">
        <f t="shared" si="40"/>
        <v>103000</v>
      </c>
      <c r="AV30" s="71">
        <f t="shared" si="40"/>
        <v>113000</v>
      </c>
      <c r="AW30" s="71">
        <f t="shared" si="40"/>
        <v>123000</v>
      </c>
      <c r="AX30" s="71">
        <f t="shared" si="40"/>
        <v>133000</v>
      </c>
      <c r="AY30" s="71">
        <f t="shared" si="40"/>
        <v>143000</v>
      </c>
      <c r="AZ30" s="71">
        <f t="shared" si="41"/>
        <v>153000</v>
      </c>
      <c r="BA30" s="71">
        <f t="shared" si="41"/>
        <v>163000</v>
      </c>
      <c r="BB30" s="71">
        <f t="shared" si="41"/>
        <v>173000</v>
      </c>
      <c r="BC30" s="71">
        <f t="shared" si="41"/>
        <v>183000</v>
      </c>
      <c r="BD30" s="71">
        <f t="shared" si="41"/>
        <v>193000</v>
      </c>
      <c r="BE30" s="71">
        <f t="shared" si="41"/>
        <v>203000</v>
      </c>
      <c r="BF30" s="71">
        <f t="shared" si="41"/>
        <v>213000</v>
      </c>
      <c r="BG30" s="71">
        <f t="shared" si="44"/>
        <v>213000</v>
      </c>
    </row>
    <row r="31" spans="1:59" x14ac:dyDescent="0.25">
      <c r="A31" s="81" t="s">
        <v>6</v>
      </c>
      <c r="B31" s="82" t="s">
        <v>43</v>
      </c>
      <c r="C31" s="3" t="s">
        <v>15</v>
      </c>
      <c r="D31" s="88"/>
      <c r="E31" s="88"/>
      <c r="F31" s="88"/>
      <c r="G31" s="88">
        <f>IF(設計案成本估算!$B$5&gt;0,150*設計案成本估算!$B$5,0)</f>
        <v>150</v>
      </c>
      <c r="H31" s="88">
        <f>IF(設計案成本估算!$B$5&gt;0,150*設計案成本估算!$B$5,0)</f>
        <v>150</v>
      </c>
      <c r="I31" s="88">
        <f>IF(設計案成本估算!$B$5&gt;0,150*設計案成本估算!$B$5,0)</f>
        <v>150</v>
      </c>
      <c r="J31" s="88">
        <f>IF(設計案成本估算!$B$5&gt;0,170*設計案成本估算!$B$5,0)</f>
        <v>170</v>
      </c>
      <c r="K31" s="88">
        <f>IF(設計案成本估算!$B$5&gt;0,170*設計案成本估算!$B$5,0)</f>
        <v>170</v>
      </c>
      <c r="L31" s="88">
        <f>IF(設計案成本估算!$B$5&gt;0,170*設計案成本估算!$B$5,0)</f>
        <v>170</v>
      </c>
      <c r="M31" s="88">
        <f>IF(設計案成本估算!$B$5&gt;0,190*設計案成本估算!$B$5,0)</f>
        <v>190</v>
      </c>
      <c r="N31" s="88">
        <f>IF(設計案成本估算!$B$5&gt;0,190*設計案成本估算!$B$5,0)</f>
        <v>190</v>
      </c>
      <c r="O31" s="88">
        <f>IF(設計案成本估算!$B$5&gt;0,190*設計案成本估算!$B$5,0)</f>
        <v>190</v>
      </c>
      <c r="P31" s="88">
        <f>IF(設計案成本估算!$B$5&gt;0,210*設計案成本估算!$B$5,0)</f>
        <v>210</v>
      </c>
      <c r="Q31" s="88">
        <f>IF(設計案成本估算!$B$5&gt;0,210*設計案成本估算!$B$5,0)</f>
        <v>210</v>
      </c>
      <c r="R31" s="88">
        <f>IF(設計案成本估算!$B$5&gt;0,210*設計案成本估算!$B$5,0)</f>
        <v>210</v>
      </c>
      <c r="S31" s="88">
        <f>IF(設計案成本估算!$B$5&gt;0,210*設計案成本估算!$B$5,0)</f>
        <v>210</v>
      </c>
      <c r="T31" s="88">
        <f>IF(設計案成本估算!$B$5&gt;0,210*設計案成本估算!$B$5,0)</f>
        <v>210</v>
      </c>
      <c r="U31" s="88">
        <f>IF(設計案成本估算!$B$5&gt;0,210*設計案成本估算!$B$5,0)</f>
        <v>210</v>
      </c>
      <c r="V31" s="88">
        <f>IF(設計案成本估算!$B$5&gt;0,210*設計案成本估算!$B$5,0)</f>
        <v>210</v>
      </c>
      <c r="W31" s="88">
        <f>IF(設計案成本估算!$B$5&gt;0,210*設計案成本估算!$B$5,0)</f>
        <v>210</v>
      </c>
      <c r="X31" s="88"/>
      <c r="Y31" s="88"/>
      <c r="Z31" s="88"/>
      <c r="AA31" s="88"/>
      <c r="AB31" s="88"/>
      <c r="AC31" s="71">
        <f t="shared" si="42"/>
        <v>3210</v>
      </c>
      <c r="AD31" s="12"/>
      <c r="AE31" s="81" t="s">
        <v>6</v>
      </c>
      <c r="AF31" s="12" t="str">
        <f t="shared" si="43"/>
        <v>設計</v>
      </c>
      <c r="AG31" s="15" t="str">
        <f t="shared" si="39"/>
        <v>USD</v>
      </c>
      <c r="AH31" s="12">
        <f t="shared" si="39"/>
        <v>0</v>
      </c>
      <c r="AI31" s="71">
        <f t="shared" si="47"/>
        <v>0</v>
      </c>
      <c r="AJ31" s="71">
        <f t="shared" si="40"/>
        <v>0</v>
      </c>
      <c r="AK31" s="71">
        <f t="shared" si="40"/>
        <v>150</v>
      </c>
      <c r="AL31" s="71">
        <f t="shared" si="40"/>
        <v>300</v>
      </c>
      <c r="AM31" s="71">
        <f t="shared" si="40"/>
        <v>450</v>
      </c>
      <c r="AN31" s="71">
        <f t="shared" si="40"/>
        <v>620</v>
      </c>
      <c r="AO31" s="71">
        <f t="shared" si="40"/>
        <v>790</v>
      </c>
      <c r="AP31" s="71">
        <f t="shared" si="40"/>
        <v>960</v>
      </c>
      <c r="AQ31" s="71">
        <f t="shared" si="40"/>
        <v>1150</v>
      </c>
      <c r="AR31" s="71">
        <f t="shared" si="40"/>
        <v>1340</v>
      </c>
      <c r="AS31" s="71">
        <f t="shared" si="40"/>
        <v>1530</v>
      </c>
      <c r="AT31" s="71">
        <f t="shared" si="40"/>
        <v>1740</v>
      </c>
      <c r="AU31" s="71">
        <f t="shared" si="40"/>
        <v>1950</v>
      </c>
      <c r="AV31" s="71">
        <f t="shared" si="40"/>
        <v>2160</v>
      </c>
      <c r="AW31" s="71">
        <f t="shared" si="40"/>
        <v>2370</v>
      </c>
      <c r="AX31" s="71">
        <f t="shared" si="40"/>
        <v>2580</v>
      </c>
      <c r="AY31" s="71">
        <f t="shared" si="40"/>
        <v>2790</v>
      </c>
      <c r="AZ31" s="71">
        <f t="shared" si="41"/>
        <v>3000</v>
      </c>
      <c r="BA31" s="71">
        <f t="shared" si="41"/>
        <v>3210</v>
      </c>
      <c r="BB31" s="71">
        <f t="shared" si="41"/>
        <v>3210</v>
      </c>
      <c r="BC31" s="71">
        <f t="shared" si="41"/>
        <v>3210</v>
      </c>
      <c r="BD31" s="71">
        <f t="shared" si="41"/>
        <v>3210</v>
      </c>
      <c r="BE31" s="71">
        <f t="shared" si="41"/>
        <v>3210</v>
      </c>
      <c r="BF31" s="71">
        <f t="shared" si="41"/>
        <v>3210</v>
      </c>
      <c r="BG31" s="71">
        <f t="shared" si="44"/>
        <v>3210</v>
      </c>
    </row>
    <row r="32" spans="1:59" x14ac:dyDescent="0.25">
      <c r="A32" s="3" t="s">
        <v>35</v>
      </c>
      <c r="B32" s="82" t="s">
        <v>43</v>
      </c>
      <c r="C32" s="3" t="s">
        <v>36</v>
      </c>
      <c r="D32" s="88"/>
      <c r="E32" s="88"/>
      <c r="F32" s="88"/>
      <c r="G32" s="88"/>
      <c r="H32" s="88"/>
      <c r="I32" s="88">
        <v>315</v>
      </c>
      <c r="J32" s="88"/>
      <c r="K32" s="88"/>
      <c r="L32" s="88"/>
      <c r="M32" s="88"/>
      <c r="N32" s="88"/>
      <c r="O32" s="88"/>
      <c r="P32" s="88"/>
      <c r="Q32" s="88"/>
      <c r="R32" s="88"/>
      <c r="S32" s="88"/>
      <c r="T32" s="88"/>
      <c r="U32" s="88"/>
      <c r="V32" s="88"/>
      <c r="W32" s="88"/>
      <c r="X32" s="88"/>
      <c r="Y32" s="88"/>
      <c r="Z32" s="88"/>
      <c r="AA32" s="88"/>
      <c r="AB32" s="88"/>
      <c r="AC32" s="71">
        <f>SUM(D32:AB32)</f>
        <v>315</v>
      </c>
      <c r="AD32" s="12"/>
      <c r="AE32" s="3" t="s">
        <v>35</v>
      </c>
      <c r="AF32" s="12" t="str">
        <f t="shared" ref="AF32:AH33" si="48">B32</f>
        <v>設計</v>
      </c>
      <c r="AG32" s="15" t="str">
        <f t="shared" si="48"/>
        <v>CAD</v>
      </c>
      <c r="AH32" s="12">
        <f t="shared" si="48"/>
        <v>0</v>
      </c>
      <c r="AI32" s="71">
        <f t="shared" ref="AI32:BF32" si="49">AH32+E32</f>
        <v>0</v>
      </c>
      <c r="AJ32" s="71">
        <f t="shared" si="49"/>
        <v>0</v>
      </c>
      <c r="AK32" s="71">
        <f t="shared" si="49"/>
        <v>0</v>
      </c>
      <c r="AL32" s="71">
        <f t="shared" si="49"/>
        <v>0</v>
      </c>
      <c r="AM32" s="71">
        <f t="shared" si="49"/>
        <v>315</v>
      </c>
      <c r="AN32" s="71">
        <f t="shared" si="49"/>
        <v>315</v>
      </c>
      <c r="AO32" s="71">
        <f t="shared" si="49"/>
        <v>315</v>
      </c>
      <c r="AP32" s="71">
        <f t="shared" si="49"/>
        <v>315</v>
      </c>
      <c r="AQ32" s="71">
        <f t="shared" si="49"/>
        <v>315</v>
      </c>
      <c r="AR32" s="71">
        <f t="shared" si="49"/>
        <v>315</v>
      </c>
      <c r="AS32" s="71">
        <f t="shared" si="49"/>
        <v>315</v>
      </c>
      <c r="AT32" s="71">
        <f t="shared" si="49"/>
        <v>315</v>
      </c>
      <c r="AU32" s="71">
        <f t="shared" si="49"/>
        <v>315</v>
      </c>
      <c r="AV32" s="71">
        <f t="shared" si="49"/>
        <v>315</v>
      </c>
      <c r="AW32" s="71">
        <f t="shared" si="49"/>
        <v>315</v>
      </c>
      <c r="AX32" s="71">
        <f t="shared" si="49"/>
        <v>315</v>
      </c>
      <c r="AY32" s="71">
        <f t="shared" si="49"/>
        <v>315</v>
      </c>
      <c r="AZ32" s="71">
        <f t="shared" si="49"/>
        <v>315</v>
      </c>
      <c r="BA32" s="71">
        <f t="shared" si="49"/>
        <v>315</v>
      </c>
      <c r="BB32" s="71">
        <f t="shared" si="49"/>
        <v>315</v>
      </c>
      <c r="BC32" s="71">
        <f t="shared" si="49"/>
        <v>315</v>
      </c>
      <c r="BD32" s="71">
        <f t="shared" si="49"/>
        <v>315</v>
      </c>
      <c r="BE32" s="71">
        <f t="shared" si="49"/>
        <v>315</v>
      </c>
      <c r="BF32" s="71">
        <f t="shared" si="49"/>
        <v>315</v>
      </c>
      <c r="BG32" s="71">
        <f>BF32</f>
        <v>315</v>
      </c>
    </row>
    <row r="33" spans="1:59" x14ac:dyDescent="0.25">
      <c r="A33" s="146" t="s">
        <v>315</v>
      </c>
      <c r="B33" s="82" t="s">
        <v>43</v>
      </c>
      <c r="C33" s="3" t="s">
        <v>317</v>
      </c>
      <c r="D33" s="88"/>
      <c r="E33" s="88"/>
      <c r="F33" s="88"/>
      <c r="G33" s="88"/>
      <c r="H33" s="88"/>
      <c r="I33" s="88">
        <f>IF(設計案成本估算!$B$5&gt;0,570*設計案成本估算!$B$5,0)</f>
        <v>570</v>
      </c>
      <c r="J33" s="88"/>
      <c r="K33" s="88"/>
      <c r="L33" s="88"/>
      <c r="M33" s="88"/>
      <c r="N33" s="88"/>
      <c r="O33" s="88"/>
      <c r="P33" s="88"/>
      <c r="Q33" s="88"/>
      <c r="R33" s="88"/>
      <c r="S33" s="88"/>
      <c r="T33" s="88"/>
      <c r="U33" s="88"/>
      <c r="V33" s="88"/>
      <c r="W33" s="88"/>
      <c r="X33" s="88"/>
      <c r="Y33" s="88"/>
      <c r="Z33" s="88"/>
      <c r="AA33" s="88"/>
      <c r="AB33" s="88"/>
      <c r="AC33" s="71">
        <f>SUM(D33:AB33)</f>
        <v>570</v>
      </c>
      <c r="AD33" s="12"/>
      <c r="AE33" s="81" t="s">
        <v>309</v>
      </c>
      <c r="AF33" s="12" t="str">
        <f t="shared" si="48"/>
        <v>設計</v>
      </c>
      <c r="AG33" s="15" t="str">
        <f t="shared" si="48"/>
        <v>AUD</v>
      </c>
      <c r="AH33" s="12">
        <f t="shared" si="48"/>
        <v>0</v>
      </c>
      <c r="AI33" s="71">
        <f t="shared" ref="AI33:BF33" si="50">AH33+E33</f>
        <v>0</v>
      </c>
      <c r="AJ33" s="71">
        <f t="shared" si="50"/>
        <v>0</v>
      </c>
      <c r="AK33" s="71">
        <f t="shared" si="50"/>
        <v>0</v>
      </c>
      <c r="AL33" s="71">
        <f t="shared" si="50"/>
        <v>0</v>
      </c>
      <c r="AM33" s="71">
        <f t="shared" si="50"/>
        <v>570</v>
      </c>
      <c r="AN33" s="71">
        <f t="shared" si="50"/>
        <v>570</v>
      </c>
      <c r="AO33" s="71">
        <f t="shared" si="50"/>
        <v>570</v>
      </c>
      <c r="AP33" s="71">
        <f t="shared" si="50"/>
        <v>570</v>
      </c>
      <c r="AQ33" s="71">
        <f t="shared" si="50"/>
        <v>570</v>
      </c>
      <c r="AR33" s="71">
        <f t="shared" si="50"/>
        <v>570</v>
      </c>
      <c r="AS33" s="71">
        <f t="shared" si="50"/>
        <v>570</v>
      </c>
      <c r="AT33" s="71">
        <f t="shared" si="50"/>
        <v>570</v>
      </c>
      <c r="AU33" s="71">
        <f t="shared" si="50"/>
        <v>570</v>
      </c>
      <c r="AV33" s="71">
        <f t="shared" si="50"/>
        <v>570</v>
      </c>
      <c r="AW33" s="71">
        <f t="shared" si="50"/>
        <v>570</v>
      </c>
      <c r="AX33" s="71">
        <f t="shared" si="50"/>
        <v>570</v>
      </c>
      <c r="AY33" s="71">
        <f t="shared" si="50"/>
        <v>570</v>
      </c>
      <c r="AZ33" s="71">
        <f t="shared" si="50"/>
        <v>570</v>
      </c>
      <c r="BA33" s="71">
        <f t="shared" si="50"/>
        <v>570</v>
      </c>
      <c r="BB33" s="71">
        <f t="shared" si="50"/>
        <v>570</v>
      </c>
      <c r="BC33" s="71">
        <f t="shared" si="50"/>
        <v>570</v>
      </c>
      <c r="BD33" s="71">
        <f t="shared" si="50"/>
        <v>570</v>
      </c>
      <c r="BE33" s="71">
        <f t="shared" si="50"/>
        <v>570</v>
      </c>
      <c r="BF33" s="71">
        <f t="shared" si="50"/>
        <v>570</v>
      </c>
      <c r="BG33" s="71">
        <f>BF33</f>
        <v>570</v>
      </c>
    </row>
    <row r="34" spans="1:59" x14ac:dyDescent="0.25">
      <c r="A34" s="3" t="s">
        <v>7</v>
      </c>
      <c r="B34" s="82" t="s">
        <v>43</v>
      </c>
      <c r="C34" s="3" t="s">
        <v>19</v>
      </c>
      <c r="D34" s="88"/>
      <c r="E34" s="88"/>
      <c r="F34" s="88"/>
      <c r="G34" s="88"/>
      <c r="H34" s="88"/>
      <c r="I34" s="88">
        <f>IF(設計案成本估算!$B$5&gt;0,500*設計案成本估算!$B$5,0)</f>
        <v>500</v>
      </c>
      <c r="J34" s="88"/>
      <c r="K34" s="88"/>
      <c r="L34" s="88"/>
      <c r="M34" s="88"/>
      <c r="N34" s="88">
        <f>IF(設計案成本估算!$B$5&gt;0,400*設計案成本估算!$B$5,0)</f>
        <v>400</v>
      </c>
      <c r="O34" s="88"/>
      <c r="P34" s="88"/>
      <c r="Q34" s="88"/>
      <c r="R34" s="88"/>
      <c r="S34" s="88"/>
      <c r="T34" s="88"/>
      <c r="U34" s="88"/>
      <c r="V34" s="88"/>
      <c r="W34" s="88"/>
      <c r="X34" s="88"/>
      <c r="Y34" s="88"/>
      <c r="Z34" s="88"/>
      <c r="AA34" s="88"/>
      <c r="AB34" s="88"/>
      <c r="AC34" s="71">
        <f t="shared" si="42"/>
        <v>900</v>
      </c>
      <c r="AD34" s="12"/>
      <c r="AE34" s="3" t="s">
        <v>7</v>
      </c>
      <c r="AF34" s="12" t="str">
        <f t="shared" si="43"/>
        <v>設計</v>
      </c>
      <c r="AG34" s="15" t="str">
        <f t="shared" si="39"/>
        <v>SGD</v>
      </c>
      <c r="AH34" s="12">
        <f t="shared" si="39"/>
        <v>0</v>
      </c>
      <c r="AI34" s="71">
        <f t="shared" si="47"/>
        <v>0</v>
      </c>
      <c r="AJ34" s="71">
        <f t="shared" si="40"/>
        <v>0</v>
      </c>
      <c r="AK34" s="71">
        <f t="shared" si="40"/>
        <v>0</v>
      </c>
      <c r="AL34" s="71">
        <f t="shared" si="40"/>
        <v>0</v>
      </c>
      <c r="AM34" s="71">
        <f t="shared" si="40"/>
        <v>500</v>
      </c>
      <c r="AN34" s="71">
        <f t="shared" si="40"/>
        <v>500</v>
      </c>
      <c r="AO34" s="71">
        <f t="shared" si="40"/>
        <v>500</v>
      </c>
      <c r="AP34" s="71">
        <f t="shared" si="40"/>
        <v>500</v>
      </c>
      <c r="AQ34" s="71">
        <f t="shared" si="40"/>
        <v>500</v>
      </c>
      <c r="AR34" s="71">
        <f t="shared" si="40"/>
        <v>900</v>
      </c>
      <c r="AS34" s="71">
        <f t="shared" si="40"/>
        <v>900</v>
      </c>
      <c r="AT34" s="71">
        <f t="shared" si="40"/>
        <v>900</v>
      </c>
      <c r="AU34" s="71">
        <f t="shared" si="40"/>
        <v>900</v>
      </c>
      <c r="AV34" s="71">
        <f t="shared" si="40"/>
        <v>900</v>
      </c>
      <c r="AW34" s="71">
        <f t="shared" si="40"/>
        <v>900</v>
      </c>
      <c r="AX34" s="71">
        <f t="shared" si="40"/>
        <v>900</v>
      </c>
      <c r="AY34" s="71">
        <f t="shared" si="40"/>
        <v>900</v>
      </c>
      <c r="AZ34" s="71">
        <f t="shared" si="41"/>
        <v>900</v>
      </c>
      <c r="BA34" s="71">
        <f t="shared" si="41"/>
        <v>900</v>
      </c>
      <c r="BB34" s="71">
        <f t="shared" si="41"/>
        <v>900</v>
      </c>
      <c r="BC34" s="71">
        <f t="shared" si="41"/>
        <v>900</v>
      </c>
      <c r="BD34" s="71">
        <f t="shared" si="41"/>
        <v>900</v>
      </c>
      <c r="BE34" s="71">
        <f t="shared" si="41"/>
        <v>900</v>
      </c>
      <c r="BF34" s="71">
        <f t="shared" si="41"/>
        <v>900</v>
      </c>
      <c r="BG34" s="71">
        <f t="shared" si="44"/>
        <v>900</v>
      </c>
    </row>
    <row r="35" spans="1:59" x14ac:dyDescent="0.25">
      <c r="A35" s="81" t="s">
        <v>10</v>
      </c>
      <c r="B35" s="82" t="s">
        <v>43</v>
      </c>
      <c r="C35" s="3" t="s">
        <v>22</v>
      </c>
      <c r="D35" s="88"/>
      <c r="E35" s="88"/>
      <c r="F35" s="88"/>
      <c r="G35" s="88"/>
      <c r="H35" s="88"/>
      <c r="I35" s="88">
        <f>IF(設計案成本估算!$B$5&gt;0,600*設計案成本估算!$B$5,0)</f>
        <v>600</v>
      </c>
      <c r="J35" s="88"/>
      <c r="K35" s="88"/>
      <c r="L35" s="88"/>
      <c r="M35" s="88"/>
      <c r="N35" s="88">
        <f>IF(設計案成本估算!$B$5&gt;0,600*設計案成本估算!$B$5,0)</f>
        <v>600</v>
      </c>
      <c r="O35" s="88"/>
      <c r="P35" s="88"/>
      <c r="Q35" s="88"/>
      <c r="R35" s="88"/>
      <c r="S35" s="88">
        <f>IF(設計案成本估算!$B$5&gt;0,600*設計案成本估算!$B$5,0)</f>
        <v>600</v>
      </c>
      <c r="T35" s="88"/>
      <c r="U35" s="88"/>
      <c r="V35" s="88"/>
      <c r="W35" s="88"/>
      <c r="X35" s="88">
        <f>IF(設計案成本估算!$B$5&gt;0,600*設計案成本估算!$B$5,0)</f>
        <v>600</v>
      </c>
      <c r="Y35" s="88"/>
      <c r="Z35" s="88"/>
      <c r="AA35" s="88"/>
      <c r="AB35" s="88"/>
      <c r="AC35" s="71">
        <f>SUM(D35:AB35)</f>
        <v>2400</v>
      </c>
      <c r="AD35" s="12"/>
      <c r="AE35" s="81" t="s">
        <v>10</v>
      </c>
      <c r="AF35" s="12" t="str">
        <f>B35</f>
        <v>設計</v>
      </c>
      <c r="AG35" s="15" t="str">
        <f>C35</f>
        <v>MYR</v>
      </c>
      <c r="AH35" s="12">
        <f>D35</f>
        <v>0</v>
      </c>
      <c r="AI35" s="71">
        <f t="shared" ref="AI35:BF35" si="51">AH35+E35</f>
        <v>0</v>
      </c>
      <c r="AJ35" s="71">
        <f t="shared" si="51"/>
        <v>0</v>
      </c>
      <c r="AK35" s="71">
        <f t="shared" si="51"/>
        <v>0</v>
      </c>
      <c r="AL35" s="71">
        <f t="shared" si="51"/>
        <v>0</v>
      </c>
      <c r="AM35" s="71">
        <f t="shared" si="51"/>
        <v>600</v>
      </c>
      <c r="AN35" s="71">
        <f t="shared" si="51"/>
        <v>600</v>
      </c>
      <c r="AO35" s="71">
        <f t="shared" si="51"/>
        <v>600</v>
      </c>
      <c r="AP35" s="71">
        <f t="shared" si="51"/>
        <v>600</v>
      </c>
      <c r="AQ35" s="71">
        <f t="shared" si="51"/>
        <v>600</v>
      </c>
      <c r="AR35" s="71">
        <f t="shared" si="51"/>
        <v>1200</v>
      </c>
      <c r="AS35" s="71">
        <f t="shared" si="51"/>
        <v>1200</v>
      </c>
      <c r="AT35" s="71">
        <f t="shared" si="51"/>
        <v>1200</v>
      </c>
      <c r="AU35" s="71">
        <f t="shared" si="51"/>
        <v>1200</v>
      </c>
      <c r="AV35" s="71">
        <f t="shared" si="51"/>
        <v>1200</v>
      </c>
      <c r="AW35" s="71">
        <f t="shared" si="51"/>
        <v>1800</v>
      </c>
      <c r="AX35" s="71">
        <f t="shared" si="51"/>
        <v>1800</v>
      </c>
      <c r="AY35" s="71">
        <f t="shared" si="51"/>
        <v>1800</v>
      </c>
      <c r="AZ35" s="71">
        <f t="shared" si="51"/>
        <v>1800</v>
      </c>
      <c r="BA35" s="71">
        <f t="shared" si="51"/>
        <v>1800</v>
      </c>
      <c r="BB35" s="71">
        <f t="shared" si="51"/>
        <v>2400</v>
      </c>
      <c r="BC35" s="71">
        <f t="shared" si="51"/>
        <v>2400</v>
      </c>
      <c r="BD35" s="71">
        <f t="shared" si="51"/>
        <v>2400</v>
      </c>
      <c r="BE35" s="71">
        <f t="shared" si="51"/>
        <v>2400</v>
      </c>
      <c r="BF35" s="71">
        <f t="shared" si="51"/>
        <v>2400</v>
      </c>
      <c r="BG35" s="71">
        <f>BF35</f>
        <v>2400</v>
      </c>
    </row>
    <row r="36" spans="1:59" x14ac:dyDescent="0.25">
      <c r="A36" s="51" t="s">
        <v>116</v>
      </c>
      <c r="B36" s="82" t="s">
        <v>43</v>
      </c>
      <c r="C36" s="3" t="s">
        <v>15</v>
      </c>
      <c r="D36" s="88"/>
      <c r="E36" s="88"/>
      <c r="F36" s="88"/>
      <c r="G36" s="88"/>
      <c r="H36" s="88"/>
      <c r="I36" s="88">
        <f>IF(設計案成本估算!$B$5&gt;0,100,0)</f>
        <v>100</v>
      </c>
      <c r="J36" s="88"/>
      <c r="K36" s="88"/>
      <c r="L36" s="88"/>
      <c r="M36" s="88"/>
      <c r="N36" s="88">
        <f>IF(設計案成本估算!$B$5&gt;0,100,0)</f>
        <v>100</v>
      </c>
      <c r="O36" s="88"/>
      <c r="P36" s="88"/>
      <c r="Q36" s="88"/>
      <c r="R36" s="88"/>
      <c r="S36" s="88"/>
      <c r="T36" s="88"/>
      <c r="U36" s="88"/>
      <c r="V36" s="88"/>
      <c r="W36" s="88"/>
      <c r="X36" s="88"/>
      <c r="Y36" s="88"/>
      <c r="Z36" s="88"/>
      <c r="AA36" s="88"/>
      <c r="AB36" s="88"/>
      <c r="AC36" s="71">
        <f t="shared" si="42"/>
        <v>200</v>
      </c>
      <c r="AD36" s="12"/>
      <c r="AE36" s="51" t="s">
        <v>116</v>
      </c>
      <c r="AF36" s="12" t="str">
        <f t="shared" si="43"/>
        <v>設計</v>
      </c>
      <c r="AG36" s="15" t="str">
        <f t="shared" si="39"/>
        <v>USD</v>
      </c>
      <c r="AH36" s="12">
        <f t="shared" si="39"/>
        <v>0</v>
      </c>
      <c r="AI36" s="71">
        <f t="shared" si="47"/>
        <v>0</v>
      </c>
      <c r="AJ36" s="71">
        <f t="shared" si="40"/>
        <v>0</v>
      </c>
      <c r="AK36" s="71">
        <f t="shared" si="40"/>
        <v>0</v>
      </c>
      <c r="AL36" s="71">
        <f t="shared" si="40"/>
        <v>0</v>
      </c>
      <c r="AM36" s="71">
        <f t="shared" si="40"/>
        <v>100</v>
      </c>
      <c r="AN36" s="71">
        <f t="shared" si="40"/>
        <v>100</v>
      </c>
      <c r="AO36" s="71">
        <f t="shared" si="40"/>
        <v>100</v>
      </c>
      <c r="AP36" s="71">
        <f t="shared" si="40"/>
        <v>100</v>
      </c>
      <c r="AQ36" s="71">
        <f t="shared" si="40"/>
        <v>100</v>
      </c>
      <c r="AR36" s="71">
        <f t="shared" si="40"/>
        <v>200</v>
      </c>
      <c r="AS36" s="71">
        <f t="shared" si="40"/>
        <v>200</v>
      </c>
      <c r="AT36" s="71">
        <f t="shared" si="40"/>
        <v>200</v>
      </c>
      <c r="AU36" s="71">
        <f t="shared" si="40"/>
        <v>200</v>
      </c>
      <c r="AV36" s="71">
        <f t="shared" si="40"/>
        <v>200</v>
      </c>
      <c r="AW36" s="71">
        <f t="shared" si="40"/>
        <v>200</v>
      </c>
      <c r="AX36" s="71">
        <f t="shared" si="40"/>
        <v>200</v>
      </c>
      <c r="AY36" s="71">
        <f t="shared" si="40"/>
        <v>200</v>
      </c>
      <c r="AZ36" s="71">
        <f t="shared" si="41"/>
        <v>200</v>
      </c>
      <c r="BA36" s="71">
        <f t="shared" si="41"/>
        <v>200</v>
      </c>
      <c r="BB36" s="71">
        <f t="shared" si="41"/>
        <v>200</v>
      </c>
      <c r="BC36" s="71">
        <f t="shared" si="41"/>
        <v>200</v>
      </c>
      <c r="BD36" s="71">
        <f t="shared" si="41"/>
        <v>200</v>
      </c>
      <c r="BE36" s="71">
        <f t="shared" si="41"/>
        <v>200</v>
      </c>
      <c r="BF36" s="71">
        <f t="shared" si="41"/>
        <v>200</v>
      </c>
      <c r="BG36" s="71">
        <f t="shared" si="44"/>
        <v>200</v>
      </c>
    </row>
    <row r="37" spans="1:59" x14ac:dyDescent="0.25">
      <c r="A37" s="81" t="s">
        <v>96</v>
      </c>
      <c r="B37" s="82" t="s">
        <v>43</v>
      </c>
      <c r="C37" s="3" t="s">
        <v>15</v>
      </c>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71">
        <f>SUM(D37:AB37)</f>
        <v>0</v>
      </c>
      <c r="AD37" s="12"/>
      <c r="AE37" s="81" t="s">
        <v>96</v>
      </c>
      <c r="AF37" s="12" t="str">
        <f>B37</f>
        <v>設計</v>
      </c>
      <c r="AG37" s="15" t="str">
        <f>C37</f>
        <v>USD</v>
      </c>
      <c r="AH37" s="12">
        <f>D37</f>
        <v>0</v>
      </c>
      <c r="AI37" s="71">
        <f>AH37+E37</f>
        <v>0</v>
      </c>
      <c r="AJ37" s="71">
        <f t="shared" ref="AJ37:AY37" si="52">AI37+F37</f>
        <v>0</v>
      </c>
      <c r="AK37" s="71">
        <f t="shared" si="52"/>
        <v>0</v>
      </c>
      <c r="AL37" s="71">
        <f t="shared" si="52"/>
        <v>0</v>
      </c>
      <c r="AM37" s="71">
        <f t="shared" si="52"/>
        <v>0</v>
      </c>
      <c r="AN37" s="71">
        <f t="shared" si="52"/>
        <v>0</v>
      </c>
      <c r="AO37" s="71">
        <f t="shared" si="52"/>
        <v>0</v>
      </c>
      <c r="AP37" s="71">
        <f t="shared" si="52"/>
        <v>0</v>
      </c>
      <c r="AQ37" s="71">
        <f t="shared" si="52"/>
        <v>0</v>
      </c>
      <c r="AR37" s="71">
        <f t="shared" si="52"/>
        <v>0</v>
      </c>
      <c r="AS37" s="71">
        <f t="shared" si="52"/>
        <v>0</v>
      </c>
      <c r="AT37" s="71">
        <f t="shared" si="52"/>
        <v>0</v>
      </c>
      <c r="AU37" s="71">
        <f t="shared" si="52"/>
        <v>0</v>
      </c>
      <c r="AV37" s="71">
        <f t="shared" si="52"/>
        <v>0</v>
      </c>
      <c r="AW37" s="71">
        <f t="shared" si="52"/>
        <v>0</v>
      </c>
      <c r="AX37" s="71">
        <f t="shared" si="52"/>
        <v>0</v>
      </c>
      <c r="AY37" s="71">
        <f t="shared" si="52"/>
        <v>0</v>
      </c>
      <c r="AZ37" s="71">
        <f t="shared" ref="AZ37:BF37" si="53">AY37+V37</f>
        <v>0</v>
      </c>
      <c r="BA37" s="71">
        <f t="shared" si="53"/>
        <v>0</v>
      </c>
      <c r="BB37" s="71">
        <f t="shared" si="53"/>
        <v>0</v>
      </c>
      <c r="BC37" s="71">
        <f t="shared" si="53"/>
        <v>0</v>
      </c>
      <c r="BD37" s="71">
        <f t="shared" si="53"/>
        <v>0</v>
      </c>
      <c r="BE37" s="71">
        <f t="shared" si="53"/>
        <v>0</v>
      </c>
      <c r="BF37" s="71">
        <f t="shared" si="53"/>
        <v>0</v>
      </c>
      <c r="BG37" s="71">
        <f>BF37</f>
        <v>0</v>
      </c>
    </row>
    <row r="38" spans="1:59" x14ac:dyDescent="0.25">
      <c r="A38" s="81" t="s">
        <v>8</v>
      </c>
      <c r="B38" s="82" t="s">
        <v>43</v>
      </c>
      <c r="C38" s="3" t="s">
        <v>15</v>
      </c>
      <c r="D38" s="88"/>
      <c r="E38" s="88"/>
      <c r="F38" s="88"/>
      <c r="G38" s="88"/>
      <c r="H38" s="88"/>
      <c r="I38" s="88">
        <f>IF(設計案成本估算!$B$5&gt;0,160+11*(設計案成本估算!$B$5-1),0)</f>
        <v>160</v>
      </c>
      <c r="J38" s="88"/>
      <c r="K38" s="88"/>
      <c r="L38" s="88"/>
      <c r="M38" s="88"/>
      <c r="N38" s="88">
        <f>IF(設計案成本估算!$B$5&gt;0,160+11*(設計案成本估算!$B$5-1),0)</f>
        <v>160</v>
      </c>
      <c r="O38" s="88"/>
      <c r="P38" s="88"/>
      <c r="Q38" s="88"/>
      <c r="R38" s="88"/>
      <c r="S38" s="88"/>
      <c r="T38" s="88"/>
      <c r="U38" s="88"/>
      <c r="V38" s="88"/>
      <c r="W38" s="88"/>
      <c r="X38" s="88"/>
      <c r="Y38" s="88"/>
      <c r="Z38" s="88"/>
      <c r="AA38" s="88"/>
      <c r="AB38" s="88"/>
      <c r="AC38" s="71">
        <f t="shared" si="42"/>
        <v>320</v>
      </c>
      <c r="AD38" s="12"/>
      <c r="AE38" s="81" t="s">
        <v>8</v>
      </c>
      <c r="AF38" s="12" t="str">
        <f t="shared" si="43"/>
        <v>設計</v>
      </c>
      <c r="AG38" s="15" t="str">
        <f t="shared" si="39"/>
        <v>USD</v>
      </c>
      <c r="AH38" s="12">
        <f t="shared" si="39"/>
        <v>0</v>
      </c>
      <c r="AI38" s="71">
        <f t="shared" si="47"/>
        <v>0</v>
      </c>
      <c r="AJ38" s="71">
        <f t="shared" si="40"/>
        <v>0</v>
      </c>
      <c r="AK38" s="71">
        <f t="shared" si="40"/>
        <v>0</v>
      </c>
      <c r="AL38" s="71">
        <f t="shared" si="40"/>
        <v>0</v>
      </c>
      <c r="AM38" s="71">
        <f t="shared" si="40"/>
        <v>160</v>
      </c>
      <c r="AN38" s="71">
        <f t="shared" si="40"/>
        <v>160</v>
      </c>
      <c r="AO38" s="71">
        <f t="shared" si="40"/>
        <v>160</v>
      </c>
      <c r="AP38" s="71">
        <f t="shared" si="40"/>
        <v>160</v>
      </c>
      <c r="AQ38" s="71">
        <f t="shared" si="40"/>
        <v>160</v>
      </c>
      <c r="AR38" s="71">
        <f t="shared" si="40"/>
        <v>320</v>
      </c>
      <c r="AS38" s="71">
        <f t="shared" si="40"/>
        <v>320</v>
      </c>
      <c r="AT38" s="71">
        <f t="shared" si="40"/>
        <v>320</v>
      </c>
      <c r="AU38" s="71">
        <f t="shared" si="40"/>
        <v>320</v>
      </c>
      <c r="AV38" s="71">
        <f t="shared" si="40"/>
        <v>320</v>
      </c>
      <c r="AW38" s="71">
        <f t="shared" si="40"/>
        <v>320</v>
      </c>
      <c r="AX38" s="71">
        <f t="shared" si="40"/>
        <v>320</v>
      </c>
      <c r="AY38" s="71">
        <f t="shared" si="40"/>
        <v>320</v>
      </c>
      <c r="AZ38" s="71">
        <f t="shared" si="41"/>
        <v>320</v>
      </c>
      <c r="BA38" s="71">
        <f t="shared" si="41"/>
        <v>320</v>
      </c>
      <c r="BB38" s="71">
        <f t="shared" si="41"/>
        <v>320</v>
      </c>
      <c r="BC38" s="71">
        <f t="shared" si="41"/>
        <v>320</v>
      </c>
      <c r="BD38" s="71">
        <f t="shared" si="41"/>
        <v>320</v>
      </c>
      <c r="BE38" s="71">
        <f t="shared" si="41"/>
        <v>320</v>
      </c>
      <c r="BF38" s="71">
        <f t="shared" si="41"/>
        <v>320</v>
      </c>
      <c r="BG38" s="71">
        <f t="shared" si="44"/>
        <v>320</v>
      </c>
    </row>
    <row r="39" spans="1:59" x14ac:dyDescent="0.25">
      <c r="A39" s="81" t="s">
        <v>9</v>
      </c>
      <c r="B39" s="82" t="s">
        <v>43</v>
      </c>
      <c r="C39" s="3" t="s">
        <v>21</v>
      </c>
      <c r="D39" s="88"/>
      <c r="E39" s="88"/>
      <c r="F39" s="88"/>
      <c r="G39" s="88"/>
      <c r="H39" s="88">
        <f>IF(設計案成本估算!$B$5&gt;0,3200*設計案成本估算!$B$5,0)</f>
        <v>3200</v>
      </c>
      <c r="I39" s="88">
        <f>IF(設計案成本估算!$B$5&gt;0,3200*設計案成本估算!$B$5,0)</f>
        <v>3200</v>
      </c>
      <c r="J39" s="88">
        <f>IF(設計案成本估算!$B$5&gt;0,3200*設計案成本估算!$B$5,0)</f>
        <v>3200</v>
      </c>
      <c r="K39" s="88">
        <f>IF(設計案成本估算!$B$5&gt;0,3200*設計案成本估算!$B$5,0)</f>
        <v>3200</v>
      </c>
      <c r="L39" s="88">
        <f>IF(設計案成本估算!$B$5&gt;0,3200*設計案成本估算!$B$5,0)</f>
        <v>3200</v>
      </c>
      <c r="M39" s="88">
        <f>IF(設計案成本估算!$B$5&gt;0,3200*設計案成本估算!$B$5,0)</f>
        <v>3200</v>
      </c>
      <c r="N39" s="88"/>
      <c r="O39" s="88"/>
      <c r="P39" s="88"/>
      <c r="Q39" s="88"/>
      <c r="R39" s="88"/>
      <c r="S39" s="88"/>
      <c r="T39" s="88"/>
      <c r="U39" s="88"/>
      <c r="V39" s="88"/>
      <c r="W39" s="88"/>
      <c r="X39" s="88"/>
      <c r="Y39" s="88"/>
      <c r="Z39" s="88"/>
      <c r="AA39" s="88"/>
      <c r="AB39" s="88"/>
      <c r="AC39" s="71">
        <f t="shared" si="42"/>
        <v>19200</v>
      </c>
      <c r="AD39" s="12"/>
      <c r="AE39" s="81" t="s">
        <v>9</v>
      </c>
      <c r="AF39" s="12" t="str">
        <f t="shared" si="43"/>
        <v>設計</v>
      </c>
      <c r="AG39" s="15" t="str">
        <f t="shared" si="39"/>
        <v>THB</v>
      </c>
      <c r="AH39" s="12">
        <f t="shared" si="39"/>
        <v>0</v>
      </c>
      <c r="AI39" s="71">
        <f t="shared" si="47"/>
        <v>0</v>
      </c>
      <c r="AJ39" s="71">
        <f t="shared" si="40"/>
        <v>0</v>
      </c>
      <c r="AK39" s="71">
        <f t="shared" si="40"/>
        <v>0</v>
      </c>
      <c r="AL39" s="71">
        <f t="shared" si="40"/>
        <v>3200</v>
      </c>
      <c r="AM39" s="71">
        <f t="shared" si="40"/>
        <v>6400</v>
      </c>
      <c r="AN39" s="71">
        <f t="shared" si="40"/>
        <v>9600</v>
      </c>
      <c r="AO39" s="71">
        <f t="shared" si="40"/>
        <v>12800</v>
      </c>
      <c r="AP39" s="71">
        <f t="shared" si="40"/>
        <v>16000</v>
      </c>
      <c r="AQ39" s="71">
        <f t="shared" si="40"/>
        <v>19200</v>
      </c>
      <c r="AR39" s="71">
        <f t="shared" si="40"/>
        <v>19200</v>
      </c>
      <c r="AS39" s="71">
        <f t="shared" si="40"/>
        <v>19200</v>
      </c>
      <c r="AT39" s="71">
        <f t="shared" si="40"/>
        <v>19200</v>
      </c>
      <c r="AU39" s="71">
        <f t="shared" si="40"/>
        <v>19200</v>
      </c>
      <c r="AV39" s="71">
        <f t="shared" si="40"/>
        <v>19200</v>
      </c>
      <c r="AW39" s="71">
        <f t="shared" si="40"/>
        <v>19200</v>
      </c>
      <c r="AX39" s="71">
        <f t="shared" si="40"/>
        <v>19200</v>
      </c>
      <c r="AY39" s="71">
        <f t="shared" si="40"/>
        <v>19200</v>
      </c>
      <c r="AZ39" s="71">
        <f t="shared" si="41"/>
        <v>19200</v>
      </c>
      <c r="BA39" s="71">
        <f t="shared" si="41"/>
        <v>19200</v>
      </c>
      <c r="BB39" s="71">
        <f t="shared" si="41"/>
        <v>19200</v>
      </c>
      <c r="BC39" s="71">
        <f t="shared" si="41"/>
        <v>19200</v>
      </c>
      <c r="BD39" s="71">
        <f t="shared" si="41"/>
        <v>19200</v>
      </c>
      <c r="BE39" s="71">
        <f t="shared" si="41"/>
        <v>19200</v>
      </c>
      <c r="BF39" s="71">
        <f t="shared" si="41"/>
        <v>19200</v>
      </c>
      <c r="BG39" s="71">
        <f t="shared" si="44"/>
        <v>19200</v>
      </c>
    </row>
    <row r="40" spans="1:59" x14ac:dyDescent="0.25">
      <c r="A40" s="81" t="s">
        <v>309</v>
      </c>
      <c r="B40" s="82" t="s">
        <v>43</v>
      </c>
      <c r="C40" s="3" t="s">
        <v>15</v>
      </c>
      <c r="D40" s="88"/>
      <c r="E40" s="88"/>
      <c r="F40" s="88"/>
      <c r="G40" s="88"/>
      <c r="H40" s="88"/>
      <c r="I40" s="88"/>
      <c r="J40" s="88"/>
      <c r="K40" s="88"/>
      <c r="L40" s="88"/>
      <c r="M40" s="88"/>
      <c r="N40" s="88">
        <f>IF(設計案成本估算!$B$5&gt;0,100*設計案成本估算!$B$5,0)</f>
        <v>100</v>
      </c>
      <c r="O40" s="88"/>
      <c r="P40" s="88"/>
      <c r="Q40" s="88"/>
      <c r="R40" s="88"/>
      <c r="S40" s="88"/>
      <c r="T40" s="88"/>
      <c r="U40" s="88"/>
      <c r="V40" s="88"/>
      <c r="W40" s="88"/>
      <c r="X40" s="88"/>
      <c r="Y40" s="88"/>
      <c r="Z40" s="88"/>
      <c r="AA40" s="88"/>
      <c r="AB40" s="88"/>
      <c r="AC40" s="71">
        <f>SUM(D40:AB40)</f>
        <v>100</v>
      </c>
      <c r="AD40" s="12"/>
      <c r="AE40" s="81" t="s">
        <v>309</v>
      </c>
      <c r="AF40" s="12" t="str">
        <f>B40</f>
        <v>設計</v>
      </c>
      <c r="AG40" s="15" t="str">
        <f t="shared" ref="AG40" si="54">C40</f>
        <v>USD</v>
      </c>
      <c r="AH40" s="12">
        <f>D40</f>
        <v>0</v>
      </c>
      <c r="AI40" s="71">
        <f t="shared" ref="AI40" si="55">AH40+E40</f>
        <v>0</v>
      </c>
      <c r="AJ40" s="71">
        <f t="shared" ref="AJ40" si="56">AI40+F40</f>
        <v>0</v>
      </c>
      <c r="AK40" s="71">
        <f t="shared" ref="AK40" si="57">AJ40+G40</f>
        <v>0</v>
      </c>
      <c r="AL40" s="71">
        <f t="shared" ref="AL40" si="58">AK40+H40</f>
        <v>0</v>
      </c>
      <c r="AM40" s="71">
        <f t="shared" ref="AM40" si="59">AL40+I40</f>
        <v>0</v>
      </c>
      <c r="AN40" s="71">
        <f t="shared" ref="AN40" si="60">AM40+J40</f>
        <v>0</v>
      </c>
      <c r="AO40" s="71">
        <f t="shared" ref="AO40" si="61">AN40+K40</f>
        <v>0</v>
      </c>
      <c r="AP40" s="71">
        <f t="shared" ref="AP40" si="62">AO40+L40</f>
        <v>0</v>
      </c>
      <c r="AQ40" s="71">
        <f t="shared" ref="AQ40" si="63">AP40+M40</f>
        <v>0</v>
      </c>
      <c r="AR40" s="71">
        <f t="shared" ref="AR40" si="64">AQ40+N40</f>
        <v>100</v>
      </c>
      <c r="AS40" s="71">
        <f t="shared" ref="AS40" si="65">AR40+O40</f>
        <v>100</v>
      </c>
      <c r="AT40" s="71">
        <f t="shared" ref="AT40" si="66">AS40+P40</f>
        <v>100</v>
      </c>
      <c r="AU40" s="71">
        <f t="shared" ref="AU40" si="67">AT40+Q40</f>
        <v>100</v>
      </c>
      <c r="AV40" s="71">
        <f t="shared" ref="AV40" si="68">AU40+R40</f>
        <v>100</v>
      </c>
      <c r="AW40" s="71">
        <f t="shared" ref="AW40" si="69">AV40+S40</f>
        <v>100</v>
      </c>
      <c r="AX40" s="71">
        <f t="shared" ref="AX40" si="70">AW40+T40</f>
        <v>100</v>
      </c>
      <c r="AY40" s="71">
        <f t="shared" ref="AY40" si="71">AX40+U40</f>
        <v>100</v>
      </c>
      <c r="AZ40" s="71">
        <f t="shared" ref="AZ40" si="72">AY40+V40</f>
        <v>100</v>
      </c>
      <c r="BA40" s="71">
        <f t="shared" ref="BA40" si="73">AZ40+W40</f>
        <v>100</v>
      </c>
      <c r="BB40" s="71">
        <f t="shared" ref="BB40" si="74">BA40+X40</f>
        <v>100</v>
      </c>
      <c r="BC40" s="71">
        <f t="shared" ref="BC40" si="75">BB40+Y40</f>
        <v>100</v>
      </c>
      <c r="BD40" s="71">
        <f t="shared" ref="BD40" si="76">BC40+Z40</f>
        <v>100</v>
      </c>
      <c r="BE40" s="71">
        <f t="shared" ref="BE40" si="77">BD40+AA40</f>
        <v>100</v>
      </c>
      <c r="BF40" s="71">
        <f t="shared" ref="BF40" si="78">BE40+AB40</f>
        <v>100</v>
      </c>
      <c r="BG40" s="71">
        <f>BF40</f>
        <v>100</v>
      </c>
    </row>
    <row r="41" spans="1:59" x14ac:dyDescent="0.25">
      <c r="A41" s="5"/>
      <c r="B41" s="82" t="s">
        <v>43</v>
      </c>
      <c r="C41" s="5"/>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71">
        <f t="shared" si="42"/>
        <v>0</v>
      </c>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row>
    <row r="42" spans="1:59" x14ac:dyDescent="0.25">
      <c r="A42" s="143" t="s">
        <v>313</v>
      </c>
      <c r="D42" s="90"/>
      <c r="E42" s="90"/>
      <c r="F42" s="90"/>
      <c r="G42" s="90"/>
      <c r="H42" s="90"/>
      <c r="I42" s="90"/>
      <c r="J42" s="90"/>
      <c r="K42" s="90"/>
      <c r="L42" s="90"/>
      <c r="M42" s="90"/>
      <c r="N42" s="90"/>
      <c r="O42" s="90"/>
      <c r="P42" s="90"/>
      <c r="Q42" s="90"/>
      <c r="R42" s="90"/>
      <c r="S42" s="90"/>
      <c r="T42" s="90"/>
      <c r="U42" s="90"/>
      <c r="V42" s="90"/>
      <c r="W42" s="90"/>
      <c r="X42" s="90"/>
      <c r="Y42" s="90"/>
      <c r="Z42" s="90"/>
      <c r="AA42" s="90"/>
      <c r="AB42" s="90"/>
    </row>
    <row r="43" spans="1:59" x14ac:dyDescent="0.25">
      <c r="A43" s="143" t="s">
        <v>314</v>
      </c>
      <c r="D43" s="90"/>
      <c r="E43" s="90"/>
      <c r="F43" s="90"/>
      <c r="G43" s="90"/>
      <c r="H43" s="90"/>
      <c r="I43" s="90"/>
      <c r="J43" s="90"/>
      <c r="K43" s="90"/>
      <c r="L43" s="90"/>
      <c r="M43" s="90"/>
      <c r="N43" s="90"/>
      <c r="O43" s="90"/>
      <c r="P43" s="90"/>
      <c r="Q43" s="90"/>
      <c r="R43" s="90"/>
      <c r="S43" s="90"/>
      <c r="T43" s="90"/>
      <c r="U43" s="90"/>
      <c r="V43" s="90"/>
      <c r="W43" s="90"/>
      <c r="X43" s="90"/>
      <c r="Y43" s="90"/>
      <c r="Z43" s="90"/>
      <c r="AA43" s="90"/>
      <c r="AB43" s="90"/>
    </row>
    <row r="44" spans="1:59" x14ac:dyDescent="0.25">
      <c r="D44" s="90"/>
      <c r="E44" s="90"/>
      <c r="F44" s="90"/>
      <c r="G44" s="90"/>
      <c r="H44" s="90"/>
      <c r="I44" s="90"/>
      <c r="J44" s="90"/>
      <c r="K44" s="90"/>
      <c r="L44" s="90"/>
      <c r="M44" s="90"/>
      <c r="N44" s="90"/>
      <c r="O44" s="90"/>
      <c r="P44" s="90"/>
      <c r="Q44" s="90"/>
      <c r="R44" s="90"/>
      <c r="S44" s="90"/>
      <c r="T44" s="90"/>
      <c r="U44" s="90"/>
      <c r="V44" s="90"/>
      <c r="W44" s="90"/>
      <c r="X44" s="90"/>
      <c r="Y44" s="90"/>
      <c r="Z44" s="90"/>
      <c r="AA44" s="90"/>
      <c r="AB44" s="90"/>
    </row>
    <row r="45" spans="1:59" s="72" customFormat="1" x14ac:dyDescent="0.25">
      <c r="A45" s="149" t="s">
        <v>173</v>
      </c>
      <c r="B45" s="150"/>
      <c r="C45" s="151"/>
      <c r="D45" s="91" t="s">
        <v>170</v>
      </c>
      <c r="E45" s="92"/>
      <c r="F45" s="92"/>
      <c r="G45" s="92"/>
      <c r="H45" s="92"/>
      <c r="I45" s="92"/>
      <c r="J45" s="92"/>
      <c r="K45" s="92"/>
      <c r="L45" s="92"/>
      <c r="M45" s="92"/>
      <c r="N45" s="92"/>
      <c r="O45" s="92"/>
      <c r="P45" s="92"/>
      <c r="Q45" s="92"/>
      <c r="R45" s="92"/>
      <c r="S45" s="92"/>
      <c r="T45" s="92"/>
      <c r="U45" s="92"/>
      <c r="V45" s="92"/>
      <c r="W45" s="92"/>
      <c r="X45" s="92"/>
      <c r="Y45" s="92"/>
      <c r="Z45" s="92"/>
      <c r="AA45" s="92"/>
      <c r="AB45" s="92"/>
      <c r="AC45" s="70"/>
      <c r="AD45" s="70"/>
      <c r="AE45" s="149" t="s">
        <v>175</v>
      </c>
      <c r="AF45" s="150"/>
      <c r="AG45" s="151"/>
      <c r="AH45" s="73" t="s">
        <v>168</v>
      </c>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row>
    <row r="46" spans="1:59" x14ac:dyDescent="0.25">
      <c r="A46" s="4" t="s">
        <v>90</v>
      </c>
      <c r="B46" s="4" t="s">
        <v>167</v>
      </c>
      <c r="C46" s="4" t="s">
        <v>12</v>
      </c>
      <c r="D46" s="93">
        <v>1</v>
      </c>
      <c r="E46" s="93">
        <v>2</v>
      </c>
      <c r="F46" s="93">
        <v>3</v>
      </c>
      <c r="G46" s="93">
        <v>4</v>
      </c>
      <c r="H46" s="93">
        <v>5</v>
      </c>
      <c r="I46" s="93">
        <v>6</v>
      </c>
      <c r="J46" s="93">
        <v>7</v>
      </c>
      <c r="K46" s="93">
        <v>8</v>
      </c>
      <c r="L46" s="93">
        <v>9</v>
      </c>
      <c r="M46" s="93">
        <v>10</v>
      </c>
      <c r="N46" s="93">
        <v>11</v>
      </c>
      <c r="O46" s="93">
        <v>12</v>
      </c>
      <c r="P46" s="93">
        <v>13</v>
      </c>
      <c r="Q46" s="93">
        <v>14</v>
      </c>
      <c r="R46" s="93">
        <v>15</v>
      </c>
      <c r="S46" s="93">
        <v>16</v>
      </c>
      <c r="T46" s="93">
        <v>17</v>
      </c>
      <c r="U46" s="93">
        <v>18</v>
      </c>
      <c r="V46" s="93">
        <v>19</v>
      </c>
      <c r="W46" s="93">
        <v>20</v>
      </c>
      <c r="X46" s="93">
        <v>21</v>
      </c>
      <c r="Y46" s="93">
        <v>22</v>
      </c>
      <c r="Z46" s="93">
        <v>23</v>
      </c>
      <c r="AA46" s="93">
        <v>24</v>
      </c>
      <c r="AB46" s="93">
        <v>25</v>
      </c>
      <c r="AC46" s="4" t="s">
        <v>166</v>
      </c>
      <c r="AD46" s="4"/>
      <c r="AE46" s="4" t="s">
        <v>90</v>
      </c>
      <c r="AF46" s="4" t="s">
        <v>167</v>
      </c>
      <c r="AG46" s="4" t="s">
        <v>12</v>
      </c>
      <c r="AH46" s="4">
        <v>1</v>
      </c>
      <c r="AI46" s="4">
        <v>2</v>
      </c>
      <c r="AJ46" s="4">
        <v>3</v>
      </c>
      <c r="AK46" s="4">
        <v>4</v>
      </c>
      <c r="AL46" s="4">
        <v>5</v>
      </c>
      <c r="AM46" s="4">
        <v>6</v>
      </c>
      <c r="AN46" s="4">
        <v>7</v>
      </c>
      <c r="AO46" s="4">
        <v>8</v>
      </c>
      <c r="AP46" s="4">
        <v>9</v>
      </c>
      <c r="AQ46" s="4">
        <v>10</v>
      </c>
      <c r="AR46" s="4">
        <v>11</v>
      </c>
      <c r="AS46" s="4">
        <v>12</v>
      </c>
      <c r="AT46" s="4">
        <v>13</v>
      </c>
      <c r="AU46" s="4">
        <v>14</v>
      </c>
      <c r="AV46" s="4">
        <v>15</v>
      </c>
      <c r="AW46" s="4">
        <v>16</v>
      </c>
      <c r="AX46" s="4">
        <v>17</v>
      </c>
      <c r="AY46" s="4">
        <v>18</v>
      </c>
      <c r="AZ46" s="4">
        <v>19</v>
      </c>
      <c r="BA46" s="4">
        <v>20</v>
      </c>
      <c r="BB46" s="4">
        <v>21</v>
      </c>
      <c r="BC46" s="4">
        <v>22</v>
      </c>
      <c r="BD46" s="4">
        <v>23</v>
      </c>
      <c r="BE46" s="4">
        <v>24</v>
      </c>
      <c r="BF46" s="4">
        <v>25</v>
      </c>
      <c r="BG46" s="4" t="s">
        <v>191</v>
      </c>
    </row>
    <row r="47" spans="1:59" x14ac:dyDescent="0.25">
      <c r="A47" s="81" t="s">
        <v>2</v>
      </c>
      <c r="B47" s="82" t="s">
        <v>43</v>
      </c>
      <c r="C47" s="3" t="s">
        <v>13</v>
      </c>
      <c r="D47" s="88"/>
      <c r="E47" s="88">
        <f>IF(設計案成本估算!$B$5&gt;0,IF(設計案成本估算!$B$10="大企業",3000,0)*設計案成本估算!$B$5,0)</f>
        <v>0</v>
      </c>
      <c r="F47" s="88">
        <f>IF(設計案成本估算!$B$5&gt;0,IF(設計案成本估算!$B$10="大企業",3000,0)*設計案成本估算!$B$5,0)</f>
        <v>0</v>
      </c>
      <c r="G47" s="88">
        <f>IF(設計案成本估算!$B$5&gt;0,3000*設計案成本估算!$B$5,0)</f>
        <v>3000</v>
      </c>
      <c r="H47" s="88">
        <f>IF(設計案成本估算!$B$5&gt;0,3000*設計案成本估算!$B$5,0)</f>
        <v>3000</v>
      </c>
      <c r="I47" s="88">
        <f>IF(設計案成本估算!$B$5&gt;0,3000*設計案成本估算!$B$5,0)</f>
        <v>3000</v>
      </c>
      <c r="J47" s="88">
        <f>IF(設計案成本估算!$B$5&gt;0,3000*設計案成本估算!$B$5,0)</f>
        <v>3000</v>
      </c>
      <c r="K47" s="88">
        <f>IF(設計案成本估算!$B$5&gt;0,3000*設計案成本估算!$B$5,0)</f>
        <v>3000</v>
      </c>
      <c r="L47" s="88">
        <f>IF(設計案成本估算!$B$5&gt;0,3000*設計案成本估算!$B$5,0)</f>
        <v>3000</v>
      </c>
      <c r="M47" s="88">
        <f>IF(設計案成本估算!$B$5&gt;0,3000*設計案成本估算!$B$5,0)</f>
        <v>3000</v>
      </c>
      <c r="N47" s="88">
        <f>IF(設計案成本估算!$B$5&gt;0,3000*設計案成本估算!$B$5,0)</f>
        <v>3000</v>
      </c>
      <c r="O47" s="88">
        <f>IF(設計案成本估算!$B$5&gt;0,3000*設計案成本估算!$B$5,0)</f>
        <v>3000</v>
      </c>
      <c r="P47" s="88">
        <f>IF(設計案成本估算!$B$5&gt;0,3000*設計案成本估算!$B$5,0)</f>
        <v>3000</v>
      </c>
      <c r="Q47" s="88">
        <f>IF(設計案成本估算!$B$5&gt;0,3000*設計案成本估算!$B$5,0)</f>
        <v>3000</v>
      </c>
      <c r="R47" s="88">
        <f>IF(設計案成本估算!$B$5&gt;0,3000*設計案成本估算!$B$5,0)</f>
        <v>3000</v>
      </c>
      <c r="S47" s="88"/>
      <c r="T47" s="88"/>
      <c r="U47" s="88"/>
      <c r="V47" s="88"/>
      <c r="W47" s="88"/>
      <c r="X47" s="88"/>
      <c r="Y47" s="88"/>
      <c r="Z47" s="88"/>
      <c r="AA47" s="88"/>
      <c r="AB47" s="88"/>
      <c r="AC47" s="71">
        <f>SUM(D47:AB47)</f>
        <v>36000</v>
      </c>
      <c r="AD47" s="12"/>
      <c r="AE47" s="81" t="s">
        <v>2</v>
      </c>
      <c r="AF47" s="12" t="str">
        <f>B47</f>
        <v>設計</v>
      </c>
      <c r="AG47" s="15" t="str">
        <f>C47</f>
        <v>NTD</v>
      </c>
      <c r="AH47" s="12">
        <f>D47</f>
        <v>0</v>
      </c>
      <c r="AI47" s="71">
        <f>AH47+E47</f>
        <v>0</v>
      </c>
      <c r="AJ47" s="71">
        <f t="shared" ref="AJ47:AY61" si="79">AI47+F47</f>
        <v>0</v>
      </c>
      <c r="AK47" s="71">
        <f t="shared" si="79"/>
        <v>3000</v>
      </c>
      <c r="AL47" s="71">
        <f t="shared" si="79"/>
        <v>6000</v>
      </c>
      <c r="AM47" s="71">
        <f t="shared" si="79"/>
        <v>9000</v>
      </c>
      <c r="AN47" s="71">
        <f t="shared" si="79"/>
        <v>12000</v>
      </c>
      <c r="AO47" s="71">
        <f t="shared" si="79"/>
        <v>15000</v>
      </c>
      <c r="AP47" s="71">
        <f t="shared" si="79"/>
        <v>18000</v>
      </c>
      <c r="AQ47" s="71">
        <f t="shared" si="79"/>
        <v>21000</v>
      </c>
      <c r="AR47" s="71">
        <f t="shared" si="79"/>
        <v>24000</v>
      </c>
      <c r="AS47" s="71">
        <f t="shared" si="79"/>
        <v>27000</v>
      </c>
      <c r="AT47" s="71">
        <f t="shared" si="79"/>
        <v>30000</v>
      </c>
      <c r="AU47" s="71">
        <f t="shared" si="79"/>
        <v>33000</v>
      </c>
      <c r="AV47" s="71">
        <f t="shared" si="79"/>
        <v>36000</v>
      </c>
      <c r="AW47" s="71">
        <f t="shared" si="79"/>
        <v>36000</v>
      </c>
      <c r="AX47" s="71">
        <f t="shared" si="79"/>
        <v>36000</v>
      </c>
      <c r="AY47" s="71">
        <f t="shared" si="79"/>
        <v>36000</v>
      </c>
      <c r="AZ47" s="71">
        <f t="shared" ref="AZ47:BF61" si="80">AY47+V47</f>
        <v>36000</v>
      </c>
      <c r="BA47" s="71">
        <f t="shared" si="80"/>
        <v>36000</v>
      </c>
      <c r="BB47" s="71">
        <f t="shared" si="80"/>
        <v>36000</v>
      </c>
      <c r="BC47" s="71">
        <f t="shared" si="80"/>
        <v>36000</v>
      </c>
      <c r="BD47" s="71">
        <f t="shared" si="80"/>
        <v>36000</v>
      </c>
      <c r="BE47" s="71">
        <f t="shared" si="80"/>
        <v>36000</v>
      </c>
      <c r="BF47" s="71">
        <f t="shared" si="80"/>
        <v>36000</v>
      </c>
      <c r="BG47" s="71">
        <f>BF47</f>
        <v>36000</v>
      </c>
    </row>
    <row r="48" spans="1:59" x14ac:dyDescent="0.25">
      <c r="A48" s="81" t="s">
        <v>3</v>
      </c>
      <c r="B48" s="82" t="s">
        <v>43</v>
      </c>
      <c r="C48" s="3" t="s">
        <v>13</v>
      </c>
      <c r="D48" s="88"/>
      <c r="E48" s="88">
        <f>IF(設計案成本估算!$B$5&gt;0,ROUNDUP(設計案成本估算!$B$5/10,0)*3000,0)</f>
        <v>3000</v>
      </c>
      <c r="F48" s="88">
        <f>IF(設計案成本估算!$B$5&gt;0,ROUNDUP(設計案成本估算!$B$5/10,0)*3000,0)</f>
        <v>3000</v>
      </c>
      <c r="G48" s="88">
        <f>IF(設計案成本估算!$B$5&gt;0,ROUNDUP(設計案成本估算!$B$5/10,0)*3000,0)</f>
        <v>3000</v>
      </c>
      <c r="H48" s="88">
        <f>IF(設計案成本估算!$B$5&gt;0,ROUNDUP(設計案成本估算!$B$5/10,0)*3000,0)</f>
        <v>3000</v>
      </c>
      <c r="I48" s="88">
        <f>IF(設計案成本估算!$B$5&gt;0,ROUNDUP(設計案成本估算!$B$5/10,0)*3000,0)</f>
        <v>3000</v>
      </c>
      <c r="J48" s="88">
        <f>IF(設計案成本估算!$B$5&gt;0,ROUNDUP(設計案成本估算!$B$5/10,0)*3000,0)</f>
        <v>3000</v>
      </c>
      <c r="K48" s="88">
        <f>IF(設計案成本估算!$B$5&gt;0,ROUNDUP(設計案成本估算!$B$5/10,0)*3000,0)</f>
        <v>3000</v>
      </c>
      <c r="L48" s="88">
        <f>IF(設計案成本估算!$B$5&gt;0,ROUNDUP(設計案成本估算!$B$5/10,0)*3000,0)</f>
        <v>3000</v>
      </c>
      <c r="M48" s="88">
        <f>IF(設計案成本估算!$B$5&gt;0,ROUNDUP(設計案成本估算!$B$5/10,0)*3000,0)</f>
        <v>3000</v>
      </c>
      <c r="N48" s="88">
        <f>IF(設計案成本估算!$B$5&gt;0,ROUNDUP(設計案成本估算!$B$5/10,0)*3000,0)</f>
        <v>3000</v>
      </c>
      <c r="O48" s="88">
        <f>IF(設計案成本估算!$B$5&gt;0,ROUNDUP(設計案成本估算!$B$5/10,0)*3000,0)</f>
        <v>3000</v>
      </c>
      <c r="P48" s="88">
        <f>IF(設計案成本估算!$B$5&gt;0,ROUNDUP(設計案成本估算!$B$5/10,0)*3000,0)</f>
        <v>3000</v>
      </c>
      <c r="Q48" s="88">
        <f>IF(設計案成本估算!$B$5&gt;0,ROUNDUP(設計案成本估算!$B$5/10,0)*3000,0)</f>
        <v>3000</v>
      </c>
      <c r="R48" s="88">
        <f>IF(設計案成本估算!$B$5&gt;0,ROUNDUP(設計案成本估算!$B$5/10,0)*3000,0)</f>
        <v>3000</v>
      </c>
      <c r="S48" s="88"/>
      <c r="T48" s="88"/>
      <c r="U48" s="88"/>
      <c r="V48" s="88"/>
      <c r="W48" s="88"/>
      <c r="X48" s="88"/>
      <c r="Y48" s="88"/>
      <c r="Z48" s="88"/>
      <c r="AA48" s="88"/>
      <c r="AB48" s="88"/>
      <c r="AC48" s="71">
        <f t="shared" ref="AC48:AC63" si="81">SUM(D48:AB48)</f>
        <v>42000</v>
      </c>
      <c r="AD48" s="12"/>
      <c r="AE48" s="81" t="s">
        <v>3</v>
      </c>
      <c r="AF48" s="12" t="str">
        <f t="shared" ref="AF48:AH61" si="82">B48</f>
        <v>設計</v>
      </c>
      <c r="AG48" s="15" t="str">
        <f t="shared" si="82"/>
        <v>NTD</v>
      </c>
      <c r="AH48" s="12">
        <f t="shared" si="82"/>
        <v>0</v>
      </c>
      <c r="AI48" s="71">
        <f>AH48+E48</f>
        <v>3000</v>
      </c>
      <c r="AJ48" s="71">
        <f t="shared" si="79"/>
        <v>6000</v>
      </c>
      <c r="AK48" s="71">
        <f t="shared" si="79"/>
        <v>9000</v>
      </c>
      <c r="AL48" s="71">
        <f t="shared" si="79"/>
        <v>12000</v>
      </c>
      <c r="AM48" s="71">
        <f t="shared" si="79"/>
        <v>15000</v>
      </c>
      <c r="AN48" s="71">
        <f t="shared" si="79"/>
        <v>18000</v>
      </c>
      <c r="AO48" s="71">
        <f t="shared" si="79"/>
        <v>21000</v>
      </c>
      <c r="AP48" s="71">
        <f t="shared" si="79"/>
        <v>24000</v>
      </c>
      <c r="AQ48" s="71">
        <f t="shared" si="79"/>
        <v>27000</v>
      </c>
      <c r="AR48" s="71">
        <f t="shared" si="79"/>
        <v>30000</v>
      </c>
      <c r="AS48" s="71">
        <f t="shared" si="79"/>
        <v>33000</v>
      </c>
      <c r="AT48" s="71">
        <f t="shared" si="79"/>
        <v>36000</v>
      </c>
      <c r="AU48" s="71">
        <f t="shared" si="79"/>
        <v>39000</v>
      </c>
      <c r="AV48" s="71">
        <f t="shared" si="79"/>
        <v>42000</v>
      </c>
      <c r="AW48" s="71">
        <f t="shared" si="79"/>
        <v>42000</v>
      </c>
      <c r="AX48" s="71">
        <f t="shared" si="79"/>
        <v>42000</v>
      </c>
      <c r="AY48" s="71">
        <f t="shared" si="79"/>
        <v>42000</v>
      </c>
      <c r="AZ48" s="71">
        <f t="shared" si="80"/>
        <v>42000</v>
      </c>
      <c r="BA48" s="71">
        <f t="shared" si="80"/>
        <v>42000</v>
      </c>
      <c r="BB48" s="71">
        <f t="shared" si="80"/>
        <v>42000</v>
      </c>
      <c r="BC48" s="71">
        <f t="shared" si="80"/>
        <v>42000</v>
      </c>
      <c r="BD48" s="71">
        <f t="shared" si="80"/>
        <v>42000</v>
      </c>
      <c r="BE48" s="71">
        <f t="shared" si="80"/>
        <v>42000</v>
      </c>
      <c r="BF48" s="71">
        <f t="shared" si="80"/>
        <v>42000</v>
      </c>
      <c r="BG48" s="71">
        <f t="shared" ref="BG48:BG61" si="83">BF48</f>
        <v>42000</v>
      </c>
    </row>
    <row r="49" spans="1:59" x14ac:dyDescent="0.25">
      <c r="A49" s="3" t="s">
        <v>4</v>
      </c>
      <c r="B49" s="82" t="s">
        <v>43</v>
      </c>
      <c r="C49" s="3" t="s">
        <v>13</v>
      </c>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71">
        <f t="shared" si="81"/>
        <v>0</v>
      </c>
      <c r="AD49" s="12"/>
      <c r="AE49" s="3" t="s">
        <v>4</v>
      </c>
      <c r="AF49" s="12" t="str">
        <f t="shared" si="82"/>
        <v>設計</v>
      </c>
      <c r="AG49" s="15" t="str">
        <f t="shared" si="82"/>
        <v>NTD</v>
      </c>
      <c r="AH49" s="12">
        <f t="shared" si="82"/>
        <v>0</v>
      </c>
      <c r="AI49" s="71">
        <f>AH49+E49</f>
        <v>0</v>
      </c>
      <c r="AJ49" s="71">
        <f t="shared" si="79"/>
        <v>0</v>
      </c>
      <c r="AK49" s="71">
        <f t="shared" si="79"/>
        <v>0</v>
      </c>
      <c r="AL49" s="71">
        <f t="shared" si="79"/>
        <v>0</v>
      </c>
      <c r="AM49" s="71">
        <f t="shared" si="79"/>
        <v>0</v>
      </c>
      <c r="AN49" s="71">
        <f t="shared" si="79"/>
        <v>0</v>
      </c>
      <c r="AO49" s="71">
        <f t="shared" si="79"/>
        <v>0</v>
      </c>
      <c r="AP49" s="71">
        <f t="shared" si="79"/>
        <v>0</v>
      </c>
      <c r="AQ49" s="71">
        <f t="shared" si="79"/>
        <v>0</v>
      </c>
      <c r="AR49" s="71">
        <f t="shared" si="79"/>
        <v>0</v>
      </c>
      <c r="AS49" s="71">
        <f t="shared" si="79"/>
        <v>0</v>
      </c>
      <c r="AT49" s="71">
        <f t="shared" si="79"/>
        <v>0</v>
      </c>
      <c r="AU49" s="71">
        <f t="shared" si="79"/>
        <v>0</v>
      </c>
      <c r="AV49" s="71">
        <f t="shared" si="79"/>
        <v>0</v>
      </c>
      <c r="AW49" s="71">
        <f t="shared" si="79"/>
        <v>0</v>
      </c>
      <c r="AX49" s="71">
        <f t="shared" si="79"/>
        <v>0</v>
      </c>
      <c r="AY49" s="71">
        <f t="shared" si="79"/>
        <v>0</v>
      </c>
      <c r="AZ49" s="71">
        <f t="shared" si="80"/>
        <v>0</v>
      </c>
      <c r="BA49" s="71">
        <f t="shared" si="80"/>
        <v>0</v>
      </c>
      <c r="BB49" s="71">
        <f t="shared" si="80"/>
        <v>0</v>
      </c>
      <c r="BC49" s="71">
        <f t="shared" si="80"/>
        <v>0</v>
      </c>
      <c r="BD49" s="71">
        <f t="shared" si="80"/>
        <v>0</v>
      </c>
      <c r="BE49" s="71">
        <f t="shared" si="80"/>
        <v>0</v>
      </c>
      <c r="BF49" s="71">
        <f t="shared" si="80"/>
        <v>0</v>
      </c>
      <c r="BG49" s="71">
        <f t="shared" si="83"/>
        <v>0</v>
      </c>
    </row>
    <row r="50" spans="1:59" x14ac:dyDescent="0.25">
      <c r="A50" s="3" t="s">
        <v>107</v>
      </c>
      <c r="B50" s="82" t="s">
        <v>43</v>
      </c>
      <c r="C50" s="3" t="s">
        <v>13</v>
      </c>
      <c r="D50" s="88"/>
      <c r="E50" s="88"/>
      <c r="F50" s="88"/>
      <c r="G50" s="88"/>
      <c r="H50" s="88"/>
      <c r="I50" s="88">
        <f>IF(設計案成本估算!$B$5&gt;0,5000+2500*(設計案成本估算!$B$5-1),0)</f>
        <v>5000</v>
      </c>
      <c r="J50" s="88"/>
      <c r="K50" s="88"/>
      <c r="L50" s="88"/>
      <c r="M50" s="88"/>
      <c r="N50" s="88">
        <f>IF(設計案成本估算!$B$5&gt;0,5000+2500*(設計案成本估算!$B$5-1),0)</f>
        <v>5000</v>
      </c>
      <c r="O50" s="88"/>
      <c r="P50" s="88"/>
      <c r="Q50" s="88"/>
      <c r="R50" s="88"/>
      <c r="S50" s="88">
        <f>IF(設計案成本估算!$B$5&gt;0,5000+2500*(設計案成本估算!$B$5-1),0)</f>
        <v>5000</v>
      </c>
      <c r="T50" s="88"/>
      <c r="U50" s="88"/>
      <c r="V50" s="88"/>
      <c r="W50" s="88"/>
      <c r="X50" s="88">
        <f>IF(設計案成本估算!$B$5&gt;0,5000+2500*(設計案成本估算!$B$5-1),0)</f>
        <v>5000</v>
      </c>
      <c r="Y50" s="88"/>
      <c r="Z50" s="88"/>
      <c r="AA50" s="88"/>
      <c r="AB50" s="88"/>
      <c r="AC50" s="71">
        <f t="shared" si="81"/>
        <v>20000</v>
      </c>
      <c r="AD50" s="12"/>
      <c r="AE50" s="3" t="s">
        <v>107</v>
      </c>
      <c r="AF50" s="12" t="str">
        <f t="shared" si="82"/>
        <v>設計</v>
      </c>
      <c r="AG50" s="15" t="str">
        <f t="shared" si="82"/>
        <v>NTD</v>
      </c>
      <c r="AH50" s="12">
        <f t="shared" si="82"/>
        <v>0</v>
      </c>
      <c r="AI50" s="71">
        <f>AH50+E50</f>
        <v>0</v>
      </c>
      <c r="AJ50" s="71">
        <f t="shared" si="79"/>
        <v>0</v>
      </c>
      <c r="AK50" s="71">
        <f t="shared" si="79"/>
        <v>0</v>
      </c>
      <c r="AL50" s="71">
        <f t="shared" si="79"/>
        <v>0</v>
      </c>
      <c r="AM50" s="71">
        <f t="shared" si="79"/>
        <v>5000</v>
      </c>
      <c r="AN50" s="71">
        <f t="shared" si="79"/>
        <v>5000</v>
      </c>
      <c r="AO50" s="71">
        <f t="shared" si="79"/>
        <v>5000</v>
      </c>
      <c r="AP50" s="71">
        <f t="shared" si="79"/>
        <v>5000</v>
      </c>
      <c r="AQ50" s="71">
        <f t="shared" si="79"/>
        <v>5000</v>
      </c>
      <c r="AR50" s="71">
        <f t="shared" si="79"/>
        <v>10000</v>
      </c>
      <c r="AS50" s="71">
        <f t="shared" si="79"/>
        <v>10000</v>
      </c>
      <c r="AT50" s="71">
        <f t="shared" si="79"/>
        <v>10000</v>
      </c>
      <c r="AU50" s="71">
        <f t="shared" si="79"/>
        <v>10000</v>
      </c>
      <c r="AV50" s="71">
        <f t="shared" si="79"/>
        <v>10000</v>
      </c>
      <c r="AW50" s="71">
        <f t="shared" si="79"/>
        <v>15000</v>
      </c>
      <c r="AX50" s="71">
        <f t="shared" si="79"/>
        <v>15000</v>
      </c>
      <c r="AY50" s="71">
        <f t="shared" si="79"/>
        <v>15000</v>
      </c>
      <c r="AZ50" s="71">
        <f t="shared" si="80"/>
        <v>15000</v>
      </c>
      <c r="BA50" s="71">
        <f t="shared" si="80"/>
        <v>15000</v>
      </c>
      <c r="BB50" s="71">
        <f t="shared" si="80"/>
        <v>20000</v>
      </c>
      <c r="BC50" s="71">
        <f t="shared" si="80"/>
        <v>20000</v>
      </c>
      <c r="BD50" s="71">
        <f t="shared" si="80"/>
        <v>20000</v>
      </c>
      <c r="BE50" s="71">
        <f t="shared" si="80"/>
        <v>20000</v>
      </c>
      <c r="BF50" s="71">
        <f t="shared" si="80"/>
        <v>20000</v>
      </c>
      <c r="BG50" s="71">
        <f t="shared" si="83"/>
        <v>20000</v>
      </c>
    </row>
    <row r="51" spans="1:59" x14ac:dyDescent="0.25">
      <c r="A51" s="3" t="s">
        <v>224</v>
      </c>
      <c r="B51" s="82" t="s">
        <v>43</v>
      </c>
      <c r="C51" s="3" t="s">
        <v>13</v>
      </c>
      <c r="D51" s="88"/>
      <c r="E51" s="88"/>
      <c r="F51" s="88"/>
      <c r="G51" s="88"/>
      <c r="H51" s="88"/>
      <c r="I51" s="88">
        <f>IF(設計案成本估算!$B$5&gt;0,5000+2500*(設計案成本估算!$B$5-1),0)</f>
        <v>5000</v>
      </c>
      <c r="J51" s="88"/>
      <c r="K51" s="88"/>
      <c r="L51" s="88"/>
      <c r="M51" s="88"/>
      <c r="N51" s="88">
        <f>IF(設計案成本估算!$B$5&gt;0,5000+2500*(設計案成本估算!$B$5-1),0)</f>
        <v>5000</v>
      </c>
      <c r="O51" s="88"/>
      <c r="P51" s="88"/>
      <c r="Q51" s="88"/>
      <c r="R51" s="88"/>
      <c r="S51" s="88">
        <f>IF(設計案成本估算!$B$5&gt;0,5000+2500*(設計案成本估算!$B$5-1),0)</f>
        <v>5000</v>
      </c>
      <c r="T51" s="88"/>
      <c r="U51" s="88"/>
      <c r="V51" s="88"/>
      <c r="W51" s="88"/>
      <c r="X51" s="88">
        <f>IF(設計案成本估算!$B$5&gt;0,5000+2500*(設計案成本估算!$B$5-1),0)</f>
        <v>5000</v>
      </c>
      <c r="Y51" s="88"/>
      <c r="Z51" s="88"/>
      <c r="AA51" s="88"/>
      <c r="AB51" s="88"/>
      <c r="AC51" s="71">
        <f>SUM(D51:AB51)</f>
        <v>20000</v>
      </c>
      <c r="AD51" s="12"/>
      <c r="AE51" s="3" t="s">
        <v>224</v>
      </c>
      <c r="AF51" s="12" t="str">
        <f>B51</f>
        <v>設計</v>
      </c>
      <c r="AG51" s="15" t="str">
        <f>C51</f>
        <v>NTD</v>
      </c>
      <c r="AH51" s="12">
        <f>D51</f>
        <v>0</v>
      </c>
      <c r="AI51" s="71">
        <f t="shared" ref="AI51:AY51" si="84">AH51+E51</f>
        <v>0</v>
      </c>
      <c r="AJ51" s="71">
        <f t="shared" si="84"/>
        <v>0</v>
      </c>
      <c r="AK51" s="71">
        <f t="shared" si="84"/>
        <v>0</v>
      </c>
      <c r="AL51" s="71">
        <f t="shared" si="84"/>
        <v>0</v>
      </c>
      <c r="AM51" s="71">
        <f t="shared" si="84"/>
        <v>5000</v>
      </c>
      <c r="AN51" s="71">
        <f t="shared" si="84"/>
        <v>5000</v>
      </c>
      <c r="AO51" s="71">
        <f t="shared" si="84"/>
        <v>5000</v>
      </c>
      <c r="AP51" s="71">
        <f t="shared" si="84"/>
        <v>5000</v>
      </c>
      <c r="AQ51" s="71">
        <f t="shared" si="84"/>
        <v>5000</v>
      </c>
      <c r="AR51" s="71">
        <f t="shared" si="84"/>
        <v>10000</v>
      </c>
      <c r="AS51" s="71">
        <f t="shared" si="84"/>
        <v>10000</v>
      </c>
      <c r="AT51" s="71">
        <f t="shared" si="84"/>
        <v>10000</v>
      </c>
      <c r="AU51" s="71">
        <f t="shared" si="84"/>
        <v>10000</v>
      </c>
      <c r="AV51" s="71">
        <f t="shared" si="84"/>
        <v>10000</v>
      </c>
      <c r="AW51" s="71">
        <f t="shared" si="84"/>
        <v>15000</v>
      </c>
      <c r="AX51" s="71">
        <f t="shared" si="84"/>
        <v>15000</v>
      </c>
      <c r="AY51" s="71">
        <f t="shared" si="84"/>
        <v>15000</v>
      </c>
      <c r="AZ51" s="71">
        <f t="shared" ref="AZ51:BF51" si="85">AY51+V51</f>
        <v>15000</v>
      </c>
      <c r="BA51" s="71">
        <f t="shared" si="85"/>
        <v>15000</v>
      </c>
      <c r="BB51" s="71">
        <f t="shared" si="85"/>
        <v>20000</v>
      </c>
      <c r="BC51" s="71">
        <f t="shared" si="85"/>
        <v>20000</v>
      </c>
      <c r="BD51" s="71">
        <f t="shared" si="85"/>
        <v>20000</v>
      </c>
      <c r="BE51" s="71">
        <f t="shared" si="85"/>
        <v>20000</v>
      </c>
      <c r="BF51" s="71">
        <f t="shared" si="85"/>
        <v>20000</v>
      </c>
      <c r="BG51" s="71">
        <f>BF51</f>
        <v>20000</v>
      </c>
    </row>
    <row r="52" spans="1:59" x14ac:dyDescent="0.25">
      <c r="A52" s="81" t="s">
        <v>5</v>
      </c>
      <c r="B52" s="82" t="s">
        <v>43</v>
      </c>
      <c r="C52" s="3" t="s">
        <v>13</v>
      </c>
      <c r="D52" s="88"/>
      <c r="E52" s="88"/>
      <c r="F52" s="88"/>
      <c r="G52" s="88">
        <f>IF(設計案成本估算!$B$5&gt;0,5000*設計案成本估算!$B$5,0)</f>
        <v>5000</v>
      </c>
      <c r="H52" s="88">
        <f>IF(設計案成本估算!$B$5&gt;0,5000*設計案成本估算!$B$5,0)</f>
        <v>5000</v>
      </c>
      <c r="I52" s="88">
        <f>IF(設計案成本估算!$B$5&gt;0,5000*設計案成本估算!$B$5,0)</f>
        <v>5000</v>
      </c>
      <c r="J52" s="88">
        <f>IF(設計案成本估算!$B$5&gt;0,5000*設計案成本估算!$B$5,0)</f>
        <v>5000</v>
      </c>
      <c r="K52" s="88">
        <f>IF(設計案成本估算!$B$5&gt;0,5000*設計案成本估算!$B$5,0)</f>
        <v>5000</v>
      </c>
      <c r="L52" s="88">
        <f>IF(設計案成本估算!$B$5&gt;0,5000*設計案成本估算!$B$5,0)</f>
        <v>5000</v>
      </c>
      <c r="M52" s="88">
        <f>IF(設計案成本估算!$B$5&gt;0,5000*設計案成本估算!$B$5,0)</f>
        <v>5000</v>
      </c>
      <c r="N52" s="88">
        <f>IF(設計案成本估算!$B$5&gt;0,5000*設計案成本估算!$B$5,0)</f>
        <v>5000</v>
      </c>
      <c r="O52" s="88">
        <f>IF(設計案成本估算!$B$5&gt;0,5000*設計案成本估算!$B$5,0)</f>
        <v>5000</v>
      </c>
      <c r="P52" s="88">
        <f>IF(設計案成本估算!$B$5&gt;0,5000*設計案成本估算!$B$5,0)</f>
        <v>5000</v>
      </c>
      <c r="Q52" s="88">
        <f>IF(設計案成本估算!$B$5&gt;0,5000*設計案成本估算!$B$5,0)</f>
        <v>5000</v>
      </c>
      <c r="R52" s="88">
        <f>IF(設計案成本估算!$B$5&gt;0,5000*設計案成本估算!$B$5,0)</f>
        <v>5000</v>
      </c>
      <c r="S52" s="88">
        <f>IF(設計案成本估算!$B$5&gt;0,5000*設計案成本估算!$B$5,0)</f>
        <v>5000</v>
      </c>
      <c r="T52" s="88">
        <f>IF(設計案成本估算!$B$5&gt;0,5000*設計案成本估算!$B$5,0)</f>
        <v>5000</v>
      </c>
      <c r="U52" s="88">
        <f>IF(設計案成本估算!$B$5&gt;0,5000*設計案成本估算!$B$5,0)</f>
        <v>5000</v>
      </c>
      <c r="V52" s="88">
        <f>IF(設計案成本估算!$B$5&gt;0,5000*設計案成本估算!$B$5,0)</f>
        <v>5000</v>
      </c>
      <c r="W52" s="88">
        <f>IF(設計案成本估算!$B$5&gt;0,5000*設計案成本估算!$B$5,0)</f>
        <v>5000</v>
      </c>
      <c r="X52" s="88">
        <f>IF(設計案成本估算!$B$5&gt;0,5000*設計案成本估算!$B$5,0)</f>
        <v>5000</v>
      </c>
      <c r="Y52" s="88">
        <f>IF(設計案成本估算!$B$5&gt;0,5000*設計案成本估算!$B$5,0)</f>
        <v>5000</v>
      </c>
      <c r="Z52" s="88">
        <f>IF(設計案成本估算!$B$5&gt;0,5000*設計案成本估算!$B$5,0)</f>
        <v>5000</v>
      </c>
      <c r="AA52" s="88">
        <f>IF(設計案成本估算!$B$5&gt;0,5000*設計案成本估算!$B$5,0)</f>
        <v>5000</v>
      </c>
      <c r="AB52" s="88">
        <f>IF(設計案成本估算!$B$5&gt;0,5000*設計案成本估算!$B$5,0)</f>
        <v>5000</v>
      </c>
      <c r="AC52" s="71">
        <f t="shared" si="81"/>
        <v>110000</v>
      </c>
      <c r="AD52" s="12"/>
      <c r="AE52" s="81" t="s">
        <v>5</v>
      </c>
      <c r="AF52" s="12" t="str">
        <f t="shared" si="82"/>
        <v>設計</v>
      </c>
      <c r="AG52" s="15" t="str">
        <f t="shared" si="82"/>
        <v>NTD</v>
      </c>
      <c r="AH52" s="12">
        <f t="shared" si="82"/>
        <v>0</v>
      </c>
      <c r="AI52" s="71">
        <f t="shared" ref="AI52:AI61" si="86">AH52+E52</f>
        <v>0</v>
      </c>
      <c r="AJ52" s="71">
        <f t="shared" si="79"/>
        <v>0</v>
      </c>
      <c r="AK52" s="71">
        <f t="shared" si="79"/>
        <v>5000</v>
      </c>
      <c r="AL52" s="71">
        <f t="shared" si="79"/>
        <v>10000</v>
      </c>
      <c r="AM52" s="71">
        <f t="shared" si="79"/>
        <v>15000</v>
      </c>
      <c r="AN52" s="71">
        <f t="shared" si="79"/>
        <v>20000</v>
      </c>
      <c r="AO52" s="71">
        <f t="shared" si="79"/>
        <v>25000</v>
      </c>
      <c r="AP52" s="71">
        <f t="shared" si="79"/>
        <v>30000</v>
      </c>
      <c r="AQ52" s="71">
        <f t="shared" si="79"/>
        <v>35000</v>
      </c>
      <c r="AR52" s="71">
        <f t="shared" si="79"/>
        <v>40000</v>
      </c>
      <c r="AS52" s="71">
        <f t="shared" si="79"/>
        <v>45000</v>
      </c>
      <c r="AT52" s="71">
        <f t="shared" si="79"/>
        <v>50000</v>
      </c>
      <c r="AU52" s="71">
        <f t="shared" si="79"/>
        <v>55000</v>
      </c>
      <c r="AV52" s="71">
        <f t="shared" si="79"/>
        <v>60000</v>
      </c>
      <c r="AW52" s="71">
        <f t="shared" si="79"/>
        <v>65000</v>
      </c>
      <c r="AX52" s="71">
        <f t="shared" si="79"/>
        <v>70000</v>
      </c>
      <c r="AY52" s="71">
        <f t="shared" si="79"/>
        <v>75000</v>
      </c>
      <c r="AZ52" s="71">
        <f t="shared" si="80"/>
        <v>80000</v>
      </c>
      <c r="BA52" s="71">
        <f t="shared" si="80"/>
        <v>85000</v>
      </c>
      <c r="BB52" s="71">
        <f t="shared" si="80"/>
        <v>90000</v>
      </c>
      <c r="BC52" s="71">
        <f t="shared" si="80"/>
        <v>95000</v>
      </c>
      <c r="BD52" s="71">
        <f t="shared" si="80"/>
        <v>100000</v>
      </c>
      <c r="BE52" s="71">
        <f t="shared" si="80"/>
        <v>105000</v>
      </c>
      <c r="BF52" s="71">
        <f t="shared" si="80"/>
        <v>110000</v>
      </c>
      <c r="BG52" s="71">
        <f t="shared" si="83"/>
        <v>110000</v>
      </c>
    </row>
    <row r="53" spans="1:59" x14ac:dyDescent="0.25">
      <c r="A53" s="81" t="s">
        <v>6</v>
      </c>
      <c r="B53" s="82" t="s">
        <v>43</v>
      </c>
      <c r="C53" s="3" t="s">
        <v>13</v>
      </c>
      <c r="D53" s="88"/>
      <c r="E53" s="88"/>
      <c r="F53" s="88"/>
      <c r="G53" s="88">
        <f>IF(設計案成本估算!$B$5&gt;0,5000*設計案成本估算!$B$5,0)</f>
        <v>5000</v>
      </c>
      <c r="H53" s="88">
        <f>IF(設計案成本估算!$B$5&gt;0,5000*設計案成本估算!$B$5,0)</f>
        <v>5000</v>
      </c>
      <c r="I53" s="88">
        <f>IF(設計案成本估算!$B$5&gt;0,5000*設計案成本估算!$B$5,0)</f>
        <v>5000</v>
      </c>
      <c r="J53" s="88">
        <f>IF(設計案成本估算!$B$5&gt;0,5000*設計案成本估算!$B$5,0)</f>
        <v>5000</v>
      </c>
      <c r="K53" s="88">
        <f>IF(設計案成本估算!$B$5&gt;0,5000*設計案成本估算!$B$5,0)</f>
        <v>5000</v>
      </c>
      <c r="L53" s="88">
        <f>IF(設計案成本估算!$B$5&gt;0,5000*設計案成本估算!$B$5,0)</f>
        <v>5000</v>
      </c>
      <c r="M53" s="88">
        <f>IF(設計案成本估算!$B$5&gt;0,5000*設計案成本估算!$B$5,0)</f>
        <v>5000</v>
      </c>
      <c r="N53" s="88">
        <f>IF(設計案成本估算!$B$5&gt;0,5000*設計案成本估算!$B$5,0)</f>
        <v>5000</v>
      </c>
      <c r="O53" s="88">
        <f>IF(設計案成本估算!$B$5&gt;0,5000*設計案成本估算!$B$5,0)</f>
        <v>5000</v>
      </c>
      <c r="P53" s="88">
        <f>IF(設計案成本估算!$B$5&gt;0,5000*設計案成本估算!$B$5,0)</f>
        <v>5000</v>
      </c>
      <c r="Q53" s="88">
        <f>IF(設計案成本估算!$B$5&gt;0,5000*設計案成本估算!$B$5,0)</f>
        <v>5000</v>
      </c>
      <c r="R53" s="88">
        <f>IF(設計案成本估算!$B$5&gt;0,5000*設計案成本估算!$B$5,0)</f>
        <v>5000</v>
      </c>
      <c r="S53" s="88">
        <f>IF(設計案成本估算!$B$5&gt;0,5000*設計案成本估算!$B$5,0)</f>
        <v>5000</v>
      </c>
      <c r="T53" s="88">
        <f>IF(設計案成本估算!$B$5&gt;0,5000*設計案成本估算!$B$5,0)</f>
        <v>5000</v>
      </c>
      <c r="U53" s="88">
        <f>IF(設計案成本估算!$B$5&gt;0,5000*設計案成本估算!$B$5,0)</f>
        <v>5000</v>
      </c>
      <c r="V53" s="88">
        <f>IF(設計案成本估算!$B$5&gt;0,5000*設計案成本估算!$B$5,0)</f>
        <v>5000</v>
      </c>
      <c r="W53" s="88">
        <f>IF(設計案成本估算!$B$5&gt;0,5000*設計案成本估算!$B$5,0)</f>
        <v>5000</v>
      </c>
      <c r="X53" s="88"/>
      <c r="Y53" s="88"/>
      <c r="Z53" s="88"/>
      <c r="AA53" s="88"/>
      <c r="AB53" s="88"/>
      <c r="AC53" s="71">
        <f t="shared" si="81"/>
        <v>85000</v>
      </c>
      <c r="AD53" s="12"/>
      <c r="AE53" s="81" t="s">
        <v>6</v>
      </c>
      <c r="AF53" s="12" t="str">
        <f t="shared" si="82"/>
        <v>設計</v>
      </c>
      <c r="AG53" s="15" t="str">
        <f t="shared" si="82"/>
        <v>NTD</v>
      </c>
      <c r="AH53" s="12">
        <f t="shared" si="82"/>
        <v>0</v>
      </c>
      <c r="AI53" s="71">
        <f t="shared" si="86"/>
        <v>0</v>
      </c>
      <c r="AJ53" s="71">
        <f t="shared" si="79"/>
        <v>0</v>
      </c>
      <c r="AK53" s="71">
        <f t="shared" si="79"/>
        <v>5000</v>
      </c>
      <c r="AL53" s="71">
        <f t="shared" si="79"/>
        <v>10000</v>
      </c>
      <c r="AM53" s="71">
        <f t="shared" si="79"/>
        <v>15000</v>
      </c>
      <c r="AN53" s="71">
        <f t="shared" si="79"/>
        <v>20000</v>
      </c>
      <c r="AO53" s="71">
        <f t="shared" si="79"/>
        <v>25000</v>
      </c>
      <c r="AP53" s="71">
        <f t="shared" si="79"/>
        <v>30000</v>
      </c>
      <c r="AQ53" s="71">
        <f t="shared" si="79"/>
        <v>35000</v>
      </c>
      <c r="AR53" s="71">
        <f t="shared" si="79"/>
        <v>40000</v>
      </c>
      <c r="AS53" s="71">
        <f t="shared" si="79"/>
        <v>45000</v>
      </c>
      <c r="AT53" s="71">
        <f t="shared" si="79"/>
        <v>50000</v>
      </c>
      <c r="AU53" s="71">
        <f t="shared" si="79"/>
        <v>55000</v>
      </c>
      <c r="AV53" s="71">
        <f t="shared" si="79"/>
        <v>60000</v>
      </c>
      <c r="AW53" s="71">
        <f t="shared" si="79"/>
        <v>65000</v>
      </c>
      <c r="AX53" s="71">
        <f t="shared" si="79"/>
        <v>70000</v>
      </c>
      <c r="AY53" s="71">
        <f t="shared" si="79"/>
        <v>75000</v>
      </c>
      <c r="AZ53" s="71">
        <f t="shared" si="80"/>
        <v>80000</v>
      </c>
      <c r="BA53" s="71">
        <f t="shared" si="80"/>
        <v>85000</v>
      </c>
      <c r="BB53" s="71">
        <f t="shared" si="80"/>
        <v>85000</v>
      </c>
      <c r="BC53" s="71">
        <f t="shared" si="80"/>
        <v>85000</v>
      </c>
      <c r="BD53" s="71">
        <f t="shared" si="80"/>
        <v>85000</v>
      </c>
      <c r="BE53" s="71">
        <f t="shared" si="80"/>
        <v>85000</v>
      </c>
      <c r="BF53" s="71">
        <f t="shared" si="80"/>
        <v>85000</v>
      </c>
      <c r="BG53" s="71">
        <f t="shared" si="83"/>
        <v>85000</v>
      </c>
    </row>
    <row r="54" spans="1:59" x14ac:dyDescent="0.25">
      <c r="A54" s="3" t="s">
        <v>35</v>
      </c>
      <c r="B54" s="82" t="s">
        <v>43</v>
      </c>
      <c r="C54" s="3" t="s">
        <v>13</v>
      </c>
      <c r="D54" s="88"/>
      <c r="E54" s="88"/>
      <c r="F54" s="88"/>
      <c r="G54" s="88"/>
      <c r="H54" s="88"/>
      <c r="I54" s="88">
        <f>IF(設計案成本估算!$B$5&gt;0,5000,0)</f>
        <v>5000</v>
      </c>
      <c r="J54" s="88"/>
      <c r="K54" s="88"/>
      <c r="L54" s="88"/>
      <c r="M54" s="88"/>
      <c r="N54" s="88"/>
      <c r="O54" s="88"/>
      <c r="P54" s="88"/>
      <c r="Q54" s="88"/>
      <c r="R54" s="88"/>
      <c r="S54" s="88"/>
      <c r="T54" s="88"/>
      <c r="U54" s="88"/>
      <c r="V54" s="88"/>
      <c r="W54" s="88"/>
      <c r="X54" s="88"/>
      <c r="Y54" s="88"/>
      <c r="Z54" s="88"/>
      <c r="AA54" s="88"/>
      <c r="AB54" s="88"/>
      <c r="AC54" s="71">
        <f>SUM(D54:AB54)</f>
        <v>5000</v>
      </c>
      <c r="AD54" s="12"/>
      <c r="AE54" s="3" t="s">
        <v>35</v>
      </c>
      <c r="AF54" s="12" t="str">
        <f t="shared" ref="AF54:AH55" si="87">B54</f>
        <v>設計</v>
      </c>
      <c r="AG54" s="15" t="str">
        <f t="shared" si="87"/>
        <v>NTD</v>
      </c>
      <c r="AH54" s="12">
        <f t="shared" si="87"/>
        <v>0</v>
      </c>
      <c r="AI54" s="71">
        <f t="shared" ref="AI54:BF54" si="88">AH54+E54</f>
        <v>0</v>
      </c>
      <c r="AJ54" s="71">
        <f t="shared" si="88"/>
        <v>0</v>
      </c>
      <c r="AK54" s="71">
        <f t="shared" si="88"/>
        <v>0</v>
      </c>
      <c r="AL54" s="71">
        <f t="shared" si="88"/>
        <v>0</v>
      </c>
      <c r="AM54" s="71">
        <f t="shared" si="88"/>
        <v>5000</v>
      </c>
      <c r="AN54" s="71">
        <f t="shared" si="88"/>
        <v>5000</v>
      </c>
      <c r="AO54" s="71">
        <f t="shared" si="88"/>
        <v>5000</v>
      </c>
      <c r="AP54" s="71">
        <f t="shared" si="88"/>
        <v>5000</v>
      </c>
      <c r="AQ54" s="71">
        <f t="shared" si="88"/>
        <v>5000</v>
      </c>
      <c r="AR54" s="71">
        <f t="shared" si="88"/>
        <v>5000</v>
      </c>
      <c r="AS54" s="71">
        <f t="shared" si="88"/>
        <v>5000</v>
      </c>
      <c r="AT54" s="71">
        <f t="shared" si="88"/>
        <v>5000</v>
      </c>
      <c r="AU54" s="71">
        <f t="shared" si="88"/>
        <v>5000</v>
      </c>
      <c r="AV54" s="71">
        <f t="shared" si="88"/>
        <v>5000</v>
      </c>
      <c r="AW54" s="71">
        <f t="shared" si="88"/>
        <v>5000</v>
      </c>
      <c r="AX54" s="71">
        <f t="shared" si="88"/>
        <v>5000</v>
      </c>
      <c r="AY54" s="71">
        <f t="shared" si="88"/>
        <v>5000</v>
      </c>
      <c r="AZ54" s="71">
        <f t="shared" si="88"/>
        <v>5000</v>
      </c>
      <c r="BA54" s="71">
        <f t="shared" si="88"/>
        <v>5000</v>
      </c>
      <c r="BB54" s="71">
        <f t="shared" si="88"/>
        <v>5000</v>
      </c>
      <c r="BC54" s="71">
        <f t="shared" si="88"/>
        <v>5000</v>
      </c>
      <c r="BD54" s="71">
        <f t="shared" si="88"/>
        <v>5000</v>
      </c>
      <c r="BE54" s="71">
        <f t="shared" si="88"/>
        <v>5000</v>
      </c>
      <c r="BF54" s="71">
        <f t="shared" si="88"/>
        <v>5000</v>
      </c>
      <c r="BG54" s="71">
        <f>BF54</f>
        <v>5000</v>
      </c>
    </row>
    <row r="55" spans="1:59" x14ac:dyDescent="0.25">
      <c r="A55" s="146" t="s">
        <v>315</v>
      </c>
      <c r="B55" s="82" t="s">
        <v>43</v>
      </c>
      <c r="C55" s="3" t="s">
        <v>13</v>
      </c>
      <c r="D55" s="88"/>
      <c r="E55" s="88"/>
      <c r="F55" s="88"/>
      <c r="G55" s="88"/>
      <c r="H55" s="88"/>
      <c r="I55" s="88">
        <f>IF(設計案成本估算!$B$5&gt;0,5000*設計案成本估算!$B$5,0)</f>
        <v>5000</v>
      </c>
      <c r="J55" s="88"/>
      <c r="K55" s="88"/>
      <c r="L55" s="88"/>
      <c r="M55" s="88"/>
      <c r="N55" s="88"/>
      <c r="O55" s="88"/>
      <c r="P55" s="88"/>
      <c r="Q55" s="88"/>
      <c r="R55" s="88"/>
      <c r="S55" s="88"/>
      <c r="T55" s="88"/>
      <c r="U55" s="88"/>
      <c r="V55" s="88"/>
      <c r="W55" s="88"/>
      <c r="X55" s="88"/>
      <c r="Y55" s="88"/>
      <c r="Z55" s="88"/>
      <c r="AA55" s="88"/>
      <c r="AB55" s="88"/>
      <c r="AC55" s="71">
        <f>SUM(D55:AB55)</f>
        <v>5000</v>
      </c>
      <c r="AD55" s="12"/>
      <c r="AE55" s="81" t="s">
        <v>309</v>
      </c>
      <c r="AF55" s="12" t="str">
        <f t="shared" si="87"/>
        <v>設計</v>
      </c>
      <c r="AG55" s="15" t="str">
        <f t="shared" si="87"/>
        <v>NTD</v>
      </c>
      <c r="AH55" s="12">
        <f t="shared" si="87"/>
        <v>0</v>
      </c>
      <c r="AI55" s="71">
        <f t="shared" ref="AI55:BF55" si="89">AH55+E55</f>
        <v>0</v>
      </c>
      <c r="AJ55" s="71">
        <f t="shared" si="89"/>
        <v>0</v>
      </c>
      <c r="AK55" s="71">
        <f t="shared" si="89"/>
        <v>0</v>
      </c>
      <c r="AL55" s="71">
        <f t="shared" si="89"/>
        <v>0</v>
      </c>
      <c r="AM55" s="71">
        <f t="shared" si="89"/>
        <v>5000</v>
      </c>
      <c r="AN55" s="71">
        <f t="shared" si="89"/>
        <v>5000</v>
      </c>
      <c r="AO55" s="71">
        <f t="shared" si="89"/>
        <v>5000</v>
      </c>
      <c r="AP55" s="71">
        <f t="shared" si="89"/>
        <v>5000</v>
      </c>
      <c r="AQ55" s="71">
        <f t="shared" si="89"/>
        <v>5000</v>
      </c>
      <c r="AR55" s="71">
        <f t="shared" si="89"/>
        <v>5000</v>
      </c>
      <c r="AS55" s="71">
        <f t="shared" si="89"/>
        <v>5000</v>
      </c>
      <c r="AT55" s="71">
        <f t="shared" si="89"/>
        <v>5000</v>
      </c>
      <c r="AU55" s="71">
        <f t="shared" si="89"/>
        <v>5000</v>
      </c>
      <c r="AV55" s="71">
        <f t="shared" si="89"/>
        <v>5000</v>
      </c>
      <c r="AW55" s="71">
        <f t="shared" si="89"/>
        <v>5000</v>
      </c>
      <c r="AX55" s="71">
        <f t="shared" si="89"/>
        <v>5000</v>
      </c>
      <c r="AY55" s="71">
        <f t="shared" si="89"/>
        <v>5000</v>
      </c>
      <c r="AZ55" s="71">
        <f t="shared" si="89"/>
        <v>5000</v>
      </c>
      <c r="BA55" s="71">
        <f t="shared" si="89"/>
        <v>5000</v>
      </c>
      <c r="BB55" s="71">
        <f t="shared" si="89"/>
        <v>5000</v>
      </c>
      <c r="BC55" s="71">
        <f t="shared" si="89"/>
        <v>5000</v>
      </c>
      <c r="BD55" s="71">
        <f t="shared" si="89"/>
        <v>5000</v>
      </c>
      <c r="BE55" s="71">
        <f t="shared" si="89"/>
        <v>5000</v>
      </c>
      <c r="BF55" s="71">
        <f t="shared" si="89"/>
        <v>5000</v>
      </c>
      <c r="BG55" s="71">
        <f>BF55</f>
        <v>5000</v>
      </c>
    </row>
    <row r="56" spans="1:59" x14ac:dyDescent="0.25">
      <c r="A56" s="3" t="s">
        <v>7</v>
      </c>
      <c r="B56" s="82" t="s">
        <v>43</v>
      </c>
      <c r="C56" s="3" t="s">
        <v>13</v>
      </c>
      <c r="D56" s="88"/>
      <c r="E56" s="88"/>
      <c r="F56" s="88"/>
      <c r="G56" s="88"/>
      <c r="H56" s="88"/>
      <c r="I56" s="88">
        <f>IF(設計案成本估算!$B$5&gt;0,5000+2500*(設計案成本估算!$B$5-1),0)</f>
        <v>5000</v>
      </c>
      <c r="J56" s="88"/>
      <c r="K56" s="88"/>
      <c r="L56" s="88"/>
      <c r="M56" s="88"/>
      <c r="N56" s="88">
        <f>IF(設計案成本估算!$B$5&gt;0,5000+2500*(設計案成本估算!$B$5-1),0)</f>
        <v>5000</v>
      </c>
      <c r="O56" s="88"/>
      <c r="P56" s="88"/>
      <c r="Q56" s="88"/>
      <c r="R56" s="88"/>
      <c r="S56" s="88"/>
      <c r="T56" s="88"/>
      <c r="U56" s="88"/>
      <c r="V56" s="88"/>
      <c r="W56" s="88"/>
      <c r="X56" s="88"/>
      <c r="Y56" s="88"/>
      <c r="Z56" s="88"/>
      <c r="AA56" s="88"/>
      <c r="AB56" s="88"/>
      <c r="AC56" s="71">
        <f t="shared" si="81"/>
        <v>10000</v>
      </c>
      <c r="AD56" s="12"/>
      <c r="AE56" s="3" t="s">
        <v>7</v>
      </c>
      <c r="AF56" s="12" t="str">
        <f t="shared" si="82"/>
        <v>設計</v>
      </c>
      <c r="AG56" s="15" t="str">
        <f t="shared" si="82"/>
        <v>NTD</v>
      </c>
      <c r="AH56" s="12">
        <f t="shared" si="82"/>
        <v>0</v>
      </c>
      <c r="AI56" s="71">
        <f t="shared" si="86"/>
        <v>0</v>
      </c>
      <c r="AJ56" s="71">
        <f t="shared" si="79"/>
        <v>0</v>
      </c>
      <c r="AK56" s="71">
        <f t="shared" si="79"/>
        <v>0</v>
      </c>
      <c r="AL56" s="71">
        <f t="shared" si="79"/>
        <v>0</v>
      </c>
      <c r="AM56" s="71">
        <f t="shared" si="79"/>
        <v>5000</v>
      </c>
      <c r="AN56" s="71">
        <f t="shared" si="79"/>
        <v>5000</v>
      </c>
      <c r="AO56" s="71">
        <f t="shared" si="79"/>
        <v>5000</v>
      </c>
      <c r="AP56" s="71">
        <f t="shared" si="79"/>
        <v>5000</v>
      </c>
      <c r="AQ56" s="71">
        <f t="shared" si="79"/>
        <v>5000</v>
      </c>
      <c r="AR56" s="71">
        <f t="shared" si="79"/>
        <v>10000</v>
      </c>
      <c r="AS56" s="71">
        <f t="shared" si="79"/>
        <v>10000</v>
      </c>
      <c r="AT56" s="71">
        <f t="shared" si="79"/>
        <v>10000</v>
      </c>
      <c r="AU56" s="71">
        <f t="shared" si="79"/>
        <v>10000</v>
      </c>
      <c r="AV56" s="71">
        <f t="shared" si="79"/>
        <v>10000</v>
      </c>
      <c r="AW56" s="71">
        <f t="shared" si="79"/>
        <v>10000</v>
      </c>
      <c r="AX56" s="71">
        <f t="shared" si="79"/>
        <v>10000</v>
      </c>
      <c r="AY56" s="71">
        <f t="shared" si="79"/>
        <v>10000</v>
      </c>
      <c r="AZ56" s="71">
        <f t="shared" si="80"/>
        <v>10000</v>
      </c>
      <c r="BA56" s="71">
        <f t="shared" si="80"/>
        <v>10000</v>
      </c>
      <c r="BB56" s="71">
        <f t="shared" si="80"/>
        <v>10000</v>
      </c>
      <c r="BC56" s="71">
        <f t="shared" si="80"/>
        <v>10000</v>
      </c>
      <c r="BD56" s="71">
        <f t="shared" si="80"/>
        <v>10000</v>
      </c>
      <c r="BE56" s="71">
        <f t="shared" si="80"/>
        <v>10000</v>
      </c>
      <c r="BF56" s="71">
        <f t="shared" si="80"/>
        <v>10000</v>
      </c>
      <c r="BG56" s="71">
        <f t="shared" si="83"/>
        <v>10000</v>
      </c>
    </row>
    <row r="57" spans="1:59" x14ac:dyDescent="0.25">
      <c r="A57" s="81" t="s">
        <v>10</v>
      </c>
      <c r="B57" s="82" t="s">
        <v>43</v>
      </c>
      <c r="C57" s="3" t="s">
        <v>13</v>
      </c>
      <c r="D57" s="88"/>
      <c r="E57" s="88"/>
      <c r="F57" s="88"/>
      <c r="G57" s="88"/>
      <c r="H57" s="88"/>
      <c r="I57" s="88">
        <f>IF(設計案成本估算!$B$5&gt;0,5000*設計案成本估算!$B$5,0)</f>
        <v>5000</v>
      </c>
      <c r="J57" s="88"/>
      <c r="K57" s="88"/>
      <c r="L57" s="88"/>
      <c r="M57" s="88"/>
      <c r="N57" s="88">
        <f>IF(設計案成本估算!$B$5&gt;0,5000*設計案成本估算!$B$5,0)</f>
        <v>5000</v>
      </c>
      <c r="O57" s="88"/>
      <c r="P57" s="88"/>
      <c r="Q57" s="88"/>
      <c r="R57" s="88"/>
      <c r="S57" s="88">
        <f>IF(設計案成本估算!$B$5&gt;0,5000*設計案成本估算!$B$5,0)</f>
        <v>5000</v>
      </c>
      <c r="T57" s="88"/>
      <c r="U57" s="88"/>
      <c r="V57" s="88"/>
      <c r="W57" s="88"/>
      <c r="X57" s="88">
        <f>IF(設計案成本估算!$B$5&gt;0,5000*設計案成本估算!$B$5,0)</f>
        <v>5000</v>
      </c>
      <c r="Y57" s="88"/>
      <c r="Z57" s="88"/>
      <c r="AA57" s="88"/>
      <c r="AB57" s="88"/>
      <c r="AC57" s="71">
        <f>SUM(D57:AB57)</f>
        <v>20000</v>
      </c>
      <c r="AD57" s="12"/>
      <c r="AE57" s="81" t="s">
        <v>10</v>
      </c>
      <c r="AF57" s="12" t="str">
        <f>B57</f>
        <v>設計</v>
      </c>
      <c r="AG57" s="15" t="str">
        <f>C57</f>
        <v>NTD</v>
      </c>
      <c r="AH57" s="12">
        <f>D57</f>
        <v>0</v>
      </c>
      <c r="AI57" s="71">
        <f t="shared" ref="AI57:BF57" si="90">AH57+E57</f>
        <v>0</v>
      </c>
      <c r="AJ57" s="71">
        <f t="shared" si="90"/>
        <v>0</v>
      </c>
      <c r="AK57" s="71">
        <f t="shared" si="90"/>
        <v>0</v>
      </c>
      <c r="AL57" s="71">
        <f t="shared" si="90"/>
        <v>0</v>
      </c>
      <c r="AM57" s="71">
        <f t="shared" si="90"/>
        <v>5000</v>
      </c>
      <c r="AN57" s="71">
        <f t="shared" si="90"/>
        <v>5000</v>
      </c>
      <c r="AO57" s="71">
        <f t="shared" si="90"/>
        <v>5000</v>
      </c>
      <c r="AP57" s="71">
        <f t="shared" si="90"/>
        <v>5000</v>
      </c>
      <c r="AQ57" s="71">
        <f t="shared" si="90"/>
        <v>5000</v>
      </c>
      <c r="AR57" s="71">
        <f t="shared" si="90"/>
        <v>10000</v>
      </c>
      <c r="AS57" s="71">
        <f t="shared" si="90"/>
        <v>10000</v>
      </c>
      <c r="AT57" s="71">
        <f t="shared" si="90"/>
        <v>10000</v>
      </c>
      <c r="AU57" s="71">
        <f t="shared" si="90"/>
        <v>10000</v>
      </c>
      <c r="AV57" s="71">
        <f t="shared" si="90"/>
        <v>10000</v>
      </c>
      <c r="AW57" s="71">
        <f t="shared" si="90"/>
        <v>15000</v>
      </c>
      <c r="AX57" s="71">
        <f t="shared" si="90"/>
        <v>15000</v>
      </c>
      <c r="AY57" s="71">
        <f t="shared" si="90"/>
        <v>15000</v>
      </c>
      <c r="AZ57" s="71">
        <f t="shared" si="90"/>
        <v>15000</v>
      </c>
      <c r="BA57" s="71">
        <f t="shared" si="90"/>
        <v>15000</v>
      </c>
      <c r="BB57" s="71">
        <f t="shared" si="90"/>
        <v>20000</v>
      </c>
      <c r="BC57" s="71">
        <f t="shared" si="90"/>
        <v>20000</v>
      </c>
      <c r="BD57" s="71">
        <f t="shared" si="90"/>
        <v>20000</v>
      </c>
      <c r="BE57" s="71">
        <f t="shared" si="90"/>
        <v>20000</v>
      </c>
      <c r="BF57" s="71">
        <f t="shared" si="90"/>
        <v>20000</v>
      </c>
      <c r="BG57" s="71">
        <f>BF57</f>
        <v>20000</v>
      </c>
    </row>
    <row r="58" spans="1:59" x14ac:dyDescent="0.25">
      <c r="A58" s="51" t="s">
        <v>116</v>
      </c>
      <c r="B58" s="82" t="s">
        <v>43</v>
      </c>
      <c r="C58" s="3" t="s">
        <v>13</v>
      </c>
      <c r="D58" s="88"/>
      <c r="E58" s="88"/>
      <c r="F58" s="88"/>
      <c r="G58" s="88"/>
      <c r="H58" s="88"/>
      <c r="I58" s="88">
        <f>IF(設計案成本估算!$B$5&gt;0,5000,0)</f>
        <v>5000</v>
      </c>
      <c r="J58" s="88"/>
      <c r="K58" s="88"/>
      <c r="L58" s="88"/>
      <c r="M58" s="88"/>
      <c r="N58" s="88">
        <f>IF(設計案成本估算!$B$5&gt;0,5000,0)</f>
        <v>5000</v>
      </c>
      <c r="O58" s="88"/>
      <c r="P58" s="88"/>
      <c r="Q58" s="88"/>
      <c r="R58" s="88"/>
      <c r="S58" s="88"/>
      <c r="T58" s="88"/>
      <c r="U58" s="88"/>
      <c r="V58" s="88"/>
      <c r="W58" s="88"/>
      <c r="X58" s="88"/>
      <c r="Y58" s="88"/>
      <c r="Z58" s="88"/>
      <c r="AA58" s="88"/>
      <c r="AB58" s="88"/>
      <c r="AC58" s="71">
        <f t="shared" si="81"/>
        <v>10000</v>
      </c>
      <c r="AD58" s="12"/>
      <c r="AE58" s="51" t="s">
        <v>116</v>
      </c>
      <c r="AF58" s="12" t="str">
        <f t="shared" si="82"/>
        <v>設計</v>
      </c>
      <c r="AG58" s="15" t="str">
        <f t="shared" si="82"/>
        <v>NTD</v>
      </c>
      <c r="AH58" s="12">
        <f t="shared" si="82"/>
        <v>0</v>
      </c>
      <c r="AI58" s="71">
        <f t="shared" si="86"/>
        <v>0</v>
      </c>
      <c r="AJ58" s="71">
        <f t="shared" si="79"/>
        <v>0</v>
      </c>
      <c r="AK58" s="71">
        <f t="shared" si="79"/>
        <v>0</v>
      </c>
      <c r="AL58" s="71">
        <f t="shared" si="79"/>
        <v>0</v>
      </c>
      <c r="AM58" s="71">
        <f t="shared" si="79"/>
        <v>5000</v>
      </c>
      <c r="AN58" s="71">
        <f t="shared" si="79"/>
        <v>5000</v>
      </c>
      <c r="AO58" s="71">
        <f t="shared" si="79"/>
        <v>5000</v>
      </c>
      <c r="AP58" s="71">
        <f t="shared" si="79"/>
        <v>5000</v>
      </c>
      <c r="AQ58" s="71">
        <f t="shared" si="79"/>
        <v>5000</v>
      </c>
      <c r="AR58" s="71">
        <f t="shared" si="79"/>
        <v>10000</v>
      </c>
      <c r="AS58" s="71">
        <f t="shared" si="79"/>
        <v>10000</v>
      </c>
      <c r="AT58" s="71">
        <f t="shared" si="79"/>
        <v>10000</v>
      </c>
      <c r="AU58" s="71">
        <f t="shared" si="79"/>
        <v>10000</v>
      </c>
      <c r="AV58" s="71">
        <f t="shared" si="79"/>
        <v>10000</v>
      </c>
      <c r="AW58" s="71">
        <f t="shared" si="79"/>
        <v>10000</v>
      </c>
      <c r="AX58" s="71">
        <f t="shared" si="79"/>
        <v>10000</v>
      </c>
      <c r="AY58" s="71">
        <f t="shared" si="79"/>
        <v>10000</v>
      </c>
      <c r="AZ58" s="71">
        <f t="shared" si="80"/>
        <v>10000</v>
      </c>
      <c r="BA58" s="71">
        <f t="shared" si="80"/>
        <v>10000</v>
      </c>
      <c r="BB58" s="71">
        <f t="shared" si="80"/>
        <v>10000</v>
      </c>
      <c r="BC58" s="71">
        <f t="shared" si="80"/>
        <v>10000</v>
      </c>
      <c r="BD58" s="71">
        <f t="shared" si="80"/>
        <v>10000</v>
      </c>
      <c r="BE58" s="71">
        <f t="shared" si="80"/>
        <v>10000</v>
      </c>
      <c r="BF58" s="71">
        <f t="shared" si="80"/>
        <v>10000</v>
      </c>
      <c r="BG58" s="71">
        <f t="shared" si="83"/>
        <v>10000</v>
      </c>
    </row>
    <row r="59" spans="1:59" x14ac:dyDescent="0.25">
      <c r="A59" s="81" t="s">
        <v>96</v>
      </c>
      <c r="B59" s="82" t="s">
        <v>43</v>
      </c>
      <c r="C59" s="3" t="s">
        <v>13</v>
      </c>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71">
        <f>SUM(D59:AB59)</f>
        <v>0</v>
      </c>
      <c r="AD59" s="12"/>
      <c r="AE59" s="81" t="s">
        <v>96</v>
      </c>
      <c r="AF59" s="12" t="str">
        <f>B59</f>
        <v>設計</v>
      </c>
      <c r="AG59" s="15" t="str">
        <f>C59</f>
        <v>NTD</v>
      </c>
      <c r="AH59" s="12">
        <f>D59</f>
        <v>0</v>
      </c>
      <c r="AI59" s="71">
        <f>AH59+E59</f>
        <v>0</v>
      </c>
      <c r="AJ59" s="71">
        <f t="shared" ref="AJ59:AY59" si="91">AI59+F59</f>
        <v>0</v>
      </c>
      <c r="AK59" s="71">
        <f t="shared" si="91"/>
        <v>0</v>
      </c>
      <c r="AL59" s="71">
        <f t="shared" si="91"/>
        <v>0</v>
      </c>
      <c r="AM59" s="71">
        <f t="shared" si="91"/>
        <v>0</v>
      </c>
      <c r="AN59" s="71">
        <f t="shared" si="91"/>
        <v>0</v>
      </c>
      <c r="AO59" s="71">
        <f t="shared" si="91"/>
        <v>0</v>
      </c>
      <c r="AP59" s="71">
        <f t="shared" si="91"/>
        <v>0</v>
      </c>
      <c r="AQ59" s="71">
        <f t="shared" si="91"/>
        <v>0</v>
      </c>
      <c r="AR59" s="71">
        <f t="shared" si="91"/>
        <v>0</v>
      </c>
      <c r="AS59" s="71">
        <f t="shared" si="91"/>
        <v>0</v>
      </c>
      <c r="AT59" s="71">
        <f t="shared" si="91"/>
        <v>0</v>
      </c>
      <c r="AU59" s="71">
        <f t="shared" si="91"/>
        <v>0</v>
      </c>
      <c r="AV59" s="71">
        <f t="shared" si="91"/>
        <v>0</v>
      </c>
      <c r="AW59" s="71">
        <f t="shared" si="91"/>
        <v>0</v>
      </c>
      <c r="AX59" s="71">
        <f t="shared" si="91"/>
        <v>0</v>
      </c>
      <c r="AY59" s="71">
        <f t="shared" si="91"/>
        <v>0</v>
      </c>
      <c r="AZ59" s="71">
        <f t="shared" ref="AZ59:BF59" si="92">AY59+V59</f>
        <v>0</v>
      </c>
      <c r="BA59" s="71">
        <f t="shared" si="92"/>
        <v>0</v>
      </c>
      <c r="BB59" s="71">
        <f t="shared" si="92"/>
        <v>0</v>
      </c>
      <c r="BC59" s="71">
        <f t="shared" si="92"/>
        <v>0</v>
      </c>
      <c r="BD59" s="71">
        <f t="shared" si="92"/>
        <v>0</v>
      </c>
      <c r="BE59" s="71">
        <f t="shared" si="92"/>
        <v>0</v>
      </c>
      <c r="BF59" s="71">
        <f t="shared" si="92"/>
        <v>0</v>
      </c>
      <c r="BG59" s="71">
        <f>BF59</f>
        <v>0</v>
      </c>
    </row>
    <row r="60" spans="1:59" x14ac:dyDescent="0.25">
      <c r="A60" s="81" t="s">
        <v>8</v>
      </c>
      <c r="B60" s="82" t="s">
        <v>43</v>
      </c>
      <c r="C60" s="3" t="s">
        <v>13</v>
      </c>
      <c r="D60" s="88"/>
      <c r="E60" s="88"/>
      <c r="F60" s="88"/>
      <c r="G60" s="88"/>
      <c r="H60" s="88"/>
      <c r="I60" s="88">
        <f>IF(設計案成本估算!$B$5&gt;0,5000,0)</f>
        <v>5000</v>
      </c>
      <c r="J60" s="88"/>
      <c r="K60" s="88"/>
      <c r="L60" s="88"/>
      <c r="M60" s="88"/>
      <c r="N60" s="88">
        <f>IF(設計案成本估算!$B$5&gt;0,5000,0)</f>
        <v>5000</v>
      </c>
      <c r="O60" s="88"/>
      <c r="P60" s="88"/>
      <c r="Q60" s="88"/>
      <c r="R60" s="88"/>
      <c r="S60" s="88"/>
      <c r="T60" s="88"/>
      <c r="U60" s="88"/>
      <c r="V60" s="88"/>
      <c r="W60" s="88"/>
      <c r="X60" s="88"/>
      <c r="Y60" s="88"/>
      <c r="Z60" s="88"/>
      <c r="AA60" s="88"/>
      <c r="AB60" s="88"/>
      <c r="AC60" s="71">
        <f t="shared" si="81"/>
        <v>10000</v>
      </c>
      <c r="AD60" s="12"/>
      <c r="AE60" s="81" t="s">
        <v>8</v>
      </c>
      <c r="AF60" s="12" t="str">
        <f t="shared" si="82"/>
        <v>設計</v>
      </c>
      <c r="AG60" s="15" t="str">
        <f t="shared" si="82"/>
        <v>NTD</v>
      </c>
      <c r="AH60" s="12">
        <f t="shared" si="82"/>
        <v>0</v>
      </c>
      <c r="AI60" s="71">
        <f t="shared" si="86"/>
        <v>0</v>
      </c>
      <c r="AJ60" s="71">
        <f t="shared" si="79"/>
        <v>0</v>
      </c>
      <c r="AK60" s="71">
        <f t="shared" si="79"/>
        <v>0</v>
      </c>
      <c r="AL60" s="71">
        <f t="shared" si="79"/>
        <v>0</v>
      </c>
      <c r="AM60" s="71">
        <f t="shared" si="79"/>
        <v>5000</v>
      </c>
      <c r="AN60" s="71">
        <f t="shared" si="79"/>
        <v>5000</v>
      </c>
      <c r="AO60" s="71">
        <f t="shared" si="79"/>
        <v>5000</v>
      </c>
      <c r="AP60" s="71">
        <f t="shared" si="79"/>
        <v>5000</v>
      </c>
      <c r="AQ60" s="71">
        <f t="shared" si="79"/>
        <v>5000</v>
      </c>
      <c r="AR60" s="71">
        <f t="shared" si="79"/>
        <v>10000</v>
      </c>
      <c r="AS60" s="71">
        <f t="shared" si="79"/>
        <v>10000</v>
      </c>
      <c r="AT60" s="71">
        <f t="shared" si="79"/>
        <v>10000</v>
      </c>
      <c r="AU60" s="71">
        <f t="shared" si="79"/>
        <v>10000</v>
      </c>
      <c r="AV60" s="71">
        <f t="shared" si="79"/>
        <v>10000</v>
      </c>
      <c r="AW60" s="71">
        <f t="shared" si="79"/>
        <v>10000</v>
      </c>
      <c r="AX60" s="71">
        <f t="shared" si="79"/>
        <v>10000</v>
      </c>
      <c r="AY60" s="71">
        <f t="shared" si="79"/>
        <v>10000</v>
      </c>
      <c r="AZ60" s="71">
        <f t="shared" si="80"/>
        <v>10000</v>
      </c>
      <c r="BA60" s="71">
        <f t="shared" si="80"/>
        <v>10000</v>
      </c>
      <c r="BB60" s="71">
        <f t="shared" si="80"/>
        <v>10000</v>
      </c>
      <c r="BC60" s="71">
        <f t="shared" si="80"/>
        <v>10000</v>
      </c>
      <c r="BD60" s="71">
        <f t="shared" si="80"/>
        <v>10000</v>
      </c>
      <c r="BE60" s="71">
        <f t="shared" si="80"/>
        <v>10000</v>
      </c>
      <c r="BF60" s="71">
        <f t="shared" si="80"/>
        <v>10000</v>
      </c>
      <c r="BG60" s="71">
        <f t="shared" si="83"/>
        <v>10000</v>
      </c>
    </row>
    <row r="61" spans="1:59" x14ac:dyDescent="0.25">
      <c r="A61" s="81" t="s">
        <v>9</v>
      </c>
      <c r="B61" s="82" t="s">
        <v>43</v>
      </c>
      <c r="C61" s="3" t="s">
        <v>13</v>
      </c>
      <c r="D61" s="88"/>
      <c r="E61" s="88"/>
      <c r="F61" s="88"/>
      <c r="G61" s="88"/>
      <c r="H61" s="88">
        <f>IF(設計案成本估算!$B$5&gt;0,5000*設計案成本估算!$B$5,0)</f>
        <v>5000</v>
      </c>
      <c r="I61" s="88">
        <f>IF(設計案成本估算!$B$5&gt;0,5000*設計案成本估算!$B$5,0)</f>
        <v>5000</v>
      </c>
      <c r="J61" s="88">
        <f>IF(設計案成本估算!$B$5&gt;0,5000*設計案成本估算!$B$5,0)</f>
        <v>5000</v>
      </c>
      <c r="K61" s="88">
        <f>IF(設計案成本估算!$B$5&gt;0,5000*設計案成本估算!$B$5,0)</f>
        <v>5000</v>
      </c>
      <c r="L61" s="88">
        <f>IF(設計案成本估算!$B$5&gt;0,5000*設計案成本估算!$B$5,0)</f>
        <v>5000</v>
      </c>
      <c r="M61" s="88">
        <f>IF(設計案成本估算!$B$5&gt;0,5000*設計案成本估算!$B$5,0)</f>
        <v>5000</v>
      </c>
      <c r="N61" s="88"/>
      <c r="O61" s="88"/>
      <c r="P61" s="88"/>
      <c r="Q61" s="88"/>
      <c r="R61" s="88"/>
      <c r="S61" s="88"/>
      <c r="T61" s="88"/>
      <c r="U61" s="88"/>
      <c r="V61" s="88"/>
      <c r="W61" s="88"/>
      <c r="X61" s="88"/>
      <c r="Y61" s="88"/>
      <c r="Z61" s="88"/>
      <c r="AA61" s="88"/>
      <c r="AB61" s="88"/>
      <c r="AC61" s="71">
        <f t="shared" si="81"/>
        <v>30000</v>
      </c>
      <c r="AD61" s="12"/>
      <c r="AE61" s="81" t="s">
        <v>9</v>
      </c>
      <c r="AF61" s="12" t="str">
        <f t="shared" si="82"/>
        <v>設計</v>
      </c>
      <c r="AG61" s="15" t="str">
        <f t="shared" si="82"/>
        <v>NTD</v>
      </c>
      <c r="AH61" s="12">
        <f t="shared" si="82"/>
        <v>0</v>
      </c>
      <c r="AI61" s="71">
        <f t="shared" si="86"/>
        <v>0</v>
      </c>
      <c r="AJ61" s="71">
        <f t="shared" si="79"/>
        <v>0</v>
      </c>
      <c r="AK61" s="71">
        <f t="shared" si="79"/>
        <v>0</v>
      </c>
      <c r="AL61" s="71">
        <f t="shared" si="79"/>
        <v>5000</v>
      </c>
      <c r="AM61" s="71">
        <f t="shared" si="79"/>
        <v>10000</v>
      </c>
      <c r="AN61" s="71">
        <f t="shared" si="79"/>
        <v>15000</v>
      </c>
      <c r="AO61" s="71">
        <f t="shared" si="79"/>
        <v>20000</v>
      </c>
      <c r="AP61" s="71">
        <f t="shared" si="79"/>
        <v>25000</v>
      </c>
      <c r="AQ61" s="71">
        <f t="shared" si="79"/>
        <v>30000</v>
      </c>
      <c r="AR61" s="71">
        <f t="shared" si="79"/>
        <v>30000</v>
      </c>
      <c r="AS61" s="71">
        <f t="shared" si="79"/>
        <v>30000</v>
      </c>
      <c r="AT61" s="71">
        <f t="shared" si="79"/>
        <v>30000</v>
      </c>
      <c r="AU61" s="71">
        <f t="shared" si="79"/>
        <v>30000</v>
      </c>
      <c r="AV61" s="71">
        <f t="shared" si="79"/>
        <v>30000</v>
      </c>
      <c r="AW61" s="71">
        <f t="shared" si="79"/>
        <v>30000</v>
      </c>
      <c r="AX61" s="71">
        <f t="shared" si="79"/>
        <v>30000</v>
      </c>
      <c r="AY61" s="71">
        <f t="shared" si="79"/>
        <v>30000</v>
      </c>
      <c r="AZ61" s="71">
        <f t="shared" si="80"/>
        <v>30000</v>
      </c>
      <c r="BA61" s="71">
        <f t="shared" si="80"/>
        <v>30000</v>
      </c>
      <c r="BB61" s="71">
        <f t="shared" si="80"/>
        <v>30000</v>
      </c>
      <c r="BC61" s="71">
        <f t="shared" si="80"/>
        <v>30000</v>
      </c>
      <c r="BD61" s="71">
        <f t="shared" si="80"/>
        <v>30000</v>
      </c>
      <c r="BE61" s="71">
        <f t="shared" si="80"/>
        <v>30000</v>
      </c>
      <c r="BF61" s="71">
        <f t="shared" si="80"/>
        <v>30000</v>
      </c>
      <c r="BG61" s="71">
        <f t="shared" si="83"/>
        <v>30000</v>
      </c>
    </row>
    <row r="62" spans="1:59" x14ac:dyDescent="0.25">
      <c r="A62" s="81" t="s">
        <v>309</v>
      </c>
      <c r="B62" s="82" t="s">
        <v>43</v>
      </c>
      <c r="C62" s="3" t="s">
        <v>13</v>
      </c>
      <c r="D62" s="88"/>
      <c r="E62" s="88"/>
      <c r="F62" s="88"/>
      <c r="G62" s="88"/>
      <c r="H62" s="88"/>
      <c r="I62" s="88"/>
      <c r="J62" s="88"/>
      <c r="K62" s="88"/>
      <c r="L62" s="88"/>
      <c r="M62" s="88"/>
      <c r="N62" s="88">
        <f>IF(設計案成本估算!$B$5&gt;0,5000*設計案成本估算!$B$5,0)</f>
        <v>5000</v>
      </c>
      <c r="O62" s="88"/>
      <c r="P62" s="88"/>
      <c r="Q62" s="88"/>
      <c r="R62" s="88"/>
      <c r="S62" s="88"/>
      <c r="T62" s="88"/>
      <c r="U62" s="88"/>
      <c r="V62" s="88"/>
      <c r="W62" s="88"/>
      <c r="X62" s="88"/>
      <c r="Y62" s="88"/>
      <c r="Z62" s="88"/>
      <c r="AA62" s="88"/>
      <c r="AB62" s="88"/>
      <c r="AC62" s="71">
        <f>SUM(D62:AB62)</f>
        <v>5000</v>
      </c>
      <c r="AD62" s="12"/>
      <c r="AE62" s="81" t="s">
        <v>309</v>
      </c>
      <c r="AF62" s="12" t="str">
        <f>B62</f>
        <v>設計</v>
      </c>
      <c r="AG62" s="15" t="str">
        <f t="shared" ref="AG62" si="93">C62</f>
        <v>NTD</v>
      </c>
      <c r="AH62" s="12">
        <f>D62</f>
        <v>0</v>
      </c>
      <c r="AI62" s="71">
        <f t="shared" ref="AI62" si="94">AH62+E62</f>
        <v>0</v>
      </c>
      <c r="AJ62" s="71">
        <f t="shared" ref="AJ62" si="95">AI62+F62</f>
        <v>0</v>
      </c>
      <c r="AK62" s="71">
        <f t="shared" ref="AK62" si="96">AJ62+G62</f>
        <v>0</v>
      </c>
      <c r="AL62" s="71">
        <f t="shared" ref="AL62" si="97">AK62+H62</f>
        <v>0</v>
      </c>
      <c r="AM62" s="71">
        <f t="shared" ref="AM62" si="98">AL62+I62</f>
        <v>0</v>
      </c>
      <c r="AN62" s="71">
        <f t="shared" ref="AN62" si="99">AM62+J62</f>
        <v>0</v>
      </c>
      <c r="AO62" s="71">
        <f t="shared" ref="AO62" si="100">AN62+K62</f>
        <v>0</v>
      </c>
      <c r="AP62" s="71">
        <f t="shared" ref="AP62" si="101">AO62+L62</f>
        <v>0</v>
      </c>
      <c r="AQ62" s="71">
        <f t="shared" ref="AQ62" si="102">AP62+M62</f>
        <v>0</v>
      </c>
      <c r="AR62" s="71">
        <f t="shared" ref="AR62" si="103">AQ62+N62</f>
        <v>5000</v>
      </c>
      <c r="AS62" s="71">
        <f t="shared" ref="AS62" si="104">AR62+O62</f>
        <v>5000</v>
      </c>
      <c r="AT62" s="71">
        <f t="shared" ref="AT62" si="105">AS62+P62</f>
        <v>5000</v>
      </c>
      <c r="AU62" s="71">
        <f t="shared" ref="AU62" si="106">AT62+Q62</f>
        <v>5000</v>
      </c>
      <c r="AV62" s="71">
        <f t="shared" ref="AV62" si="107">AU62+R62</f>
        <v>5000</v>
      </c>
      <c r="AW62" s="71">
        <f t="shared" ref="AW62" si="108">AV62+S62</f>
        <v>5000</v>
      </c>
      <c r="AX62" s="71">
        <f t="shared" ref="AX62" si="109">AW62+T62</f>
        <v>5000</v>
      </c>
      <c r="AY62" s="71">
        <f t="shared" ref="AY62" si="110">AX62+U62</f>
        <v>5000</v>
      </c>
      <c r="AZ62" s="71">
        <f t="shared" ref="AZ62" si="111">AY62+V62</f>
        <v>5000</v>
      </c>
      <c r="BA62" s="71">
        <f t="shared" ref="BA62" si="112">AZ62+W62</f>
        <v>5000</v>
      </c>
      <c r="BB62" s="71">
        <f t="shared" ref="BB62" si="113">BA62+X62</f>
        <v>5000</v>
      </c>
      <c r="BC62" s="71">
        <f t="shared" ref="BC62" si="114">BB62+Y62</f>
        <v>5000</v>
      </c>
      <c r="BD62" s="71">
        <f t="shared" ref="BD62" si="115">BC62+Z62</f>
        <v>5000</v>
      </c>
      <c r="BE62" s="71">
        <f t="shared" ref="BE62" si="116">BD62+AA62</f>
        <v>5000</v>
      </c>
      <c r="BF62" s="71">
        <f t="shared" ref="BF62" si="117">BE62+AB62</f>
        <v>5000</v>
      </c>
      <c r="BG62" s="71">
        <f>BF62</f>
        <v>5000</v>
      </c>
    </row>
    <row r="63" spans="1:59" x14ac:dyDescent="0.25">
      <c r="A63" s="5"/>
      <c r="B63" s="82" t="s">
        <v>43</v>
      </c>
      <c r="C63" s="5"/>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71">
        <f t="shared" si="81"/>
        <v>0</v>
      </c>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row>
  </sheetData>
  <mergeCells count="6">
    <mergeCell ref="A1:C1"/>
    <mergeCell ref="AE1:AG1"/>
    <mergeCell ref="A23:C23"/>
    <mergeCell ref="AE23:AG23"/>
    <mergeCell ref="A45:C45"/>
    <mergeCell ref="AE45:AG45"/>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6"/>
  <dimension ref="A1:O28"/>
  <sheetViews>
    <sheetView topLeftCell="C1" workbookViewId="0">
      <selection activeCell="B7" sqref="B7:B8"/>
    </sheetView>
  </sheetViews>
  <sheetFormatPr defaultRowHeight="16.5" x14ac:dyDescent="0.25"/>
  <cols>
    <col min="1" max="1" width="13.875" bestFit="1" customWidth="1"/>
    <col min="2" max="2" width="27.25" bestFit="1" customWidth="1"/>
    <col min="3" max="3" width="13.875" bestFit="1" customWidth="1"/>
    <col min="4" max="4" width="18.375" bestFit="1" customWidth="1"/>
    <col min="5" max="5" width="27.25" bestFit="1" customWidth="1"/>
    <col min="6" max="6" width="18.375" customWidth="1"/>
    <col min="7" max="8" width="11.625" customWidth="1"/>
    <col min="10" max="10" width="11.625" customWidth="1"/>
    <col min="11" max="11" width="13.875" bestFit="1" customWidth="1"/>
    <col min="12" max="12" width="23.875" bestFit="1" customWidth="1"/>
    <col min="13" max="13" width="23.875" customWidth="1"/>
    <col min="14" max="14" width="23.875" style="1" bestFit="1" customWidth="1"/>
    <col min="15" max="15" width="16.125" style="1" bestFit="1" customWidth="1"/>
  </cols>
  <sheetData>
    <row r="1" spans="1:15" x14ac:dyDescent="0.25">
      <c r="A1" s="2" t="s">
        <v>64</v>
      </c>
      <c r="B1" s="2" t="s">
        <v>68</v>
      </c>
      <c r="C1" s="2" t="s">
        <v>66</v>
      </c>
      <c r="D1" s="2" t="s">
        <v>67</v>
      </c>
      <c r="E1" s="2" t="s">
        <v>89</v>
      </c>
      <c r="F1" s="2" t="s">
        <v>71</v>
      </c>
      <c r="G1" s="2" t="s">
        <v>31</v>
      </c>
      <c r="H1" s="2" t="s">
        <v>63</v>
      </c>
      <c r="I1" s="28" t="s">
        <v>53</v>
      </c>
      <c r="J1" s="29" t="s">
        <v>50</v>
      </c>
      <c r="K1" s="2" t="s">
        <v>117</v>
      </c>
      <c r="L1" s="2" t="s">
        <v>264</v>
      </c>
      <c r="M1" s="2" t="s">
        <v>267</v>
      </c>
      <c r="N1" s="2" t="s">
        <v>266</v>
      </c>
      <c r="O1" s="2"/>
    </row>
    <row r="2" spans="1:15" x14ac:dyDescent="0.25">
      <c r="A2" s="2" t="s">
        <v>65</v>
      </c>
      <c r="B2" s="2" t="s">
        <v>65</v>
      </c>
      <c r="C2" s="2" t="s">
        <v>65</v>
      </c>
      <c r="D2" s="2" t="s">
        <v>65</v>
      </c>
      <c r="E2" s="2" t="s">
        <v>65</v>
      </c>
      <c r="F2" s="2" t="s">
        <v>65</v>
      </c>
      <c r="G2" s="2" t="s">
        <v>32</v>
      </c>
      <c r="H2" s="2" t="s">
        <v>58</v>
      </c>
      <c r="I2" s="28" t="s">
        <v>47</v>
      </c>
      <c r="J2" s="29" t="s">
        <v>11</v>
      </c>
      <c r="K2" s="68">
        <v>2</v>
      </c>
      <c r="L2" s="1" t="s">
        <v>191</v>
      </c>
      <c r="M2" s="1">
        <v>26</v>
      </c>
      <c r="N2" s="1">
        <v>26</v>
      </c>
    </row>
    <row r="3" spans="1:15" x14ac:dyDescent="0.25">
      <c r="A3" s="2" t="s">
        <v>46</v>
      </c>
      <c r="B3" s="2" t="s">
        <v>46</v>
      </c>
      <c r="C3" s="2" t="s">
        <v>33</v>
      </c>
      <c r="D3" s="2" t="s">
        <v>33</v>
      </c>
      <c r="E3" s="2" t="s">
        <v>49</v>
      </c>
      <c r="F3" s="2" t="s">
        <v>72</v>
      </c>
      <c r="G3" s="2" t="s">
        <v>304</v>
      </c>
      <c r="H3" s="2" t="s">
        <v>56</v>
      </c>
      <c r="I3" s="28" t="s">
        <v>48</v>
      </c>
      <c r="J3" s="29" t="s">
        <v>44</v>
      </c>
      <c r="L3" s="1">
        <v>1</v>
      </c>
      <c r="M3" s="1"/>
    </row>
    <row r="4" spans="1:15" x14ac:dyDescent="0.25">
      <c r="A4" s="2" t="s">
        <v>33</v>
      </c>
      <c r="B4" s="2" t="s">
        <v>33</v>
      </c>
      <c r="C4" s="2" t="s">
        <v>49</v>
      </c>
      <c r="D4" s="2"/>
      <c r="E4" s="2"/>
      <c r="F4" s="2"/>
      <c r="G4" s="2" t="s">
        <v>306</v>
      </c>
      <c r="H4" s="2" t="s">
        <v>59</v>
      </c>
      <c r="I4" s="17"/>
      <c r="J4" s="28"/>
      <c r="L4" s="1">
        <v>2</v>
      </c>
      <c r="M4" s="1"/>
    </row>
    <row r="5" spans="1:15" x14ac:dyDescent="0.25">
      <c r="A5" s="2" t="s">
        <v>49</v>
      </c>
      <c r="B5" s="2" t="s">
        <v>49</v>
      </c>
      <c r="C5" s="2"/>
      <c r="D5" s="2"/>
      <c r="E5" s="2"/>
      <c r="F5" s="2"/>
      <c r="H5" s="2" t="s">
        <v>60</v>
      </c>
      <c r="J5" s="2"/>
      <c r="K5" s="65" t="s">
        <v>118</v>
      </c>
      <c r="L5" s="1">
        <v>3</v>
      </c>
      <c r="M5" s="1"/>
    </row>
    <row r="6" spans="1:15" x14ac:dyDescent="0.25">
      <c r="A6" s="2" t="s">
        <v>34</v>
      </c>
      <c r="K6" s="65" t="s">
        <v>119</v>
      </c>
      <c r="L6" s="1">
        <v>4</v>
      </c>
      <c r="M6" s="1"/>
    </row>
    <row r="7" spans="1:15" x14ac:dyDescent="0.25">
      <c r="L7" s="1">
        <v>5</v>
      </c>
      <c r="M7" s="1"/>
    </row>
    <row r="8" spans="1:15" x14ac:dyDescent="0.25">
      <c r="L8" s="1">
        <v>6</v>
      </c>
      <c r="M8" s="1"/>
    </row>
    <row r="9" spans="1:15" x14ac:dyDescent="0.25">
      <c r="L9" s="1">
        <v>7</v>
      </c>
      <c r="M9" s="1"/>
    </row>
    <row r="10" spans="1:15" x14ac:dyDescent="0.25">
      <c r="L10" s="1">
        <v>8</v>
      </c>
      <c r="M10" s="1"/>
    </row>
    <row r="11" spans="1:15" x14ac:dyDescent="0.25">
      <c r="L11" s="1">
        <v>9</v>
      </c>
      <c r="M11" s="1"/>
    </row>
    <row r="12" spans="1:15" x14ac:dyDescent="0.25">
      <c r="L12" s="1">
        <v>10</v>
      </c>
      <c r="M12" s="1"/>
    </row>
    <row r="13" spans="1:15" x14ac:dyDescent="0.25">
      <c r="L13" s="1">
        <v>11</v>
      </c>
      <c r="M13" s="1"/>
    </row>
    <row r="14" spans="1:15" x14ac:dyDescent="0.25">
      <c r="L14" s="1">
        <v>12</v>
      </c>
      <c r="M14" s="1"/>
    </row>
    <row r="15" spans="1:15" x14ac:dyDescent="0.25">
      <c r="L15" s="1">
        <v>13</v>
      </c>
      <c r="M15" s="1"/>
    </row>
    <row r="16" spans="1:15" x14ac:dyDescent="0.25">
      <c r="L16" s="1">
        <v>14</v>
      </c>
      <c r="M16" s="1"/>
    </row>
    <row r="17" spans="12:13" x14ac:dyDescent="0.25">
      <c r="L17" s="1">
        <v>15</v>
      </c>
      <c r="M17" s="1"/>
    </row>
    <row r="18" spans="12:13" x14ac:dyDescent="0.25">
      <c r="L18" s="1">
        <v>16</v>
      </c>
      <c r="M18" s="1"/>
    </row>
    <row r="19" spans="12:13" x14ac:dyDescent="0.25">
      <c r="L19" s="1">
        <v>17</v>
      </c>
      <c r="M19" s="1"/>
    </row>
    <row r="20" spans="12:13" x14ac:dyDescent="0.25">
      <c r="L20" s="1">
        <v>18</v>
      </c>
      <c r="M20" s="1"/>
    </row>
    <row r="21" spans="12:13" x14ac:dyDescent="0.25">
      <c r="L21" s="1">
        <v>19</v>
      </c>
      <c r="M21" s="1"/>
    </row>
    <row r="22" spans="12:13" x14ac:dyDescent="0.25">
      <c r="L22" s="1">
        <v>20</v>
      </c>
      <c r="M22" s="1"/>
    </row>
    <row r="23" spans="12:13" x14ac:dyDescent="0.25">
      <c r="L23" s="1">
        <v>21</v>
      </c>
      <c r="M23" s="1"/>
    </row>
    <row r="24" spans="12:13" x14ac:dyDescent="0.25">
      <c r="L24" s="1">
        <v>22</v>
      </c>
      <c r="M24" s="1"/>
    </row>
    <row r="25" spans="12:13" x14ac:dyDescent="0.25">
      <c r="L25" s="1">
        <v>23</v>
      </c>
      <c r="M25" s="1"/>
    </row>
    <row r="26" spans="12:13" x14ac:dyDescent="0.25">
      <c r="L26" s="1">
        <v>24</v>
      </c>
      <c r="M26" s="1"/>
    </row>
    <row r="27" spans="12:13" x14ac:dyDescent="0.25">
      <c r="L27" s="1">
        <v>25</v>
      </c>
      <c r="M27" s="1"/>
    </row>
    <row r="28" spans="12:13" x14ac:dyDescent="0.25">
      <c r="L28" s="1" t="s">
        <v>191</v>
      </c>
      <c r="M28" s="1"/>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具名範圍</vt:lpstr>
      </vt:variant>
      <vt:variant>
        <vt:i4>6</vt:i4>
      </vt:variant>
    </vt:vector>
  </HeadingPairs>
  <TitlesOfParts>
    <vt:vector size="10" baseType="lpstr">
      <vt:lpstr>設計案成本估算</vt:lpstr>
      <vt:lpstr>D</vt:lpstr>
      <vt:lpstr>D年費表</vt:lpstr>
      <vt:lpstr>選項</vt:lpstr>
      <vt:lpstr>設計案成本估算!Print_Area</vt:lpstr>
      <vt:lpstr>計費類型_一案兩請之新型</vt:lpstr>
      <vt:lpstr>計費類型_日韓泰</vt:lpstr>
      <vt:lpstr>計費類型_台中美歐新馬加</vt:lpstr>
      <vt:lpstr>計費類型_設計</vt:lpstr>
      <vt:lpstr>計費類型_越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專利佈局成本估算表</dc:title>
  <dc:creator/>
  <cp:lastModifiedBy/>
  <dcterms:created xsi:type="dcterms:W3CDTF">2006-09-16T00:00:00Z</dcterms:created>
  <dcterms:modified xsi:type="dcterms:W3CDTF">2026-06-09T12:37:13Z</dcterms:modified>
</cp:coreProperties>
</file>