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6356150E-FAF6-4311-8A41-9540F6470FB2}" xr6:coauthVersionLast="47" xr6:coauthVersionMax="47" xr10:uidLastSave="{00000000-0000-0000-0000-000000000000}"/>
  <workbookProtection workbookAlgorithmName="SHA-512" workbookHashValue="eWI9+XXtaKf11Xy9/5BcWl43Wx7j4MHCoe+y384bD3rEwu2G2g/IqriJ8pU7VGeOZviJNYTmVHRN2Jepz1vE4w==" workbookSaltValue="syq35vpYt0kFz7EqzYKQaQ==" workbookSpinCount="100000" lockStructure="1"/>
  <bookViews>
    <workbookView xWindow="-120" yWindow="-120" windowWidth="29040" windowHeight="15840" xr2:uid="{00000000-000D-0000-FFFF-FFFF00000000}"/>
  </bookViews>
  <sheets>
    <sheet name="商標成本估算" sheetId="4" r:id="rId1"/>
    <sheet name="TM" sheetId="5" state="hidden" r:id="rId2"/>
    <sheet name="選項" sheetId="3" state="hidden" r:id="rId3"/>
  </sheets>
  <externalReferences>
    <externalReference r:id="rId4"/>
  </externalReferences>
  <definedNames>
    <definedName name="_xlnm.Print_Area" localSheetId="1">TM!$A$1:$L$577</definedName>
    <definedName name="_xlnm.Print_Area" localSheetId="0">商標成本估算!$A$1:$L$128</definedName>
    <definedName name="計費類型_設計">[1]選項!$F$2:$F$3</definedName>
  </definedNames>
  <calcPr calcId="191029"/>
</workbook>
</file>

<file path=xl/calcChain.xml><?xml version="1.0" encoding="utf-8"?>
<calcChain xmlns="http://schemas.openxmlformats.org/spreadsheetml/2006/main">
  <c r="H62" i="4" l="1"/>
  <c r="E62" i="4"/>
  <c r="G97" i="5"/>
  <c r="M32" i="4"/>
  <c r="L68" i="4"/>
  <c r="L33" i="4"/>
  <c r="L222" i="5"/>
  <c r="L197" i="5"/>
  <c r="L172" i="5"/>
  <c r="B172" i="5"/>
  <c r="L148" i="5"/>
  <c r="L122" i="5"/>
  <c r="L98" i="5"/>
  <c r="L74" i="5"/>
  <c r="B74" i="5"/>
  <c r="L32" i="5"/>
  <c r="A70" i="4"/>
  <c r="L62" i="4"/>
  <c r="L27" i="4"/>
  <c r="L245" i="5"/>
  <c r="L216" i="5"/>
  <c r="L191" i="5"/>
  <c r="L166" i="5"/>
  <c r="B166" i="5"/>
  <c r="L142" i="5"/>
  <c r="L116" i="5"/>
  <c r="L92" i="5"/>
  <c r="L68" i="5"/>
  <c r="B68" i="5"/>
  <c r="L26" i="5"/>
  <c r="B5" i="5" l="1"/>
  <c r="J97" i="5" s="1"/>
  <c r="J196" i="5" l="1"/>
  <c r="J195" i="5"/>
  <c r="J183" i="5"/>
  <c r="D105" i="5"/>
  <c r="J194" i="5"/>
  <c r="J182" i="5"/>
  <c r="J193" i="5"/>
  <c r="J192" i="5"/>
  <c r="D81" i="5"/>
  <c r="J190" i="5"/>
  <c r="J189" i="5"/>
  <c r="J188" i="5"/>
  <c r="J207" i="5"/>
  <c r="J186" i="5"/>
  <c r="J206" i="5"/>
  <c r="J184" i="5"/>
  <c r="J191" i="5"/>
  <c r="J187" i="5"/>
  <c r="J185" i="5"/>
  <c r="J197" i="5"/>
  <c r="J222" i="5"/>
  <c r="J210" i="5"/>
  <c r="J221" i="5"/>
  <c r="J209" i="5"/>
  <c r="J220" i="5"/>
  <c r="J208" i="5"/>
  <c r="J218" i="5"/>
  <c r="J217" i="5"/>
  <c r="J215" i="5"/>
  <c r="J212" i="5"/>
  <c r="J219" i="5"/>
  <c r="J216" i="5"/>
  <c r="J211" i="5"/>
  <c r="J213" i="5"/>
  <c r="J214" i="5"/>
  <c r="J172" i="5"/>
  <c r="J148" i="5" s="1"/>
  <c r="J68" i="4" s="1"/>
  <c r="J166" i="5"/>
  <c r="J142" i="5" s="1"/>
  <c r="J62" i="4" s="1"/>
  <c r="G112" i="5"/>
  <c r="G88" i="5"/>
  <c r="G187" i="5"/>
  <c r="J181" i="5"/>
  <c r="G87" i="5"/>
  <c r="G111" i="5"/>
  <c r="D107" i="5"/>
  <c r="D191" i="5"/>
  <c r="G212" i="5"/>
  <c r="D88" i="5"/>
  <c r="D83" i="5"/>
  <c r="D112" i="5"/>
  <c r="D207" i="5"/>
  <c r="D182" i="5"/>
  <c r="G218" i="5"/>
  <c r="G193" i="5"/>
  <c r="G118" i="5"/>
  <c r="G94" i="5"/>
  <c r="G213" i="5"/>
  <c r="G188" i="5"/>
  <c r="G119" i="5"/>
  <c r="G95" i="5"/>
  <c r="G197" i="5"/>
  <c r="G222" i="5"/>
  <c r="G122" i="5"/>
  <c r="G114" i="5"/>
  <c r="G98" i="5"/>
  <c r="G113" i="5"/>
  <c r="G89" i="5"/>
  <c r="G90" i="5"/>
  <c r="D122" i="5"/>
  <c r="D197" i="5"/>
  <c r="D222" i="5"/>
  <c r="J98" i="5"/>
  <c r="J122" i="5"/>
  <c r="D98" i="5"/>
  <c r="D84" i="5"/>
  <c r="J119" i="5"/>
  <c r="J113" i="5"/>
  <c r="J108" i="5"/>
  <c r="J87" i="5"/>
  <c r="J118" i="5"/>
  <c r="J112" i="5"/>
  <c r="J107" i="5"/>
  <c r="J92" i="5"/>
  <c r="J85" i="5"/>
  <c r="J96" i="5"/>
  <c r="J82" i="5"/>
  <c r="J95" i="5"/>
  <c r="J84" i="5"/>
  <c r="J91" i="5"/>
  <c r="J93" i="5"/>
  <c r="J117" i="5"/>
  <c r="J110" i="5"/>
  <c r="J89" i="5"/>
  <c r="G239" i="5"/>
  <c r="J86" i="5"/>
  <c r="J116" i="5"/>
  <c r="J109" i="5"/>
  <c r="J94" i="5"/>
  <c r="J88" i="5"/>
  <c r="J83" i="5"/>
  <c r="J90" i="5"/>
  <c r="D186" i="5"/>
  <c r="D111" i="5"/>
  <c r="D87" i="5"/>
  <c r="D211" i="5"/>
  <c r="G84" i="5"/>
  <c r="D116" i="5"/>
  <c r="G92" i="5"/>
  <c r="D92" i="5"/>
  <c r="G216" i="5"/>
  <c r="D216" i="5"/>
  <c r="G191" i="5"/>
  <c r="J245" i="5"/>
  <c r="G245" i="5"/>
  <c r="G116" i="5"/>
  <c r="D245" i="5"/>
  <c r="G220" i="5"/>
  <c r="G115" i="5"/>
  <c r="G91" i="5"/>
  <c r="D91" i="5"/>
  <c r="D115" i="5"/>
  <c r="G109" i="5"/>
  <c r="G195" i="5"/>
  <c r="G96" i="5"/>
  <c r="G120" i="5"/>
  <c r="D195" i="5"/>
  <c r="D220" i="5"/>
  <c r="D96" i="5"/>
  <c r="D120" i="5"/>
  <c r="G85" i="5"/>
  <c r="J74" i="5" l="1"/>
  <c r="J32" i="5" s="1"/>
  <c r="J33" i="4" s="1"/>
  <c r="J68" i="5"/>
  <c r="J26" i="5" s="1"/>
  <c r="J27" i="4" s="1"/>
  <c r="G74" i="5"/>
  <c r="G32" i="5" s="1"/>
  <c r="G33" i="4" s="1"/>
  <c r="H33" i="4" s="1"/>
  <c r="D74" i="5"/>
  <c r="D32" i="5" s="1"/>
  <c r="D33" i="4" s="1"/>
  <c r="E33" i="4" s="1"/>
  <c r="G172" i="5"/>
  <c r="G148" i="5" s="1"/>
  <c r="G68" i="4" s="1"/>
  <c r="H68" i="4" s="1"/>
  <c r="D172" i="5"/>
  <c r="D148" i="5" s="1"/>
  <c r="D68" i="4" s="1"/>
  <c r="E68" i="4" s="1"/>
  <c r="D68" i="5"/>
  <c r="D26" i="5" s="1"/>
  <c r="D27" i="4" s="1"/>
  <c r="E27" i="4" s="1"/>
  <c r="G68" i="5"/>
  <c r="G26" i="5" s="1"/>
  <c r="G27" i="4" s="1"/>
  <c r="H27" i="4" s="1"/>
  <c r="D166" i="5"/>
  <c r="D142" i="5" s="1"/>
  <c r="D62" i="4" s="1"/>
  <c r="G166" i="5"/>
  <c r="G142" i="5" s="1"/>
  <c r="G62" i="4" s="1"/>
  <c r="L55" i="4"/>
  <c r="L20" i="4"/>
  <c r="J11" i="5"/>
  <c r="I68" i="4" l="1"/>
  <c r="K68" i="4" s="1"/>
  <c r="I33" i="4"/>
  <c r="K33" i="4" s="1"/>
  <c r="I62" i="4"/>
  <c r="K62" i="4" s="1"/>
  <c r="I27" i="4"/>
  <c r="K27" i="4" s="1"/>
  <c r="L238" i="5"/>
  <c r="L209" i="5"/>
  <c r="L184" i="5"/>
  <c r="L159" i="5"/>
  <c r="B159" i="5"/>
  <c r="L135" i="5"/>
  <c r="L109" i="5"/>
  <c r="L85" i="5"/>
  <c r="L61" i="5"/>
  <c r="B61" i="5"/>
  <c r="L19" i="5"/>
  <c r="J159" i="5" l="1"/>
  <c r="J135" i="5" s="1"/>
  <c r="J55" i="4" s="1"/>
  <c r="D159" i="5"/>
  <c r="D135" i="5" s="1"/>
  <c r="D55" i="4" s="1"/>
  <c r="E55" i="4" s="1"/>
  <c r="E159" i="5"/>
  <c r="L66" i="4"/>
  <c r="L67" i="4"/>
  <c r="B72" i="5"/>
  <c r="B73" i="5"/>
  <c r="B170" i="5"/>
  <c r="B171" i="5"/>
  <c r="J10" i="5"/>
  <c r="L30" i="5"/>
  <c r="L31" i="5"/>
  <c r="L72" i="5"/>
  <c r="L73" i="5"/>
  <c r="L96" i="5"/>
  <c r="L97" i="5"/>
  <c r="L120" i="5"/>
  <c r="L121" i="5"/>
  <c r="L146" i="5"/>
  <c r="L147" i="5"/>
  <c r="L170" i="5"/>
  <c r="L171" i="5"/>
  <c r="L195" i="5"/>
  <c r="L196" i="5"/>
  <c r="L217" i="5"/>
  <c r="L220" i="5"/>
  <c r="L221" i="5"/>
  <c r="L250" i="5"/>
  <c r="L249" i="5"/>
  <c r="L32" i="4"/>
  <c r="L31" i="4"/>
  <c r="E135" i="5" l="1"/>
  <c r="I181" i="5" l="1"/>
  <c r="I183" i="5"/>
  <c r="L63" i="4" l="1"/>
  <c r="L192" i="5" l="1"/>
  <c r="L167" i="5"/>
  <c r="B167" i="5"/>
  <c r="L143" i="5"/>
  <c r="L117" i="5"/>
  <c r="L93" i="5"/>
  <c r="L69" i="5"/>
  <c r="B69" i="5"/>
  <c r="L27" i="5"/>
  <c r="L246" i="5"/>
  <c r="L28" i="4"/>
  <c r="L10" i="5" l="1"/>
  <c r="L9" i="5"/>
  <c r="L8" i="5"/>
  <c r="J9" i="5"/>
  <c r="L7" i="5"/>
  <c r="J5" i="5"/>
  <c r="J6" i="5"/>
  <c r="J7" i="5"/>
  <c r="J8" i="5"/>
  <c r="L6" i="5"/>
  <c r="L5" i="5"/>
  <c r="H122" i="5" l="1"/>
  <c r="H222" i="5"/>
  <c r="H98" i="5"/>
  <c r="H74" i="5" s="1"/>
  <c r="H32" i="5" s="1"/>
  <c r="E98" i="5"/>
  <c r="E222" i="5"/>
  <c r="E122" i="5"/>
  <c r="H197" i="5"/>
  <c r="H172" i="5" s="1"/>
  <c r="H148" i="5" s="1"/>
  <c r="E197" i="5"/>
  <c r="H245" i="5"/>
  <c r="E245" i="5"/>
  <c r="H92" i="5"/>
  <c r="E216" i="5"/>
  <c r="E116" i="5"/>
  <c r="H191" i="5"/>
  <c r="H216" i="5"/>
  <c r="H116" i="5"/>
  <c r="E191" i="5"/>
  <c r="E92" i="5"/>
  <c r="H220" i="5"/>
  <c r="H96" i="5"/>
  <c r="H120" i="5"/>
  <c r="H195" i="5"/>
  <c r="H85" i="5"/>
  <c r="H109" i="5"/>
  <c r="L213" i="5"/>
  <c r="L212" i="5"/>
  <c r="L215" i="5"/>
  <c r="L219" i="5"/>
  <c r="L218" i="5"/>
  <c r="L214" i="5"/>
  <c r="L211" i="5"/>
  <c r="L210" i="5"/>
  <c r="L208" i="5"/>
  <c r="I208" i="5"/>
  <c r="L207" i="5"/>
  <c r="L206" i="5"/>
  <c r="I206" i="5"/>
  <c r="L205" i="5"/>
  <c r="L188" i="5"/>
  <c r="L187" i="5"/>
  <c r="L190" i="5"/>
  <c r="L194" i="5"/>
  <c r="L193" i="5"/>
  <c r="L189" i="5"/>
  <c r="L186" i="5"/>
  <c r="L185" i="5"/>
  <c r="L183" i="5"/>
  <c r="L182" i="5"/>
  <c r="L181" i="5"/>
  <c r="L180" i="5"/>
  <c r="L163" i="5"/>
  <c r="B163" i="5"/>
  <c r="L162" i="5"/>
  <c r="B162" i="5"/>
  <c r="L165" i="5"/>
  <c r="B165" i="5"/>
  <c r="L169" i="5"/>
  <c r="B169" i="5"/>
  <c r="L168" i="5"/>
  <c r="B168" i="5"/>
  <c r="L164" i="5"/>
  <c r="B164" i="5"/>
  <c r="L161" i="5"/>
  <c r="B161" i="5"/>
  <c r="L160" i="5"/>
  <c r="B160" i="5"/>
  <c r="L158" i="5"/>
  <c r="B158" i="5"/>
  <c r="L157" i="5"/>
  <c r="B157" i="5"/>
  <c r="L156" i="5"/>
  <c r="B156" i="5"/>
  <c r="G156" i="5" s="1"/>
  <c r="L155" i="5"/>
  <c r="B155" i="5"/>
  <c r="L139" i="5"/>
  <c r="L138" i="5"/>
  <c r="L141" i="5"/>
  <c r="L145" i="5"/>
  <c r="L144" i="5"/>
  <c r="L140" i="5"/>
  <c r="L137" i="5"/>
  <c r="L136" i="5"/>
  <c r="L134" i="5"/>
  <c r="L133" i="5"/>
  <c r="L132" i="5"/>
  <c r="L131" i="5"/>
  <c r="L113" i="5"/>
  <c r="L112" i="5"/>
  <c r="L115" i="5"/>
  <c r="L119" i="5"/>
  <c r="L118" i="5"/>
  <c r="L114" i="5"/>
  <c r="L111" i="5"/>
  <c r="L110" i="5"/>
  <c r="L108" i="5"/>
  <c r="L107" i="5"/>
  <c r="L106" i="5"/>
  <c r="L105" i="5"/>
  <c r="L89" i="5"/>
  <c r="L88" i="5"/>
  <c r="L91" i="5"/>
  <c r="L95" i="5"/>
  <c r="L94" i="5"/>
  <c r="L90" i="5"/>
  <c r="L87" i="5"/>
  <c r="L86" i="5"/>
  <c r="L84" i="5"/>
  <c r="L83" i="5"/>
  <c r="L82" i="5"/>
  <c r="L81" i="5"/>
  <c r="L65" i="5"/>
  <c r="B65" i="5"/>
  <c r="L64" i="5"/>
  <c r="B64" i="5"/>
  <c r="L67" i="5"/>
  <c r="B67" i="5"/>
  <c r="L71" i="5"/>
  <c r="B71" i="5"/>
  <c r="L70" i="5"/>
  <c r="B70" i="5"/>
  <c r="L66" i="5"/>
  <c r="B66" i="5"/>
  <c r="L63" i="5"/>
  <c r="B63" i="5"/>
  <c r="L62" i="5"/>
  <c r="B62" i="5"/>
  <c r="L60" i="5"/>
  <c r="B60" i="5"/>
  <c r="L59" i="5"/>
  <c r="B59" i="5"/>
  <c r="L58" i="5"/>
  <c r="B58" i="5"/>
  <c r="L57" i="5"/>
  <c r="B57" i="5"/>
  <c r="L23" i="5"/>
  <c r="L22" i="5"/>
  <c r="L25" i="5"/>
  <c r="L29" i="5"/>
  <c r="L28" i="5"/>
  <c r="L24" i="5"/>
  <c r="L21" i="5"/>
  <c r="L20" i="5"/>
  <c r="L18" i="5"/>
  <c r="L17" i="5"/>
  <c r="L16" i="5"/>
  <c r="L15" i="5"/>
  <c r="L242" i="5"/>
  <c r="L241" i="5"/>
  <c r="L244" i="5"/>
  <c r="L248" i="5"/>
  <c r="L247" i="5"/>
  <c r="L243" i="5"/>
  <c r="L240" i="5"/>
  <c r="L239" i="5"/>
  <c r="L237" i="5"/>
  <c r="L236" i="5"/>
  <c r="L235" i="5"/>
  <c r="L234" i="5"/>
  <c r="I234" i="5"/>
  <c r="I122" i="5" l="1"/>
  <c r="K122" i="5" s="1"/>
  <c r="I222" i="5"/>
  <c r="K222" i="5" s="1"/>
  <c r="E172" i="5"/>
  <c r="I197" i="5"/>
  <c r="K197" i="5" s="1"/>
  <c r="E74" i="5"/>
  <c r="I98" i="5"/>
  <c r="K98" i="5" s="1"/>
  <c r="H166" i="5"/>
  <c r="H142" i="5" s="1"/>
  <c r="H68" i="5"/>
  <c r="H26" i="5" s="1"/>
  <c r="I245" i="5"/>
  <c r="K245" i="5" s="1"/>
  <c r="I116" i="5"/>
  <c r="K116" i="5" s="1"/>
  <c r="I216" i="5"/>
  <c r="K216" i="5" s="1"/>
  <c r="E68" i="5"/>
  <c r="I92" i="5"/>
  <c r="K92" i="5" s="1"/>
  <c r="I191" i="5"/>
  <c r="K191" i="5" s="1"/>
  <c r="E166" i="5"/>
  <c r="G186" i="5"/>
  <c r="G65" i="5"/>
  <c r="H212" i="5"/>
  <c r="H187" i="5"/>
  <c r="D90" i="5"/>
  <c r="D210" i="5"/>
  <c r="D185" i="5"/>
  <c r="G217" i="5"/>
  <c r="H217" i="5" s="1"/>
  <c r="H112" i="5"/>
  <c r="E112" i="5"/>
  <c r="H88" i="5"/>
  <c r="E88" i="5"/>
  <c r="G237" i="5"/>
  <c r="H237" i="5" s="1"/>
  <c r="I237" i="5" s="1"/>
  <c r="G192" i="5"/>
  <c r="H192" i="5" s="1"/>
  <c r="G93" i="5"/>
  <c r="H93" i="5" s="1"/>
  <c r="E105" i="5"/>
  <c r="D114" i="5"/>
  <c r="G108" i="5"/>
  <c r="G60" i="5" s="1"/>
  <c r="G117" i="5"/>
  <c r="H117" i="5" s="1"/>
  <c r="G211" i="5"/>
  <c r="D106" i="5"/>
  <c r="D82" i="5"/>
  <c r="G107" i="5"/>
  <c r="D219" i="5"/>
  <c r="D194" i="5"/>
  <c r="D169" i="5" s="1"/>
  <c r="G209" i="5"/>
  <c r="D119" i="5"/>
  <c r="G184" i="5"/>
  <c r="H184" i="5" s="1"/>
  <c r="D95" i="5"/>
  <c r="D89" i="5"/>
  <c r="D113" i="5"/>
  <c r="G207" i="5"/>
  <c r="G182" i="5"/>
  <c r="G157" i="5" s="1"/>
  <c r="D109" i="5"/>
  <c r="E109" i="5" s="1"/>
  <c r="D85" i="5"/>
  <c r="J61" i="5"/>
  <c r="J19" i="5" s="1"/>
  <c r="J20" i="4" s="1"/>
  <c r="J105" i="5"/>
  <c r="J81" i="5"/>
  <c r="J114" i="5"/>
  <c r="J66" i="5"/>
  <c r="J62" i="5"/>
  <c r="J106" i="5"/>
  <c r="J64" i="5"/>
  <c r="J22" i="5" s="1"/>
  <c r="J115" i="5"/>
  <c r="J111" i="5"/>
  <c r="J223" i="5"/>
  <c r="J198" i="5"/>
  <c r="J121" i="5"/>
  <c r="J120" i="5"/>
  <c r="D196" i="5"/>
  <c r="G121" i="5"/>
  <c r="H121" i="5" s="1"/>
  <c r="G196" i="5"/>
  <c r="E120" i="5"/>
  <c r="D121" i="5"/>
  <c r="E121" i="5" s="1"/>
  <c r="J171" i="5"/>
  <c r="E220" i="5"/>
  <c r="G221" i="5"/>
  <c r="H221" i="5" s="1"/>
  <c r="J170" i="5"/>
  <c r="D221" i="5"/>
  <c r="E221" i="5" s="1"/>
  <c r="D97" i="5"/>
  <c r="D117" i="5"/>
  <c r="E117" i="5" s="1"/>
  <c r="D93" i="5"/>
  <c r="E93" i="5" s="1"/>
  <c r="G132" i="5"/>
  <c r="G52" i="4" s="1"/>
  <c r="H52" i="4" s="1"/>
  <c r="D67" i="5"/>
  <c r="D248" i="5"/>
  <c r="E248" i="5" s="1"/>
  <c r="G244" i="5"/>
  <c r="H244" i="5" s="1"/>
  <c r="D244" i="5"/>
  <c r="G215" i="5"/>
  <c r="D215" i="5"/>
  <c r="D190" i="5"/>
  <c r="G190" i="5"/>
  <c r="J247" i="5"/>
  <c r="J243" i="5"/>
  <c r="G248" i="5"/>
  <c r="H248" i="5" s="1"/>
  <c r="J239" i="5"/>
  <c r="G243" i="5"/>
  <c r="H243" i="5" s="1"/>
  <c r="H239" i="5"/>
  <c r="J235" i="5"/>
  <c r="J242" i="5"/>
  <c r="J241" i="5"/>
  <c r="G241" i="5"/>
  <c r="H241" i="5" s="1"/>
  <c r="G246" i="5"/>
  <c r="H246" i="5" s="1"/>
  <c r="J240" i="5"/>
  <c r="G247" i="5"/>
  <c r="J237" i="5"/>
  <c r="G236" i="5"/>
  <c r="H236" i="5" s="1"/>
  <c r="J246" i="5"/>
  <c r="J248" i="5"/>
  <c r="J236" i="5"/>
  <c r="G235" i="5"/>
  <c r="H235" i="5" s="1"/>
  <c r="J234" i="5"/>
  <c r="G240" i="5"/>
  <c r="H240" i="5" s="1"/>
  <c r="J244" i="5"/>
  <c r="G242" i="5"/>
  <c r="H242" i="5" s="1"/>
  <c r="J168" i="5"/>
  <c r="J144" i="5" s="1"/>
  <c r="G194" i="5"/>
  <c r="J164" i="5"/>
  <c r="J140" i="5" s="1"/>
  <c r="D180" i="5"/>
  <c r="E180" i="5" s="1"/>
  <c r="D218" i="5"/>
  <c r="J161" i="5"/>
  <c r="J137" i="5" s="1"/>
  <c r="G189" i="5"/>
  <c r="J160" i="5"/>
  <c r="J136" i="5" s="1"/>
  <c r="K183" i="5"/>
  <c r="G219" i="5"/>
  <c r="G214" i="5"/>
  <c r="G210" i="5"/>
  <c r="D205" i="5"/>
  <c r="E205" i="5" s="1"/>
  <c r="K181" i="5"/>
  <c r="E187" i="5"/>
  <c r="E162" i="5" s="1"/>
  <c r="E138" i="5" s="1"/>
  <c r="J163" i="5"/>
  <c r="J139" i="5" s="1"/>
  <c r="J162" i="5"/>
  <c r="J138" i="5" s="1"/>
  <c r="K208" i="5"/>
  <c r="J167" i="5"/>
  <c r="J143" i="5" s="1"/>
  <c r="D193" i="5"/>
  <c r="J169" i="5"/>
  <c r="J145" i="5" s="1"/>
  <c r="G185" i="5"/>
  <c r="K206" i="5"/>
  <c r="E212" i="5"/>
  <c r="D217" i="5"/>
  <c r="E217" i="5" s="1"/>
  <c r="D192" i="5"/>
  <c r="E192" i="5" s="1"/>
  <c r="D86" i="5"/>
  <c r="D94" i="5"/>
  <c r="D108" i="5"/>
  <c r="D118" i="5"/>
  <c r="D110" i="5"/>
  <c r="G82" i="5"/>
  <c r="G83" i="5"/>
  <c r="G86" i="5"/>
  <c r="G106" i="5"/>
  <c r="G110" i="5"/>
  <c r="G57" i="5"/>
  <c r="D156" i="5"/>
  <c r="D132" i="5" s="1"/>
  <c r="E158" i="5"/>
  <c r="E134" i="5" s="1"/>
  <c r="D164" i="5"/>
  <c r="H156" i="5"/>
  <c r="H57" i="5"/>
  <c r="H15" i="5" s="1"/>
  <c r="G155" i="5"/>
  <c r="H155" i="5"/>
  <c r="H131" i="5" s="1"/>
  <c r="E156" i="5"/>
  <c r="E132" i="5" s="1"/>
  <c r="G158" i="5"/>
  <c r="G134" i="5" s="1"/>
  <c r="D158" i="5"/>
  <c r="D134" i="5" s="1"/>
  <c r="H158" i="5"/>
  <c r="H134" i="5" s="1"/>
  <c r="E164" i="5"/>
  <c r="E140" i="5" s="1"/>
  <c r="D163" i="5"/>
  <c r="E163" i="5"/>
  <c r="E139" i="5" s="1"/>
  <c r="I74" i="5" l="1"/>
  <c r="K74" i="5" s="1"/>
  <c r="E32" i="5"/>
  <c r="I32" i="5" s="1"/>
  <c r="K32" i="5" s="1"/>
  <c r="E148" i="5"/>
  <c r="I148" i="5" s="1"/>
  <c r="K148" i="5" s="1"/>
  <c r="I172" i="5"/>
  <c r="K172" i="5" s="1"/>
  <c r="D58" i="5"/>
  <c r="D16" i="5" s="1"/>
  <c r="D17" i="4" s="1"/>
  <c r="E17" i="4" s="1"/>
  <c r="G164" i="5"/>
  <c r="G140" i="5" s="1"/>
  <c r="G60" i="4" s="1"/>
  <c r="H60" i="4" s="1"/>
  <c r="G168" i="5"/>
  <c r="G144" i="5" s="1"/>
  <c r="G64" i="4" s="1"/>
  <c r="H64" i="4" s="1"/>
  <c r="D59" i="5"/>
  <c r="D17" i="5" s="1"/>
  <c r="D18" i="4" s="1"/>
  <c r="E18" i="4" s="1"/>
  <c r="D71" i="5"/>
  <c r="D29" i="5" s="1"/>
  <c r="D30" i="4" s="1"/>
  <c r="E30" i="4" s="1"/>
  <c r="D157" i="5"/>
  <c r="D133" i="5" s="1"/>
  <c r="D53" i="4" s="1"/>
  <c r="E53" i="4" s="1"/>
  <c r="G163" i="5"/>
  <c r="G139" i="5" s="1"/>
  <c r="G59" i="4" s="1"/>
  <c r="H59" i="4" s="1"/>
  <c r="H162" i="5"/>
  <c r="H138" i="5" s="1"/>
  <c r="J57" i="5"/>
  <c r="J99" i="5"/>
  <c r="E155" i="5"/>
  <c r="I155" i="5" s="1"/>
  <c r="I105" i="5"/>
  <c r="K105" i="5" s="1"/>
  <c r="J123" i="5"/>
  <c r="I205" i="5"/>
  <c r="E142" i="5"/>
  <c r="I142" i="5" s="1"/>
  <c r="K142" i="5" s="1"/>
  <c r="I166" i="5"/>
  <c r="K166" i="5" s="1"/>
  <c r="I68" i="5"/>
  <c r="K68" i="5" s="1"/>
  <c r="E26" i="5"/>
  <c r="I26" i="5" s="1"/>
  <c r="K26" i="5" s="1"/>
  <c r="D66" i="5"/>
  <c r="D24" i="5" s="1"/>
  <c r="D25" i="4" s="1"/>
  <c r="E25" i="4" s="1"/>
  <c r="H209" i="5"/>
  <c r="I209" i="5" s="1"/>
  <c r="K209" i="5" s="1"/>
  <c r="D160" i="5"/>
  <c r="D136" i="5" s="1"/>
  <c r="D56" i="4" s="1"/>
  <c r="E56" i="4" s="1"/>
  <c r="G67" i="5"/>
  <c r="G25" i="5" s="1"/>
  <c r="G26" i="4" s="1"/>
  <c r="H26" i="4" s="1"/>
  <c r="J69" i="5"/>
  <c r="J27" i="5" s="1"/>
  <c r="J28" i="4" s="1"/>
  <c r="G165" i="5"/>
  <c r="G141" i="5" s="1"/>
  <c r="G61" i="4" s="1"/>
  <c r="H61" i="4" s="1"/>
  <c r="G160" i="5"/>
  <c r="G136" i="5" s="1"/>
  <c r="G56" i="4" s="1"/>
  <c r="H56" i="4" s="1"/>
  <c r="J157" i="5"/>
  <c r="D60" i="5"/>
  <c r="D18" i="5" s="1"/>
  <c r="D19" i="4" s="1"/>
  <c r="E19" i="4" s="1"/>
  <c r="G169" i="5"/>
  <c r="G145" i="5" s="1"/>
  <c r="G65" i="4" s="1"/>
  <c r="H65" i="4" s="1"/>
  <c r="J72" i="5"/>
  <c r="J30" i="5" s="1"/>
  <c r="J31" i="4" s="1"/>
  <c r="G70" i="5"/>
  <c r="G28" i="5" s="1"/>
  <c r="G29" i="4" s="1"/>
  <c r="H29" i="4" s="1"/>
  <c r="J73" i="5"/>
  <c r="J31" i="5" s="1"/>
  <c r="J58" i="5"/>
  <c r="J16" i="5" s="1"/>
  <c r="J17" i="4" s="1"/>
  <c r="D65" i="5"/>
  <c r="D23" i="5" s="1"/>
  <c r="D24" i="4" s="1"/>
  <c r="E24" i="4" s="1"/>
  <c r="D63" i="5"/>
  <c r="D21" i="5" s="1"/>
  <c r="D22" i="4" s="1"/>
  <c r="E22" i="4" s="1"/>
  <c r="J71" i="5"/>
  <c r="J29" i="5" s="1"/>
  <c r="J30" i="4" s="1"/>
  <c r="E64" i="5"/>
  <c r="E22" i="5" s="1"/>
  <c r="G63" i="5"/>
  <c r="G21" i="5" s="1"/>
  <c r="G22" i="4" s="1"/>
  <c r="H22" i="4" s="1"/>
  <c r="J59" i="5"/>
  <c r="J17" i="5" s="1"/>
  <c r="J18" i="4" s="1"/>
  <c r="D62" i="5"/>
  <c r="D20" i="5" s="1"/>
  <c r="D21" i="4" s="1"/>
  <c r="E21" i="4" s="1"/>
  <c r="D161" i="5"/>
  <c r="D137" i="5" s="1"/>
  <c r="D57" i="4" s="1"/>
  <c r="E57" i="4" s="1"/>
  <c r="D70" i="5"/>
  <c r="D28" i="5" s="1"/>
  <c r="D29" i="4" s="1"/>
  <c r="E29" i="4" s="1"/>
  <c r="G58" i="5"/>
  <c r="G16" i="5" s="1"/>
  <c r="G17" i="4" s="1"/>
  <c r="H17" i="4" s="1"/>
  <c r="E85" i="5"/>
  <c r="D61" i="5"/>
  <c r="D19" i="5" s="1"/>
  <c r="D20" i="4" s="1"/>
  <c r="E20" i="4" s="1"/>
  <c r="H61" i="5"/>
  <c r="H19" i="5" s="1"/>
  <c r="G61" i="5"/>
  <c r="G19" i="5" s="1"/>
  <c r="G20" i="4" s="1"/>
  <c r="H20" i="4" s="1"/>
  <c r="I109" i="5"/>
  <c r="K109" i="5" s="1"/>
  <c r="G159" i="5"/>
  <c r="G135" i="5" s="1"/>
  <c r="G55" i="4" s="1"/>
  <c r="J146" i="5"/>
  <c r="J66" i="4" s="1"/>
  <c r="J147" i="5"/>
  <c r="I121" i="5"/>
  <c r="K121" i="5" s="1"/>
  <c r="I221" i="5"/>
  <c r="K221" i="5" s="1"/>
  <c r="H170" i="5"/>
  <c r="H146" i="5" s="1"/>
  <c r="G170" i="5"/>
  <c r="G146" i="5" s="1"/>
  <c r="G66" i="4" s="1"/>
  <c r="H66" i="4" s="1"/>
  <c r="D73" i="5"/>
  <c r="D31" i="5" s="1"/>
  <c r="D32" i="4" s="1"/>
  <c r="E32" i="4" s="1"/>
  <c r="E97" i="5"/>
  <c r="G171" i="5"/>
  <c r="G147" i="5" s="1"/>
  <c r="G67" i="4" s="1"/>
  <c r="H67" i="4" s="1"/>
  <c r="H196" i="5"/>
  <c r="H171" i="5" s="1"/>
  <c r="H147" i="5" s="1"/>
  <c r="D72" i="5"/>
  <c r="D30" i="5" s="1"/>
  <c r="D31" i="4" s="1"/>
  <c r="E31" i="4" s="1"/>
  <c r="E96" i="5"/>
  <c r="E72" i="5" s="1"/>
  <c r="H97" i="5"/>
  <c r="H73" i="5" s="1"/>
  <c r="H31" i="5" s="1"/>
  <c r="G73" i="5"/>
  <c r="G31" i="5" s="1"/>
  <c r="G32" i="4" s="1"/>
  <c r="H32" i="4" s="1"/>
  <c r="G72" i="5"/>
  <c r="G30" i="5" s="1"/>
  <c r="G31" i="4" s="1"/>
  <c r="H31" i="4" s="1"/>
  <c r="I220" i="5"/>
  <c r="K220" i="5" s="1"/>
  <c r="I120" i="5"/>
  <c r="K120" i="5" s="1"/>
  <c r="E195" i="5"/>
  <c r="D170" i="5"/>
  <c r="D146" i="5" s="1"/>
  <c r="D66" i="4" s="1"/>
  <c r="E66" i="4" s="1"/>
  <c r="E196" i="5"/>
  <c r="D171" i="5"/>
  <c r="D147" i="5" s="1"/>
  <c r="D67" i="4" s="1"/>
  <c r="E67" i="4" s="1"/>
  <c r="H247" i="5"/>
  <c r="J65" i="5"/>
  <c r="J23" i="5" s="1"/>
  <c r="J24" i="4" s="1"/>
  <c r="I212" i="5"/>
  <c r="K212" i="5" s="1"/>
  <c r="H132" i="5"/>
  <c r="G15" i="5"/>
  <c r="G16" i="4" s="1"/>
  <c r="H16" i="4" s="1"/>
  <c r="J158" i="5"/>
  <c r="E244" i="5"/>
  <c r="D139" i="5"/>
  <c r="D59" i="4" s="1"/>
  <c r="E59" i="4" s="1"/>
  <c r="D140" i="5"/>
  <c r="D60" i="4" s="1"/>
  <c r="E60" i="4" s="1"/>
  <c r="G131" i="5"/>
  <c r="G51" i="4" s="1"/>
  <c r="H51" i="4" s="1"/>
  <c r="I192" i="5"/>
  <c r="J56" i="4"/>
  <c r="D25" i="5"/>
  <c r="D26" i="4" s="1"/>
  <c r="E26" i="4" s="1"/>
  <c r="E81" i="5"/>
  <c r="D57" i="5"/>
  <c r="D15" i="5" s="1"/>
  <c r="D16" i="4" s="1"/>
  <c r="E16" i="4" s="1"/>
  <c r="G23" i="5"/>
  <c r="G24" i="4" s="1"/>
  <c r="H24" i="4" s="1"/>
  <c r="J59" i="4"/>
  <c r="J20" i="5"/>
  <c r="J21" i="4" s="1"/>
  <c r="J65" i="4"/>
  <c r="J63" i="4"/>
  <c r="G133" i="5"/>
  <c r="G53" i="4" s="1"/>
  <c r="H53" i="4" s="1"/>
  <c r="J60" i="4"/>
  <c r="J64" i="4"/>
  <c r="J57" i="4"/>
  <c r="G18" i="5"/>
  <c r="G19" i="4" s="1"/>
  <c r="H19" i="4" s="1"/>
  <c r="D145" i="5"/>
  <c r="D65" i="4" s="1"/>
  <c r="E65" i="4" s="1"/>
  <c r="J58" i="4"/>
  <c r="J24" i="5"/>
  <c r="J25" i="4" s="1"/>
  <c r="J60" i="5"/>
  <c r="J18" i="5" s="1"/>
  <c r="J19" i="4" s="1"/>
  <c r="D162" i="5"/>
  <c r="G62" i="5"/>
  <c r="J70" i="5"/>
  <c r="G71" i="5"/>
  <c r="G59" i="5"/>
  <c r="G66" i="5"/>
  <c r="H64" i="5"/>
  <c r="G162" i="5"/>
  <c r="I187" i="5"/>
  <c r="K187" i="5" s="1"/>
  <c r="D64" i="5"/>
  <c r="I156" i="5"/>
  <c r="I158" i="5"/>
  <c r="I88" i="5"/>
  <c r="K88" i="5" s="1"/>
  <c r="J165" i="5"/>
  <c r="J141" i="5" s="1"/>
  <c r="I117" i="5"/>
  <c r="K117" i="5" s="1"/>
  <c r="H167" i="5"/>
  <c r="G167" i="5"/>
  <c r="K237" i="5"/>
  <c r="G161" i="5"/>
  <c r="D167" i="5"/>
  <c r="D69" i="5"/>
  <c r="I217" i="5"/>
  <c r="K217" i="5" s="1"/>
  <c r="H69" i="5"/>
  <c r="G69" i="5"/>
  <c r="J67" i="5"/>
  <c r="J63" i="5"/>
  <c r="J23" i="4"/>
  <c r="D155" i="5"/>
  <c r="I180" i="5"/>
  <c r="I241" i="5"/>
  <c r="K241" i="5" s="1"/>
  <c r="D168" i="5"/>
  <c r="K234" i="5"/>
  <c r="D165" i="5"/>
  <c r="J155" i="5"/>
  <c r="J131" i="5" s="1"/>
  <c r="I112" i="5"/>
  <c r="K112" i="5" s="1"/>
  <c r="J156" i="5"/>
  <c r="J132" i="5" s="1"/>
  <c r="J251" i="5"/>
  <c r="G64" i="5"/>
  <c r="G22" i="5" s="1"/>
  <c r="T155" i="5"/>
  <c r="G54" i="4"/>
  <c r="H54" i="4" s="1"/>
  <c r="D54" i="4"/>
  <c r="E54" i="4" s="1"/>
  <c r="D52" i="4"/>
  <c r="E52" i="4" s="1"/>
  <c r="I52" i="4" s="1"/>
  <c r="I162" i="5" l="1"/>
  <c r="K162" i="5" s="1"/>
  <c r="S155" i="5"/>
  <c r="I81" i="5"/>
  <c r="J133" i="5"/>
  <c r="J53" i="4" s="1"/>
  <c r="J173" i="5"/>
  <c r="K205" i="5"/>
  <c r="K180" i="5"/>
  <c r="E131" i="5"/>
  <c r="I131" i="5" s="1"/>
  <c r="J15" i="5"/>
  <c r="J16" i="4" s="1"/>
  <c r="J75" i="5"/>
  <c r="J67" i="4"/>
  <c r="J32" i="4"/>
  <c r="H55" i="4"/>
  <c r="I55" i="4" s="1"/>
  <c r="K55" i="4" s="1"/>
  <c r="I24" i="4"/>
  <c r="K24" i="4" s="1"/>
  <c r="I17" i="4"/>
  <c r="K17" i="4" s="1"/>
  <c r="I26" i="4"/>
  <c r="I66" i="4"/>
  <c r="K66" i="4" s="1"/>
  <c r="I29" i="4"/>
  <c r="I53" i="4"/>
  <c r="I65" i="4"/>
  <c r="K65" i="4" s="1"/>
  <c r="I67" i="4"/>
  <c r="I20" i="4"/>
  <c r="K20" i="4" s="1"/>
  <c r="I16" i="4"/>
  <c r="I31" i="4"/>
  <c r="K31" i="4" s="1"/>
  <c r="I56" i="4"/>
  <c r="K56" i="4" s="1"/>
  <c r="I19" i="4"/>
  <c r="K19" i="4" s="1"/>
  <c r="I60" i="4"/>
  <c r="K60" i="4" s="1"/>
  <c r="I32" i="4"/>
  <c r="I54" i="4"/>
  <c r="I22" i="4"/>
  <c r="I59" i="4"/>
  <c r="K59" i="4" s="1"/>
  <c r="I184" i="5"/>
  <c r="K184" i="5" s="1"/>
  <c r="H159" i="5"/>
  <c r="I85" i="5"/>
  <c r="K85" i="5" s="1"/>
  <c r="E61" i="5"/>
  <c r="J134" i="5"/>
  <c r="J54" i="4" s="1"/>
  <c r="I132" i="5"/>
  <c r="I96" i="5"/>
  <c r="K96" i="5" s="1"/>
  <c r="H72" i="5"/>
  <c r="H30" i="5" s="1"/>
  <c r="E30" i="5"/>
  <c r="E171" i="5"/>
  <c r="I196" i="5"/>
  <c r="K196" i="5" s="1"/>
  <c r="E73" i="5"/>
  <c r="I97" i="5"/>
  <c r="K97" i="5" s="1"/>
  <c r="E170" i="5"/>
  <c r="I195" i="5"/>
  <c r="K195" i="5" s="1"/>
  <c r="K158" i="5"/>
  <c r="E57" i="5"/>
  <c r="J21" i="5"/>
  <c r="J22" i="4" s="1"/>
  <c r="J61" i="4"/>
  <c r="G24" i="5"/>
  <c r="G25" i="4" s="1"/>
  <c r="H25" i="4" s="1"/>
  <c r="I25" i="4" s="1"/>
  <c r="K25" i="4" s="1"/>
  <c r="G17" i="5"/>
  <c r="G18" i="4" s="1"/>
  <c r="H18" i="4" s="1"/>
  <c r="I18" i="4" s="1"/>
  <c r="K18" i="4" s="1"/>
  <c r="G29" i="5"/>
  <c r="G30" i="4" s="1"/>
  <c r="H30" i="4" s="1"/>
  <c r="I30" i="4" s="1"/>
  <c r="K30" i="4" s="1"/>
  <c r="D141" i="5"/>
  <c r="D61" i="4" s="1"/>
  <c r="E61" i="4" s="1"/>
  <c r="I61" i="4" s="1"/>
  <c r="J28" i="5"/>
  <c r="J29" i="4" s="1"/>
  <c r="G138" i="5"/>
  <c r="G58" i="4" s="1"/>
  <c r="H58" i="4" s="1"/>
  <c r="D144" i="5"/>
  <c r="D64" i="4" s="1"/>
  <c r="E64" i="4" s="1"/>
  <c r="I64" i="4" s="1"/>
  <c r="K64" i="4" s="1"/>
  <c r="D27" i="5"/>
  <c r="D28" i="4" s="1"/>
  <c r="E28" i="4" s="1"/>
  <c r="G20" i="5"/>
  <c r="G21" i="4" s="1"/>
  <c r="H21" i="4" s="1"/>
  <c r="I21" i="4" s="1"/>
  <c r="K21" i="4" s="1"/>
  <c r="D143" i="5"/>
  <c r="D63" i="4" s="1"/>
  <c r="E63" i="4" s="1"/>
  <c r="J25" i="5"/>
  <c r="J26" i="4" s="1"/>
  <c r="G137" i="5"/>
  <c r="G57" i="4" s="1"/>
  <c r="H57" i="4" s="1"/>
  <c r="I57" i="4" s="1"/>
  <c r="K57" i="4" s="1"/>
  <c r="D138" i="5"/>
  <c r="D58" i="4" s="1"/>
  <c r="E58" i="4" s="1"/>
  <c r="G27" i="5"/>
  <c r="G28" i="4" s="1"/>
  <c r="H28" i="4" s="1"/>
  <c r="U155" i="5"/>
  <c r="J51" i="4"/>
  <c r="D131" i="5"/>
  <c r="D51" i="4" s="1"/>
  <c r="E51" i="4" s="1"/>
  <c r="I51" i="4" s="1"/>
  <c r="G143" i="5"/>
  <c r="G63" i="4" s="1"/>
  <c r="H63" i="4" s="1"/>
  <c r="D22" i="5"/>
  <c r="D23" i="4" s="1"/>
  <c r="E23" i="4" s="1"/>
  <c r="H27" i="5"/>
  <c r="H143" i="5"/>
  <c r="H22" i="5"/>
  <c r="I64" i="5"/>
  <c r="K64" i="5" s="1"/>
  <c r="I134" i="5"/>
  <c r="I138" i="5"/>
  <c r="K138" i="5" s="1"/>
  <c r="I246" i="5"/>
  <c r="E69" i="5"/>
  <c r="E27" i="5" s="1"/>
  <c r="I93" i="5"/>
  <c r="K93" i="5" s="1"/>
  <c r="K192" i="5"/>
  <c r="E167" i="5"/>
  <c r="J52" i="4"/>
  <c r="K52" i="4" s="1"/>
  <c r="G23" i="4"/>
  <c r="H23" i="4" s="1"/>
  <c r="K156" i="5"/>
  <c r="K155" i="5"/>
  <c r="L59" i="4"/>
  <c r="L58" i="4"/>
  <c r="L61" i="4"/>
  <c r="L65" i="4"/>
  <c r="L64" i="4"/>
  <c r="L60" i="4"/>
  <c r="L57" i="4"/>
  <c r="L56" i="4"/>
  <c r="L54" i="4"/>
  <c r="L53" i="4"/>
  <c r="L52" i="4"/>
  <c r="L51" i="4"/>
  <c r="K53" i="4" l="1"/>
  <c r="J149" i="5"/>
  <c r="U149" i="5" s="1"/>
  <c r="K16" i="4"/>
  <c r="J69" i="4"/>
  <c r="E34" i="4"/>
  <c r="J34" i="4"/>
  <c r="E15" i="5"/>
  <c r="I15" i="5" s="1"/>
  <c r="K15" i="5" s="1"/>
  <c r="H69" i="4"/>
  <c r="E69" i="4"/>
  <c r="H34" i="4"/>
  <c r="J33" i="5"/>
  <c r="U33" i="5" s="1"/>
  <c r="K81" i="5"/>
  <c r="K32" i="4"/>
  <c r="K67" i="4"/>
  <c r="K61" i="4"/>
  <c r="K26" i="4"/>
  <c r="K29" i="4"/>
  <c r="I58" i="4"/>
  <c r="K58" i="4" s="1"/>
  <c r="I28" i="4"/>
  <c r="K28" i="4" s="1"/>
  <c r="I63" i="4"/>
  <c r="K63" i="4" s="1"/>
  <c r="I23" i="4"/>
  <c r="K23" i="4" s="1"/>
  <c r="K51" i="4"/>
  <c r="K22" i="4"/>
  <c r="K54" i="4"/>
  <c r="I61" i="5"/>
  <c r="K61" i="5" s="1"/>
  <c r="E19" i="5"/>
  <c r="H135" i="5"/>
  <c r="I159" i="5"/>
  <c r="K159" i="5" s="1"/>
  <c r="I72" i="5"/>
  <c r="K72" i="5" s="1"/>
  <c r="E147" i="5"/>
  <c r="I171" i="5"/>
  <c r="K171" i="5" s="1"/>
  <c r="E31" i="5"/>
  <c r="I73" i="5"/>
  <c r="K73" i="5" s="1"/>
  <c r="I30" i="5"/>
  <c r="E146" i="5"/>
  <c r="I170" i="5"/>
  <c r="K170" i="5" s="1"/>
  <c r="I57" i="5"/>
  <c r="I22" i="5"/>
  <c r="I167" i="5"/>
  <c r="K167" i="5" s="1"/>
  <c r="E143" i="5"/>
  <c r="K246" i="5"/>
  <c r="I69" i="5"/>
  <c r="K69" i="5" s="1"/>
  <c r="K131" i="5"/>
  <c r="I69" i="4" l="1"/>
  <c r="K69" i="4"/>
  <c r="I34" i="4"/>
  <c r="K57" i="5"/>
  <c r="K34" i="4"/>
  <c r="I135" i="5"/>
  <c r="I19" i="5"/>
  <c r="I146" i="5"/>
  <c r="K30" i="5"/>
  <c r="I31" i="5"/>
  <c r="I147" i="5"/>
  <c r="K22" i="5"/>
  <c r="I143" i="5"/>
  <c r="I27" i="5"/>
  <c r="L24" i="4"/>
  <c r="L23" i="4"/>
  <c r="L26" i="4"/>
  <c r="L30" i="4"/>
  <c r="L29" i="4"/>
  <c r="L25" i="4"/>
  <c r="L22" i="4"/>
  <c r="L21" i="4"/>
  <c r="L19" i="4"/>
  <c r="L18" i="4"/>
  <c r="L17" i="4"/>
  <c r="L16" i="4"/>
  <c r="K19" i="5" l="1"/>
  <c r="K135" i="5"/>
  <c r="K31" i="5"/>
  <c r="K147" i="5"/>
  <c r="K146" i="5"/>
  <c r="K143" i="5"/>
  <c r="K27" i="5"/>
  <c r="H213" i="5"/>
  <c r="I213" i="5" s="1"/>
  <c r="K213" i="5" s="1"/>
  <c r="E89" i="5"/>
  <c r="H188" i="5"/>
  <c r="I188" i="5" s="1"/>
  <c r="H113" i="5"/>
  <c r="H89" i="5"/>
  <c r="E113" i="5"/>
  <c r="H214" i="5"/>
  <c r="I214" i="5" s="1"/>
  <c r="K214" i="5" s="1"/>
  <c r="E90" i="5"/>
  <c r="H114" i="5"/>
  <c r="H90" i="5"/>
  <c r="E114" i="5"/>
  <c r="H189" i="5"/>
  <c r="I189" i="5" s="1"/>
  <c r="E210" i="5"/>
  <c r="E86" i="5"/>
  <c r="H110" i="5"/>
  <c r="H210" i="5"/>
  <c r="H86" i="5"/>
  <c r="H62" i="5" s="1"/>
  <c r="E110" i="5"/>
  <c r="H185" i="5"/>
  <c r="E185" i="5"/>
  <c r="E219" i="5"/>
  <c r="E95" i="5"/>
  <c r="E194" i="5"/>
  <c r="H219" i="5"/>
  <c r="H119" i="5"/>
  <c r="H95" i="5"/>
  <c r="E119" i="5"/>
  <c r="H194" i="5"/>
  <c r="E211" i="5"/>
  <c r="E87" i="5"/>
  <c r="E111" i="5"/>
  <c r="E186" i="5"/>
  <c r="E215" i="5"/>
  <c r="H115" i="5"/>
  <c r="E91" i="5"/>
  <c r="E115" i="5"/>
  <c r="H190" i="5"/>
  <c r="H215" i="5"/>
  <c r="E190" i="5"/>
  <c r="H91" i="5"/>
  <c r="H67" i="5" s="1"/>
  <c r="H111" i="5"/>
  <c r="H118" i="5"/>
  <c r="H211" i="5"/>
  <c r="E207" i="5"/>
  <c r="H83" i="5"/>
  <c r="E182" i="5"/>
  <c r="H186" i="5"/>
  <c r="H161" i="5" s="1"/>
  <c r="H182" i="5"/>
  <c r="H193" i="5"/>
  <c r="H107" i="5"/>
  <c r="H218" i="5"/>
  <c r="H207" i="5"/>
  <c r="E83" i="5"/>
  <c r="H87" i="5"/>
  <c r="H94" i="5"/>
  <c r="E107" i="5"/>
  <c r="H84" i="5"/>
  <c r="H108" i="5"/>
  <c r="E108" i="5"/>
  <c r="E84" i="5"/>
  <c r="H82" i="5"/>
  <c r="H106" i="5"/>
  <c r="E82" i="5"/>
  <c r="E106" i="5"/>
  <c r="H169" i="5" l="1"/>
  <c r="H145" i="5" s="1"/>
  <c r="H123" i="5"/>
  <c r="H223" i="5"/>
  <c r="H99" i="5"/>
  <c r="H198" i="5"/>
  <c r="H20" i="5"/>
  <c r="H137" i="5"/>
  <c r="H25" i="5"/>
  <c r="I182" i="5"/>
  <c r="I211" i="5"/>
  <c r="K211" i="5" s="1"/>
  <c r="I190" i="5"/>
  <c r="K190" i="5" s="1"/>
  <c r="I185" i="5"/>
  <c r="K185" i="5" s="1"/>
  <c r="I194" i="5"/>
  <c r="K194" i="5" s="1"/>
  <c r="I186" i="5"/>
  <c r="K186" i="5" s="1"/>
  <c r="I107" i="5"/>
  <c r="K107" i="5" s="1"/>
  <c r="I119" i="5"/>
  <c r="K119" i="5" s="1"/>
  <c r="I113" i="5"/>
  <c r="K113" i="5" s="1"/>
  <c r="I115" i="5"/>
  <c r="K115" i="5" s="1"/>
  <c r="I114" i="5"/>
  <c r="K114" i="5" s="1"/>
  <c r="H70" i="5"/>
  <c r="H59" i="5"/>
  <c r="H160" i="5"/>
  <c r="H66" i="5"/>
  <c r="H65" i="5"/>
  <c r="H60" i="5"/>
  <c r="H168" i="5"/>
  <c r="H63" i="5"/>
  <c r="H165" i="5"/>
  <c r="H71" i="5"/>
  <c r="I108" i="5"/>
  <c r="K108" i="5" s="1"/>
  <c r="I210" i="5"/>
  <c r="K210" i="5" s="1"/>
  <c r="H251" i="5"/>
  <c r="I235" i="5"/>
  <c r="H58" i="5"/>
  <c r="I244" i="5"/>
  <c r="I111" i="5"/>
  <c r="K111" i="5" s="1"/>
  <c r="I248" i="5"/>
  <c r="E251" i="5"/>
  <c r="I95" i="5"/>
  <c r="K95" i="5" s="1"/>
  <c r="E71" i="5"/>
  <c r="E29" i="5" s="1"/>
  <c r="K189" i="5"/>
  <c r="H164" i="5"/>
  <c r="E66" i="5"/>
  <c r="E24" i="5" s="1"/>
  <c r="I90" i="5"/>
  <c r="K90" i="5" s="1"/>
  <c r="K188" i="5"/>
  <c r="H163" i="5"/>
  <c r="I242" i="5"/>
  <c r="I82" i="5"/>
  <c r="E58" i="5"/>
  <c r="E59" i="5"/>
  <c r="E17" i="5" s="1"/>
  <c r="I83" i="5"/>
  <c r="K83" i="5" s="1"/>
  <c r="I247" i="5"/>
  <c r="I106" i="5"/>
  <c r="E218" i="5"/>
  <c r="I218" i="5" s="1"/>
  <c r="K218" i="5" s="1"/>
  <c r="E94" i="5"/>
  <c r="E99" i="5" s="1"/>
  <c r="E118" i="5"/>
  <c r="I118" i="5" s="1"/>
  <c r="K118" i="5" s="1"/>
  <c r="E193" i="5"/>
  <c r="E198" i="5" s="1"/>
  <c r="I84" i="5"/>
  <c r="K84" i="5" s="1"/>
  <c r="E60" i="5"/>
  <c r="E18" i="5" s="1"/>
  <c r="I236" i="5"/>
  <c r="H157" i="5"/>
  <c r="E157" i="5"/>
  <c r="I207" i="5"/>
  <c r="I240" i="5"/>
  <c r="E165" i="5"/>
  <c r="E141" i="5" s="1"/>
  <c r="I91" i="5"/>
  <c r="K91" i="5" s="1"/>
  <c r="E67" i="5"/>
  <c r="E25" i="5" s="1"/>
  <c r="I215" i="5"/>
  <c r="K215" i="5" s="1"/>
  <c r="E161" i="5"/>
  <c r="I87" i="5"/>
  <c r="K87" i="5" s="1"/>
  <c r="E63" i="5"/>
  <c r="E21" i="5" s="1"/>
  <c r="E169" i="5"/>
  <c r="I219" i="5"/>
  <c r="K219" i="5" s="1"/>
  <c r="E160" i="5"/>
  <c r="E136" i="5" s="1"/>
  <c r="I110" i="5"/>
  <c r="K110" i="5" s="1"/>
  <c r="I86" i="5"/>
  <c r="K86" i="5" s="1"/>
  <c r="E62" i="5"/>
  <c r="E20" i="5" s="1"/>
  <c r="I239" i="5"/>
  <c r="I243" i="5"/>
  <c r="I89" i="5"/>
  <c r="K89" i="5" s="1"/>
  <c r="E65" i="5"/>
  <c r="E23" i="5" s="1"/>
  <c r="E16" i="5" l="1"/>
  <c r="E123" i="5"/>
  <c r="H16" i="5"/>
  <c r="H75" i="5"/>
  <c r="I223" i="5"/>
  <c r="E133" i="5"/>
  <c r="E223" i="5"/>
  <c r="H133" i="5"/>
  <c r="H173" i="5"/>
  <c r="I123" i="5"/>
  <c r="H17" i="5"/>
  <c r="H23" i="5"/>
  <c r="H28" i="5"/>
  <c r="I169" i="5"/>
  <c r="K169" i="5" s="1"/>
  <c r="E145" i="5"/>
  <c r="H29" i="5"/>
  <c r="I161" i="5"/>
  <c r="K161" i="5" s="1"/>
  <c r="E137" i="5"/>
  <c r="H21" i="5"/>
  <c r="I163" i="5"/>
  <c r="K163" i="5" s="1"/>
  <c r="H139" i="5"/>
  <c r="H144" i="5"/>
  <c r="H136" i="5"/>
  <c r="H18" i="5"/>
  <c r="H141" i="5"/>
  <c r="I164" i="5"/>
  <c r="K164" i="5" s="1"/>
  <c r="H140" i="5"/>
  <c r="H24" i="5"/>
  <c r="I165" i="5"/>
  <c r="K165" i="5" s="1"/>
  <c r="I160" i="5"/>
  <c r="K160" i="5" s="1"/>
  <c r="I157" i="5"/>
  <c r="I193" i="5"/>
  <c r="K193" i="5" s="1"/>
  <c r="I65" i="5"/>
  <c r="K65" i="5" s="1"/>
  <c r="I62" i="5"/>
  <c r="K62" i="5" s="1"/>
  <c r="I63" i="5"/>
  <c r="K63" i="5" s="1"/>
  <c r="K240" i="5"/>
  <c r="K106" i="5"/>
  <c r="K123" i="5" s="1"/>
  <c r="K247" i="5"/>
  <c r="K82" i="5"/>
  <c r="K242" i="5"/>
  <c r="I66" i="5"/>
  <c r="K66" i="5" s="1"/>
  <c r="K248" i="5"/>
  <c r="K244" i="5"/>
  <c r="K243" i="5"/>
  <c r="K239" i="5"/>
  <c r="I67" i="5"/>
  <c r="K67" i="5" s="1"/>
  <c r="K207" i="5"/>
  <c r="K223" i="5" s="1"/>
  <c r="K182" i="5"/>
  <c r="K236" i="5"/>
  <c r="I60" i="5"/>
  <c r="K60" i="5" s="1"/>
  <c r="E168" i="5"/>
  <c r="E173" i="5" s="1"/>
  <c r="I94" i="5"/>
  <c r="K94" i="5" s="1"/>
  <c r="E70" i="5"/>
  <c r="E75" i="5" s="1"/>
  <c r="I59" i="5"/>
  <c r="K59" i="5" s="1"/>
  <c r="I58" i="5"/>
  <c r="I71" i="5"/>
  <c r="K71" i="5" s="1"/>
  <c r="I251" i="5"/>
  <c r="K235" i="5"/>
  <c r="K198" i="5" l="1"/>
  <c r="I198" i="5"/>
  <c r="H33" i="5"/>
  <c r="T33" i="5" s="1"/>
  <c r="I99" i="5"/>
  <c r="H149" i="5"/>
  <c r="T149" i="5" s="1"/>
  <c r="K99" i="5"/>
  <c r="E28" i="5"/>
  <c r="E33" i="5" s="1"/>
  <c r="I168" i="5"/>
  <c r="K168" i="5" s="1"/>
  <c r="E144" i="5"/>
  <c r="E149" i="5" s="1"/>
  <c r="I145" i="5"/>
  <c r="I137" i="5"/>
  <c r="I140" i="5"/>
  <c r="I139" i="5"/>
  <c r="I133" i="5"/>
  <c r="I141" i="5"/>
  <c r="I136" i="5"/>
  <c r="K251" i="5"/>
  <c r="I29" i="5"/>
  <c r="I16" i="5"/>
  <c r="K157" i="5"/>
  <c r="I21" i="5"/>
  <c r="I20" i="5"/>
  <c r="K58" i="5"/>
  <c r="I17" i="5"/>
  <c r="I70" i="5"/>
  <c r="K70" i="5" s="1"/>
  <c r="I18" i="5"/>
  <c r="I25" i="5"/>
  <c r="I24" i="5"/>
  <c r="I23" i="5"/>
  <c r="K173" i="5" l="1"/>
  <c r="I173" i="5"/>
  <c r="I75" i="5"/>
  <c r="K75" i="5"/>
  <c r="I144" i="5"/>
  <c r="I149" i="5" s="1"/>
  <c r="S149" i="5"/>
  <c r="K141" i="5"/>
  <c r="K18" i="5"/>
  <c r="K17" i="5"/>
  <c r="K136" i="5"/>
  <c r="K20" i="5"/>
  <c r="K21" i="5"/>
  <c r="K133" i="5"/>
  <c r="K132" i="5"/>
  <c r="K16" i="5"/>
  <c r="K139" i="5"/>
  <c r="K23" i="5"/>
  <c r="K24" i="5"/>
  <c r="K140" i="5"/>
  <c r="K25" i="5"/>
  <c r="K134" i="5"/>
  <c r="I28" i="5"/>
  <c r="I33" i="5" s="1"/>
  <c r="K137" i="5"/>
  <c r="S33" i="5"/>
  <c r="K145" i="5"/>
  <c r="K29" i="5"/>
  <c r="K28" i="5" l="1"/>
  <c r="K33" i="5" s="1"/>
  <c r="K144" i="5"/>
  <c r="K149" i="5" s="1"/>
</calcChain>
</file>

<file path=xl/sharedStrings.xml><?xml version="1.0" encoding="utf-8"?>
<sst xmlns="http://schemas.openxmlformats.org/spreadsheetml/2006/main" count="973" uniqueCount="215">
  <si>
    <t>歐盟</t>
    <phoneticPr fontId="1" type="noConversion"/>
  </si>
  <si>
    <r>
      <rPr>
        <b/>
        <sz val="12"/>
        <color theme="1"/>
        <rFont val="新細明體"/>
        <family val="1"/>
        <charset val="136"/>
      </rPr>
      <t>案件基本參數</t>
    </r>
    <phoneticPr fontId="1" type="noConversion"/>
  </si>
  <si>
    <r>
      <rPr>
        <b/>
        <sz val="12"/>
        <color theme="1"/>
        <rFont val="新細明體"/>
        <family val="1"/>
        <charset val="136"/>
      </rPr>
      <t>人民幣</t>
    </r>
    <r>
      <rPr>
        <b/>
        <sz val="12"/>
        <color theme="1"/>
        <rFont val="Calibri"/>
        <family val="2"/>
      </rPr>
      <t>(CNY)</t>
    </r>
    <phoneticPr fontId="1" type="noConversion"/>
  </si>
  <si>
    <r>
      <rPr>
        <b/>
        <sz val="12"/>
        <color theme="1"/>
        <rFont val="新細明體"/>
        <family val="1"/>
        <charset val="136"/>
      </rPr>
      <t>新加坡幣</t>
    </r>
    <r>
      <rPr>
        <b/>
        <sz val="12"/>
        <color theme="1"/>
        <rFont val="Calibri"/>
        <family val="2"/>
      </rPr>
      <t>(SGD)</t>
    </r>
    <phoneticPr fontId="1" type="noConversion"/>
  </si>
  <si>
    <r>
      <rPr>
        <b/>
        <sz val="12"/>
        <color theme="1"/>
        <rFont val="新細明體"/>
        <family val="1"/>
        <charset val="136"/>
      </rPr>
      <t>美元</t>
    </r>
    <r>
      <rPr>
        <b/>
        <sz val="12"/>
        <color theme="1"/>
        <rFont val="Calibri"/>
        <family val="2"/>
      </rPr>
      <t>(USD)</t>
    </r>
    <phoneticPr fontId="1" type="noConversion"/>
  </si>
  <si>
    <r>
      <rPr>
        <b/>
        <sz val="12"/>
        <color theme="1"/>
        <rFont val="新細明體"/>
        <family val="1"/>
        <charset val="136"/>
      </rPr>
      <t>越南幣</t>
    </r>
    <r>
      <rPr>
        <b/>
        <sz val="12"/>
        <color theme="1"/>
        <rFont val="Calibri"/>
        <family val="2"/>
      </rPr>
      <t>(VND)</t>
    </r>
    <phoneticPr fontId="1" type="noConversion"/>
  </si>
  <si>
    <r>
      <rPr>
        <b/>
        <sz val="12"/>
        <color theme="1"/>
        <rFont val="新細明體"/>
        <family val="1"/>
        <charset val="136"/>
      </rPr>
      <t>歐元</t>
    </r>
    <r>
      <rPr>
        <b/>
        <sz val="12"/>
        <color theme="1"/>
        <rFont val="Calibri"/>
        <family val="2"/>
      </rPr>
      <t>(EUR)</t>
    </r>
    <phoneticPr fontId="1" type="noConversion"/>
  </si>
  <si>
    <r>
      <rPr>
        <b/>
        <sz val="12"/>
        <color theme="1"/>
        <rFont val="新細明體"/>
        <family val="1"/>
        <charset val="136"/>
      </rPr>
      <t>泰幣</t>
    </r>
    <r>
      <rPr>
        <b/>
        <sz val="12"/>
        <color theme="1"/>
        <rFont val="Calibri"/>
        <family val="2"/>
      </rPr>
      <t>(THB)</t>
    </r>
    <phoneticPr fontId="1" type="noConversion"/>
  </si>
  <si>
    <r>
      <rPr>
        <b/>
        <sz val="12"/>
        <color theme="1"/>
        <rFont val="新細明體"/>
        <family val="1"/>
        <charset val="136"/>
      </rPr>
      <t>日圓</t>
    </r>
    <r>
      <rPr>
        <b/>
        <sz val="12"/>
        <color theme="1"/>
        <rFont val="Calibri"/>
        <family val="2"/>
      </rPr>
      <t>(JPY)</t>
    </r>
    <phoneticPr fontId="1" type="noConversion"/>
  </si>
  <si>
    <r>
      <rPr>
        <b/>
        <sz val="12"/>
        <color theme="1"/>
        <rFont val="新細明體"/>
        <family val="1"/>
        <charset val="136"/>
      </rPr>
      <t>馬來幣</t>
    </r>
    <r>
      <rPr>
        <b/>
        <sz val="12"/>
        <color theme="1"/>
        <rFont val="Calibri"/>
        <family val="2"/>
      </rPr>
      <t>(MYR)</t>
    </r>
    <phoneticPr fontId="1" type="noConversion"/>
  </si>
  <si>
    <r>
      <rPr>
        <b/>
        <sz val="12"/>
        <color theme="1"/>
        <rFont val="新細明體"/>
        <family val="1"/>
        <charset val="136"/>
      </rPr>
      <t>韓元</t>
    </r>
    <r>
      <rPr>
        <b/>
        <sz val="12"/>
        <color theme="1"/>
        <rFont val="Calibri"/>
        <family val="2"/>
      </rPr>
      <t>(KRW)</t>
    </r>
    <phoneticPr fontId="1" type="noConversion"/>
  </si>
  <si>
    <r>
      <rPr>
        <b/>
        <sz val="12"/>
        <color theme="1"/>
        <rFont val="新細明體"/>
        <family val="1"/>
        <charset val="136"/>
      </rPr>
      <t>加拿大幣</t>
    </r>
    <r>
      <rPr>
        <b/>
        <sz val="12"/>
        <color theme="1"/>
        <rFont val="Calibri"/>
        <family val="2"/>
      </rPr>
      <t>(CAD)</t>
    </r>
    <phoneticPr fontId="1" type="noConversion"/>
  </si>
  <si>
    <t>類別總數</t>
    <phoneticPr fontId="1" type="noConversion"/>
  </si>
  <si>
    <t>申請方式</t>
    <phoneticPr fontId="1" type="noConversion"/>
  </si>
  <si>
    <t>申請方式</t>
    <phoneticPr fontId="1" type="noConversion"/>
  </si>
  <si>
    <t>一案多類</t>
    <phoneticPr fontId="4" type="noConversion"/>
  </si>
  <si>
    <t>申請地區</t>
    <phoneticPr fontId="1" type="noConversion"/>
  </si>
  <si>
    <t>NTD</t>
    <phoneticPr fontId="1" type="noConversion"/>
  </si>
  <si>
    <t>CNY</t>
    <phoneticPr fontId="1" type="noConversion"/>
  </si>
  <si>
    <t>USD</t>
    <phoneticPr fontId="1" type="noConversion"/>
  </si>
  <si>
    <t>EUR</t>
    <phoneticPr fontId="1" type="noConversion"/>
  </si>
  <si>
    <t>JPY</t>
    <phoneticPr fontId="1" type="noConversion"/>
  </si>
  <si>
    <t>KRW</t>
    <phoneticPr fontId="1" type="noConversion"/>
  </si>
  <si>
    <t>SGD</t>
    <phoneticPr fontId="1" type="noConversion"/>
  </si>
  <si>
    <t>VND</t>
    <phoneticPr fontId="1" type="noConversion"/>
  </si>
  <si>
    <t>THB</t>
    <phoneticPr fontId="1" type="noConversion"/>
  </si>
  <si>
    <t>MYR</t>
    <phoneticPr fontId="1" type="noConversion"/>
  </si>
  <si>
    <t>加拿大</t>
    <phoneticPr fontId="1" type="noConversion"/>
  </si>
  <si>
    <t>CAD</t>
    <phoneticPr fontId="1" type="noConversion"/>
  </si>
  <si>
    <r>
      <rPr>
        <b/>
        <sz val="12"/>
        <color theme="1"/>
        <rFont val="新細明體"/>
        <family val="1"/>
        <charset val="136"/>
      </rPr>
      <t xml:space="preserve">官方費用
</t>
    </r>
    <r>
      <rPr>
        <b/>
        <sz val="12"/>
        <color theme="1"/>
        <rFont val="Calibri"/>
        <family val="2"/>
      </rPr>
      <t>(A1)</t>
    </r>
    <phoneticPr fontId="1" type="noConversion"/>
  </si>
  <si>
    <r>
      <rPr>
        <b/>
        <sz val="12"/>
        <color theme="1"/>
        <rFont val="新細明體"/>
        <family val="1"/>
        <charset val="136"/>
      </rPr>
      <t xml:space="preserve">外國代理人費用
</t>
    </r>
    <r>
      <rPr>
        <b/>
        <sz val="12"/>
        <color theme="1"/>
        <rFont val="Calibri"/>
        <family val="2"/>
      </rPr>
      <t>(A2)</t>
    </r>
    <phoneticPr fontId="1" type="noConversion"/>
  </si>
  <si>
    <r>
      <rPr>
        <b/>
        <sz val="12"/>
        <color theme="1"/>
        <rFont val="新細明體"/>
        <family val="1"/>
        <charset val="136"/>
      </rPr>
      <t>幣別</t>
    </r>
    <phoneticPr fontId="1" type="noConversion"/>
  </si>
  <si>
    <r>
      <rPr>
        <b/>
        <sz val="12"/>
        <color theme="1"/>
        <rFont val="新細明體"/>
        <family val="1"/>
        <charset val="136"/>
      </rPr>
      <t>原幣別金額</t>
    </r>
    <phoneticPr fontId="1" type="noConversion"/>
  </si>
  <si>
    <r>
      <rPr>
        <b/>
        <sz val="12"/>
        <color theme="1"/>
        <rFont val="新細明體"/>
        <family val="1"/>
        <charset val="136"/>
      </rPr>
      <t>折合台幣</t>
    </r>
    <phoneticPr fontId="1" type="noConversion"/>
  </si>
  <si>
    <r>
      <rPr>
        <b/>
        <sz val="12"/>
        <color theme="1"/>
        <rFont val="新細明體"/>
        <family val="1"/>
        <charset val="136"/>
      </rPr>
      <t>台灣</t>
    </r>
    <phoneticPr fontId="1" type="noConversion"/>
  </si>
  <si>
    <t>NTD</t>
    <phoneticPr fontId="1" type="noConversion"/>
  </si>
  <si>
    <t>NTD</t>
    <phoneticPr fontId="1" type="noConversion"/>
  </si>
  <si>
    <r>
      <rPr>
        <b/>
        <sz val="12"/>
        <color theme="1"/>
        <rFont val="新細明體"/>
        <family val="1"/>
        <charset val="136"/>
      </rPr>
      <t>大陸</t>
    </r>
    <phoneticPr fontId="1" type="noConversion"/>
  </si>
  <si>
    <t>CNY</t>
    <phoneticPr fontId="1" type="noConversion"/>
  </si>
  <si>
    <t>CNY</t>
    <phoneticPr fontId="1" type="noConversion"/>
  </si>
  <si>
    <r>
      <rPr>
        <b/>
        <sz val="12"/>
        <color theme="1"/>
        <rFont val="新細明體"/>
        <family val="1"/>
        <charset val="136"/>
      </rPr>
      <t>美國</t>
    </r>
    <phoneticPr fontId="1" type="noConversion"/>
  </si>
  <si>
    <t>USD</t>
    <phoneticPr fontId="1" type="noConversion"/>
  </si>
  <si>
    <t>EUR</t>
    <phoneticPr fontId="1" type="noConversion"/>
  </si>
  <si>
    <t>EUR</t>
    <phoneticPr fontId="1" type="noConversion"/>
  </si>
  <si>
    <r>
      <rPr>
        <b/>
        <sz val="12"/>
        <color theme="1"/>
        <rFont val="新細明體"/>
        <family val="1"/>
        <charset val="136"/>
      </rPr>
      <t>日本</t>
    </r>
    <phoneticPr fontId="1" type="noConversion"/>
  </si>
  <si>
    <t>JPY</t>
    <phoneticPr fontId="1" type="noConversion"/>
  </si>
  <si>
    <t>JPY</t>
    <phoneticPr fontId="1" type="noConversion"/>
  </si>
  <si>
    <r>
      <rPr>
        <b/>
        <sz val="12"/>
        <color theme="1"/>
        <rFont val="新細明體"/>
        <family val="1"/>
        <charset val="136"/>
      </rPr>
      <t>韓國</t>
    </r>
    <phoneticPr fontId="1" type="noConversion"/>
  </si>
  <si>
    <t>KRW</t>
    <phoneticPr fontId="1" type="noConversion"/>
  </si>
  <si>
    <r>
      <rPr>
        <b/>
        <sz val="12"/>
        <color theme="1"/>
        <rFont val="新細明體"/>
        <family val="1"/>
        <charset val="136"/>
      </rPr>
      <t>新加坡</t>
    </r>
    <phoneticPr fontId="1" type="noConversion"/>
  </si>
  <si>
    <t>SGD</t>
    <phoneticPr fontId="1" type="noConversion"/>
  </si>
  <si>
    <r>
      <rPr>
        <b/>
        <sz val="12"/>
        <color theme="1"/>
        <rFont val="新細明體"/>
        <family val="1"/>
        <charset val="136"/>
      </rPr>
      <t>越南</t>
    </r>
    <phoneticPr fontId="1" type="noConversion"/>
  </si>
  <si>
    <t>VND</t>
    <phoneticPr fontId="1" type="noConversion"/>
  </si>
  <si>
    <r>
      <rPr>
        <b/>
        <sz val="12"/>
        <color theme="1"/>
        <rFont val="新細明體"/>
        <family val="1"/>
        <charset val="136"/>
      </rPr>
      <t>泰國</t>
    </r>
    <phoneticPr fontId="1" type="noConversion"/>
  </si>
  <si>
    <r>
      <rPr>
        <b/>
        <sz val="12"/>
        <color theme="1"/>
        <rFont val="新細明體"/>
        <family val="1"/>
        <charset val="136"/>
      </rPr>
      <t>馬來西亞</t>
    </r>
    <phoneticPr fontId="1" type="noConversion"/>
  </si>
  <si>
    <t>MYR</t>
    <phoneticPr fontId="1" type="noConversion"/>
  </si>
  <si>
    <r>
      <rPr>
        <b/>
        <sz val="12"/>
        <color theme="1"/>
        <rFont val="新細明體"/>
        <family val="1"/>
        <charset val="136"/>
      </rPr>
      <t>合計</t>
    </r>
    <phoneticPr fontId="1" type="noConversion"/>
  </si>
  <si>
    <t>CNY</t>
    <phoneticPr fontId="1" type="noConversion"/>
  </si>
  <si>
    <t>EUR</t>
    <phoneticPr fontId="1" type="noConversion"/>
  </si>
  <si>
    <t>KRW</t>
    <phoneticPr fontId="1" type="noConversion"/>
  </si>
  <si>
    <t>USD</t>
    <phoneticPr fontId="1" type="noConversion"/>
  </si>
  <si>
    <t>VND</t>
    <phoneticPr fontId="1" type="noConversion"/>
  </si>
  <si>
    <t>MYR</t>
    <phoneticPr fontId="1" type="noConversion"/>
  </si>
  <si>
    <t>不申請</t>
    <phoneticPr fontId="4" type="noConversion"/>
  </si>
  <si>
    <t>申請</t>
    <phoneticPr fontId="4" type="noConversion"/>
  </si>
  <si>
    <t>是否申請</t>
    <phoneticPr fontId="1" type="noConversion"/>
  </si>
  <si>
    <t>澳洲</t>
    <phoneticPr fontId="1" type="noConversion"/>
  </si>
  <si>
    <t>AUD</t>
    <phoneticPr fontId="1" type="noConversion"/>
  </si>
  <si>
    <t>CAD</t>
    <phoneticPr fontId="1" type="noConversion"/>
  </si>
  <si>
    <t>AUD</t>
    <phoneticPr fontId="1" type="noConversion"/>
  </si>
  <si>
    <t>一案一類</t>
    <phoneticPr fontId="1" type="noConversion"/>
  </si>
  <si>
    <t>一案多類</t>
    <phoneticPr fontId="1" type="noConversion"/>
  </si>
  <si>
    <r>
      <t xml:space="preserve">申請方式
</t>
    </r>
    <r>
      <rPr>
        <b/>
        <sz val="12"/>
        <color rgb="FF0000FF"/>
        <rFont val="新細明體"/>
        <family val="1"/>
        <charset val="136"/>
      </rPr>
      <t>(自動帶入)</t>
    </r>
    <phoneticPr fontId="1" type="noConversion"/>
  </si>
  <si>
    <t>一案一類</t>
    <phoneticPr fontId="4" type="noConversion"/>
  </si>
  <si>
    <t>1 = 一案多類</t>
    <phoneticPr fontId="4" type="noConversion"/>
  </si>
  <si>
    <t>2 = 一案一類</t>
    <phoneticPr fontId="4" type="noConversion"/>
  </si>
  <si>
    <r>
      <t xml:space="preserve">是否申請
</t>
    </r>
    <r>
      <rPr>
        <b/>
        <sz val="12"/>
        <color rgb="FFFF0000"/>
        <rFont val="新細明體"/>
        <family val="1"/>
        <charset val="136"/>
      </rPr>
      <t>(請勾選)</t>
    </r>
    <phoneticPr fontId="1" type="noConversion"/>
  </si>
  <si>
    <t>備註：</t>
    <phoneticPr fontId="1" type="noConversion"/>
  </si>
  <si>
    <t>*上表計算結果僅係概估費用，並不包含個別案件後續可能發生的核駁答辯費用，以及領取專利證書的費用。</t>
    <phoneticPr fontId="1" type="noConversion"/>
  </si>
  <si>
    <t>*各國商標註冊程序概述如下：</t>
    <phoneticPr fontId="1" type="noConversion"/>
  </si>
  <si>
    <t>　10. 馬來西亞：商標實審核准後會先公告，公告期間若無人異議或異議不成立，則可於繳納註冊費後領證。</t>
    <phoneticPr fontId="1" type="noConversion"/>
  </si>
  <si>
    <t>　12. 加拿大：商標實審核准後會先公告，公告期間若無人異議或異議不成立，則可於繳納註冊費後領證。</t>
    <phoneticPr fontId="1" type="noConversion"/>
  </si>
  <si>
    <r>
      <t>*</t>
    </r>
    <r>
      <rPr>
        <b/>
        <sz val="12"/>
        <rFont val="新細明體"/>
        <family val="1"/>
        <charset val="136"/>
      </rPr>
      <t>申請泰國商標，委任書</t>
    </r>
    <r>
      <rPr>
        <b/>
        <sz val="12"/>
        <rFont val="Calibri"/>
        <family val="2"/>
      </rPr>
      <t>(POA)</t>
    </r>
    <r>
      <rPr>
        <b/>
        <sz val="12"/>
        <rFont val="新細明體"/>
        <family val="1"/>
        <charset val="136"/>
      </rPr>
      <t>需在台灣辦理公證程序。</t>
    </r>
    <phoneticPr fontId="1" type="noConversion"/>
  </si>
  <si>
    <r>
      <t xml:space="preserve">是否申請
</t>
    </r>
    <r>
      <rPr>
        <b/>
        <sz val="12"/>
        <color rgb="FFFF0000"/>
        <rFont val="新細明體"/>
        <family val="1"/>
        <charset val="136"/>
      </rPr>
      <t>(請勾選)</t>
    </r>
    <phoneticPr fontId="1" type="noConversion"/>
  </si>
  <si>
    <r>
      <t xml:space="preserve">申請方式
</t>
    </r>
    <r>
      <rPr>
        <b/>
        <sz val="12"/>
        <color rgb="FF0000FF"/>
        <rFont val="新細明體"/>
        <family val="1"/>
        <charset val="136"/>
      </rPr>
      <t>(自動帶入)</t>
    </r>
    <phoneticPr fontId="1" type="noConversion"/>
  </si>
  <si>
    <t>依據「申請方式」，計算各國商標領證費用</t>
    <phoneticPr fontId="1" type="noConversion"/>
  </si>
  <si>
    <t>依據「申請方式」，計算各國商標申請費用</t>
    <phoneticPr fontId="1" type="noConversion"/>
  </si>
  <si>
    <t>計算「一案多類」方式的商標申請費用</t>
    <phoneticPr fontId="1" type="noConversion"/>
  </si>
  <si>
    <t>計算「一案一類」方式的商標申請費用</t>
    <phoneticPr fontId="1" type="noConversion"/>
  </si>
  <si>
    <t>計算「一案多類」方式的商標領證費用</t>
    <phoneticPr fontId="1" type="noConversion"/>
  </si>
  <si>
    <t>計算「一案一類」方式的商標領證費用</t>
    <phoneticPr fontId="1" type="noConversion"/>
  </si>
  <si>
    <r>
      <t xml:space="preserve">是否要檢索
</t>
    </r>
    <r>
      <rPr>
        <b/>
        <sz val="12"/>
        <color rgb="FFFF0000"/>
        <rFont val="新細明體"/>
        <family val="1"/>
        <charset val="136"/>
      </rPr>
      <t>(請勾選)</t>
    </r>
    <phoneticPr fontId="1" type="noConversion"/>
  </si>
  <si>
    <t>*泰國官方費用要官方作業時數有關，上表中係以5個工作小時做為預估基礎。</t>
    <phoneticPr fontId="1" type="noConversion"/>
  </si>
  <si>
    <t>*新加坡代理人費用跟要檢索的文字種類及字數有關，上表中係以2個英文字做為預估基礎。</t>
    <phoneticPr fontId="1" type="noConversion"/>
  </si>
  <si>
    <r>
      <rPr>
        <b/>
        <sz val="12"/>
        <color theme="1"/>
        <rFont val="新細明體"/>
        <family val="1"/>
        <charset val="136"/>
      </rPr>
      <t xml:space="preserve">官方費用
</t>
    </r>
    <r>
      <rPr>
        <b/>
        <sz val="12"/>
        <color theme="1"/>
        <rFont val="Calibri"/>
        <family val="2"/>
      </rPr>
      <t>(A1)</t>
    </r>
    <phoneticPr fontId="1" type="noConversion"/>
  </si>
  <si>
    <t>官方費用(A1)</t>
    <phoneticPr fontId="1" type="noConversion"/>
  </si>
  <si>
    <r>
      <rPr>
        <b/>
        <sz val="12"/>
        <color theme="1"/>
        <rFont val="新細明體"/>
        <family val="1"/>
        <charset val="136"/>
      </rPr>
      <t xml:space="preserve">外國代理人費用
</t>
    </r>
    <r>
      <rPr>
        <b/>
        <sz val="12"/>
        <color theme="1"/>
        <rFont val="Calibri"/>
        <family val="2"/>
      </rPr>
      <t>(A2)</t>
    </r>
    <phoneticPr fontId="1" type="noConversion"/>
  </si>
  <si>
    <t>外國代理人費用(A2)</t>
    <phoneticPr fontId="1" type="noConversion"/>
  </si>
  <si>
    <t>官方費用(D1)</t>
    <phoneticPr fontId="1" type="noConversion"/>
  </si>
  <si>
    <t>外國代理人費用(D2)</t>
    <phoneticPr fontId="1" type="noConversion"/>
  </si>
  <si>
    <t>慧盈服務費(E)</t>
    <phoneticPr fontId="1" type="noConversion"/>
  </si>
  <si>
    <t>各地區之商標註冊費用(申請+領證)之比較</t>
    <phoneticPr fontId="1" type="noConversion"/>
  </si>
  <si>
    <r>
      <rPr>
        <b/>
        <sz val="12"/>
        <rFont val="新細明體"/>
        <family val="1"/>
        <charset val="136"/>
      </rPr>
      <t>　</t>
    </r>
    <r>
      <rPr>
        <b/>
        <sz val="12"/>
        <rFont val="Times New Roman"/>
        <family val="1"/>
      </rPr>
      <t xml:space="preserve">01. </t>
    </r>
    <r>
      <rPr>
        <b/>
        <sz val="12"/>
        <rFont val="新細明體"/>
        <family val="1"/>
        <charset val="136"/>
      </rPr>
      <t>台灣：商標實審核准後需先繳納註冊費以領證及公告，公告後才允許他人提起異議。</t>
    </r>
    <phoneticPr fontId="1" type="noConversion"/>
  </si>
  <si>
    <r>
      <rPr>
        <b/>
        <sz val="12"/>
        <rFont val="新細明體"/>
        <family val="1"/>
        <charset val="136"/>
      </rPr>
      <t>　</t>
    </r>
    <r>
      <rPr>
        <b/>
        <sz val="12"/>
        <rFont val="Times New Roman"/>
        <family val="1"/>
      </rPr>
      <t xml:space="preserve">02. </t>
    </r>
    <r>
      <rPr>
        <b/>
        <sz val="12"/>
        <rFont val="新細明體"/>
        <family val="1"/>
        <charset val="136"/>
      </rPr>
      <t>大陸：商標實審核准後會先公告，公告期間若無人異議或異議不成立便可領證。</t>
    </r>
    <phoneticPr fontId="1" type="noConversion"/>
  </si>
  <si>
    <r>
      <rPr>
        <b/>
        <sz val="12"/>
        <rFont val="新細明體"/>
        <family val="1"/>
        <charset val="136"/>
      </rPr>
      <t>　</t>
    </r>
    <r>
      <rPr>
        <b/>
        <sz val="12"/>
        <rFont val="Times New Roman"/>
        <family val="1"/>
      </rPr>
      <t xml:space="preserve">03. </t>
    </r>
    <r>
      <rPr>
        <b/>
        <sz val="12"/>
        <rFont val="新細明體"/>
        <family val="1"/>
        <charset val="136"/>
      </rPr>
      <t>美國：商標實審核准後會先公告，公告期間若無人異議或異議不成立便可領證</t>
    </r>
    <r>
      <rPr>
        <b/>
        <sz val="12"/>
        <rFont val="Times New Roman"/>
        <family val="1"/>
      </rPr>
      <t>(</t>
    </r>
    <r>
      <rPr>
        <b/>
        <sz val="12"/>
        <rFont val="新細明體"/>
        <family val="1"/>
        <charset val="136"/>
      </rPr>
      <t>申請基礎為意圖使用者，需先提呈商標使用聲明才能領證</t>
    </r>
    <r>
      <rPr>
        <b/>
        <sz val="12"/>
        <rFont val="Times New Roman"/>
        <family val="1"/>
      </rPr>
      <t>)</t>
    </r>
    <r>
      <rPr>
        <b/>
        <sz val="12"/>
        <rFont val="新細明體"/>
        <family val="1"/>
        <charset val="136"/>
      </rPr>
      <t>。</t>
    </r>
    <phoneticPr fontId="1" type="noConversion"/>
  </si>
  <si>
    <r>
      <rPr>
        <b/>
        <sz val="12"/>
        <rFont val="新細明體"/>
        <family val="1"/>
        <charset val="136"/>
      </rPr>
      <t>　</t>
    </r>
    <r>
      <rPr>
        <b/>
        <sz val="12"/>
        <rFont val="Times New Roman"/>
        <family val="1"/>
      </rPr>
      <t xml:space="preserve">04. </t>
    </r>
    <r>
      <rPr>
        <b/>
        <sz val="12"/>
        <rFont val="新細明體"/>
        <family val="1"/>
        <charset val="136"/>
      </rPr>
      <t>歐盟：商標不進行實審，通過形式審查後會先公告，公告期間若無人異議或異議不成立便可領證。</t>
    </r>
    <phoneticPr fontId="1" type="noConversion"/>
  </si>
  <si>
    <r>
      <rPr>
        <b/>
        <sz val="12"/>
        <rFont val="新細明體"/>
        <family val="1"/>
        <charset val="136"/>
      </rPr>
      <t>　</t>
    </r>
    <r>
      <rPr>
        <b/>
        <sz val="12"/>
        <rFont val="Times New Roman"/>
        <family val="1"/>
      </rPr>
      <t xml:space="preserve">05. </t>
    </r>
    <r>
      <rPr>
        <b/>
        <sz val="12"/>
        <rFont val="新細明體"/>
        <family val="1"/>
        <charset val="136"/>
      </rPr>
      <t>日本：商標實審核准後需先繳納註冊費才公告，公告期間若無人異議或異議不成立便可領證。</t>
    </r>
    <phoneticPr fontId="1" type="noConversion"/>
  </si>
  <si>
    <r>
      <rPr>
        <b/>
        <sz val="12"/>
        <rFont val="新細明體"/>
        <family val="1"/>
        <charset val="136"/>
      </rPr>
      <t>　</t>
    </r>
    <r>
      <rPr>
        <b/>
        <sz val="12"/>
        <rFont val="Times New Roman"/>
        <family val="1"/>
      </rPr>
      <t xml:space="preserve">06. </t>
    </r>
    <r>
      <rPr>
        <b/>
        <sz val="12"/>
        <rFont val="新細明體"/>
        <family val="1"/>
        <charset val="136"/>
      </rPr>
      <t>韓國：商標實審核准後會先公告，公告期間若無人異議或異議不成立，則可於繳納註冊費後領證。</t>
    </r>
    <phoneticPr fontId="1" type="noConversion"/>
  </si>
  <si>
    <r>
      <rPr>
        <b/>
        <sz val="12"/>
        <rFont val="新細明體"/>
        <family val="1"/>
        <charset val="136"/>
      </rPr>
      <t>　</t>
    </r>
    <r>
      <rPr>
        <b/>
        <sz val="12"/>
        <rFont val="Times New Roman"/>
        <family val="1"/>
      </rPr>
      <t xml:space="preserve">07. </t>
    </r>
    <r>
      <rPr>
        <b/>
        <sz val="12"/>
        <rFont val="新細明體"/>
        <family val="1"/>
        <charset val="136"/>
      </rPr>
      <t>新加坡：商標實審核准後會先公告，公告期間若無人異議或異議不成立便可領證。</t>
    </r>
    <phoneticPr fontId="1" type="noConversion"/>
  </si>
  <si>
    <r>
      <rPr>
        <b/>
        <sz val="12"/>
        <color theme="1"/>
        <rFont val="新細明體"/>
        <family val="1"/>
        <charset val="136"/>
      </rPr>
      <t>第四部分：下表是委託慧盈事務所辦理各地區之商標檢索</t>
    </r>
    <r>
      <rPr>
        <b/>
        <sz val="12"/>
        <color theme="1"/>
        <rFont val="Times New Roman"/>
        <family val="1"/>
      </rPr>
      <t>(</t>
    </r>
    <r>
      <rPr>
        <b/>
        <sz val="12"/>
        <color theme="1"/>
        <rFont val="新細明體"/>
        <family val="1"/>
        <charset val="136"/>
      </rPr>
      <t>查名</t>
    </r>
    <r>
      <rPr>
        <b/>
        <sz val="12"/>
        <color theme="1"/>
        <rFont val="Times New Roman"/>
        <family val="1"/>
      </rPr>
      <t>)</t>
    </r>
    <r>
      <rPr>
        <b/>
        <sz val="12"/>
        <color theme="1"/>
        <rFont val="新細明體"/>
        <family val="1"/>
        <charset val="136"/>
      </rPr>
      <t>的預估費用，若無需檢索則不會收取此部分費用。</t>
    </r>
    <phoneticPr fontId="1" type="noConversion"/>
  </si>
  <si>
    <r>
      <rPr>
        <b/>
        <sz val="12"/>
        <rFont val="新細明體"/>
        <family val="1"/>
        <charset val="136"/>
      </rPr>
      <t>　</t>
    </r>
    <r>
      <rPr>
        <b/>
        <sz val="12"/>
        <rFont val="Times New Roman"/>
        <family val="1"/>
      </rPr>
      <t xml:space="preserve">08. </t>
    </r>
    <r>
      <rPr>
        <b/>
        <sz val="12"/>
        <rFont val="新細明體"/>
        <family val="1"/>
        <charset val="136"/>
      </rPr>
      <t>越南：商標通過形式審查後會先公告才進入實審階段，公告後至實審核准之前若無人異議或異議不成立，則可於繳納註冊費後領證。</t>
    </r>
    <phoneticPr fontId="1" type="noConversion"/>
  </si>
  <si>
    <r>
      <rPr>
        <b/>
        <sz val="12"/>
        <rFont val="新細明體"/>
        <family val="1"/>
        <charset val="136"/>
      </rPr>
      <t>　</t>
    </r>
    <r>
      <rPr>
        <b/>
        <sz val="12"/>
        <rFont val="Times New Roman"/>
        <family val="1"/>
      </rPr>
      <t xml:space="preserve">09. </t>
    </r>
    <r>
      <rPr>
        <b/>
        <sz val="12"/>
        <rFont val="新細明體"/>
        <family val="1"/>
        <charset val="136"/>
      </rPr>
      <t>泰國：商標實審核准後會先公告，公告期間若無人異議或異議不成立，則可於繳納註冊費後領證。</t>
    </r>
    <phoneticPr fontId="1" type="noConversion"/>
  </si>
  <si>
    <t>印尼</t>
    <phoneticPr fontId="1" type="noConversion"/>
  </si>
  <si>
    <t>　11. 印尼：商標通過形式審查後會先公告，公告期間若無人異議或異議不成立才進入實審階段，實審核准後則可領證。</t>
    <phoneticPr fontId="1" type="noConversion"/>
  </si>
  <si>
    <t>　13. 澳洲：商標實審核准後會先公告，公告期間若無人異議或異議不成立便可領證。</t>
    <phoneticPr fontId="1" type="noConversion"/>
  </si>
  <si>
    <t>計費項目</t>
    <phoneticPr fontId="1" type="noConversion"/>
  </si>
  <si>
    <t>官方費用</t>
    <phoneticPr fontId="1" type="noConversion"/>
  </si>
  <si>
    <t>外國代理人費</t>
    <phoneticPr fontId="1" type="noConversion"/>
  </si>
  <si>
    <t>慧盈服務費</t>
    <phoneticPr fontId="1" type="noConversion"/>
  </si>
  <si>
    <t>匯率基礎</t>
    <phoneticPr fontId="1" type="noConversion"/>
  </si>
  <si>
    <t>*申請馬來西亞商標，需逐案簽署「申請權證明書」並在台灣辦理公證程序。</t>
    <phoneticPr fontId="1" type="noConversion"/>
  </si>
  <si>
    <r>
      <rPr>
        <b/>
        <sz val="12"/>
        <color theme="1"/>
        <rFont val="新細明體"/>
        <family val="1"/>
        <charset val="136"/>
      </rPr>
      <t>以下為慧盈辦理各地「商標」註冊服務之預估費用。</t>
    </r>
    <r>
      <rPr>
        <b/>
        <sz val="12"/>
        <color rgb="FFFF0000"/>
        <rFont val="新細明體"/>
        <family val="1"/>
        <charset val="136"/>
      </rPr>
      <t>紅色部份</t>
    </r>
    <r>
      <rPr>
        <b/>
        <sz val="12"/>
        <color theme="1"/>
        <rFont val="新細明體"/>
        <family val="1"/>
        <charset val="136"/>
      </rPr>
      <t>是您可自行調整的數字，</t>
    </r>
    <r>
      <rPr>
        <b/>
        <sz val="12"/>
        <color rgb="FF0000FF"/>
        <rFont val="新細明體"/>
        <family val="1"/>
        <charset val="136"/>
      </rPr>
      <t>藍色數字</t>
    </r>
    <r>
      <rPr>
        <b/>
        <sz val="12"/>
        <color theme="1"/>
        <rFont val="新細明體"/>
        <family val="1"/>
        <charset val="136"/>
      </rPr>
      <t>是依照收費標準自動估算的金額。</t>
    </r>
    <phoneticPr fontId="1" type="noConversion"/>
  </si>
  <si>
    <r>
      <rPr>
        <b/>
        <sz val="12"/>
        <color theme="1"/>
        <rFont val="標楷體"/>
        <family val="4"/>
        <charset val="136"/>
      </rPr>
      <t>以下為慧盈辦理各地「商標」註冊服務之預估費用。</t>
    </r>
    <r>
      <rPr>
        <b/>
        <sz val="12"/>
        <color rgb="FFFF0000"/>
        <rFont val="標楷體"/>
        <family val="4"/>
        <charset val="136"/>
      </rPr>
      <t>紅色部份</t>
    </r>
    <r>
      <rPr>
        <b/>
        <sz val="12"/>
        <color theme="1"/>
        <rFont val="標楷體"/>
        <family val="4"/>
        <charset val="136"/>
      </rPr>
      <t>是您可自行調整的數字，</t>
    </r>
    <r>
      <rPr>
        <b/>
        <sz val="12"/>
        <color rgb="FF0000FF"/>
        <rFont val="標楷體"/>
        <family val="4"/>
        <charset val="136"/>
      </rPr>
      <t>藍色數字</t>
    </r>
    <r>
      <rPr>
        <b/>
        <sz val="12"/>
        <color theme="1"/>
        <rFont val="標楷體"/>
        <family val="4"/>
        <charset val="136"/>
      </rPr>
      <t>是依照收費標準自動估算的金額。</t>
    </r>
    <phoneticPr fontId="1" type="noConversion"/>
  </si>
  <si>
    <r>
      <rPr>
        <b/>
        <sz val="12"/>
        <color theme="1"/>
        <rFont val="標楷體"/>
        <family val="4"/>
        <charset val="136"/>
      </rPr>
      <t>案件基本參數</t>
    </r>
    <phoneticPr fontId="1" type="noConversion"/>
  </si>
  <si>
    <r>
      <rPr>
        <b/>
        <sz val="12"/>
        <color theme="1"/>
        <rFont val="標楷體"/>
        <family val="4"/>
        <charset val="136"/>
      </rPr>
      <t>計費項目</t>
    </r>
    <phoneticPr fontId="1" type="noConversion"/>
  </si>
  <si>
    <r>
      <rPr>
        <b/>
        <sz val="12"/>
        <color theme="1"/>
        <rFont val="標楷體"/>
        <family val="4"/>
        <charset val="136"/>
      </rPr>
      <t>匯率基礎</t>
    </r>
    <phoneticPr fontId="1" type="noConversion"/>
  </si>
  <si>
    <r>
      <rPr>
        <b/>
        <sz val="12"/>
        <color theme="1"/>
        <rFont val="標楷體"/>
        <family val="4"/>
        <charset val="136"/>
      </rPr>
      <t>類別總數</t>
    </r>
    <phoneticPr fontId="1" type="noConversion"/>
  </si>
  <si>
    <r>
      <t>(</t>
    </r>
    <r>
      <rPr>
        <b/>
        <sz val="10"/>
        <color rgb="FFFF0000"/>
        <rFont val="標楷體"/>
        <family val="4"/>
        <charset val="136"/>
      </rPr>
      <t>正常要全勾</t>
    </r>
    <r>
      <rPr>
        <b/>
        <sz val="10"/>
        <color rgb="FFFF0000"/>
        <rFont val="Times New Roman"/>
        <family val="1"/>
      </rPr>
      <t>)</t>
    </r>
    <phoneticPr fontId="1" type="noConversion"/>
  </si>
  <si>
    <r>
      <rPr>
        <b/>
        <sz val="12"/>
        <color theme="1"/>
        <rFont val="標楷體"/>
        <family val="4"/>
        <charset val="136"/>
      </rPr>
      <t>美元</t>
    </r>
    <r>
      <rPr>
        <b/>
        <sz val="12"/>
        <color theme="1"/>
        <rFont val="Times New Roman"/>
        <family val="1"/>
      </rPr>
      <t>(USD)</t>
    </r>
    <phoneticPr fontId="1" type="noConversion"/>
  </si>
  <si>
    <r>
      <rPr>
        <b/>
        <sz val="12"/>
        <color theme="1"/>
        <rFont val="標楷體"/>
        <family val="4"/>
        <charset val="136"/>
      </rPr>
      <t>人民幣</t>
    </r>
    <r>
      <rPr>
        <b/>
        <sz val="12"/>
        <color theme="1"/>
        <rFont val="Times New Roman"/>
        <family val="1"/>
      </rPr>
      <t>(CNY)</t>
    </r>
    <phoneticPr fontId="1" type="noConversion"/>
  </si>
  <si>
    <r>
      <rPr>
        <b/>
        <sz val="12"/>
        <color theme="1"/>
        <rFont val="標楷體"/>
        <family val="4"/>
        <charset val="136"/>
      </rPr>
      <t>申請方式</t>
    </r>
    <phoneticPr fontId="1" type="noConversion"/>
  </si>
  <si>
    <r>
      <rPr>
        <b/>
        <sz val="12"/>
        <color theme="1"/>
        <rFont val="標楷體"/>
        <family val="4"/>
        <charset val="136"/>
      </rPr>
      <t>歐元</t>
    </r>
    <r>
      <rPr>
        <b/>
        <sz val="12"/>
        <color theme="1"/>
        <rFont val="Times New Roman"/>
        <family val="1"/>
      </rPr>
      <t>(EUR)</t>
    </r>
    <phoneticPr fontId="1" type="noConversion"/>
  </si>
  <si>
    <r>
      <rPr>
        <b/>
        <sz val="12"/>
        <color theme="1"/>
        <rFont val="標楷體"/>
        <family val="4"/>
        <charset val="136"/>
      </rPr>
      <t>新加坡幣</t>
    </r>
    <r>
      <rPr>
        <b/>
        <sz val="12"/>
        <color theme="1"/>
        <rFont val="Times New Roman"/>
        <family val="1"/>
      </rPr>
      <t>(SGD)</t>
    </r>
    <phoneticPr fontId="1" type="noConversion"/>
  </si>
  <si>
    <r>
      <rPr>
        <b/>
        <sz val="12"/>
        <color theme="1"/>
        <rFont val="標楷體"/>
        <family val="4"/>
        <charset val="136"/>
      </rPr>
      <t>日圓</t>
    </r>
    <r>
      <rPr>
        <b/>
        <sz val="12"/>
        <color theme="1"/>
        <rFont val="Times New Roman"/>
        <family val="1"/>
      </rPr>
      <t>(JPY)</t>
    </r>
    <phoneticPr fontId="1" type="noConversion"/>
  </si>
  <si>
    <r>
      <rPr>
        <b/>
        <sz val="12"/>
        <color theme="1"/>
        <rFont val="標楷體"/>
        <family val="4"/>
        <charset val="136"/>
      </rPr>
      <t>越南幣</t>
    </r>
    <r>
      <rPr>
        <b/>
        <sz val="12"/>
        <color theme="1"/>
        <rFont val="Times New Roman"/>
        <family val="1"/>
      </rPr>
      <t>(VND)</t>
    </r>
    <phoneticPr fontId="1" type="noConversion"/>
  </si>
  <si>
    <r>
      <rPr>
        <b/>
        <sz val="12"/>
        <color theme="1"/>
        <rFont val="標楷體"/>
        <family val="4"/>
        <charset val="136"/>
      </rPr>
      <t>韓元</t>
    </r>
    <r>
      <rPr>
        <b/>
        <sz val="12"/>
        <color theme="1"/>
        <rFont val="Times New Roman"/>
        <family val="1"/>
      </rPr>
      <t>(KRW)</t>
    </r>
    <phoneticPr fontId="1" type="noConversion"/>
  </si>
  <si>
    <r>
      <rPr>
        <b/>
        <sz val="12"/>
        <color theme="1"/>
        <rFont val="標楷體"/>
        <family val="4"/>
        <charset val="136"/>
      </rPr>
      <t>馬來幣</t>
    </r>
    <r>
      <rPr>
        <b/>
        <sz val="12"/>
        <color theme="1"/>
        <rFont val="Times New Roman"/>
        <family val="1"/>
      </rPr>
      <t>(MYR)</t>
    </r>
    <phoneticPr fontId="1" type="noConversion"/>
  </si>
  <si>
    <r>
      <rPr>
        <b/>
        <sz val="12"/>
        <color theme="1"/>
        <rFont val="標楷體"/>
        <family val="4"/>
        <charset val="136"/>
      </rPr>
      <t>泰幣</t>
    </r>
    <r>
      <rPr>
        <b/>
        <sz val="12"/>
        <color theme="1"/>
        <rFont val="Times New Roman"/>
        <family val="1"/>
      </rPr>
      <t>(THB)</t>
    </r>
    <phoneticPr fontId="1" type="noConversion"/>
  </si>
  <si>
    <r>
      <rPr>
        <b/>
        <sz val="12"/>
        <color theme="1"/>
        <rFont val="標楷體"/>
        <family val="4"/>
        <charset val="136"/>
      </rPr>
      <t>加拿大幣</t>
    </r>
    <r>
      <rPr>
        <b/>
        <sz val="12"/>
        <color theme="1"/>
        <rFont val="Times New Roman"/>
        <family val="1"/>
      </rPr>
      <t>(CAD)</t>
    </r>
    <phoneticPr fontId="1" type="noConversion"/>
  </si>
  <si>
    <r>
      <rPr>
        <b/>
        <sz val="12"/>
        <color theme="1"/>
        <rFont val="標楷體"/>
        <family val="4"/>
        <charset val="136"/>
      </rPr>
      <t>申請地區</t>
    </r>
    <phoneticPr fontId="1" type="noConversion"/>
  </si>
  <si>
    <r>
      <rPr>
        <b/>
        <sz val="12"/>
        <color theme="1"/>
        <rFont val="標楷體"/>
        <family val="4"/>
        <charset val="136"/>
      </rPr>
      <t xml:space="preserve">是否申請
</t>
    </r>
    <r>
      <rPr>
        <b/>
        <sz val="12"/>
        <color rgb="FFFF0000"/>
        <rFont val="Times New Roman"/>
        <family val="1"/>
      </rPr>
      <t>(</t>
    </r>
    <r>
      <rPr>
        <b/>
        <sz val="12"/>
        <color rgb="FFFF0000"/>
        <rFont val="標楷體"/>
        <family val="4"/>
        <charset val="136"/>
      </rPr>
      <t>請勾選</t>
    </r>
    <r>
      <rPr>
        <b/>
        <sz val="12"/>
        <color rgb="FFFF0000"/>
        <rFont val="Times New Roman"/>
        <family val="1"/>
      </rPr>
      <t>)</t>
    </r>
    <phoneticPr fontId="1" type="noConversion"/>
  </si>
  <si>
    <r>
      <rPr>
        <b/>
        <sz val="12"/>
        <color theme="1"/>
        <rFont val="標楷體"/>
        <family val="4"/>
        <charset val="136"/>
      </rPr>
      <t xml:space="preserve">官方費用
</t>
    </r>
    <r>
      <rPr>
        <b/>
        <sz val="12"/>
        <color theme="1"/>
        <rFont val="Times New Roman"/>
        <family val="1"/>
      </rPr>
      <t>(A1)</t>
    </r>
    <phoneticPr fontId="1" type="noConversion"/>
  </si>
  <si>
    <r>
      <rPr>
        <b/>
        <sz val="12"/>
        <color theme="1"/>
        <rFont val="標楷體"/>
        <family val="4"/>
        <charset val="136"/>
      </rPr>
      <t xml:space="preserve">外國代理人費用
</t>
    </r>
    <r>
      <rPr>
        <b/>
        <sz val="12"/>
        <color theme="1"/>
        <rFont val="Times New Roman"/>
        <family val="1"/>
      </rPr>
      <t>(A2)</t>
    </r>
    <phoneticPr fontId="1" type="noConversion"/>
  </si>
  <si>
    <r>
      <rPr>
        <b/>
        <sz val="12"/>
        <color theme="1"/>
        <rFont val="標楷體"/>
        <family val="4"/>
        <charset val="136"/>
      </rPr>
      <t>幣別</t>
    </r>
    <phoneticPr fontId="1" type="noConversion"/>
  </si>
  <si>
    <r>
      <rPr>
        <b/>
        <sz val="12"/>
        <color theme="1"/>
        <rFont val="標楷體"/>
        <family val="4"/>
        <charset val="136"/>
      </rPr>
      <t>原幣別金額</t>
    </r>
    <phoneticPr fontId="1" type="noConversion"/>
  </si>
  <si>
    <r>
      <rPr>
        <b/>
        <sz val="12"/>
        <color theme="1"/>
        <rFont val="標楷體"/>
        <family val="4"/>
        <charset val="136"/>
      </rPr>
      <t>折合台幣</t>
    </r>
    <phoneticPr fontId="1" type="noConversion"/>
  </si>
  <si>
    <r>
      <rPr>
        <b/>
        <sz val="12"/>
        <color theme="1"/>
        <rFont val="標楷體"/>
        <family val="4"/>
        <charset val="136"/>
      </rPr>
      <t>台灣</t>
    </r>
    <phoneticPr fontId="1" type="noConversion"/>
  </si>
  <si>
    <r>
      <rPr>
        <b/>
        <sz val="12"/>
        <color theme="1"/>
        <rFont val="標楷體"/>
        <family val="4"/>
        <charset val="136"/>
      </rPr>
      <t>大陸</t>
    </r>
    <phoneticPr fontId="1" type="noConversion"/>
  </si>
  <si>
    <r>
      <rPr>
        <b/>
        <sz val="12"/>
        <color theme="1"/>
        <rFont val="標楷體"/>
        <family val="4"/>
        <charset val="136"/>
      </rPr>
      <t>美國</t>
    </r>
    <phoneticPr fontId="1" type="noConversion"/>
  </si>
  <si>
    <r>
      <rPr>
        <b/>
        <sz val="12"/>
        <color theme="1"/>
        <rFont val="標楷體"/>
        <family val="4"/>
        <charset val="136"/>
      </rPr>
      <t>歐盟</t>
    </r>
    <phoneticPr fontId="1" type="noConversion"/>
  </si>
  <si>
    <r>
      <rPr>
        <b/>
        <sz val="12"/>
        <color theme="1"/>
        <rFont val="標楷體"/>
        <family val="4"/>
        <charset val="136"/>
      </rPr>
      <t>日本</t>
    </r>
    <phoneticPr fontId="1" type="noConversion"/>
  </si>
  <si>
    <r>
      <rPr>
        <b/>
        <sz val="12"/>
        <color theme="1"/>
        <rFont val="標楷體"/>
        <family val="4"/>
        <charset val="136"/>
      </rPr>
      <t>韓國</t>
    </r>
    <phoneticPr fontId="1" type="noConversion"/>
  </si>
  <si>
    <r>
      <rPr>
        <b/>
        <sz val="12"/>
        <color theme="1"/>
        <rFont val="標楷體"/>
        <family val="4"/>
        <charset val="136"/>
      </rPr>
      <t>新加坡</t>
    </r>
    <phoneticPr fontId="1" type="noConversion"/>
  </si>
  <si>
    <r>
      <rPr>
        <b/>
        <sz val="12"/>
        <color theme="1"/>
        <rFont val="標楷體"/>
        <family val="4"/>
        <charset val="136"/>
      </rPr>
      <t>越南</t>
    </r>
    <phoneticPr fontId="1" type="noConversion"/>
  </si>
  <si>
    <r>
      <rPr>
        <b/>
        <sz val="12"/>
        <color theme="1"/>
        <rFont val="標楷體"/>
        <family val="4"/>
        <charset val="136"/>
      </rPr>
      <t>泰國</t>
    </r>
    <phoneticPr fontId="1" type="noConversion"/>
  </si>
  <si>
    <r>
      <rPr>
        <b/>
        <sz val="12"/>
        <color theme="1"/>
        <rFont val="標楷體"/>
        <family val="4"/>
        <charset val="136"/>
      </rPr>
      <t>馬來西亞</t>
    </r>
    <phoneticPr fontId="1" type="noConversion"/>
  </si>
  <si>
    <r>
      <rPr>
        <b/>
        <sz val="12"/>
        <color theme="1"/>
        <rFont val="標楷體"/>
        <family val="4"/>
        <charset val="136"/>
      </rPr>
      <t>印尼</t>
    </r>
    <phoneticPr fontId="1" type="noConversion"/>
  </si>
  <si>
    <r>
      <rPr>
        <b/>
        <sz val="12"/>
        <color theme="1"/>
        <rFont val="標楷體"/>
        <family val="4"/>
        <charset val="136"/>
      </rPr>
      <t>加拿大</t>
    </r>
    <phoneticPr fontId="1" type="noConversion"/>
  </si>
  <si>
    <r>
      <rPr>
        <b/>
        <sz val="12"/>
        <color theme="1"/>
        <rFont val="標楷體"/>
        <family val="4"/>
        <charset val="136"/>
      </rPr>
      <t>澳洲</t>
    </r>
    <phoneticPr fontId="1" type="noConversion"/>
  </si>
  <si>
    <r>
      <rPr>
        <b/>
        <sz val="12"/>
        <color theme="1"/>
        <rFont val="標楷體"/>
        <family val="4"/>
        <charset val="136"/>
      </rPr>
      <t>合計</t>
    </r>
    <phoneticPr fontId="1" type="noConversion"/>
  </si>
  <si>
    <t>香港</t>
    <phoneticPr fontId="1" type="noConversion"/>
  </si>
  <si>
    <t>澳門</t>
    <phoneticPr fontId="1" type="noConversion"/>
  </si>
  <si>
    <r>
      <rPr>
        <b/>
        <sz val="12"/>
        <color theme="1"/>
        <rFont val="新細明體"/>
        <family val="1"/>
        <charset val="136"/>
      </rPr>
      <t>澳洲幣</t>
    </r>
    <r>
      <rPr>
        <b/>
        <sz val="12"/>
        <color theme="1"/>
        <rFont val="Calibri"/>
        <family val="2"/>
      </rPr>
      <t>(AUD)</t>
    </r>
    <phoneticPr fontId="1" type="noConversion"/>
  </si>
  <si>
    <r>
      <rPr>
        <b/>
        <sz val="12"/>
        <color theme="1"/>
        <rFont val="新細明體"/>
        <family val="1"/>
        <charset val="136"/>
      </rPr>
      <t>港幣</t>
    </r>
    <r>
      <rPr>
        <b/>
        <sz val="12"/>
        <color theme="1"/>
        <rFont val="Calibri"/>
        <family val="2"/>
      </rPr>
      <t>(HKD)</t>
    </r>
    <phoneticPr fontId="1" type="noConversion"/>
  </si>
  <si>
    <r>
      <rPr>
        <b/>
        <sz val="12"/>
        <color theme="1"/>
        <rFont val="標楷體"/>
        <family val="4"/>
        <charset val="136"/>
      </rPr>
      <t>澳洲幣</t>
    </r>
    <r>
      <rPr>
        <b/>
        <sz val="12"/>
        <color theme="1"/>
        <rFont val="Times New Roman"/>
        <family val="1"/>
      </rPr>
      <t>(AUD)</t>
    </r>
    <phoneticPr fontId="1" type="noConversion"/>
  </si>
  <si>
    <r>
      <rPr>
        <b/>
        <sz val="12"/>
        <color theme="1"/>
        <rFont val="標楷體"/>
        <family val="4"/>
        <charset val="136"/>
      </rPr>
      <t>港幣</t>
    </r>
    <r>
      <rPr>
        <b/>
        <sz val="12"/>
        <color theme="1"/>
        <rFont val="Times New Roman"/>
        <family val="1"/>
      </rPr>
      <t>(HKD)</t>
    </r>
    <phoneticPr fontId="1" type="noConversion"/>
  </si>
  <si>
    <t>HKD</t>
    <phoneticPr fontId="1" type="noConversion"/>
  </si>
  <si>
    <t>英國</t>
    <phoneticPr fontId="1" type="noConversion"/>
  </si>
  <si>
    <t>GBP</t>
    <phoneticPr fontId="1" type="noConversion"/>
  </si>
  <si>
    <r>
      <rPr>
        <b/>
        <sz val="12"/>
        <color theme="1"/>
        <rFont val="細明體"/>
        <family val="2"/>
        <charset val="136"/>
      </rPr>
      <t>英鎊</t>
    </r>
    <r>
      <rPr>
        <b/>
        <sz val="12"/>
        <color theme="1"/>
        <rFont val="Calibri"/>
        <family val="2"/>
      </rPr>
      <t>(GBP)</t>
    </r>
    <phoneticPr fontId="1" type="noConversion"/>
  </si>
  <si>
    <r>
      <rPr>
        <b/>
        <sz val="12"/>
        <color theme="1"/>
        <rFont val="標楷體"/>
        <family val="4"/>
        <charset val="136"/>
      </rPr>
      <t>英鎊</t>
    </r>
    <r>
      <rPr>
        <b/>
        <sz val="12"/>
        <color theme="1"/>
        <rFont val="Times New Roman"/>
        <family val="1"/>
      </rPr>
      <t>(GBP)</t>
    </r>
    <phoneticPr fontId="1" type="noConversion"/>
  </si>
  <si>
    <r>
      <rPr>
        <b/>
        <sz val="12"/>
        <color theme="1"/>
        <rFont val="標楷體"/>
        <family val="4"/>
        <charset val="136"/>
      </rPr>
      <t xml:space="preserve">慧盈服務費
</t>
    </r>
    <r>
      <rPr>
        <b/>
        <sz val="12"/>
        <color theme="1"/>
        <rFont val="Times New Roman"/>
        <family val="1"/>
      </rPr>
      <t>(A3)
(NTD)</t>
    </r>
    <phoneticPr fontId="1" type="noConversion"/>
  </si>
  <si>
    <r>
      <rPr>
        <b/>
        <sz val="12"/>
        <color theme="1"/>
        <rFont val="標楷體"/>
        <family val="4"/>
        <charset val="136"/>
      </rPr>
      <t xml:space="preserve">商標申請費用
小計
</t>
    </r>
    <r>
      <rPr>
        <b/>
        <sz val="12"/>
        <color theme="1"/>
        <rFont val="Times New Roman"/>
        <family val="1"/>
      </rPr>
      <t>(A = A1+A2+A3)</t>
    </r>
    <phoneticPr fontId="1" type="noConversion"/>
  </si>
  <si>
    <r>
      <rPr>
        <b/>
        <sz val="12"/>
        <color theme="1"/>
        <rFont val="標楷體"/>
        <family val="4"/>
        <charset val="136"/>
      </rPr>
      <t xml:space="preserve">總代墊費用
</t>
    </r>
    <r>
      <rPr>
        <b/>
        <sz val="12"/>
        <color theme="1"/>
        <rFont val="Times New Roman"/>
        <family val="1"/>
      </rPr>
      <t>(A1+A2)</t>
    </r>
  </si>
  <si>
    <r>
      <rPr>
        <b/>
        <sz val="12"/>
        <color theme="1"/>
        <rFont val="標楷體"/>
        <family val="4"/>
        <charset val="136"/>
      </rPr>
      <t xml:space="preserve">官方費用
</t>
    </r>
    <r>
      <rPr>
        <b/>
        <sz val="12"/>
        <color theme="1"/>
        <rFont val="Times New Roman"/>
        <family val="1"/>
      </rPr>
      <t>(C1)</t>
    </r>
    <phoneticPr fontId="1" type="noConversion"/>
  </si>
  <si>
    <r>
      <rPr>
        <b/>
        <sz val="12"/>
        <color theme="1"/>
        <rFont val="標楷體"/>
        <family val="4"/>
        <charset val="136"/>
      </rPr>
      <t xml:space="preserve">外國代理人費用
</t>
    </r>
    <r>
      <rPr>
        <b/>
        <sz val="12"/>
        <color theme="1"/>
        <rFont val="Times New Roman"/>
        <family val="1"/>
      </rPr>
      <t>(C2)</t>
    </r>
    <phoneticPr fontId="1" type="noConversion"/>
  </si>
  <si>
    <r>
      <rPr>
        <b/>
        <sz val="12"/>
        <color theme="1"/>
        <rFont val="標楷體"/>
        <family val="4"/>
        <charset val="136"/>
      </rPr>
      <t xml:space="preserve">總代墊費用
</t>
    </r>
    <r>
      <rPr>
        <b/>
        <sz val="12"/>
        <color theme="1"/>
        <rFont val="Times New Roman"/>
        <family val="1"/>
      </rPr>
      <t>(C1+C2)</t>
    </r>
    <phoneticPr fontId="1" type="noConversion"/>
  </si>
  <si>
    <r>
      <rPr>
        <b/>
        <sz val="12"/>
        <color theme="1"/>
        <rFont val="標楷體"/>
        <family val="4"/>
        <charset val="136"/>
      </rPr>
      <t xml:space="preserve">慧盈服務費
</t>
    </r>
    <r>
      <rPr>
        <b/>
        <sz val="12"/>
        <color theme="1"/>
        <rFont val="Times New Roman"/>
        <family val="1"/>
      </rPr>
      <t>(C3)
(NTD)</t>
    </r>
    <phoneticPr fontId="1" type="noConversion"/>
  </si>
  <si>
    <r>
      <rPr>
        <b/>
        <sz val="12"/>
        <color theme="1"/>
        <rFont val="標楷體"/>
        <family val="4"/>
        <charset val="136"/>
      </rPr>
      <t xml:space="preserve">商標領證費用
小計
</t>
    </r>
    <r>
      <rPr>
        <b/>
        <sz val="12"/>
        <color theme="1"/>
        <rFont val="Times New Roman"/>
        <family val="1"/>
      </rPr>
      <t>(C = C1+C2+C3)</t>
    </r>
    <phoneticPr fontId="1" type="noConversion"/>
  </si>
  <si>
    <t>一、委託慧盈辦理各地區之商標申請服務從準備文件到提交申請階段的預估「申請費」：</t>
    <phoneticPr fontId="1" type="noConversion"/>
  </si>
  <si>
    <t>二、委託慧盈辦理各地區之「商標公告通知及領取註冊證」的「領證費」：</t>
    <phoneticPr fontId="1" type="noConversion"/>
  </si>
  <si>
    <t>三、以視覺化圖形呈現各地區商標註冊服務的費用組成結構，讓您迅速掌握商標佈局成本的真實樣貌：</t>
    <phoneticPr fontId="1" type="noConversion"/>
  </si>
  <si>
    <t>慧盈服務費(A3)</t>
    <phoneticPr fontId="1" type="noConversion"/>
  </si>
  <si>
    <t>商標申請費用(A)之組成結構(A = A1+A2+A3)</t>
    <phoneticPr fontId="1" type="noConversion"/>
  </si>
  <si>
    <t>商標領證費用(C)之組成結構(C = C1+C2+C3)</t>
    <phoneticPr fontId="1" type="noConversion"/>
  </si>
  <si>
    <t>官方費用(C1)</t>
    <phoneticPr fontId="1" type="noConversion"/>
  </si>
  <si>
    <t>外國代理人費用(C2)</t>
    <phoneticPr fontId="1" type="noConversion"/>
  </si>
  <si>
    <t>慧盈服務費(C3)</t>
    <phoneticPr fontId="1" type="noConversion"/>
  </si>
  <si>
    <r>
      <rPr>
        <b/>
        <sz val="12"/>
        <color theme="1"/>
        <rFont val="新細明體"/>
        <family val="1"/>
        <charset val="136"/>
      </rPr>
      <t xml:space="preserve">總代墊費用
</t>
    </r>
    <r>
      <rPr>
        <b/>
        <sz val="12"/>
        <color theme="1"/>
        <rFont val="Calibri"/>
        <family val="2"/>
      </rPr>
      <t>(A1+A2)</t>
    </r>
    <phoneticPr fontId="1" type="noConversion"/>
  </si>
  <si>
    <r>
      <rPr>
        <b/>
        <sz val="12"/>
        <color theme="1"/>
        <rFont val="新細明體"/>
        <family val="1"/>
        <charset val="136"/>
      </rPr>
      <t xml:space="preserve">慧盈服務費
</t>
    </r>
    <r>
      <rPr>
        <b/>
        <sz val="12"/>
        <color theme="1"/>
        <rFont val="Calibri"/>
        <family val="2"/>
      </rPr>
      <t>(A3)
(NTD)</t>
    </r>
    <phoneticPr fontId="1" type="noConversion"/>
  </si>
  <si>
    <r>
      <rPr>
        <b/>
        <sz val="12"/>
        <color theme="1"/>
        <rFont val="新細明體"/>
        <family val="1"/>
        <charset val="136"/>
      </rPr>
      <t xml:space="preserve">商標申請費用
小計
</t>
    </r>
    <r>
      <rPr>
        <b/>
        <sz val="12"/>
        <color theme="1"/>
        <rFont val="Calibri"/>
        <family val="2"/>
      </rPr>
      <t>(A = A1+A2+A3)</t>
    </r>
    <phoneticPr fontId="1" type="noConversion"/>
  </si>
  <si>
    <r>
      <rPr>
        <b/>
        <sz val="12"/>
        <color theme="1"/>
        <rFont val="新細明體"/>
        <family val="1"/>
        <charset val="136"/>
      </rPr>
      <t xml:space="preserve">官方費用
</t>
    </r>
    <r>
      <rPr>
        <b/>
        <sz val="12"/>
        <color theme="1"/>
        <rFont val="Calibri"/>
        <family val="2"/>
      </rPr>
      <t>(C1)</t>
    </r>
    <phoneticPr fontId="1" type="noConversion"/>
  </si>
  <si>
    <r>
      <rPr>
        <b/>
        <sz val="12"/>
        <color theme="1"/>
        <rFont val="新細明體"/>
        <family val="1"/>
        <charset val="136"/>
      </rPr>
      <t xml:space="preserve">外國代理人費用
</t>
    </r>
    <r>
      <rPr>
        <b/>
        <sz val="12"/>
        <color theme="1"/>
        <rFont val="Calibri"/>
        <family val="2"/>
      </rPr>
      <t>(C2)</t>
    </r>
    <phoneticPr fontId="1" type="noConversion"/>
  </si>
  <si>
    <r>
      <rPr>
        <b/>
        <sz val="12"/>
        <color theme="1"/>
        <rFont val="新細明體"/>
        <family val="1"/>
        <charset val="136"/>
      </rPr>
      <t xml:space="preserve">總代墊費用
</t>
    </r>
    <r>
      <rPr>
        <b/>
        <sz val="12"/>
        <color theme="1"/>
        <rFont val="Calibri"/>
        <family val="2"/>
      </rPr>
      <t>(C1+C2)</t>
    </r>
    <phoneticPr fontId="1" type="noConversion"/>
  </si>
  <si>
    <r>
      <rPr>
        <b/>
        <sz val="12"/>
        <color theme="1"/>
        <rFont val="新細明體"/>
        <family val="1"/>
        <charset val="136"/>
      </rPr>
      <t xml:space="preserve">慧盈服務費
</t>
    </r>
    <r>
      <rPr>
        <b/>
        <sz val="12"/>
        <color theme="1"/>
        <rFont val="Calibri"/>
        <family val="2"/>
      </rPr>
      <t>(C3)
(NTD)</t>
    </r>
    <phoneticPr fontId="1" type="noConversion"/>
  </si>
  <si>
    <r>
      <rPr>
        <b/>
        <sz val="12"/>
        <color theme="1"/>
        <rFont val="細明體"/>
        <family val="3"/>
        <charset val="136"/>
      </rPr>
      <t xml:space="preserve">商標領證費用
小計
</t>
    </r>
    <r>
      <rPr>
        <b/>
        <sz val="12"/>
        <color theme="1"/>
        <rFont val="Calibri"/>
        <family val="2"/>
      </rPr>
      <t>(C = C1+C2+C3)</t>
    </r>
    <phoneticPr fontId="1" type="noConversion"/>
  </si>
  <si>
    <r>
      <rPr>
        <b/>
        <sz val="12"/>
        <color theme="1"/>
        <rFont val="新細明體"/>
        <family val="1"/>
        <charset val="136"/>
      </rPr>
      <t xml:space="preserve">官方費用
</t>
    </r>
    <r>
      <rPr>
        <b/>
        <sz val="12"/>
        <color theme="1"/>
        <rFont val="Calibri"/>
        <family val="2"/>
      </rPr>
      <t>(S1)</t>
    </r>
    <phoneticPr fontId="1" type="noConversion"/>
  </si>
  <si>
    <r>
      <rPr>
        <b/>
        <sz val="12"/>
        <color theme="1"/>
        <rFont val="新細明體"/>
        <family val="1"/>
        <charset val="136"/>
      </rPr>
      <t xml:space="preserve">外國代理人費用
</t>
    </r>
    <r>
      <rPr>
        <b/>
        <sz val="12"/>
        <color theme="1"/>
        <rFont val="Calibri"/>
        <family val="2"/>
      </rPr>
      <t>(S2)</t>
    </r>
    <phoneticPr fontId="1" type="noConversion"/>
  </si>
  <si>
    <r>
      <rPr>
        <b/>
        <sz val="12"/>
        <color theme="1"/>
        <rFont val="新細明體"/>
        <family val="1"/>
        <charset val="136"/>
      </rPr>
      <t xml:space="preserve">總代墊費用
</t>
    </r>
    <r>
      <rPr>
        <b/>
        <sz val="12"/>
        <color theme="1"/>
        <rFont val="Calibri"/>
        <family val="2"/>
      </rPr>
      <t>(S1+S2)</t>
    </r>
    <phoneticPr fontId="1" type="noConversion"/>
  </si>
  <si>
    <r>
      <rPr>
        <b/>
        <sz val="12"/>
        <color theme="1"/>
        <rFont val="新細明體"/>
        <family val="1"/>
        <charset val="136"/>
      </rPr>
      <t xml:space="preserve">慧盈服務費
</t>
    </r>
    <r>
      <rPr>
        <b/>
        <sz val="12"/>
        <color theme="1"/>
        <rFont val="Calibri"/>
        <family val="2"/>
      </rPr>
      <t>(S3)
(NTD)</t>
    </r>
    <phoneticPr fontId="1" type="noConversion"/>
  </si>
  <si>
    <r>
      <rPr>
        <b/>
        <sz val="12"/>
        <color theme="1"/>
        <rFont val="新細明體"/>
        <family val="1"/>
        <charset val="136"/>
      </rPr>
      <t xml:space="preserve">商標檢索費用
小計
</t>
    </r>
    <r>
      <rPr>
        <b/>
        <sz val="12"/>
        <color theme="1"/>
        <rFont val="Calibri"/>
        <family val="2"/>
      </rPr>
      <t>(S = S1+S2+S3)</t>
    </r>
    <phoneticPr fontId="1" type="noConversion"/>
  </si>
  <si>
    <t>1.上表計算結果僅係概估費用，並不包含商品/服務名稱數量超過門檻時的額外官費、以及個別案件後續可能發生的核駁答辯費用。</t>
    <phoneticPr fontId="1" type="noConversion"/>
  </si>
  <si>
    <t>2.各地區商標註冊程序概述如下：</t>
    <phoneticPr fontId="1" type="noConversion"/>
  </si>
  <si>
    <t>　(1)台灣：商標實審核准後需先繳納註冊費以領證及公告，公告後才允許他人提起異議。</t>
    <phoneticPr fontId="1" type="noConversion"/>
  </si>
  <si>
    <t>　(3)美國：商標實審核准後會先公告，公告期間若無人異議或異議不成立便可領證(申請基礎為意圖使用者，需先提呈商標使用聲明才能領證)。</t>
    <phoneticPr fontId="1" type="noConversion"/>
  </si>
  <si>
    <t>　(6)韓國/泰國/馬來西亞：商標實審核准後會先公告，公告期間若無人異議或異議不成立，則可於繳納註冊費後領證。</t>
    <phoneticPr fontId="1" type="noConversion"/>
  </si>
  <si>
    <t>　(4)歐盟/英國：商標只審查絕對事由、不審查相對事由，通過絕對事由審查後會先公告，公告期間若無人異議或異議不成立便可領證。</t>
    <phoneticPr fontId="1" type="noConversion"/>
  </si>
  <si>
    <t>菲律賓</t>
    <phoneticPr fontId="1" type="noConversion"/>
  </si>
  <si>
    <t>印度</t>
    <phoneticPr fontId="1" type="noConversion"/>
  </si>
  <si>
    <t>　(8)印尼/澳門：商標通過形式審查後會先公告，公告期間若無人異議或異議不成立才進入實審階段，實審核准後則可領證。</t>
    <phoneticPr fontId="1" type="noConversion"/>
  </si>
  <si>
    <t>　(2)大陸/新加坡/香港/印度/加拿大/澳洲：商標實審核准後會先公告，公告期間若無人異議或異議不成立便可領證。</t>
    <phoneticPr fontId="1" type="noConversion"/>
  </si>
  <si>
    <t>　(9)菲律賓：商標實審核准後會先公告，公告期間若無人異議或異議不成立便可領證，但需於申請日3年內提呈商標使用聲明。</t>
    <phoneticPr fontId="1" type="noConversion"/>
  </si>
  <si>
    <t>　(7)越南：商標通過形式審查後會先公告並進入實審階段，公告後5個月內允許他人提起異議，實審核准後需先繳納註冊費以領證。</t>
    <phoneticPr fontId="1" type="noConversion"/>
  </si>
  <si>
    <t>　(5)日本：商標實審核准後需先繳納註冊費以領證，領證後才公告，公告後才允許他人提起異議。</t>
    <phoneticPr fontId="1" type="noConversion"/>
  </si>
  <si>
    <t>澳門只允許一案一類</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</si>
</sst>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3">
    <font>
      <sz val="12"/>
      <color theme="1"/>
      <name val="新細明體"/>
      <family val="2"/>
      <scheme val="minor"/>
    </font>
    <font>
      <sz val="9"/>
      <name val="新細明體"/>
      <family val="3"/>
      <charset val="136"/>
      <scheme val="minor"/>
    </font>
    <font>
      <b/>
      <sz val="12"/>
      <color rgb="FF0000FF"/>
      <name val="新細明體"/>
      <family val="1"/>
      <charset val="136"/>
      <scheme val="minor"/>
    </font>
    <font>
      <sz val="12"/>
      <color rgb="FFFF0000"/>
      <name val="新細明體"/>
      <family val="2"/>
      <scheme val="minor"/>
    </font>
    <font>
      <sz val="9"/>
      <name val="新細明體"/>
      <family val="1"/>
      <charset val="136"/>
    </font>
    <font>
      <sz val="12"/>
      <name val="新細明體"/>
      <family val="1"/>
      <charset val="136"/>
    </font>
    <font>
      <b/>
      <sz val="12"/>
      <color theme="1"/>
      <name val="Calibri"/>
      <family val="2"/>
    </font>
    <font>
      <b/>
      <sz val="12"/>
      <color theme="1"/>
      <name val="新細明體"/>
      <family val="1"/>
      <charset val="136"/>
    </font>
    <font>
      <b/>
      <sz val="12"/>
      <color rgb="FFFF0000"/>
      <name val="新細明體"/>
      <family val="1"/>
      <charset val="136"/>
    </font>
    <font>
      <b/>
      <sz val="12"/>
      <color rgb="FF0000FF"/>
      <name val="新細明體"/>
      <family val="1"/>
      <charset val="136"/>
    </font>
    <font>
      <b/>
      <sz val="12"/>
      <color rgb="FFFF0000"/>
      <name val="Calibri"/>
      <family val="2"/>
    </font>
    <font>
      <sz val="11"/>
      <color rgb="FF222222"/>
      <name val="細明體"/>
      <family val="3"/>
      <charset val="136"/>
    </font>
    <font>
      <sz val="11"/>
      <color rgb="FFFF0000"/>
      <name val="細明體"/>
      <family val="3"/>
      <charset val="136"/>
    </font>
    <font>
      <sz val="12"/>
      <color rgb="FF0000FF"/>
      <name val="新細明體"/>
      <family val="2"/>
      <scheme val="minor"/>
    </font>
    <font>
      <b/>
      <sz val="12"/>
      <name val="新細明體"/>
      <family val="1"/>
      <charset val="136"/>
      <scheme val="minor"/>
    </font>
    <font>
      <b/>
      <sz val="12"/>
      <color rgb="FF0000FF"/>
      <name val="Calibri"/>
      <family val="2"/>
    </font>
    <font>
      <b/>
      <sz val="14"/>
      <color rgb="FF0000FF"/>
      <name val="Calibri"/>
      <family val="2"/>
    </font>
    <font>
      <b/>
      <sz val="12"/>
      <name val="Calibri"/>
      <family val="2"/>
    </font>
    <font>
      <b/>
      <sz val="12"/>
      <color theme="1"/>
      <name val="細明體"/>
      <family val="3"/>
      <charset val="136"/>
    </font>
    <font>
      <sz val="9"/>
      <color rgb="FF000000"/>
      <name val="新細明體"/>
      <family val="1"/>
      <charset val="136"/>
    </font>
    <font>
      <b/>
      <sz val="12"/>
      <name val="新細明體"/>
      <family val="1"/>
      <charset val="136"/>
    </font>
    <font>
      <b/>
      <sz val="12"/>
      <color theme="1"/>
      <name val="Times New Roman"/>
      <family val="1"/>
    </font>
    <font>
      <b/>
      <sz val="12"/>
      <color rgb="FF0000FF"/>
      <name val="Times New Roman"/>
      <family val="1"/>
    </font>
    <font>
      <b/>
      <sz val="14"/>
      <color rgb="FF0000FF"/>
      <name val="Times New Roman"/>
      <family val="1"/>
    </font>
    <font>
      <b/>
      <sz val="12"/>
      <color rgb="FFFF0000"/>
      <name val="Times New Roman"/>
      <family val="1"/>
    </font>
    <font>
      <b/>
      <sz val="12"/>
      <name val="Times New Roman"/>
      <family val="1"/>
    </font>
    <font>
      <sz val="12"/>
      <color theme="1"/>
      <name val="Times New Roman"/>
      <family val="1"/>
    </font>
    <font>
      <b/>
      <sz val="12"/>
      <color theme="1"/>
      <name val="細明體"/>
      <family val="1"/>
      <charset val="136"/>
    </font>
    <font>
      <sz val="12"/>
      <color theme="1"/>
      <name val="新細明體"/>
      <family val="2"/>
      <charset val="136"/>
    </font>
    <font>
      <b/>
      <sz val="10"/>
      <color rgb="FFFF0000"/>
      <name val="Times New Roman"/>
      <family val="1"/>
    </font>
    <font>
      <b/>
      <strike/>
      <sz val="12"/>
      <color rgb="FFFF0000"/>
      <name val="新細明體"/>
      <family val="1"/>
      <charset val="136"/>
    </font>
    <font>
      <b/>
      <sz val="12"/>
      <color theme="1"/>
      <name val="標楷體"/>
      <family val="4"/>
      <charset val="136"/>
    </font>
    <font>
      <b/>
      <sz val="12"/>
      <color rgb="FFFF0000"/>
      <name val="標楷體"/>
      <family val="4"/>
      <charset val="136"/>
    </font>
    <font>
      <b/>
      <sz val="12"/>
      <color rgb="FF0000FF"/>
      <name val="標楷體"/>
      <family val="4"/>
      <charset val="136"/>
    </font>
    <font>
      <b/>
      <sz val="10"/>
      <color rgb="FFFF0000"/>
      <name val="標楷體"/>
      <family val="4"/>
      <charset val="136"/>
    </font>
    <font>
      <b/>
      <sz val="12"/>
      <name val="標楷體"/>
      <family val="4"/>
      <charset val="136"/>
    </font>
    <font>
      <sz val="12"/>
      <color theme="1"/>
      <name val="標楷體"/>
      <family val="4"/>
      <charset val="136"/>
    </font>
    <font>
      <b/>
      <sz val="12"/>
      <color theme="1"/>
      <name val="Calibri"/>
      <family val="1"/>
      <charset val="136"/>
    </font>
    <font>
      <b/>
      <sz val="12"/>
      <color theme="1"/>
      <name val="Times New Roman"/>
      <family val="4"/>
      <charset val="136"/>
    </font>
    <font>
      <b/>
      <sz val="12"/>
      <color theme="1"/>
      <name val="細明體"/>
      <family val="2"/>
      <charset val="136"/>
    </font>
    <font>
      <b/>
      <sz val="12"/>
      <color theme="1"/>
      <name val="Calibri"/>
      <family val="2"/>
      <charset val="136"/>
    </font>
    <font>
      <b/>
      <sz val="12"/>
      <color theme="1"/>
      <name val="Calibri"/>
      <family val="3"/>
      <charset val="136"/>
    </font>
    <font>
      <b/>
      <sz val="12"/>
      <color rgb="FFFFFF00"/>
      <name val="Microsoft JhengHei"/>
      <family val="2"/>
      <charset val="136"/>
    </font>
  </fonts>
  <fills count="12">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rgb="FFFFCCFF"/>
        <bgColor indexed="64"/>
      </patternFill>
    </fill>
    <fill>
      <patternFill patternType="solid">
        <fgColor rgb="FFCCFFFF"/>
        <bgColor indexed="64"/>
      </patternFill>
    </fill>
    <fill>
      <patternFill patternType="solid">
        <fgColor rgb="FFFFFFCC"/>
        <bgColor indexed="64"/>
      </patternFill>
    </fill>
    <fill>
      <patternFill patternType="solid">
        <fgColor rgb="FFFFFF00"/>
        <bgColor indexed="64"/>
      </patternFill>
    </fill>
    <fill>
      <gradientFill degree="270">
        <stop position="0">
          <color theme="0"/>
        </stop>
        <stop position="1">
          <color rgb="FFCCFFCC"/>
        </stop>
      </gradientFill>
    </fill>
    <fill>
      <gradientFill degree="270">
        <stop position="0">
          <color theme="0"/>
        </stop>
        <stop position="1">
          <color rgb="FFCCFFFF"/>
        </stop>
      </gradientFill>
    </fill>
    <fill>
      <gradientFill degree="270">
        <stop position="0">
          <color theme="0"/>
        </stop>
        <stop position="1">
          <color rgb="FFFFFFCC"/>
        </stop>
      </gradientFill>
    </fill>
    <fill>
      <gradientFill degree="270">
        <stop position="0">
          <color theme="0"/>
        </stop>
        <stop position="1">
          <color rgb="FFFFCCFF"/>
        </stop>
      </gradient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5" fillId="0" borderId="0"/>
  </cellStyleXfs>
  <cellXfs count="162">
    <xf numFmtId="0" fontId="0" fillId="0" borderId="0" xfId="0"/>
    <xf numFmtId="0" fontId="6" fillId="2" borderId="0" xfId="0" applyFont="1" applyFill="1"/>
    <xf numFmtId="0" fontId="6" fillId="2" borderId="0" xfId="0" applyFont="1" applyFill="1" applyProtection="1">
      <protection locked="0"/>
    </xf>
    <xf numFmtId="0" fontId="10" fillId="2" borderId="1" xfId="0" applyFont="1" applyFill="1" applyBorder="1" applyProtection="1">
      <protection locked="0"/>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xf>
    <xf numFmtId="0" fontId="11" fillId="0" borderId="0" xfId="0" applyFont="1" applyAlignment="1">
      <alignment horizontal="center"/>
    </xf>
    <xf numFmtId="0" fontId="12" fillId="0" borderId="0" xfId="0" applyFont="1" applyAlignment="1">
      <alignment horizontal="center"/>
    </xf>
    <xf numFmtId="0" fontId="3" fillId="0" borderId="0" xfId="0" applyFont="1" applyAlignment="1">
      <alignment horizontal="center"/>
    </xf>
    <xf numFmtId="0" fontId="3" fillId="0" borderId="0" xfId="0" applyFont="1"/>
    <xf numFmtId="176" fontId="10" fillId="0" borderId="1" xfId="0" applyNumberFormat="1" applyFont="1" applyBorder="1" applyAlignment="1" applyProtection="1">
      <alignment horizontal="center"/>
      <protection locked="0"/>
    </xf>
    <xf numFmtId="0" fontId="0" fillId="2" borderId="0" xfId="0" applyFill="1"/>
    <xf numFmtId="0" fontId="6" fillId="2" borderId="0" xfId="0" applyFont="1" applyFill="1" applyAlignment="1">
      <alignment vertical="center"/>
    </xf>
    <xf numFmtId="176" fontId="15" fillId="0" borderId="1" xfId="0" applyNumberFormat="1" applyFont="1" applyBorder="1" applyAlignment="1">
      <alignment horizontal="right" vertical="center"/>
    </xf>
    <xf numFmtId="0" fontId="10" fillId="2" borderId="0" xfId="0" applyFont="1" applyFill="1"/>
    <xf numFmtId="0" fontId="6" fillId="0" borderId="1" xfId="0" applyFont="1" applyBorder="1"/>
    <xf numFmtId="0" fontId="6" fillId="0" borderId="1" xfId="0" applyFont="1" applyBorder="1" applyAlignment="1">
      <alignment horizontal="right" vertical="center"/>
    </xf>
    <xf numFmtId="176" fontId="16" fillId="6" borderId="1" xfId="0" applyNumberFormat="1" applyFont="1" applyFill="1" applyBorder="1" applyAlignment="1">
      <alignment horizontal="right" vertical="center"/>
    </xf>
    <xf numFmtId="176" fontId="16" fillId="4" borderId="1" xfId="0" applyNumberFormat="1" applyFont="1" applyFill="1" applyBorder="1" applyAlignment="1">
      <alignment horizontal="right" vertical="center"/>
    </xf>
    <xf numFmtId="176" fontId="16" fillId="0" borderId="1" xfId="0" applyNumberFormat="1" applyFont="1" applyBorder="1" applyAlignment="1">
      <alignment horizontal="right" vertical="center"/>
    </xf>
    <xf numFmtId="176" fontId="16" fillId="3" borderId="1" xfId="0" applyNumberFormat="1" applyFont="1" applyFill="1" applyBorder="1" applyAlignment="1">
      <alignment horizontal="right" vertical="center"/>
    </xf>
    <xf numFmtId="176" fontId="16" fillId="5" borderId="1" xfId="0" applyNumberFormat="1" applyFont="1" applyFill="1" applyBorder="1" applyAlignment="1">
      <alignment horizontal="right" vertical="center"/>
    </xf>
    <xf numFmtId="0" fontId="6" fillId="2" borderId="0" xfId="0" applyFont="1" applyFill="1" applyAlignment="1" applyProtection="1">
      <alignment horizontal="center"/>
      <protection locked="0"/>
    </xf>
    <xf numFmtId="0" fontId="15" fillId="2" borderId="0" xfId="0" applyFont="1" applyFill="1"/>
    <xf numFmtId="0" fontId="6" fillId="0" borderId="0" xfId="0" applyFont="1"/>
    <xf numFmtId="0" fontId="7" fillId="0" borderId="1" xfId="0"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176" fontId="15" fillId="0" borderId="1" xfId="0" applyNumberFormat="1" applyFont="1" applyBorder="1" applyAlignment="1">
      <alignment horizontal="center" vertical="center"/>
    </xf>
    <xf numFmtId="0" fontId="1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7" fillId="2" borderId="0" xfId="0" applyFont="1" applyFill="1"/>
    <xf numFmtId="0" fontId="17" fillId="2" borderId="0" xfId="0" applyFont="1" applyFill="1"/>
    <xf numFmtId="0" fontId="14" fillId="2" borderId="0" xfId="0" applyFont="1" applyFill="1"/>
    <xf numFmtId="0" fontId="14" fillId="2" borderId="0" xfId="0" applyFont="1" applyFill="1" applyAlignment="1">
      <alignment horizontal="left" vertical="center"/>
    </xf>
    <xf numFmtId="0" fontId="13" fillId="0" borderId="0" xfId="0" applyFont="1"/>
    <xf numFmtId="0" fontId="6" fillId="6" borderId="1" xfId="0" applyFont="1" applyFill="1" applyBorder="1" applyAlignment="1">
      <alignment horizontal="center" vertical="center"/>
    </xf>
    <xf numFmtId="0" fontId="6" fillId="2" borderId="1" xfId="0" applyFont="1" applyFill="1" applyBorder="1" applyAlignment="1">
      <alignment horizontal="center"/>
    </xf>
    <xf numFmtId="0" fontId="7" fillId="5" borderId="1" xfId="0" applyFont="1" applyFill="1" applyBorder="1" applyAlignment="1">
      <alignment horizontal="center" vertical="center"/>
    </xf>
    <xf numFmtId="176" fontId="22" fillId="0" borderId="1" xfId="0" applyNumberFormat="1" applyFont="1" applyBorder="1" applyAlignment="1">
      <alignment horizontal="right" vertical="center"/>
    </xf>
    <xf numFmtId="0" fontId="21" fillId="2" borderId="0" xfId="0" applyFont="1" applyFill="1"/>
    <xf numFmtId="0" fontId="26" fillId="2" borderId="0" xfId="0" applyFont="1" applyFill="1"/>
    <xf numFmtId="0" fontId="26" fillId="0" borderId="0" xfId="0" applyFont="1"/>
    <xf numFmtId="0" fontId="21" fillId="2" borderId="0" xfId="0" applyFont="1" applyFill="1" applyProtection="1">
      <protection locked="0"/>
    </xf>
    <xf numFmtId="176" fontId="24" fillId="0" borderId="1" xfId="0" applyNumberFormat="1" applyFont="1" applyBorder="1" applyAlignment="1" applyProtection="1">
      <alignment horizontal="center"/>
      <protection locked="0"/>
    </xf>
    <xf numFmtId="0" fontId="24" fillId="2" borderId="1" xfId="0" applyFont="1" applyFill="1" applyBorder="1" applyProtection="1">
      <protection locked="0"/>
    </xf>
    <xf numFmtId="0" fontId="21" fillId="0" borderId="0" xfId="0" applyFont="1"/>
    <xf numFmtId="0" fontId="21" fillId="3" borderId="0" xfId="0" applyFont="1" applyFill="1"/>
    <xf numFmtId="0" fontId="24" fillId="2" borderId="0" xfId="0" applyFont="1" applyFill="1"/>
    <xf numFmtId="0" fontId="25" fillId="2" borderId="0" xfId="0" applyFont="1" applyFill="1"/>
    <xf numFmtId="0" fontId="21" fillId="2" borderId="0" xfId="0" applyFont="1" applyFill="1" applyAlignment="1" applyProtection="1">
      <alignment horizontal="center"/>
      <protection locked="0"/>
    </xf>
    <xf numFmtId="0" fontId="27" fillId="0" borderId="1" xfId="0" applyFont="1" applyBorder="1" applyAlignment="1">
      <alignment horizontal="center" vertical="center"/>
    </xf>
    <xf numFmtId="0" fontId="21" fillId="7" borderId="0" xfId="0" applyFont="1" applyFill="1"/>
    <xf numFmtId="0" fontId="21" fillId="2" borderId="1" xfId="0" applyFont="1" applyFill="1" applyBorder="1" applyAlignment="1" applyProtection="1">
      <alignment vertical="center"/>
      <protection locked="0"/>
    </xf>
    <xf numFmtId="0" fontId="0" fillId="0" borderId="1" xfId="0" applyBorder="1"/>
    <xf numFmtId="0" fontId="21" fillId="0" borderId="1" xfId="0" applyFont="1" applyBorder="1" applyProtection="1">
      <protection locked="0"/>
    </xf>
    <xf numFmtId="0" fontId="21" fillId="0" borderId="1" xfId="0" applyFont="1" applyBorder="1" applyAlignment="1" applyProtection="1">
      <alignment horizontal="right" vertical="center"/>
      <protection locked="0"/>
    </xf>
    <xf numFmtId="176" fontId="23" fillId="10" borderId="1" xfId="0" applyNumberFormat="1" applyFont="1" applyFill="1" applyBorder="1" applyAlignment="1" applyProtection="1">
      <alignment horizontal="right" vertical="center"/>
      <protection locked="0"/>
    </xf>
    <xf numFmtId="176" fontId="23" fillId="11" borderId="1" xfId="0" applyNumberFormat="1" applyFont="1" applyFill="1" applyBorder="1" applyAlignment="1" applyProtection="1">
      <alignment horizontal="right" vertical="center"/>
      <protection locked="0"/>
    </xf>
    <xf numFmtId="176" fontId="23" fillId="0" borderId="1" xfId="0" applyNumberFormat="1" applyFont="1" applyBorder="1" applyAlignment="1" applyProtection="1">
      <alignment horizontal="right" vertical="center"/>
      <protection locked="0"/>
    </xf>
    <xf numFmtId="176" fontId="23" fillId="8" borderId="1" xfId="0" applyNumberFormat="1" applyFont="1" applyFill="1" applyBorder="1" applyAlignment="1" applyProtection="1">
      <alignment horizontal="right" vertical="center"/>
      <protection locked="0"/>
    </xf>
    <xf numFmtId="176" fontId="23" fillId="9" borderId="1" xfId="0" applyNumberFormat="1" applyFont="1" applyFill="1" applyBorder="1" applyAlignment="1" applyProtection="1">
      <alignment horizontal="right" vertical="center"/>
      <protection locked="0"/>
    </xf>
    <xf numFmtId="176" fontId="25" fillId="0" borderId="1" xfId="0" applyNumberFormat="1" applyFont="1" applyBorder="1" applyAlignment="1">
      <alignment horizontal="right" vertical="center"/>
    </xf>
    <xf numFmtId="0" fontId="24" fillId="2" borderId="1" xfId="0" applyFont="1" applyFill="1" applyBorder="1" applyAlignment="1" applyProtection="1">
      <alignment vertical="center"/>
      <protection locked="0"/>
    </xf>
    <xf numFmtId="0" fontId="21" fillId="2" borderId="0" xfId="0" applyFont="1" applyFill="1" applyAlignment="1">
      <alignment vertical="top"/>
    </xf>
    <xf numFmtId="0" fontId="26" fillId="0" borderId="0" xfId="0" applyFont="1" applyAlignment="1">
      <alignment vertical="top"/>
    </xf>
    <xf numFmtId="0" fontId="30" fillId="2" borderId="0" xfId="0" applyFont="1" applyFill="1"/>
    <xf numFmtId="0" fontId="31" fillId="2" borderId="0" xfId="0" applyFont="1" applyFill="1"/>
    <xf numFmtId="0" fontId="31" fillId="0" borderId="1" xfId="0" applyFont="1" applyBorder="1" applyAlignment="1" applyProtection="1">
      <alignment horizontal="center" vertical="center"/>
      <protection locked="0"/>
    </xf>
    <xf numFmtId="0" fontId="31" fillId="2" borderId="0" xfId="0" applyFont="1" applyFill="1" applyProtection="1">
      <protection locked="0"/>
    </xf>
    <xf numFmtId="0" fontId="36" fillId="0" borderId="0" xfId="0" applyFont="1"/>
    <xf numFmtId="0" fontId="37" fillId="2" borderId="1" xfId="0" applyFont="1" applyFill="1" applyBorder="1" applyAlignment="1">
      <alignment horizontal="center" vertical="center"/>
    </xf>
    <xf numFmtId="0" fontId="40" fillId="2" borderId="1" xfId="0" applyFont="1" applyFill="1" applyBorder="1" applyAlignment="1">
      <alignment horizontal="center" vertical="center"/>
    </xf>
    <xf numFmtId="0" fontId="6" fillId="5" borderId="1" xfId="0" applyFont="1" applyFill="1" applyBorder="1" applyAlignment="1">
      <alignment horizontal="center" vertical="center"/>
    </xf>
    <xf numFmtId="0" fontId="24" fillId="2" borderId="0" xfId="0" applyFont="1" applyFill="1" applyAlignment="1" applyProtection="1">
      <alignment vertical="center"/>
      <protection locked="0"/>
    </xf>
    <xf numFmtId="0" fontId="18" fillId="2" borderId="0" xfId="0" applyFont="1" applyFill="1" applyProtection="1">
      <protection locked="0"/>
    </xf>
    <xf numFmtId="0" fontId="21" fillId="2" borderId="5" xfId="0" applyFont="1" applyFill="1" applyBorder="1" applyAlignment="1" applyProtection="1">
      <alignment horizontal="center" vertical="center"/>
      <protection locked="0"/>
    </xf>
    <xf numFmtId="0" fontId="21" fillId="0" borderId="1" xfId="0" applyFont="1" applyBorder="1" applyAlignment="1" applyProtection="1">
      <alignment horizontal="center"/>
      <protection locked="0"/>
    </xf>
    <xf numFmtId="0" fontId="29" fillId="2" borderId="6" xfId="0" applyFont="1" applyFill="1" applyBorder="1" applyAlignment="1" applyProtection="1">
      <alignment horizontal="center" vertical="center" shrinkToFit="1"/>
      <protection locked="0"/>
    </xf>
    <xf numFmtId="0" fontId="21" fillId="2" borderId="1" xfId="0" applyFont="1" applyFill="1" applyBorder="1" applyAlignment="1" applyProtection="1">
      <alignment horizontal="center" shrinkToFit="1"/>
      <protection locked="0"/>
    </xf>
    <xf numFmtId="0" fontId="21" fillId="2" borderId="1" xfId="0" applyFont="1" applyFill="1" applyBorder="1" applyAlignment="1" applyProtection="1">
      <alignment horizontal="center" vertical="center" shrinkToFit="1"/>
      <protection locked="0"/>
    </xf>
    <xf numFmtId="0" fontId="21" fillId="0" borderId="0" xfId="0" applyFont="1" applyProtection="1">
      <protection locked="0"/>
    </xf>
    <xf numFmtId="0" fontId="38" fillId="2" borderId="1" xfId="0" applyFont="1" applyFill="1" applyBorder="1" applyAlignment="1" applyProtection="1">
      <alignment horizontal="center" vertical="center" shrinkToFit="1"/>
      <protection locked="0"/>
    </xf>
    <xf numFmtId="0" fontId="38" fillId="2" borderId="0" xfId="0" applyFont="1" applyFill="1" applyAlignment="1" applyProtection="1">
      <alignment horizontal="center" vertical="center" shrinkToFit="1"/>
      <protection locked="0"/>
    </xf>
    <xf numFmtId="0" fontId="31" fillId="8" borderId="0" xfId="0" applyFont="1" applyFill="1" applyAlignment="1" applyProtection="1">
      <alignment vertical="top"/>
      <protection locked="0"/>
    </xf>
    <xf numFmtId="0" fontId="21" fillId="8" borderId="0" xfId="0" applyFont="1" applyFill="1" applyProtection="1">
      <protection locked="0"/>
    </xf>
    <xf numFmtId="0" fontId="21" fillId="9" borderId="1" xfId="0" applyFont="1" applyFill="1" applyBorder="1" applyAlignment="1" applyProtection="1">
      <alignment horizontal="center" vertical="center" wrapText="1"/>
      <protection locked="0"/>
    </xf>
    <xf numFmtId="0" fontId="21" fillId="9" borderId="1" xfId="0" applyFont="1" applyFill="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176" fontId="22" fillId="0" borderId="1" xfId="0" applyNumberFormat="1" applyFont="1" applyBorder="1" applyAlignment="1" applyProtection="1">
      <alignment horizontal="right" vertical="center"/>
      <protection locked="0"/>
    </xf>
    <xf numFmtId="0" fontId="35" fillId="0" borderId="1" xfId="0" applyFont="1" applyBorder="1" applyAlignment="1" applyProtection="1">
      <alignment horizontal="center" vertical="center"/>
      <protection locked="0"/>
    </xf>
    <xf numFmtId="0" fontId="35" fillId="2" borderId="0" xfId="0" applyFont="1" applyFill="1" applyProtection="1">
      <protection locked="0"/>
    </xf>
    <xf numFmtId="0" fontId="35" fillId="2" borderId="0" xfId="0" applyFont="1" applyFill="1" applyAlignment="1" applyProtection="1">
      <alignment horizontal="left" vertical="center"/>
      <protection locked="0"/>
    </xf>
    <xf numFmtId="0" fontId="32" fillId="2" borderId="0" xfId="0" applyFont="1" applyFill="1" applyProtection="1">
      <protection locked="0"/>
    </xf>
    <xf numFmtId="0" fontId="21" fillId="8" borderId="0" xfId="0" applyFont="1" applyFill="1" applyAlignment="1" applyProtection="1">
      <alignment vertical="top"/>
      <protection locked="0"/>
    </xf>
    <xf numFmtId="0" fontId="38" fillId="10" borderId="1" xfId="0" applyFont="1" applyFill="1" applyBorder="1" applyAlignment="1" applyProtection="1">
      <alignment horizontal="center" vertical="center" wrapText="1"/>
      <protection locked="0"/>
    </xf>
    <xf numFmtId="0" fontId="21" fillId="10" borderId="1" xfId="0" applyFont="1" applyFill="1" applyBorder="1" applyAlignment="1" applyProtection="1">
      <alignment horizontal="center" vertical="center"/>
      <protection locked="0"/>
    </xf>
    <xf numFmtId="0" fontId="37" fillId="5" borderId="1" xfId="0" applyFont="1" applyFill="1" applyBorder="1" applyAlignment="1">
      <alignment horizontal="center" vertical="center" wrapText="1"/>
    </xf>
    <xf numFmtId="0" fontId="37" fillId="6" borderId="1" xfId="0" applyFont="1" applyFill="1" applyBorder="1" applyAlignment="1">
      <alignment horizontal="center" vertical="center" wrapText="1"/>
    </xf>
    <xf numFmtId="0" fontId="33" fillId="2" borderId="0" xfId="0" applyFont="1" applyFill="1" applyAlignment="1">
      <alignment horizontal="left" vertical="center"/>
    </xf>
    <xf numFmtId="0" fontId="31" fillId="2" borderId="0" xfId="0" applyFont="1" applyFill="1" applyAlignment="1" applyProtection="1">
      <alignment horizontal="center"/>
      <protection locked="0"/>
    </xf>
    <xf numFmtId="0" fontId="7" fillId="3" borderId="0" xfId="0" applyFont="1" applyFill="1"/>
    <xf numFmtId="0" fontId="42" fillId="2" borderId="0" xfId="0" applyFont="1" applyFill="1"/>
    <xf numFmtId="0" fontId="21" fillId="2" borderId="1" xfId="0" applyFont="1" applyFill="1" applyBorder="1" applyAlignment="1" applyProtection="1">
      <alignment horizontal="center" wrapText="1"/>
      <protection locked="0"/>
    </xf>
    <xf numFmtId="0" fontId="26" fillId="0" borderId="1" xfId="0" applyFont="1" applyBorder="1" applyAlignment="1" applyProtection="1">
      <alignment wrapText="1"/>
      <protection locked="0"/>
    </xf>
    <xf numFmtId="0" fontId="21" fillId="2" borderId="1" xfId="0" applyFont="1" applyFill="1" applyBorder="1" applyAlignment="1" applyProtection="1">
      <alignment horizontal="center"/>
      <protection locked="0"/>
    </xf>
    <xf numFmtId="0" fontId="21" fillId="2" borderId="1" xfId="0" applyFont="1" applyFill="1" applyBorder="1" applyProtection="1">
      <protection locked="0"/>
    </xf>
    <xf numFmtId="0" fontId="21" fillId="9" borderId="1" xfId="0" applyFont="1" applyFill="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6" fillId="0" borderId="1" xfId="0" applyFont="1" applyBorder="1" applyProtection="1">
      <protection locked="0"/>
    </xf>
    <xf numFmtId="0" fontId="21" fillId="2" borderId="5" xfId="0" applyFont="1" applyFill="1" applyBorder="1" applyProtection="1">
      <protection locked="0"/>
    </xf>
    <xf numFmtId="0" fontId="26" fillId="0" borderId="6" xfId="0" applyFont="1" applyBorder="1" applyProtection="1">
      <protection locked="0"/>
    </xf>
    <xf numFmtId="0" fontId="38" fillId="10" borderId="1" xfId="0" applyFont="1" applyFill="1" applyBorder="1" applyAlignment="1" applyProtection="1">
      <alignment horizontal="center" vertical="center" wrapText="1"/>
      <protection locked="0"/>
    </xf>
    <xf numFmtId="0" fontId="21" fillId="10" borderId="1" xfId="0" applyFont="1" applyFill="1" applyBorder="1" applyAlignment="1" applyProtection="1">
      <alignment horizontal="center" vertical="center"/>
      <protection locked="0"/>
    </xf>
    <xf numFmtId="0" fontId="21" fillId="10" borderId="1" xfId="0" applyFont="1" applyFill="1" applyBorder="1" applyAlignment="1" applyProtection="1">
      <alignment horizontal="center" vertical="center" wrapText="1"/>
      <protection locked="0"/>
    </xf>
    <xf numFmtId="0" fontId="21" fillId="9" borderId="1" xfId="0" applyFont="1" applyFill="1" applyBorder="1" applyAlignment="1" applyProtection="1">
      <alignment horizontal="center" vertical="center" wrapText="1"/>
      <protection locked="0"/>
    </xf>
    <xf numFmtId="0" fontId="38" fillId="10" borderId="2" xfId="0" applyFont="1" applyFill="1" applyBorder="1" applyAlignment="1" applyProtection="1">
      <alignment horizontal="center" vertical="center" wrapText="1"/>
      <protection locked="0"/>
    </xf>
    <xf numFmtId="0" fontId="21" fillId="10" borderId="3" xfId="0" applyFont="1" applyFill="1" applyBorder="1" applyAlignment="1" applyProtection="1">
      <alignment horizontal="center" vertical="center"/>
      <protection locked="0"/>
    </xf>
    <xf numFmtId="0" fontId="21" fillId="10" borderId="4" xfId="0" applyFont="1" applyFill="1" applyBorder="1" applyAlignment="1" applyProtection="1">
      <alignment horizontal="center" vertical="center"/>
      <protection locked="0"/>
    </xf>
    <xf numFmtId="0" fontId="21" fillId="9" borderId="2" xfId="0" applyFont="1" applyFill="1" applyBorder="1" applyAlignment="1" applyProtection="1">
      <alignment horizontal="center" vertical="center" wrapText="1"/>
      <protection locked="0"/>
    </xf>
    <xf numFmtId="0" fontId="21" fillId="9" borderId="3" xfId="0" applyFont="1" applyFill="1" applyBorder="1" applyAlignment="1" applyProtection="1">
      <alignment horizontal="center" vertical="center"/>
      <protection locked="0"/>
    </xf>
    <xf numFmtId="0" fontId="21" fillId="9" borderId="4" xfId="0" applyFont="1" applyFill="1" applyBorder="1" applyAlignment="1" applyProtection="1">
      <alignment horizontal="center" vertical="center"/>
      <protection locked="0"/>
    </xf>
    <xf numFmtId="0" fontId="38" fillId="9" borderId="1" xfId="0" applyFont="1" applyFill="1" applyBorder="1" applyAlignment="1" applyProtection="1">
      <alignment horizontal="center" vertical="center" wrapText="1"/>
      <protection locked="0"/>
    </xf>
    <xf numFmtId="0" fontId="7"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7" fillId="5" borderId="2" xfId="0" applyFont="1" applyFill="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7" fillId="6" borderId="1" xfId="0" applyFont="1" applyFill="1" applyBorder="1" applyAlignment="1">
      <alignment horizontal="center" vertical="center"/>
    </xf>
    <xf numFmtId="0" fontId="7"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37" fillId="6" borderId="2" xfId="0" applyFont="1" applyFill="1" applyBorder="1" applyAlignment="1">
      <alignment horizontal="center" vertical="center" wrapText="1"/>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37" fillId="6" borderId="1" xfId="0" applyFont="1" applyFill="1" applyBorder="1" applyAlignment="1">
      <alignment horizontal="center" vertical="center" wrapText="1"/>
    </xf>
    <xf numFmtId="0" fontId="41" fillId="6" borderId="1" xfId="0" applyFont="1" applyFill="1" applyBorder="1" applyAlignment="1">
      <alignment horizontal="center" vertical="center" wrapText="1"/>
    </xf>
    <xf numFmtId="0" fontId="37"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2" borderId="7" xfId="0" applyFont="1" applyFill="1" applyBorder="1" applyAlignment="1">
      <alignment horizontal="center" wrapText="1"/>
    </xf>
    <xf numFmtId="0" fontId="0" fillId="0" borderId="8" xfId="0" applyBorder="1" applyAlignment="1">
      <alignment wrapText="1"/>
    </xf>
    <xf numFmtId="0" fontId="7" fillId="2" borderId="1" xfId="0" applyFont="1" applyFill="1" applyBorder="1" applyAlignment="1">
      <alignment horizontal="center"/>
    </xf>
    <xf numFmtId="0" fontId="6" fillId="2" borderId="1" xfId="0" applyFont="1" applyFill="1" applyBorder="1" applyAlignment="1">
      <alignment horizontal="center"/>
    </xf>
    <xf numFmtId="0" fontId="6" fillId="2" borderId="1" xfId="0" applyFont="1" applyFill="1" applyBorder="1"/>
    <xf numFmtId="0" fontId="7" fillId="0" borderId="1" xfId="0" applyFont="1" applyBorder="1" applyAlignment="1">
      <alignment horizontal="center" vertical="center"/>
    </xf>
    <xf numFmtId="0" fontId="0" fillId="0" borderId="1" xfId="0" applyBorder="1"/>
    <xf numFmtId="0" fontId="6" fillId="2" borderId="5" xfId="0" applyFont="1" applyFill="1" applyBorder="1" applyProtection="1">
      <protection locked="0"/>
    </xf>
    <xf numFmtId="0" fontId="0" fillId="0" borderId="6" xfId="0" applyBorder="1"/>
    <xf numFmtId="0" fontId="7" fillId="5" borderId="1" xfId="0" applyFont="1" applyFill="1" applyBorder="1" applyAlignment="1">
      <alignment horizontal="center" vertical="center"/>
    </xf>
    <xf numFmtId="0" fontId="37" fillId="5" borderId="2" xfId="0" applyFont="1" applyFill="1" applyBorder="1" applyAlignment="1">
      <alignment horizontal="center" vertical="center" wrapText="1"/>
    </xf>
    <xf numFmtId="0" fontId="28" fillId="0" borderId="2" xfId="0" applyFont="1" applyBorder="1" applyAlignment="1">
      <alignment horizontal="center"/>
    </xf>
    <xf numFmtId="0" fontId="0" fillId="0" borderId="4" xfId="0" applyBorder="1"/>
  </cellXfs>
  <cellStyles count="2">
    <cellStyle name="一般" xfId="0" builtinId="0"/>
    <cellStyle name="一般 2" xfId="1" xr:uid="{00000000-0005-0000-0000-000001000000}"/>
  </cellStyles>
  <dxfs count="0"/>
  <tableStyles count="0" defaultTableStyle="TableStyleMedium2" defaultPivotStyle="PivotStyleMedium9"/>
  <colors>
    <mruColors>
      <color rgb="FFCCECFF"/>
      <color rgb="FFCCFFFF"/>
      <color rgb="FF0000FF"/>
      <color rgb="FFFFCC00"/>
      <color rgb="FFCCFFCC"/>
      <color rgb="FFFFCCFF"/>
      <color rgb="FFFFFF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latin typeface="Times New Roman" panose="02020603050405020304" pitchFamily="18" charset="0"/>
                <a:ea typeface="標楷體" panose="03000509000000000000" pitchFamily="65" charset="-120"/>
                <a:cs typeface="Times New Roman" panose="02020603050405020304" pitchFamily="18" charset="0"/>
              </a:defRPr>
            </a:pPr>
            <a:r>
              <a:rPr lang="zh-TW" altLang="zh-TW" sz="1500" b="1" i="0" baseline="0">
                <a:effectLst/>
                <a:latin typeface="標楷體" panose="03000509000000000000" pitchFamily="65" charset="-120"/>
                <a:ea typeface="標楷體" panose="03000509000000000000" pitchFamily="65" charset="-120"/>
                <a:cs typeface="Times New Roman" panose="02020603050405020304" pitchFamily="18" charset="0"/>
              </a:rPr>
              <a:t>各地區</a:t>
            </a:r>
            <a:r>
              <a:rPr lang="zh-TW" altLang="en-US" sz="1500" b="1" i="0" baseline="0">
                <a:effectLst/>
                <a:latin typeface="標楷體" panose="03000509000000000000" pitchFamily="65" charset="-120"/>
                <a:ea typeface="標楷體" panose="03000509000000000000" pitchFamily="65" charset="-120"/>
                <a:cs typeface="Times New Roman" panose="02020603050405020304" pitchFamily="18" charset="0"/>
              </a:rPr>
              <a:t>商標註冊費用</a:t>
            </a:r>
            <a:r>
              <a:rPr lang="en-US" altLang="zh-TW" sz="1500" b="1" i="0" baseline="0">
                <a:effectLst/>
                <a:latin typeface="標楷體" panose="03000509000000000000" pitchFamily="65" charset="-120"/>
                <a:ea typeface="標楷體" panose="03000509000000000000" pitchFamily="65" charset="-120"/>
                <a:cs typeface="Times New Roman" panose="02020603050405020304" pitchFamily="18" charset="0"/>
              </a:rPr>
              <a:t>(</a:t>
            </a:r>
            <a:r>
              <a:rPr lang="zh-TW" altLang="zh-TW" sz="1500" b="1" i="0" baseline="0">
                <a:effectLst/>
                <a:latin typeface="標楷體" panose="03000509000000000000" pitchFamily="65" charset="-120"/>
                <a:ea typeface="標楷體" panose="03000509000000000000" pitchFamily="65" charset="-120"/>
                <a:cs typeface="Times New Roman" panose="02020603050405020304" pitchFamily="18" charset="0"/>
              </a:rPr>
              <a:t>申請</a:t>
            </a:r>
            <a:r>
              <a:rPr lang="en-US" altLang="zh-TW" sz="1500" b="1" i="0" baseline="0">
                <a:effectLst/>
                <a:latin typeface="標楷體" panose="03000509000000000000" pitchFamily="65" charset="-120"/>
                <a:ea typeface="標楷體" panose="03000509000000000000" pitchFamily="65" charset="-120"/>
                <a:cs typeface="Times New Roman" panose="02020603050405020304" pitchFamily="18" charset="0"/>
              </a:rPr>
              <a:t>+</a:t>
            </a:r>
            <a:r>
              <a:rPr lang="zh-TW" altLang="en-US" sz="1500" b="1" i="0" baseline="0">
                <a:effectLst/>
                <a:latin typeface="標楷體" panose="03000509000000000000" pitchFamily="65" charset="-120"/>
                <a:ea typeface="標楷體" panose="03000509000000000000" pitchFamily="65" charset="-120"/>
                <a:cs typeface="Times New Roman" panose="02020603050405020304" pitchFamily="18" charset="0"/>
              </a:rPr>
              <a:t>領證</a:t>
            </a:r>
            <a:r>
              <a:rPr lang="en-US" altLang="zh-TW" sz="1500" b="1" i="0" baseline="0">
                <a:effectLst/>
                <a:latin typeface="標楷體" panose="03000509000000000000" pitchFamily="65" charset="-120"/>
                <a:ea typeface="標楷體" panose="03000509000000000000" pitchFamily="65" charset="-120"/>
                <a:cs typeface="Times New Roman" panose="02020603050405020304" pitchFamily="18" charset="0"/>
              </a:rPr>
              <a:t>)</a:t>
            </a:r>
            <a:r>
              <a:rPr lang="zh-TW" altLang="en-US" sz="1500" b="1" i="0" baseline="0">
                <a:effectLst/>
                <a:latin typeface="標楷體" panose="03000509000000000000" pitchFamily="65" charset="-120"/>
                <a:ea typeface="標楷體" panose="03000509000000000000" pitchFamily="65" charset="-120"/>
                <a:cs typeface="Times New Roman" panose="02020603050405020304" pitchFamily="18" charset="0"/>
              </a:rPr>
              <a:t>之</a:t>
            </a:r>
            <a:r>
              <a:rPr lang="zh-TW" altLang="zh-TW" sz="1500" b="1" i="0" baseline="0">
                <a:effectLst/>
                <a:latin typeface="標楷體" panose="03000509000000000000" pitchFamily="65" charset="-120"/>
                <a:ea typeface="標楷體" panose="03000509000000000000" pitchFamily="65" charset="-120"/>
                <a:cs typeface="Times New Roman" panose="02020603050405020304" pitchFamily="18" charset="0"/>
              </a:rPr>
              <a:t>比較</a:t>
            </a:r>
            <a:endParaRPr lang="zh-TW" altLang="zh-TW" sz="1500">
              <a:effectLst/>
              <a:latin typeface="標楷體" panose="03000509000000000000" pitchFamily="65" charset="-120"/>
              <a:ea typeface="標楷體" panose="03000509000000000000" pitchFamily="65" charset="-120"/>
              <a:cs typeface="Times New Roman" panose="02020603050405020304" pitchFamily="18" charset="0"/>
            </a:endParaRPr>
          </a:p>
        </c:rich>
      </c:tx>
      <c:layout>
        <c:manualLayout>
          <c:xMode val="edge"/>
          <c:yMode val="edge"/>
          <c:x val="0.31100905414085167"/>
          <c:y val="2.0550510971464726E-2"/>
        </c:manualLayout>
      </c:layout>
      <c:overlay val="0"/>
    </c:title>
    <c:autoTitleDeleted val="0"/>
    <c:plotArea>
      <c:layout>
        <c:manualLayout>
          <c:layoutTarget val="inner"/>
          <c:xMode val="edge"/>
          <c:yMode val="edge"/>
          <c:x val="7.1248503876464461E-2"/>
          <c:y val="0.1116592998012213"/>
          <c:w val="0.91256474323331915"/>
          <c:h val="0.74349515741147321"/>
        </c:manualLayout>
      </c:layout>
      <c:barChart>
        <c:barDir val="col"/>
        <c:grouping val="stacked"/>
        <c:varyColors val="0"/>
        <c:ser>
          <c:idx val="0"/>
          <c:order val="0"/>
          <c:tx>
            <c:v>商標申請費用</c:v>
          </c:tx>
          <c:spPr>
            <a:solidFill>
              <a:srgbClr val="CCECFF"/>
            </a:solidFill>
            <a:ln>
              <a:solidFill>
                <a:schemeClr val="accent1"/>
              </a:solidFill>
            </a:ln>
            <a:scene3d>
              <a:camera prst="orthographicFront"/>
              <a:lightRig rig="threePt" dir="t">
                <a:rot lat="0" lon="0" rev="1200000"/>
              </a:lightRig>
            </a:scene3d>
            <a:sp3d>
              <a:bevelT w="63500" h="25400"/>
            </a:sp3d>
          </c:spPr>
          <c:invertIfNegative val="0"/>
          <c:cat>
            <c:strRef>
              <c:f>商標成本估算!$A$16:$A$33</c:f>
              <c:strCache>
                <c:ptCount val="18"/>
                <c:pt idx="0">
                  <c:v>台灣</c:v>
                </c:pt>
                <c:pt idx="1">
                  <c:v>大陸</c:v>
                </c:pt>
                <c:pt idx="2">
                  <c:v>美國</c:v>
                </c:pt>
                <c:pt idx="3">
                  <c:v>歐盟</c:v>
                </c:pt>
                <c:pt idx="4">
                  <c:v>英國</c:v>
                </c:pt>
                <c:pt idx="5">
                  <c:v>日本</c:v>
                </c:pt>
                <c:pt idx="6">
                  <c:v>韓國</c:v>
                </c:pt>
                <c:pt idx="7">
                  <c:v>加拿大</c:v>
                </c:pt>
                <c:pt idx="8">
                  <c:v>澳洲</c:v>
                </c:pt>
                <c:pt idx="9">
                  <c:v>新加坡</c:v>
                </c:pt>
                <c:pt idx="10">
                  <c:v>馬來西亞</c:v>
                </c:pt>
                <c:pt idx="11">
                  <c:v>菲律賓</c:v>
                </c:pt>
                <c:pt idx="12">
                  <c:v>印尼</c:v>
                </c:pt>
                <c:pt idx="13">
                  <c:v>越南</c:v>
                </c:pt>
                <c:pt idx="14">
                  <c:v>泰國</c:v>
                </c:pt>
                <c:pt idx="15">
                  <c:v>香港</c:v>
                </c:pt>
                <c:pt idx="16">
                  <c:v>澳門</c:v>
                </c:pt>
                <c:pt idx="17">
                  <c:v>印度</c:v>
                </c:pt>
              </c:strCache>
            </c:strRef>
          </c:cat>
          <c:val>
            <c:numRef>
              <c:f>商標成本估算!$K$16:$K$33</c:f>
              <c:numCache>
                <c:formatCode>#,##0_ </c:formatCode>
                <c:ptCount val="18"/>
                <c:pt idx="0">
                  <c:v>17700</c:v>
                </c:pt>
                <c:pt idx="1">
                  <c:v>32684</c:v>
                </c:pt>
                <c:pt idx="2">
                  <c:v>73200</c:v>
                </c:pt>
                <c:pt idx="3">
                  <c:v>65000</c:v>
                </c:pt>
                <c:pt idx="4">
                  <c:v>40820</c:v>
                </c:pt>
                <c:pt idx="5">
                  <c:v>57796</c:v>
                </c:pt>
                <c:pt idx="6">
                  <c:v>63800</c:v>
                </c:pt>
                <c:pt idx="7">
                  <c:v>80296.845000000001</c:v>
                </c:pt>
                <c:pt idx="8">
                  <c:v>74608</c:v>
                </c:pt>
                <c:pt idx="9">
                  <c:v>72500</c:v>
                </c:pt>
                <c:pt idx="10">
                  <c:v>57959.9</c:v>
                </c:pt>
                <c:pt idx="11">
                  <c:v>40848</c:v>
                </c:pt>
                <c:pt idx="12">
                  <c:v>69720</c:v>
                </c:pt>
                <c:pt idx="13">
                  <c:v>51182</c:v>
                </c:pt>
                <c:pt idx="14">
                  <c:v>76650</c:v>
                </c:pt>
                <c:pt idx="15">
                  <c:v>55850</c:v>
                </c:pt>
                <c:pt idx="16">
                  <c:v>83520</c:v>
                </c:pt>
                <c:pt idx="17">
                  <c:v>40200</c:v>
                </c:pt>
              </c:numCache>
            </c:numRef>
          </c:val>
          <c:extLst>
            <c:ext xmlns:c16="http://schemas.microsoft.com/office/drawing/2014/chart" uri="{C3380CC4-5D6E-409C-BE32-E72D297353CC}">
              <c16:uniqueId val="{00000000-1313-45C2-B83B-ED5C04DDDAA3}"/>
            </c:ext>
          </c:extLst>
        </c:ser>
        <c:ser>
          <c:idx val="1"/>
          <c:order val="1"/>
          <c:tx>
            <c:v>商標領證費用</c:v>
          </c:tx>
          <c:spPr>
            <a:solidFill>
              <a:srgbClr val="FFC000"/>
            </a:solidFill>
            <a:ln>
              <a:solidFill>
                <a:schemeClr val="accent1"/>
              </a:solidFill>
            </a:ln>
            <a:scene3d>
              <a:camera prst="orthographicFront"/>
              <a:lightRig rig="threePt" dir="t">
                <a:rot lat="0" lon="0" rev="1200000"/>
              </a:lightRig>
            </a:scene3d>
            <a:sp3d>
              <a:bevelT w="63500" h="25400"/>
            </a:sp3d>
          </c:spPr>
          <c:invertIfNegative val="0"/>
          <c:cat>
            <c:strRef>
              <c:f>商標成本估算!$A$16:$A$33</c:f>
              <c:strCache>
                <c:ptCount val="18"/>
                <c:pt idx="0">
                  <c:v>台灣</c:v>
                </c:pt>
                <c:pt idx="1">
                  <c:v>大陸</c:v>
                </c:pt>
                <c:pt idx="2">
                  <c:v>美國</c:v>
                </c:pt>
                <c:pt idx="3">
                  <c:v>歐盟</c:v>
                </c:pt>
                <c:pt idx="4">
                  <c:v>英國</c:v>
                </c:pt>
                <c:pt idx="5">
                  <c:v>日本</c:v>
                </c:pt>
                <c:pt idx="6">
                  <c:v>韓國</c:v>
                </c:pt>
                <c:pt idx="7">
                  <c:v>加拿大</c:v>
                </c:pt>
                <c:pt idx="8">
                  <c:v>澳洲</c:v>
                </c:pt>
                <c:pt idx="9">
                  <c:v>新加坡</c:v>
                </c:pt>
                <c:pt idx="10">
                  <c:v>馬來西亞</c:v>
                </c:pt>
                <c:pt idx="11">
                  <c:v>菲律賓</c:v>
                </c:pt>
                <c:pt idx="12">
                  <c:v>印尼</c:v>
                </c:pt>
                <c:pt idx="13">
                  <c:v>越南</c:v>
                </c:pt>
                <c:pt idx="14">
                  <c:v>泰國</c:v>
                </c:pt>
                <c:pt idx="15">
                  <c:v>香港</c:v>
                </c:pt>
                <c:pt idx="16">
                  <c:v>澳門</c:v>
                </c:pt>
                <c:pt idx="17">
                  <c:v>印度</c:v>
                </c:pt>
              </c:strCache>
            </c:strRef>
          </c:cat>
          <c:val>
            <c:numRef>
              <c:f>商標成本估算!$K$51:$K$68</c:f>
              <c:numCache>
                <c:formatCode>#,##0_ </c:formatCode>
                <c:ptCount val="18"/>
                <c:pt idx="0">
                  <c:v>5000</c:v>
                </c:pt>
                <c:pt idx="1">
                  <c:v>3000</c:v>
                </c:pt>
                <c:pt idx="2">
                  <c:v>43080</c:v>
                </c:pt>
                <c:pt idx="3">
                  <c:v>7000</c:v>
                </c:pt>
                <c:pt idx="4">
                  <c:v>7000</c:v>
                </c:pt>
                <c:pt idx="5">
                  <c:v>25438</c:v>
                </c:pt>
                <c:pt idx="6">
                  <c:v>31770</c:v>
                </c:pt>
                <c:pt idx="7">
                  <c:v>19337.5</c:v>
                </c:pt>
                <c:pt idx="8">
                  <c:v>25228</c:v>
                </c:pt>
                <c:pt idx="9">
                  <c:v>24500</c:v>
                </c:pt>
                <c:pt idx="10">
                  <c:v>10934.2</c:v>
                </c:pt>
                <c:pt idx="11">
                  <c:v>11128</c:v>
                </c:pt>
                <c:pt idx="12">
                  <c:v>11800</c:v>
                </c:pt>
                <c:pt idx="13">
                  <c:v>13308</c:v>
                </c:pt>
                <c:pt idx="14">
                  <c:v>22730</c:v>
                </c:pt>
                <c:pt idx="15">
                  <c:v>15556</c:v>
                </c:pt>
                <c:pt idx="16">
                  <c:v>10000</c:v>
                </c:pt>
                <c:pt idx="17">
                  <c:v>19800</c:v>
                </c:pt>
              </c:numCache>
            </c:numRef>
          </c:val>
          <c:extLst>
            <c:ext xmlns:c16="http://schemas.microsoft.com/office/drawing/2014/chart" uri="{C3380CC4-5D6E-409C-BE32-E72D297353CC}">
              <c16:uniqueId val="{00000001-1313-45C2-B83B-ED5C04DDDAA3}"/>
            </c:ext>
          </c:extLst>
        </c:ser>
        <c:dLbls>
          <c:showLegendKey val="0"/>
          <c:showVal val="0"/>
          <c:showCatName val="0"/>
          <c:showSerName val="0"/>
          <c:showPercent val="0"/>
          <c:showBubbleSize val="0"/>
        </c:dLbls>
        <c:gapWidth val="100"/>
        <c:overlap val="100"/>
        <c:axId val="198644864"/>
        <c:axId val="198646400"/>
      </c:barChart>
      <c:catAx>
        <c:axId val="198644864"/>
        <c:scaling>
          <c:orientation val="minMax"/>
        </c:scaling>
        <c:delete val="0"/>
        <c:axPos val="b"/>
        <c:numFmt formatCode="General" sourceLinked="0"/>
        <c:majorTickMark val="none"/>
        <c:minorTickMark val="none"/>
        <c:tickLblPos val="nextTo"/>
        <c:txPr>
          <a:bodyPr/>
          <a:lstStyle/>
          <a:p>
            <a:pPr>
              <a:defRPr sz="1200" b="1">
                <a:latin typeface="標楷體" panose="03000509000000000000" pitchFamily="65" charset="-120"/>
                <a:ea typeface="標楷體" panose="03000509000000000000" pitchFamily="65" charset="-120"/>
              </a:defRPr>
            </a:pPr>
            <a:endParaRPr lang="zh-TW"/>
          </a:p>
        </c:txPr>
        <c:crossAx val="198646400"/>
        <c:crosses val="autoZero"/>
        <c:auto val="1"/>
        <c:lblAlgn val="ctr"/>
        <c:lblOffset val="100"/>
        <c:noMultiLvlLbl val="0"/>
      </c:catAx>
      <c:valAx>
        <c:axId val="198646400"/>
        <c:scaling>
          <c:orientation val="minMax"/>
        </c:scaling>
        <c:delete val="0"/>
        <c:axPos val="l"/>
        <c:majorGridlines/>
        <c:title>
          <c:tx>
            <c:rich>
              <a:bodyPr rot="0" vert="horz"/>
              <a:lstStyle/>
              <a:p>
                <a:pPr>
                  <a:defRPr sz="1200">
                    <a:latin typeface="Times New Roman" panose="02020603050405020304" pitchFamily="18" charset="0"/>
                    <a:ea typeface="+mn-ea"/>
                    <a:cs typeface="Times New Roman" panose="02020603050405020304" pitchFamily="18" charset="0"/>
                  </a:defRPr>
                </a:pPr>
                <a:r>
                  <a:rPr lang="en-US" altLang="zh-TW" sz="1200">
                    <a:latin typeface="Times New Roman" panose="02020603050405020304" pitchFamily="18" charset="0"/>
                    <a:ea typeface="+mn-ea"/>
                    <a:cs typeface="Times New Roman" panose="02020603050405020304" pitchFamily="18" charset="0"/>
                  </a:rPr>
                  <a:t>(NTD)</a:t>
                </a:r>
                <a:endParaRPr lang="zh-TW" altLang="en-US" sz="1200">
                  <a:latin typeface="Times New Roman" panose="02020603050405020304" pitchFamily="18" charset="0"/>
                  <a:ea typeface="+mn-ea"/>
                  <a:cs typeface="Times New Roman" panose="02020603050405020304" pitchFamily="18" charset="0"/>
                </a:endParaRPr>
              </a:p>
            </c:rich>
          </c:tx>
          <c:layout>
            <c:manualLayout>
              <c:xMode val="edge"/>
              <c:yMode val="edge"/>
              <c:x val="9.3017883264879305E-3"/>
              <c:y val="1.581433439194619E-2"/>
            </c:manualLayout>
          </c:layout>
          <c:overlay val="0"/>
        </c:title>
        <c:numFmt formatCode="#,##0_ " sourceLinked="1"/>
        <c:majorTickMark val="none"/>
        <c:minorTickMark val="none"/>
        <c:tickLblPos val="nextTo"/>
        <c:spPr>
          <a:ln w="9525">
            <a:noFill/>
          </a:ln>
        </c:spPr>
        <c:txPr>
          <a:bodyPr/>
          <a:lstStyle/>
          <a:p>
            <a:pPr>
              <a:defRPr sz="1200" b="1">
                <a:latin typeface="Times New Roman" panose="02020603050405020304" pitchFamily="18" charset="0"/>
                <a:cs typeface="Times New Roman" panose="02020603050405020304" pitchFamily="18" charset="0"/>
              </a:defRPr>
            </a:pPr>
            <a:endParaRPr lang="zh-TW"/>
          </a:p>
        </c:txPr>
        <c:crossAx val="198644864"/>
        <c:crosses val="autoZero"/>
        <c:crossBetween val="between"/>
      </c:valAx>
      <c:spPr>
        <a:noFill/>
      </c:spPr>
    </c:plotArea>
    <c:legend>
      <c:legendPos val="b"/>
      <c:layout>
        <c:manualLayout>
          <c:xMode val="edge"/>
          <c:yMode val="edge"/>
          <c:x val="0.72532214925873451"/>
          <c:y val="3.1141402207525606E-2"/>
          <c:w val="0.24911080068685362"/>
          <c:h val="6.7166140599177832E-2"/>
        </c:manualLayout>
      </c:layout>
      <c:overlay val="0"/>
      <c:txPr>
        <a:bodyPr/>
        <a:lstStyle/>
        <a:p>
          <a:pPr>
            <a:defRPr sz="1200" b="1">
              <a:latin typeface="Times New Roman" panose="02020603050405020304" pitchFamily="18" charset="0"/>
              <a:ea typeface="標楷體" panose="03000509000000000000" pitchFamily="65" charset="-120"/>
              <a:cs typeface="Times New Roman" panose="02020603050405020304" pitchFamily="18" charset="0"/>
            </a:defRPr>
          </a:pPr>
          <a:endParaRPr lang="zh-TW"/>
        </a:p>
      </c:txPr>
    </c:legend>
    <c:plotVisOnly val="1"/>
    <c:dispBlanksAs val="gap"/>
    <c:showDLblsOverMax val="0"/>
  </c:chart>
  <c:spPr>
    <a:noFill/>
    <a:ln>
      <a:no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500">
                <a:latin typeface="Times New Roman" panose="02020603050405020304" pitchFamily="18" charset="0"/>
                <a:ea typeface="標楷體" panose="03000509000000000000" pitchFamily="65" charset="-120"/>
                <a:cs typeface="Times New Roman" panose="02020603050405020304" pitchFamily="18" charset="0"/>
              </a:defRPr>
            </a:pPr>
            <a:r>
              <a:rPr lang="zh-TW" altLang="en-US" sz="1500">
                <a:latin typeface="Times New Roman" panose="02020603050405020304" pitchFamily="18" charset="0"/>
                <a:ea typeface="標楷體" panose="03000509000000000000" pitchFamily="65" charset="-120"/>
                <a:cs typeface="Times New Roman" panose="02020603050405020304" pitchFamily="18" charset="0"/>
              </a:rPr>
              <a:t>商標領證費用</a:t>
            </a:r>
            <a:r>
              <a:rPr lang="en-US" altLang="zh-TW" sz="1500">
                <a:latin typeface="Times New Roman" panose="02020603050405020304" pitchFamily="18" charset="0"/>
                <a:ea typeface="標楷體" panose="03000509000000000000" pitchFamily="65" charset="-120"/>
                <a:cs typeface="Times New Roman" panose="02020603050405020304" pitchFamily="18" charset="0"/>
              </a:rPr>
              <a:t>(C)</a:t>
            </a:r>
            <a:r>
              <a:rPr lang="zh-TW" altLang="en-US" sz="1500">
                <a:latin typeface="Times New Roman" panose="02020603050405020304" pitchFamily="18" charset="0"/>
                <a:ea typeface="標楷體" panose="03000509000000000000" pitchFamily="65" charset="-120"/>
                <a:cs typeface="Times New Roman" panose="02020603050405020304" pitchFamily="18" charset="0"/>
              </a:rPr>
              <a:t>之組成結構</a:t>
            </a:r>
            <a:endParaRPr lang="en-US" altLang="zh-TW" sz="1500">
              <a:latin typeface="Times New Roman" panose="02020603050405020304" pitchFamily="18" charset="0"/>
              <a:ea typeface="標楷體" panose="03000509000000000000" pitchFamily="65" charset="-120"/>
              <a:cs typeface="Times New Roman" panose="02020603050405020304" pitchFamily="18" charset="0"/>
            </a:endParaRPr>
          </a:p>
          <a:p>
            <a:pPr>
              <a:defRPr sz="1500">
                <a:latin typeface="Times New Roman" panose="02020603050405020304" pitchFamily="18" charset="0"/>
                <a:ea typeface="標楷體" panose="03000509000000000000" pitchFamily="65" charset="-120"/>
                <a:cs typeface="Times New Roman" panose="02020603050405020304" pitchFamily="18" charset="0"/>
              </a:defRPr>
            </a:pPr>
            <a:r>
              <a:rPr lang="en-US" sz="1500">
                <a:latin typeface="Times New Roman" panose="02020603050405020304" pitchFamily="18" charset="0"/>
                <a:ea typeface="標楷體" panose="03000509000000000000" pitchFamily="65" charset="-120"/>
                <a:cs typeface="Times New Roman" panose="02020603050405020304" pitchFamily="18" charset="0"/>
              </a:rPr>
              <a:t>(C = C1+C2+C3)</a:t>
            </a:r>
          </a:p>
        </c:rich>
      </c:tx>
      <c:overlay val="0"/>
    </c:title>
    <c:autoTitleDeleted val="0"/>
    <c:plotArea>
      <c:layout>
        <c:manualLayout>
          <c:layoutTarget val="inner"/>
          <c:xMode val="edge"/>
          <c:yMode val="edge"/>
          <c:x val="0.10629578159799248"/>
          <c:y val="0.1756466866580588"/>
          <c:w val="0.79290954585806139"/>
          <c:h val="0.78076739905757686"/>
        </c:manualLayout>
      </c:layout>
      <c:pieChart>
        <c:varyColors val="1"/>
        <c:ser>
          <c:idx val="0"/>
          <c:order val="0"/>
          <c:tx>
            <c:v>商標領證費之成本結構</c:v>
          </c:tx>
          <c:spPr>
            <a:ln>
              <a:solidFill>
                <a:schemeClr val="accent1"/>
              </a:solidFill>
            </a:ln>
          </c:spPr>
          <c:explosion val="10"/>
          <c:dPt>
            <c:idx val="0"/>
            <c:bubble3D val="0"/>
            <c:spPr>
              <a:gradFill>
                <a:gsLst>
                  <a:gs pos="0">
                    <a:srgbClr val="FFFF99"/>
                  </a:gs>
                  <a:gs pos="60000">
                    <a:srgbClr val="FFFFCC"/>
                  </a:gs>
                  <a:gs pos="100000">
                    <a:schemeClr val="bg1"/>
                  </a:gs>
                </a:gsLst>
                <a:lin ang="8100000" scaled="0"/>
              </a:gradFill>
              <a:ln>
                <a:solidFill>
                  <a:schemeClr val="accent1"/>
                </a:solidFill>
              </a:ln>
            </c:spPr>
            <c:extLst>
              <c:ext xmlns:c16="http://schemas.microsoft.com/office/drawing/2014/chart" uri="{C3380CC4-5D6E-409C-BE32-E72D297353CC}">
                <c16:uniqueId val="{00000001-4497-4ACE-A90B-D4557321C7C5}"/>
              </c:ext>
            </c:extLst>
          </c:dPt>
          <c:dPt>
            <c:idx val="1"/>
            <c:bubble3D val="0"/>
            <c:spPr>
              <a:gradFill>
                <a:gsLst>
                  <a:gs pos="0">
                    <a:srgbClr val="FF99FF"/>
                  </a:gs>
                  <a:gs pos="50000">
                    <a:srgbClr val="FFCCFF"/>
                  </a:gs>
                  <a:gs pos="100000">
                    <a:schemeClr val="bg1"/>
                  </a:gs>
                </a:gsLst>
                <a:lin ang="8100000" scaled="0"/>
              </a:gradFill>
              <a:ln>
                <a:solidFill>
                  <a:schemeClr val="accent1"/>
                </a:solidFill>
              </a:ln>
            </c:spPr>
            <c:extLst>
              <c:ext xmlns:c16="http://schemas.microsoft.com/office/drawing/2014/chart" uri="{C3380CC4-5D6E-409C-BE32-E72D297353CC}">
                <c16:uniqueId val="{00000003-4497-4ACE-A90B-D4557321C7C5}"/>
              </c:ext>
            </c:extLst>
          </c:dPt>
          <c:dPt>
            <c:idx val="2"/>
            <c:bubble3D val="0"/>
            <c:spPr>
              <a:gradFill>
                <a:gsLst>
                  <a:gs pos="0">
                    <a:srgbClr val="99FF99"/>
                  </a:gs>
                  <a:gs pos="50000">
                    <a:srgbClr val="CCFFCC"/>
                  </a:gs>
                  <a:gs pos="100000">
                    <a:schemeClr val="bg1"/>
                  </a:gs>
                </a:gsLst>
                <a:lin ang="8100000" scaled="0"/>
              </a:gradFill>
              <a:ln>
                <a:solidFill>
                  <a:schemeClr val="accent1"/>
                </a:solidFill>
              </a:ln>
            </c:spPr>
            <c:extLst>
              <c:ext xmlns:c16="http://schemas.microsoft.com/office/drawing/2014/chart" uri="{C3380CC4-5D6E-409C-BE32-E72D297353CC}">
                <c16:uniqueId val="{00000005-4497-4ACE-A90B-D4557321C7C5}"/>
              </c:ext>
            </c:extLst>
          </c:dPt>
          <c:dLbls>
            <c:numFmt formatCode="0.0%" sourceLinked="0"/>
            <c:spPr>
              <a:noFill/>
              <a:ln>
                <a:noFill/>
              </a:ln>
              <a:effectLst/>
            </c:spPr>
            <c:txPr>
              <a:bodyPr/>
              <a:lstStyle/>
              <a:p>
                <a:pPr>
                  <a:defRPr sz="1200" b="1">
                    <a:latin typeface="Times New Roman" panose="02020603050405020304" pitchFamily="18" charset="0"/>
                    <a:ea typeface="標楷體" panose="03000509000000000000" pitchFamily="65" charset="-120"/>
                    <a:cs typeface="Times New Roman" panose="02020603050405020304" pitchFamily="18" charset="0"/>
                  </a:defRPr>
                </a:pPr>
                <a:endParaRPr lang="zh-TW"/>
              </a:p>
            </c:txPr>
            <c:dLblPos val="bestFit"/>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TM!$S$139:$U$139</c:f>
              <c:strCache>
                <c:ptCount val="3"/>
                <c:pt idx="0">
                  <c:v>官方費用(C1)</c:v>
                </c:pt>
                <c:pt idx="1">
                  <c:v>外國代理人費用(C2)</c:v>
                </c:pt>
                <c:pt idx="2">
                  <c:v>慧盈服務費(C3)</c:v>
                </c:pt>
              </c:strCache>
            </c:strRef>
          </c:cat>
          <c:val>
            <c:numRef>
              <c:f>TM!$S$149:$U$149</c:f>
              <c:numCache>
                <c:formatCode>#,##0_ </c:formatCode>
                <c:ptCount val="3"/>
                <c:pt idx="0">
                  <c:v>52975</c:v>
                </c:pt>
                <c:pt idx="1">
                  <c:v>125634.7</c:v>
                </c:pt>
                <c:pt idx="2">
                  <c:v>128000</c:v>
                </c:pt>
              </c:numCache>
            </c:numRef>
          </c:val>
          <c:extLst>
            <c:ext xmlns:c16="http://schemas.microsoft.com/office/drawing/2014/chart" uri="{C3380CC4-5D6E-409C-BE32-E72D297353CC}">
              <c16:uniqueId val="{00000006-4497-4ACE-A90B-D4557321C7C5}"/>
            </c:ext>
          </c:extLst>
        </c:ser>
        <c:dLbls>
          <c:showLegendKey val="0"/>
          <c:showVal val="0"/>
          <c:showCatName val="1"/>
          <c:showSerName val="0"/>
          <c:showPercent val="0"/>
          <c:showBubbleSize val="0"/>
          <c:showLeaderLines val="1"/>
        </c:dLbls>
        <c:firstSliceAng val="300"/>
      </c:pieChart>
      <c:spPr>
        <a:noFill/>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500">
                <a:latin typeface="Times New Roman" panose="02020603050405020304" pitchFamily="18" charset="0"/>
                <a:ea typeface="標楷體" panose="03000509000000000000" pitchFamily="65" charset="-120"/>
                <a:cs typeface="Times New Roman" panose="02020603050405020304" pitchFamily="18" charset="0"/>
              </a:defRPr>
            </a:pPr>
            <a:r>
              <a:rPr lang="zh-TW" altLang="en-US" sz="1500">
                <a:latin typeface="Times New Roman" panose="02020603050405020304" pitchFamily="18" charset="0"/>
                <a:ea typeface="標楷體" panose="03000509000000000000" pitchFamily="65" charset="-120"/>
                <a:cs typeface="Times New Roman" panose="02020603050405020304" pitchFamily="18" charset="0"/>
              </a:rPr>
              <a:t>商標申請費用</a:t>
            </a:r>
            <a:r>
              <a:rPr lang="en-US" altLang="zh-TW" sz="1500">
                <a:latin typeface="Times New Roman" panose="02020603050405020304" pitchFamily="18" charset="0"/>
                <a:ea typeface="標楷體" panose="03000509000000000000" pitchFamily="65" charset="-120"/>
                <a:cs typeface="Times New Roman" panose="02020603050405020304" pitchFamily="18" charset="0"/>
              </a:rPr>
              <a:t>(A)</a:t>
            </a:r>
            <a:r>
              <a:rPr lang="zh-TW" altLang="en-US" sz="1500">
                <a:latin typeface="Times New Roman" panose="02020603050405020304" pitchFamily="18" charset="0"/>
                <a:ea typeface="標楷體" panose="03000509000000000000" pitchFamily="65" charset="-120"/>
                <a:cs typeface="Times New Roman" panose="02020603050405020304" pitchFamily="18" charset="0"/>
              </a:rPr>
              <a:t>之組成結構</a:t>
            </a:r>
            <a:endParaRPr lang="en-US" altLang="zh-TW" sz="1500">
              <a:latin typeface="Times New Roman" panose="02020603050405020304" pitchFamily="18" charset="0"/>
              <a:ea typeface="標楷體" panose="03000509000000000000" pitchFamily="65" charset="-120"/>
              <a:cs typeface="Times New Roman" panose="02020603050405020304" pitchFamily="18" charset="0"/>
            </a:endParaRPr>
          </a:p>
          <a:p>
            <a:pPr>
              <a:defRPr sz="1500">
                <a:latin typeface="Times New Roman" panose="02020603050405020304" pitchFamily="18" charset="0"/>
                <a:ea typeface="標楷體" panose="03000509000000000000" pitchFamily="65" charset="-120"/>
                <a:cs typeface="Times New Roman" panose="02020603050405020304" pitchFamily="18" charset="0"/>
              </a:defRPr>
            </a:pPr>
            <a:r>
              <a:rPr lang="en-US" altLang="zh-TW" sz="1500">
                <a:latin typeface="Times New Roman" panose="02020603050405020304" pitchFamily="18" charset="0"/>
                <a:ea typeface="標楷體" panose="03000509000000000000" pitchFamily="65" charset="-120"/>
                <a:cs typeface="Times New Roman" panose="02020603050405020304" pitchFamily="18" charset="0"/>
              </a:rPr>
              <a:t>(A = A1+A2+A3)</a:t>
            </a:r>
            <a:endParaRPr lang="en-US" sz="1500">
              <a:latin typeface="Times New Roman" panose="02020603050405020304" pitchFamily="18" charset="0"/>
              <a:ea typeface="標楷體" panose="03000509000000000000" pitchFamily="65" charset="-120"/>
              <a:cs typeface="Times New Roman" panose="02020603050405020304" pitchFamily="18" charset="0"/>
            </a:endParaRPr>
          </a:p>
        </c:rich>
      </c:tx>
      <c:overlay val="0"/>
    </c:title>
    <c:autoTitleDeleted val="0"/>
    <c:plotArea>
      <c:layout>
        <c:manualLayout>
          <c:layoutTarget val="inner"/>
          <c:xMode val="edge"/>
          <c:yMode val="edge"/>
          <c:x val="0.10162265274990445"/>
          <c:y val="0.17213571960897864"/>
          <c:w val="0.80370119432858556"/>
          <c:h val="0.78944503446797787"/>
        </c:manualLayout>
      </c:layout>
      <c:pieChart>
        <c:varyColors val="1"/>
        <c:ser>
          <c:idx val="0"/>
          <c:order val="0"/>
          <c:tx>
            <c:v>商標申請之成本結構</c:v>
          </c:tx>
          <c:spPr>
            <a:ln>
              <a:solidFill>
                <a:schemeClr val="accent1"/>
              </a:solidFill>
            </a:ln>
          </c:spPr>
          <c:explosion val="10"/>
          <c:dPt>
            <c:idx val="0"/>
            <c:bubble3D val="0"/>
            <c:spPr>
              <a:gradFill>
                <a:gsLst>
                  <a:gs pos="0">
                    <a:srgbClr val="FFFF99"/>
                  </a:gs>
                  <a:gs pos="60000">
                    <a:srgbClr val="FFFFCC"/>
                  </a:gs>
                  <a:gs pos="100000">
                    <a:schemeClr val="bg1"/>
                  </a:gs>
                </a:gsLst>
                <a:lin ang="8100000" scaled="0"/>
              </a:gradFill>
              <a:ln>
                <a:solidFill>
                  <a:schemeClr val="accent1"/>
                </a:solidFill>
              </a:ln>
            </c:spPr>
            <c:extLst>
              <c:ext xmlns:c16="http://schemas.microsoft.com/office/drawing/2014/chart" uri="{C3380CC4-5D6E-409C-BE32-E72D297353CC}">
                <c16:uniqueId val="{00000001-E76D-46B5-BECF-DC31CDFE798A}"/>
              </c:ext>
            </c:extLst>
          </c:dPt>
          <c:dPt>
            <c:idx val="1"/>
            <c:bubble3D val="0"/>
            <c:spPr>
              <a:gradFill>
                <a:gsLst>
                  <a:gs pos="0">
                    <a:srgbClr val="FF99FF"/>
                  </a:gs>
                  <a:gs pos="50000">
                    <a:srgbClr val="FFCCFF"/>
                  </a:gs>
                  <a:gs pos="100000">
                    <a:schemeClr val="bg1"/>
                  </a:gs>
                </a:gsLst>
                <a:lin ang="8100000" scaled="0"/>
              </a:gradFill>
              <a:ln>
                <a:solidFill>
                  <a:schemeClr val="accent1"/>
                </a:solidFill>
              </a:ln>
            </c:spPr>
            <c:extLst>
              <c:ext xmlns:c16="http://schemas.microsoft.com/office/drawing/2014/chart" uri="{C3380CC4-5D6E-409C-BE32-E72D297353CC}">
                <c16:uniqueId val="{00000003-E76D-46B5-BECF-DC31CDFE798A}"/>
              </c:ext>
            </c:extLst>
          </c:dPt>
          <c:dPt>
            <c:idx val="2"/>
            <c:bubble3D val="0"/>
            <c:spPr>
              <a:gradFill>
                <a:gsLst>
                  <a:gs pos="0">
                    <a:srgbClr val="99FF99"/>
                  </a:gs>
                  <a:gs pos="50000">
                    <a:srgbClr val="CCFFCC"/>
                  </a:gs>
                  <a:gs pos="100000">
                    <a:schemeClr val="bg1"/>
                  </a:gs>
                </a:gsLst>
                <a:lin ang="8100000" scaled="0"/>
              </a:gradFill>
              <a:ln>
                <a:solidFill>
                  <a:schemeClr val="accent1"/>
                </a:solidFill>
              </a:ln>
            </c:spPr>
            <c:extLst>
              <c:ext xmlns:c16="http://schemas.microsoft.com/office/drawing/2014/chart" uri="{C3380CC4-5D6E-409C-BE32-E72D297353CC}">
                <c16:uniqueId val="{00000005-E76D-46B5-BECF-DC31CDFE798A}"/>
              </c:ext>
            </c:extLst>
          </c:dPt>
          <c:dLbls>
            <c:numFmt formatCode="0.0%" sourceLinked="0"/>
            <c:spPr>
              <a:noFill/>
              <a:ln>
                <a:noFill/>
              </a:ln>
              <a:effectLst/>
            </c:spPr>
            <c:txPr>
              <a:bodyPr/>
              <a:lstStyle/>
              <a:p>
                <a:pPr>
                  <a:defRPr sz="1200" b="1">
                    <a:latin typeface="Times New Roman" panose="02020603050405020304" pitchFamily="18" charset="0"/>
                    <a:ea typeface="標楷體" panose="03000509000000000000" pitchFamily="65" charset="-120"/>
                    <a:cs typeface="Times New Roman" panose="02020603050405020304" pitchFamily="18" charset="0"/>
                  </a:defRPr>
                </a:pPr>
                <a:endParaRPr lang="zh-TW"/>
              </a:p>
            </c:txPr>
            <c:dLblPos val="bestFit"/>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TM!$S$23:$U$23</c:f>
              <c:strCache>
                <c:ptCount val="3"/>
                <c:pt idx="0">
                  <c:v>官方費用(A1)</c:v>
                </c:pt>
                <c:pt idx="1">
                  <c:v>外國代理人費用(A2)</c:v>
                </c:pt>
                <c:pt idx="2">
                  <c:v>慧盈服務費(A3)</c:v>
                </c:pt>
              </c:strCache>
            </c:strRef>
          </c:cat>
          <c:val>
            <c:numRef>
              <c:f>TM!$S$33:$U$33</c:f>
              <c:numCache>
                <c:formatCode>#,##0_ </c:formatCode>
                <c:ptCount val="3"/>
                <c:pt idx="0">
                  <c:v>233538.845</c:v>
                </c:pt>
                <c:pt idx="1">
                  <c:v>347795.9</c:v>
                </c:pt>
                <c:pt idx="2">
                  <c:v>473000</c:v>
                </c:pt>
              </c:numCache>
            </c:numRef>
          </c:val>
          <c:extLst>
            <c:ext xmlns:c16="http://schemas.microsoft.com/office/drawing/2014/chart" uri="{C3380CC4-5D6E-409C-BE32-E72D297353CC}">
              <c16:uniqueId val="{00000006-E76D-46B5-BECF-DC31CDFE798A}"/>
            </c:ext>
          </c:extLst>
        </c:ser>
        <c:dLbls>
          <c:showLegendKey val="0"/>
          <c:showVal val="0"/>
          <c:showCatName val="1"/>
          <c:showSerName val="0"/>
          <c:showPercent val="0"/>
          <c:showBubbleSize val="0"/>
          <c:showLeaderLines val="1"/>
        </c:dLbls>
        <c:firstSliceAng val="0"/>
      </c:pieChart>
      <c:spPr>
        <a:noFill/>
      </c:spPr>
    </c:plotArea>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Radio" checked="Checked" firstButton="1" fmlaLink="選項!$K$2" lockText="1" noThreeD="1"/>
</file>

<file path=xl/ctrlProps/ctrlProp10.xml><?xml version="1.0" encoding="utf-8"?>
<formControlPr xmlns="http://schemas.microsoft.com/office/spreadsheetml/2009/9/main" objectType="CheckBox" checked="Checked" fmlaLink="TM!$P$24" lockText="1" noThreeD="1"/>
</file>

<file path=xl/ctrlProps/ctrlProp11.xml><?xml version="1.0" encoding="utf-8"?>
<formControlPr xmlns="http://schemas.microsoft.com/office/spreadsheetml/2009/9/main" objectType="CheckBox" checked="Checked" fmlaLink="TM!$P$28" lockText="1" noThreeD="1"/>
</file>

<file path=xl/ctrlProps/ctrlProp12.xml><?xml version="1.0" encoding="utf-8"?>
<formControlPr xmlns="http://schemas.microsoft.com/office/spreadsheetml/2009/9/main" objectType="CheckBox" checked="Checked" fmlaLink="TM!$P$29" lockText="1" noThreeD="1"/>
</file>

<file path=xl/ctrlProps/ctrlProp13.xml><?xml version="1.0" encoding="utf-8"?>
<formControlPr xmlns="http://schemas.microsoft.com/office/spreadsheetml/2009/9/main" objectType="CheckBox" checked="Checked" fmlaLink="TM!$P$25" lockText="1" noThreeD="1"/>
</file>

<file path=xl/ctrlProps/ctrlProp14.xml><?xml version="1.0" encoding="utf-8"?>
<formControlPr xmlns="http://schemas.microsoft.com/office/spreadsheetml/2009/9/main" objectType="CheckBox" checked="Checked" fmlaLink="TM!$P$27" lockText="1" noThreeD="1"/>
</file>

<file path=xl/ctrlProps/ctrlProp15.xml><?xml version="1.0" encoding="utf-8"?>
<formControlPr xmlns="http://schemas.microsoft.com/office/spreadsheetml/2009/9/main" objectType="CheckBox" checked="Checked" fmlaLink="TM!$P$22" lockText="1" noThreeD="1"/>
</file>

<file path=xl/ctrlProps/ctrlProp16.xml><?xml version="1.0" encoding="utf-8"?>
<formControlPr xmlns="http://schemas.microsoft.com/office/spreadsheetml/2009/9/main" objectType="CheckBox" checked="Checked" fmlaLink="TM!$P$23" lockText="1" noThreeD="1"/>
</file>

<file path=xl/ctrlProps/ctrlProp17.xml><?xml version="1.0" encoding="utf-8"?>
<formControlPr xmlns="http://schemas.microsoft.com/office/spreadsheetml/2009/9/main" objectType="CheckBox" checked="Checked" fmlaLink="TM!$E$7" lockText="1" noThreeD="1"/>
</file>

<file path=xl/ctrlProps/ctrlProp18.xml><?xml version="1.0" encoding="utf-8"?>
<formControlPr xmlns="http://schemas.microsoft.com/office/spreadsheetml/2009/9/main" objectType="CheckBox" checked="Checked" fmlaLink="TM!$E$8" lockText="1" noThreeD="1"/>
</file>

<file path=xl/ctrlProps/ctrlProp19.xml><?xml version="1.0" encoding="utf-8"?>
<formControlPr xmlns="http://schemas.microsoft.com/office/spreadsheetml/2009/9/main" objectType="CheckBox" checked="Checked" fmlaLink="TM!$P$30"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checked="Checked" fmlaLink="TM!$P$31" lockText="1" noThreeD="1"/>
</file>

<file path=xl/ctrlProps/ctrlProp21.xml><?xml version="1.0" encoding="utf-8"?>
<formControlPr xmlns="http://schemas.microsoft.com/office/spreadsheetml/2009/9/main" objectType="CheckBox" checked="Checked" fmlaLink="TM!$P$19" lockText="1" noThreeD="1"/>
</file>

<file path=xl/ctrlProps/ctrlProp22.xml><?xml version="1.0" encoding="utf-8"?>
<formControlPr xmlns="http://schemas.microsoft.com/office/spreadsheetml/2009/9/main" objectType="CheckBox" checked="Checked" fmlaLink="TM!$P$16" lockText="1" noThreeD="1"/>
</file>

<file path=xl/ctrlProps/ctrlProp23.xml><?xml version="1.0" encoding="utf-8"?>
<formControlPr xmlns="http://schemas.microsoft.com/office/spreadsheetml/2009/9/main" objectType="CheckBox" checked="Checked" fmlaLink="TM!$P$17" lockText="1" noThreeD="1"/>
</file>

<file path=xl/ctrlProps/ctrlProp24.xml><?xml version="1.0" encoding="utf-8"?>
<formControlPr xmlns="http://schemas.microsoft.com/office/spreadsheetml/2009/9/main" objectType="CheckBox" checked="Checked" fmlaLink="TM!$P$15" lockText="1" noThreeD="1"/>
</file>

<file path=xl/ctrlProps/ctrlProp25.xml><?xml version="1.0" encoding="utf-8"?>
<formControlPr xmlns="http://schemas.microsoft.com/office/spreadsheetml/2009/9/main" objectType="CheckBox" checked="Checked" fmlaLink="TM!$P$18" lockText="1" noThreeD="1"/>
</file>

<file path=xl/ctrlProps/ctrlProp26.xml><?xml version="1.0" encoding="utf-8"?>
<formControlPr xmlns="http://schemas.microsoft.com/office/spreadsheetml/2009/9/main" objectType="CheckBox" checked="Checked" fmlaLink="TM!$P$20" lockText="1" noThreeD="1"/>
</file>

<file path=xl/ctrlProps/ctrlProp27.xml><?xml version="1.0" encoding="utf-8"?>
<formControlPr xmlns="http://schemas.microsoft.com/office/spreadsheetml/2009/9/main" objectType="CheckBox" checked="Checked" fmlaLink="TM!$P$21" lockText="1" noThreeD="1"/>
</file>

<file path=xl/ctrlProps/ctrlProp28.xml><?xml version="1.0" encoding="utf-8"?>
<formControlPr xmlns="http://schemas.microsoft.com/office/spreadsheetml/2009/9/main" objectType="CheckBox" checked="Checked" fmlaLink="TM!$P$24" lockText="1" noThreeD="1"/>
</file>

<file path=xl/ctrlProps/ctrlProp29.xml><?xml version="1.0" encoding="utf-8"?>
<formControlPr xmlns="http://schemas.microsoft.com/office/spreadsheetml/2009/9/main" objectType="CheckBox" checked="Checked" fmlaLink="TM!$P$28" lockText="1" noThreeD="1"/>
</file>

<file path=xl/ctrlProps/ctrlProp3.xml><?xml version="1.0" encoding="utf-8"?>
<formControlPr xmlns="http://schemas.microsoft.com/office/spreadsheetml/2009/9/main" objectType="CheckBox" checked="Checked" fmlaLink="TM!$E$6" lockText="1" noThreeD="1"/>
</file>

<file path=xl/ctrlProps/ctrlProp30.xml><?xml version="1.0" encoding="utf-8"?>
<formControlPr xmlns="http://schemas.microsoft.com/office/spreadsheetml/2009/9/main" objectType="CheckBox" checked="Checked" fmlaLink="TM!$P$29" lockText="1" noThreeD="1"/>
</file>

<file path=xl/ctrlProps/ctrlProp31.xml><?xml version="1.0" encoding="utf-8"?>
<formControlPr xmlns="http://schemas.microsoft.com/office/spreadsheetml/2009/9/main" objectType="CheckBox" checked="Checked" fmlaLink="TM!$P$25" lockText="1" noThreeD="1"/>
</file>

<file path=xl/ctrlProps/ctrlProp32.xml><?xml version="1.0" encoding="utf-8"?>
<formControlPr xmlns="http://schemas.microsoft.com/office/spreadsheetml/2009/9/main" objectType="CheckBox" checked="Checked" fmlaLink="TM!$P$27" lockText="1" noThreeD="1"/>
</file>

<file path=xl/ctrlProps/ctrlProp33.xml><?xml version="1.0" encoding="utf-8"?>
<formControlPr xmlns="http://schemas.microsoft.com/office/spreadsheetml/2009/9/main" objectType="CheckBox" checked="Checked" fmlaLink="TM!$P$22" lockText="1" noThreeD="1"/>
</file>

<file path=xl/ctrlProps/ctrlProp34.xml><?xml version="1.0" encoding="utf-8"?>
<formControlPr xmlns="http://schemas.microsoft.com/office/spreadsheetml/2009/9/main" objectType="CheckBox" checked="Checked" fmlaLink="TM!$P$23" lockText="1" noThreeD="1"/>
</file>

<file path=xl/ctrlProps/ctrlProp35.xml><?xml version="1.0" encoding="utf-8"?>
<formControlPr xmlns="http://schemas.microsoft.com/office/spreadsheetml/2009/9/main" objectType="CheckBox" checked="Checked" fmlaLink="TM!$P$30" lockText="1" noThreeD="1"/>
</file>

<file path=xl/ctrlProps/ctrlProp36.xml><?xml version="1.0" encoding="utf-8"?>
<formControlPr xmlns="http://schemas.microsoft.com/office/spreadsheetml/2009/9/main" objectType="CheckBox" checked="Checked" fmlaLink="TM!$P$31" lockText="1" noThreeD="1"/>
</file>

<file path=xl/ctrlProps/ctrlProp37.xml><?xml version="1.0" encoding="utf-8"?>
<formControlPr xmlns="http://schemas.microsoft.com/office/spreadsheetml/2009/9/main" objectType="CheckBox" checked="Checked" fmlaLink="TM!$P$19" lockText="1" noThreeD="1"/>
</file>

<file path=xl/ctrlProps/ctrlProp38.xml><?xml version="1.0" encoding="utf-8"?>
<formControlPr xmlns="http://schemas.microsoft.com/office/spreadsheetml/2009/9/main" objectType="CheckBox" checked="Checked" fmlaLink="TM!$P$26" lockText="1" noThreeD="1"/>
</file>

<file path=xl/ctrlProps/ctrlProp39.xml><?xml version="1.0" encoding="utf-8"?>
<formControlPr xmlns="http://schemas.microsoft.com/office/spreadsheetml/2009/9/main" objectType="CheckBox" checked="Checked" fmlaLink="TM!$P$26" lockText="1" noThreeD="1"/>
</file>

<file path=xl/ctrlProps/ctrlProp4.xml><?xml version="1.0" encoding="utf-8"?>
<formControlPr xmlns="http://schemas.microsoft.com/office/spreadsheetml/2009/9/main" objectType="CheckBox" checked="Checked" fmlaLink="TM!$P$16" lockText="1" noThreeD="1"/>
</file>

<file path=xl/ctrlProps/ctrlProp40.xml><?xml version="1.0" encoding="utf-8"?>
<formControlPr xmlns="http://schemas.microsoft.com/office/spreadsheetml/2009/9/main" objectType="CheckBox" checked="Checked" fmlaLink="TM!$P$32" lockText="1" noThreeD="1"/>
</file>

<file path=xl/ctrlProps/ctrlProp41.xml><?xml version="1.0" encoding="utf-8"?>
<formControlPr xmlns="http://schemas.microsoft.com/office/spreadsheetml/2009/9/main" objectType="CheckBox" checked="Checked" fmlaLink="TM!$P$32" lockText="1" noThreeD="1"/>
</file>

<file path=xl/ctrlProps/ctrlProp42.xml><?xml version="1.0" encoding="utf-8"?>
<formControlPr xmlns="http://schemas.microsoft.com/office/spreadsheetml/2009/9/main" objectType="Radio" checked="Checked" firstButton="1" fmlaLink="選項!$K$2"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CheckBox" checked="Checked" fmlaLink="$P$15" lockText="1" noThreeD="1"/>
</file>

<file path=xl/ctrlProps/ctrlProp45.xml><?xml version="1.0" encoding="utf-8"?>
<formControlPr xmlns="http://schemas.microsoft.com/office/spreadsheetml/2009/9/main" objectType="CheckBox" checked="Checked" fmlaLink="$P$16" lockText="1" noThreeD="1"/>
</file>

<file path=xl/ctrlProps/ctrlProp46.xml><?xml version="1.0" encoding="utf-8"?>
<formControlPr xmlns="http://schemas.microsoft.com/office/spreadsheetml/2009/9/main" objectType="CheckBox" checked="Checked" fmlaLink="$P$17" lockText="1" noThreeD="1"/>
</file>

<file path=xl/ctrlProps/ctrlProp47.xml><?xml version="1.0" encoding="utf-8"?>
<formControlPr xmlns="http://schemas.microsoft.com/office/spreadsheetml/2009/9/main" objectType="CheckBox" checked="Checked" fmlaLink="$P$18" lockText="1" noThreeD="1"/>
</file>

<file path=xl/ctrlProps/ctrlProp48.xml><?xml version="1.0" encoding="utf-8"?>
<formControlPr xmlns="http://schemas.microsoft.com/office/spreadsheetml/2009/9/main" objectType="CheckBox" checked="Checked" fmlaLink="$P$20" lockText="1" noThreeD="1"/>
</file>

<file path=xl/ctrlProps/ctrlProp49.xml><?xml version="1.0" encoding="utf-8"?>
<formControlPr xmlns="http://schemas.microsoft.com/office/spreadsheetml/2009/9/main" objectType="CheckBox" checked="Checked" fmlaLink="$P$21" lockText="1" noThreeD="1"/>
</file>

<file path=xl/ctrlProps/ctrlProp5.xml><?xml version="1.0" encoding="utf-8"?>
<formControlPr xmlns="http://schemas.microsoft.com/office/spreadsheetml/2009/9/main" objectType="CheckBox" checked="Checked" fmlaLink="TM!$P$17" lockText="1" noThreeD="1"/>
</file>

<file path=xl/ctrlProps/ctrlProp50.xml><?xml version="1.0" encoding="utf-8"?>
<formControlPr xmlns="http://schemas.microsoft.com/office/spreadsheetml/2009/9/main" objectType="CheckBox" checked="Checked" fmlaLink="$P$24" lockText="1" noThreeD="1"/>
</file>

<file path=xl/ctrlProps/ctrlProp51.xml><?xml version="1.0" encoding="utf-8"?>
<formControlPr xmlns="http://schemas.microsoft.com/office/spreadsheetml/2009/9/main" objectType="CheckBox" checked="Checked" fmlaLink="$P$28" lockText="1" noThreeD="1"/>
</file>

<file path=xl/ctrlProps/ctrlProp52.xml><?xml version="1.0" encoding="utf-8"?>
<formControlPr xmlns="http://schemas.microsoft.com/office/spreadsheetml/2009/9/main" objectType="CheckBox" checked="Checked" fmlaLink="$P$29" lockText="1" noThreeD="1"/>
</file>

<file path=xl/ctrlProps/ctrlProp53.xml><?xml version="1.0" encoding="utf-8"?>
<formControlPr xmlns="http://schemas.microsoft.com/office/spreadsheetml/2009/9/main" objectType="CheckBox" checked="Checked" fmlaLink="$P$25" lockText="1" noThreeD="1"/>
</file>

<file path=xl/ctrlProps/ctrlProp54.xml><?xml version="1.0" encoding="utf-8"?>
<formControlPr xmlns="http://schemas.microsoft.com/office/spreadsheetml/2009/9/main" objectType="CheckBox" checked="Checked" fmlaLink="$P$22" lockText="1" noThreeD="1"/>
</file>

<file path=xl/ctrlProps/ctrlProp55.xml><?xml version="1.0" encoding="utf-8"?>
<formControlPr xmlns="http://schemas.microsoft.com/office/spreadsheetml/2009/9/main" objectType="CheckBox" checked="Checked" fmlaLink="$P$23" lockText="1" noThreeD="1"/>
</file>

<file path=xl/ctrlProps/ctrlProp56.xml><?xml version="1.0" encoding="utf-8"?>
<formControlPr xmlns="http://schemas.microsoft.com/office/spreadsheetml/2009/9/main" objectType="CheckBox" checked="Checked" fmlaLink="$P$15" lockText="1" noThreeD="1"/>
</file>

<file path=xl/ctrlProps/ctrlProp57.xml><?xml version="1.0" encoding="utf-8"?>
<formControlPr xmlns="http://schemas.microsoft.com/office/spreadsheetml/2009/9/main" objectType="CheckBox" checked="Checked" fmlaLink="$P$16" lockText="1" noThreeD="1"/>
</file>

<file path=xl/ctrlProps/ctrlProp58.xml><?xml version="1.0" encoding="utf-8"?>
<formControlPr xmlns="http://schemas.microsoft.com/office/spreadsheetml/2009/9/main" objectType="CheckBox" checked="Checked" fmlaLink="$P$17" lockText="1" noThreeD="1"/>
</file>

<file path=xl/ctrlProps/ctrlProp59.xml><?xml version="1.0" encoding="utf-8"?>
<formControlPr xmlns="http://schemas.microsoft.com/office/spreadsheetml/2009/9/main" objectType="CheckBox" checked="Checked" fmlaLink="$P$18" lockText="1" noThreeD="1"/>
</file>

<file path=xl/ctrlProps/ctrlProp6.xml><?xml version="1.0" encoding="utf-8"?>
<formControlPr xmlns="http://schemas.microsoft.com/office/spreadsheetml/2009/9/main" objectType="CheckBox" checked="Checked" fmlaLink="TM!$P$15" lockText="1" noThreeD="1"/>
</file>

<file path=xl/ctrlProps/ctrlProp60.xml><?xml version="1.0" encoding="utf-8"?>
<formControlPr xmlns="http://schemas.microsoft.com/office/spreadsheetml/2009/9/main" objectType="CheckBox" checked="Checked" fmlaLink="$P$20" lockText="1" noThreeD="1"/>
</file>

<file path=xl/ctrlProps/ctrlProp61.xml><?xml version="1.0" encoding="utf-8"?>
<formControlPr xmlns="http://schemas.microsoft.com/office/spreadsheetml/2009/9/main" objectType="CheckBox" checked="Checked" fmlaLink="$P$21" lockText="1" noThreeD="1"/>
</file>

<file path=xl/ctrlProps/ctrlProp62.xml><?xml version="1.0" encoding="utf-8"?>
<formControlPr xmlns="http://schemas.microsoft.com/office/spreadsheetml/2009/9/main" objectType="CheckBox" checked="Checked" fmlaLink="$P$24" lockText="1" noThreeD="1"/>
</file>

<file path=xl/ctrlProps/ctrlProp63.xml><?xml version="1.0" encoding="utf-8"?>
<formControlPr xmlns="http://schemas.microsoft.com/office/spreadsheetml/2009/9/main" objectType="CheckBox" checked="Checked" fmlaLink="$P$28" lockText="1" noThreeD="1"/>
</file>

<file path=xl/ctrlProps/ctrlProp64.xml><?xml version="1.0" encoding="utf-8"?>
<formControlPr xmlns="http://schemas.microsoft.com/office/spreadsheetml/2009/9/main" objectType="CheckBox" checked="Checked" fmlaLink="$P$29" lockText="1" noThreeD="1"/>
</file>

<file path=xl/ctrlProps/ctrlProp65.xml><?xml version="1.0" encoding="utf-8"?>
<formControlPr xmlns="http://schemas.microsoft.com/office/spreadsheetml/2009/9/main" objectType="CheckBox" checked="Checked" fmlaLink="$P$25" lockText="1" noThreeD="1"/>
</file>

<file path=xl/ctrlProps/ctrlProp66.xml><?xml version="1.0" encoding="utf-8"?>
<formControlPr xmlns="http://schemas.microsoft.com/office/spreadsheetml/2009/9/main" objectType="CheckBox" checked="Checked" fmlaLink="$P$22" lockText="1" noThreeD="1"/>
</file>

<file path=xl/ctrlProps/ctrlProp67.xml><?xml version="1.0" encoding="utf-8"?>
<formControlPr xmlns="http://schemas.microsoft.com/office/spreadsheetml/2009/9/main" objectType="CheckBox" checked="Checked" fmlaLink="$P$23" lockText="1" noThreeD="1"/>
</file>

<file path=xl/ctrlProps/ctrlProp68.xml><?xml version="1.0" encoding="utf-8"?>
<formControlPr xmlns="http://schemas.microsoft.com/office/spreadsheetml/2009/9/main" objectType="CheckBox" checked="Checked" fmlaLink="$P$15" lockText="1" noThreeD="1"/>
</file>

<file path=xl/ctrlProps/ctrlProp69.xml><?xml version="1.0" encoding="utf-8"?>
<formControlPr xmlns="http://schemas.microsoft.com/office/spreadsheetml/2009/9/main" objectType="CheckBox" checked="Checked" fmlaLink="$P$16" lockText="1" noThreeD="1"/>
</file>

<file path=xl/ctrlProps/ctrlProp7.xml><?xml version="1.0" encoding="utf-8"?>
<formControlPr xmlns="http://schemas.microsoft.com/office/spreadsheetml/2009/9/main" objectType="CheckBox" checked="Checked" fmlaLink="TM!$P$18" lockText="1" noThreeD="1"/>
</file>

<file path=xl/ctrlProps/ctrlProp70.xml><?xml version="1.0" encoding="utf-8"?>
<formControlPr xmlns="http://schemas.microsoft.com/office/spreadsheetml/2009/9/main" objectType="CheckBox" checked="Checked" fmlaLink="$P$17" lockText="1" noThreeD="1"/>
</file>

<file path=xl/ctrlProps/ctrlProp71.xml><?xml version="1.0" encoding="utf-8"?>
<formControlPr xmlns="http://schemas.microsoft.com/office/spreadsheetml/2009/9/main" objectType="CheckBox" checked="Checked" fmlaLink="$P$18" lockText="1" noThreeD="1"/>
</file>

<file path=xl/ctrlProps/ctrlProp72.xml><?xml version="1.0" encoding="utf-8"?>
<formControlPr xmlns="http://schemas.microsoft.com/office/spreadsheetml/2009/9/main" objectType="CheckBox" checked="Checked" fmlaLink="$P$20" lockText="1" noThreeD="1"/>
</file>

<file path=xl/ctrlProps/ctrlProp73.xml><?xml version="1.0" encoding="utf-8"?>
<formControlPr xmlns="http://schemas.microsoft.com/office/spreadsheetml/2009/9/main" objectType="CheckBox" checked="Checked" fmlaLink="$P$21" lockText="1" noThreeD="1"/>
</file>

<file path=xl/ctrlProps/ctrlProp74.xml><?xml version="1.0" encoding="utf-8"?>
<formControlPr xmlns="http://schemas.microsoft.com/office/spreadsheetml/2009/9/main" objectType="CheckBox" checked="Checked" fmlaLink="$P$24" lockText="1" noThreeD="1"/>
</file>

<file path=xl/ctrlProps/ctrlProp75.xml><?xml version="1.0" encoding="utf-8"?>
<formControlPr xmlns="http://schemas.microsoft.com/office/spreadsheetml/2009/9/main" objectType="CheckBox" checked="Checked" fmlaLink="$P$28" lockText="1" noThreeD="1"/>
</file>

<file path=xl/ctrlProps/ctrlProp76.xml><?xml version="1.0" encoding="utf-8"?>
<formControlPr xmlns="http://schemas.microsoft.com/office/spreadsheetml/2009/9/main" objectType="CheckBox" checked="Checked" fmlaLink="$P$29" lockText="1" noThreeD="1"/>
</file>

<file path=xl/ctrlProps/ctrlProp77.xml><?xml version="1.0" encoding="utf-8"?>
<formControlPr xmlns="http://schemas.microsoft.com/office/spreadsheetml/2009/9/main" objectType="CheckBox" checked="Checked" fmlaLink="$P$25" lockText="1" noThreeD="1"/>
</file>

<file path=xl/ctrlProps/ctrlProp78.xml><?xml version="1.0" encoding="utf-8"?>
<formControlPr xmlns="http://schemas.microsoft.com/office/spreadsheetml/2009/9/main" objectType="CheckBox" checked="Checked" fmlaLink="$P$22" lockText="1" noThreeD="1"/>
</file>

<file path=xl/ctrlProps/ctrlProp79.xml><?xml version="1.0" encoding="utf-8"?>
<formControlPr xmlns="http://schemas.microsoft.com/office/spreadsheetml/2009/9/main" objectType="CheckBox" checked="Checked" fmlaLink="$P$23" lockText="1" noThreeD="1"/>
</file>

<file path=xl/ctrlProps/ctrlProp8.xml><?xml version="1.0" encoding="utf-8"?>
<formControlPr xmlns="http://schemas.microsoft.com/office/spreadsheetml/2009/9/main" objectType="CheckBox" checked="Checked" fmlaLink="TM!$P$20" lockText="1" noThreeD="1"/>
</file>

<file path=xl/ctrlProps/ctrlProp80.xml><?xml version="1.0" encoding="utf-8"?>
<formControlPr xmlns="http://schemas.microsoft.com/office/spreadsheetml/2009/9/main" objectType="CheckBox" checked="Checked" fmlaLink="$P$27" lockText="1" noThreeD="1"/>
</file>

<file path=xl/ctrlProps/ctrlProp81.xml><?xml version="1.0" encoding="utf-8"?>
<formControlPr xmlns="http://schemas.microsoft.com/office/spreadsheetml/2009/9/main" objectType="CheckBox" checked="Checked" fmlaLink="$P$27" lockText="1" noThreeD="1"/>
</file>

<file path=xl/ctrlProps/ctrlProp82.xml><?xml version="1.0" encoding="utf-8"?>
<formControlPr xmlns="http://schemas.microsoft.com/office/spreadsheetml/2009/9/main" objectType="CheckBox" checked="Checked" fmlaLink="$P$27" lockText="1" noThreeD="1"/>
</file>

<file path=xl/ctrlProps/ctrlProp83.xml><?xml version="1.0" encoding="utf-8"?>
<formControlPr xmlns="http://schemas.microsoft.com/office/spreadsheetml/2009/9/main" objectType="CheckBox" checked="Checked" fmlaLink="$P$30" lockText="1" noThreeD="1"/>
</file>

<file path=xl/ctrlProps/ctrlProp84.xml><?xml version="1.0" encoding="utf-8"?>
<formControlPr xmlns="http://schemas.microsoft.com/office/spreadsheetml/2009/9/main" objectType="CheckBox" checked="Checked" fmlaLink="$P$31" lockText="1" noThreeD="1"/>
</file>

<file path=xl/ctrlProps/ctrlProp85.xml><?xml version="1.0" encoding="utf-8"?>
<formControlPr xmlns="http://schemas.microsoft.com/office/spreadsheetml/2009/9/main" objectType="CheckBox" checked="Checked" fmlaLink="$P$30" lockText="1" noThreeD="1"/>
</file>

<file path=xl/ctrlProps/ctrlProp86.xml><?xml version="1.0" encoding="utf-8"?>
<formControlPr xmlns="http://schemas.microsoft.com/office/spreadsheetml/2009/9/main" objectType="CheckBox" checked="Checked" fmlaLink="$P$31" lockText="1" noThreeD="1"/>
</file>

<file path=xl/ctrlProps/ctrlProp87.xml><?xml version="1.0" encoding="utf-8"?>
<formControlPr xmlns="http://schemas.microsoft.com/office/spreadsheetml/2009/9/main" objectType="CheckBox" checked="Checked" fmlaLink="$P$19" lockText="1" noThreeD="1"/>
</file>

<file path=xl/ctrlProps/ctrlProp88.xml><?xml version="1.0" encoding="utf-8"?>
<formControlPr xmlns="http://schemas.microsoft.com/office/spreadsheetml/2009/9/main" objectType="CheckBox" checked="Checked" fmlaLink="$P$17" lockText="1" noThreeD="1"/>
</file>

<file path=xl/ctrlProps/ctrlProp89.xml><?xml version="1.0" encoding="utf-8"?>
<formControlPr xmlns="http://schemas.microsoft.com/office/spreadsheetml/2009/9/main" objectType="CheckBox" checked="Checked" fmlaLink="$P$19" lockText="1" noThreeD="1"/>
</file>

<file path=xl/ctrlProps/ctrlProp9.xml><?xml version="1.0" encoding="utf-8"?>
<formControlPr xmlns="http://schemas.microsoft.com/office/spreadsheetml/2009/9/main" objectType="CheckBox" checked="Checked" fmlaLink="TM!$P$21" lockText="1" noThreeD="1"/>
</file>

<file path=xl/ctrlProps/ctrlProp90.xml><?xml version="1.0" encoding="utf-8"?>
<formControlPr xmlns="http://schemas.microsoft.com/office/spreadsheetml/2009/9/main" objectType="CheckBox" checked="Checked" fmlaLink="$P$25" lockText="1" noThreeD="1"/>
</file>

<file path=xl/ctrlProps/ctrlProp91.xml><?xml version="1.0" encoding="utf-8"?>
<formControlPr xmlns="http://schemas.microsoft.com/office/spreadsheetml/2009/9/main" objectType="CheckBox" checked="Checked" fmlaLink="$P$25" lockText="1" noThreeD="1"/>
</file>

<file path=xl/ctrlProps/ctrlProp92.xml><?xml version="1.0" encoding="utf-8"?>
<formControlPr xmlns="http://schemas.microsoft.com/office/spreadsheetml/2009/9/main" objectType="CheckBox" checked="Checked" fmlaLink="$P$25" lockText="1" noThreeD="1"/>
</file>

<file path=xl/ctrlProps/ctrlProp93.xml><?xml version="1.0" encoding="utf-8"?>
<formControlPr xmlns="http://schemas.microsoft.com/office/spreadsheetml/2009/9/main" objectType="CheckBox" checked="Checked" fmlaLink="$P$32" lockText="1" noThreeD="1"/>
</file>

<file path=xl/ctrlProps/ctrlProp94.xml><?xml version="1.0" encoding="utf-8"?>
<formControlPr xmlns="http://schemas.microsoft.com/office/spreadsheetml/2009/9/main" objectType="CheckBox" checked="Checked" fmlaLink="$P$32"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73</xdr:row>
      <xdr:rowOff>195261</xdr:rowOff>
    </xdr:from>
    <xdr:to>
      <xdr:col>11</xdr:col>
      <xdr:colOff>819150</xdr:colOff>
      <xdr:row>100</xdr:row>
      <xdr:rowOff>33339</xdr:rowOff>
    </xdr:to>
    <xdr:graphicFrame macro="">
      <xdr:nvGraphicFramePr>
        <xdr:cNvPr id="4" name="圖表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36243</xdr:colOff>
          <xdr:row>5</xdr:row>
          <xdr:rowOff>66442</xdr:rowOff>
        </xdr:from>
        <xdr:to>
          <xdr:col>1</xdr:col>
          <xdr:colOff>779193</xdr:colOff>
          <xdr:row>6</xdr:row>
          <xdr:rowOff>180975</xdr:rowOff>
        </xdr:to>
        <xdr:grpSp>
          <xdr:nvGrpSpPr>
            <xdr:cNvPr id="2" name="群組 1">
              <a:extLst>
                <a:ext uri="{FF2B5EF4-FFF2-40B4-BE49-F238E27FC236}">
                  <a16:creationId xmlns:a16="http://schemas.microsoft.com/office/drawing/2014/main" id="{00000000-0008-0000-0000-000002000000}"/>
                </a:ext>
              </a:extLst>
            </xdr:cNvPr>
            <xdr:cNvGrpSpPr/>
          </xdr:nvGrpSpPr>
          <xdr:grpSpPr>
            <a:xfrm>
              <a:off x="932714" y="1131001"/>
              <a:ext cx="742950" cy="338650"/>
              <a:chOff x="874908" y="1116501"/>
              <a:chExt cx="742950" cy="342217"/>
            </a:xfrm>
          </xdr:grpSpPr>
          <xdr:sp macro="" textlink="">
            <xdr:nvSpPr>
              <xdr:cNvPr id="1085" name="Option Button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874908" y="1116501"/>
                <a:ext cx="742950" cy="13335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一案多類</a:t>
                </a:r>
              </a:p>
            </xdr:txBody>
          </xdr:sp>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874908" y="1315847"/>
                <a:ext cx="742950" cy="1428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一案一類</a:t>
                </a:r>
              </a:p>
            </xdr:txBody>
          </xdr:sp>
        </xdr:grpSp>
        <xdr:clientData/>
      </xdr:twoCellAnchor>
    </mc:Choice>
    <mc:Fallback/>
  </mc:AlternateContent>
  <xdr:twoCellAnchor>
    <xdr:from>
      <xdr:col>6</xdr:col>
      <xdr:colOff>677048</xdr:colOff>
      <xdr:row>102</xdr:row>
      <xdr:rowOff>117601</xdr:rowOff>
    </xdr:from>
    <xdr:to>
      <xdr:col>12</xdr:col>
      <xdr:colOff>0</xdr:colOff>
      <xdr:row>123</xdr:row>
      <xdr:rowOff>67436</xdr:rowOff>
    </xdr:to>
    <xdr:graphicFrame macro="">
      <xdr:nvGraphicFramePr>
        <xdr:cNvPr id="83" name="圖表 82">
          <a:extLst>
            <a:ext uri="{FF2B5EF4-FFF2-40B4-BE49-F238E27FC236}">
              <a16:creationId xmlns:a16="http://schemas.microsoft.com/office/drawing/2014/main" id="{00000000-0008-0000-00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119064</xdr:colOff>
      <xdr:row>102</xdr:row>
      <xdr:rowOff>102968</xdr:rowOff>
    </xdr:from>
    <xdr:to>
      <xdr:col>6</xdr:col>
      <xdr:colOff>692644</xdr:colOff>
      <xdr:row>123</xdr:row>
      <xdr:rowOff>61926</xdr:rowOff>
    </xdr:to>
    <xdr:graphicFrame macro="">
      <xdr:nvGraphicFramePr>
        <xdr:cNvPr id="84" name="圖表 83">
          <a:extLst>
            <a:ext uri="{FF2B5EF4-FFF2-40B4-BE49-F238E27FC236}">
              <a16:creationId xmlns:a16="http://schemas.microsoft.com/office/drawing/2014/main" id="{00000000-0008-0000-00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4</xdr:col>
          <xdr:colOff>47159</xdr:colOff>
          <xdr:row>5</xdr:row>
          <xdr:rowOff>45069</xdr:rowOff>
        </xdr:from>
        <xdr:to>
          <xdr:col>4</xdr:col>
          <xdr:colOff>932984</xdr:colOff>
          <xdr:row>7</xdr:row>
          <xdr:rowOff>195146</xdr:rowOff>
        </xdr:to>
        <xdr:grpSp>
          <xdr:nvGrpSpPr>
            <xdr:cNvPr id="3" name="群組 2">
              <a:extLst>
                <a:ext uri="{FF2B5EF4-FFF2-40B4-BE49-F238E27FC236}">
                  <a16:creationId xmlns:a16="http://schemas.microsoft.com/office/drawing/2014/main" id="{00000000-0008-0000-0000-000003000000}"/>
                </a:ext>
              </a:extLst>
            </xdr:cNvPr>
            <xdr:cNvGrpSpPr/>
          </xdr:nvGrpSpPr>
          <xdr:grpSpPr>
            <a:xfrm>
              <a:off x="3375306" y="1109628"/>
              <a:ext cx="885825" cy="598312"/>
              <a:chOff x="3143947" y="1095144"/>
              <a:chExt cx="885825" cy="605418"/>
            </a:xfrm>
          </xdr:grpSpPr>
          <xdr:sp macro="" textlink="">
            <xdr:nvSpPr>
              <xdr:cNvPr id="1243" name="Check Box 219" descr="官方費用"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3143947" y="1095144"/>
                <a:ext cx="88582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官方費用</a:t>
                </a:r>
              </a:p>
            </xdr:txBody>
          </xdr:sp>
          <xdr:sp macro="" textlink="">
            <xdr:nvSpPr>
              <xdr:cNvPr id="1285" name="Check Box 261" descr="官方費用"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3143947" y="1325369"/>
                <a:ext cx="88582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外國代理費</a:t>
                </a:r>
              </a:p>
            </xdr:txBody>
          </xdr:sp>
          <xdr:sp macro="" textlink="">
            <xdr:nvSpPr>
              <xdr:cNvPr id="1286" name="Check Box 262" descr="官方費用"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3143947" y="1557689"/>
                <a:ext cx="885825" cy="1428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慧盈服務費</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15</xdr:row>
          <xdr:rowOff>47625</xdr:rowOff>
        </xdr:from>
        <xdr:to>
          <xdr:col>1</xdr:col>
          <xdr:colOff>723900</xdr:colOff>
          <xdr:row>32</xdr:row>
          <xdr:rowOff>190500</xdr:rowOff>
        </xdr:to>
        <xdr:grpSp>
          <xdr:nvGrpSpPr>
            <xdr:cNvPr id="7" name="群組 6">
              <a:extLst>
                <a:ext uri="{FF2B5EF4-FFF2-40B4-BE49-F238E27FC236}">
                  <a16:creationId xmlns:a16="http://schemas.microsoft.com/office/drawing/2014/main" id="{00000000-0008-0000-0000-000007000000}"/>
                </a:ext>
              </a:extLst>
            </xdr:cNvPr>
            <xdr:cNvGrpSpPr/>
          </xdr:nvGrpSpPr>
          <xdr:grpSpPr>
            <a:xfrm>
              <a:off x="1058396" y="3543860"/>
              <a:ext cx="561975" cy="3952875"/>
              <a:chOff x="1057275" y="3581403"/>
              <a:chExt cx="561975" cy="4029072"/>
            </a:xfrm>
          </xdr:grpSpPr>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1057275" y="3809845"/>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1057275" y="4038286"/>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1057275" y="3581403"/>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1057275" y="4266728"/>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1057275" y="4723610"/>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1057275" y="4952052"/>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1057275" y="5637377"/>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1057275" y="6551142"/>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1057275" y="6779584"/>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1057275" y="5865817"/>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1057275" y="6322699"/>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1057275" y="5180493"/>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1057275" y="5408935"/>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1057275" y="7008024"/>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1057275" y="7236466"/>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1057275" y="4495170"/>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1057275" y="6094259"/>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1057275" y="7465066"/>
                <a:ext cx="561975" cy="1454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50</xdr:row>
          <xdr:rowOff>47625</xdr:rowOff>
        </xdr:from>
        <xdr:to>
          <xdr:col>1</xdr:col>
          <xdr:colOff>723900</xdr:colOff>
          <xdr:row>67</xdr:row>
          <xdr:rowOff>190500</xdr:rowOff>
        </xdr:to>
        <xdr:grpSp>
          <xdr:nvGrpSpPr>
            <xdr:cNvPr id="8" name="群組 7">
              <a:extLst>
                <a:ext uri="{FF2B5EF4-FFF2-40B4-BE49-F238E27FC236}">
                  <a16:creationId xmlns:a16="http://schemas.microsoft.com/office/drawing/2014/main" id="{00000000-0008-0000-0000-000008000000}"/>
                </a:ext>
              </a:extLst>
            </xdr:cNvPr>
            <xdr:cNvGrpSpPr/>
          </xdr:nvGrpSpPr>
          <xdr:grpSpPr>
            <a:xfrm>
              <a:off x="1058396" y="11600890"/>
              <a:ext cx="561975" cy="3952875"/>
              <a:chOff x="1057275" y="11782427"/>
              <a:chExt cx="561975" cy="4029075"/>
            </a:xfrm>
          </xdr:grpSpPr>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1057275" y="12010742"/>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1057275" y="12239070"/>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1057275" y="11782427"/>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1057275" y="12467391"/>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1057275" y="12924038"/>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1057275" y="13152362"/>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1057275" y="13837332"/>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1057275" y="14750629"/>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1057275" y="14978953"/>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1057275" y="14065657"/>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1057275" y="14522303"/>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1057275" y="13380686"/>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1057275" y="13609010"/>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1057275" y="15207276"/>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1057275" y="15435609"/>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1057275" y="12695714"/>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1057275" y="14293981"/>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1057275" y="15664211"/>
                <a:ext cx="561975" cy="1472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  申請</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53398</xdr:colOff>
          <xdr:row>5</xdr:row>
          <xdr:rowOff>9523</xdr:rowOff>
        </xdr:from>
        <xdr:to>
          <xdr:col>1</xdr:col>
          <xdr:colOff>804860</xdr:colOff>
          <xdr:row>6</xdr:row>
          <xdr:rowOff>205625</xdr:rowOff>
        </xdr:to>
        <xdr:grpSp>
          <xdr:nvGrpSpPr>
            <xdr:cNvPr id="7" name="群組 6">
              <a:extLst>
                <a:ext uri="{FF2B5EF4-FFF2-40B4-BE49-F238E27FC236}">
                  <a16:creationId xmlns:a16="http://schemas.microsoft.com/office/drawing/2014/main" id="{00000000-0008-0000-0100-000007000000}"/>
                </a:ext>
              </a:extLst>
            </xdr:cNvPr>
            <xdr:cNvGrpSpPr/>
          </xdr:nvGrpSpPr>
          <xdr:grpSpPr>
            <a:xfrm>
              <a:off x="863023" y="1057273"/>
              <a:ext cx="751462" cy="405652"/>
              <a:chOff x="885825" y="1058940"/>
              <a:chExt cx="752475" cy="406292"/>
            </a:xfrm>
          </xdr:grpSpPr>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885825" y="1058940"/>
                <a:ext cx="752475" cy="2000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一案多類</a:t>
                </a:r>
              </a:p>
            </xdr:txBody>
          </xdr:sp>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885825" y="1264645"/>
                <a:ext cx="752475" cy="2005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一案一類</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0</xdr:rowOff>
        </xdr:from>
        <xdr:to>
          <xdr:col>1</xdr:col>
          <xdr:colOff>733425</xdr:colOff>
          <xdr:row>15</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0</xdr:rowOff>
        </xdr:from>
        <xdr:to>
          <xdr:col>1</xdr:col>
          <xdr:colOff>733425</xdr:colOff>
          <xdr:row>16</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0</xdr:rowOff>
        </xdr:from>
        <xdr:to>
          <xdr:col>1</xdr:col>
          <xdr:colOff>733425</xdr:colOff>
          <xdr:row>17</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0</xdr:rowOff>
        </xdr:from>
        <xdr:to>
          <xdr:col>1</xdr:col>
          <xdr:colOff>733425</xdr:colOff>
          <xdr:row>18</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0</xdr:rowOff>
        </xdr:from>
        <xdr:to>
          <xdr:col>1</xdr:col>
          <xdr:colOff>733425</xdr:colOff>
          <xdr:row>20</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0</xdr:rowOff>
        </xdr:from>
        <xdr:to>
          <xdr:col>1</xdr:col>
          <xdr:colOff>723900</xdr:colOff>
          <xdr:row>21</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723900</xdr:colOff>
          <xdr:row>24</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27</xdr:row>
          <xdr:rowOff>0</xdr:rowOff>
        </xdr:from>
        <xdr:to>
          <xdr:col>1</xdr:col>
          <xdr:colOff>723900</xdr:colOff>
          <xdr:row>28</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28</xdr:row>
          <xdr:rowOff>0</xdr:rowOff>
        </xdr:from>
        <xdr:to>
          <xdr:col>1</xdr:col>
          <xdr:colOff>723900</xdr:colOff>
          <xdr:row>29</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1</xdr:col>
          <xdr:colOff>723900</xdr:colOff>
          <xdr:row>25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0</xdr:rowOff>
        </xdr:from>
        <xdr:to>
          <xdr:col>1</xdr:col>
          <xdr:colOff>723900</xdr:colOff>
          <xdr:row>22</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0</xdr:rowOff>
        </xdr:from>
        <xdr:to>
          <xdr:col>1</xdr:col>
          <xdr:colOff>723900</xdr:colOff>
          <xdr:row>23</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130</xdr:row>
          <xdr:rowOff>0</xdr:rowOff>
        </xdr:from>
        <xdr:to>
          <xdr:col>1</xdr:col>
          <xdr:colOff>733425</xdr:colOff>
          <xdr:row>131</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131</xdr:row>
          <xdr:rowOff>0</xdr:rowOff>
        </xdr:from>
        <xdr:to>
          <xdr:col>1</xdr:col>
          <xdr:colOff>733425</xdr:colOff>
          <xdr:row>132</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132</xdr:row>
          <xdr:rowOff>0</xdr:rowOff>
        </xdr:from>
        <xdr:to>
          <xdr:col>1</xdr:col>
          <xdr:colOff>733425</xdr:colOff>
          <xdr:row>133</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133</xdr:row>
          <xdr:rowOff>0</xdr:rowOff>
        </xdr:from>
        <xdr:to>
          <xdr:col>1</xdr:col>
          <xdr:colOff>733425</xdr:colOff>
          <xdr:row>134</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135</xdr:row>
          <xdr:rowOff>0</xdr:rowOff>
        </xdr:from>
        <xdr:to>
          <xdr:col>1</xdr:col>
          <xdr:colOff>733425</xdr:colOff>
          <xdr:row>136</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136</xdr:row>
          <xdr:rowOff>0</xdr:rowOff>
        </xdr:from>
        <xdr:to>
          <xdr:col>1</xdr:col>
          <xdr:colOff>723900</xdr:colOff>
          <xdr:row>137</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139</xdr:row>
          <xdr:rowOff>0</xdr:rowOff>
        </xdr:from>
        <xdr:to>
          <xdr:col>1</xdr:col>
          <xdr:colOff>723900</xdr:colOff>
          <xdr:row>140</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143</xdr:row>
          <xdr:rowOff>0</xdr:rowOff>
        </xdr:from>
        <xdr:to>
          <xdr:col>1</xdr:col>
          <xdr:colOff>723900</xdr:colOff>
          <xdr:row>144</xdr:row>
          <xdr:rowOff>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144</xdr:row>
          <xdr:rowOff>0</xdr:rowOff>
        </xdr:from>
        <xdr:to>
          <xdr:col>1</xdr:col>
          <xdr:colOff>723900</xdr:colOff>
          <xdr:row>145</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140</xdr:row>
          <xdr:rowOff>0</xdr:rowOff>
        </xdr:from>
        <xdr:to>
          <xdr:col>1</xdr:col>
          <xdr:colOff>723900</xdr:colOff>
          <xdr:row>141</xdr:row>
          <xdr:rowOff>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137</xdr:row>
          <xdr:rowOff>0</xdr:rowOff>
        </xdr:from>
        <xdr:to>
          <xdr:col>1</xdr:col>
          <xdr:colOff>723900</xdr:colOff>
          <xdr:row>138</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138</xdr:row>
          <xdr:rowOff>0</xdr:rowOff>
        </xdr:from>
        <xdr:to>
          <xdr:col>1</xdr:col>
          <xdr:colOff>723900</xdr:colOff>
          <xdr:row>139</xdr:row>
          <xdr:rowOff>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233</xdr:row>
          <xdr:rowOff>0</xdr:rowOff>
        </xdr:from>
        <xdr:to>
          <xdr:col>1</xdr:col>
          <xdr:colOff>704850</xdr:colOff>
          <xdr:row>234</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233</xdr:row>
          <xdr:rowOff>209550</xdr:rowOff>
        </xdr:from>
        <xdr:to>
          <xdr:col>1</xdr:col>
          <xdr:colOff>704850</xdr:colOff>
          <xdr:row>235</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235</xdr:row>
          <xdr:rowOff>0</xdr:rowOff>
        </xdr:from>
        <xdr:to>
          <xdr:col>1</xdr:col>
          <xdr:colOff>704850</xdr:colOff>
          <xdr:row>236</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236</xdr:row>
          <xdr:rowOff>0</xdr:rowOff>
        </xdr:from>
        <xdr:to>
          <xdr:col>1</xdr:col>
          <xdr:colOff>704850</xdr:colOff>
          <xdr:row>237</xdr:row>
          <xdr:rowOff>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238</xdr:row>
          <xdr:rowOff>0</xdr:rowOff>
        </xdr:from>
        <xdr:to>
          <xdr:col>1</xdr:col>
          <xdr:colOff>704850</xdr:colOff>
          <xdr:row>239</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239</xdr:row>
          <xdr:rowOff>0</xdr:rowOff>
        </xdr:from>
        <xdr:to>
          <xdr:col>1</xdr:col>
          <xdr:colOff>704850</xdr:colOff>
          <xdr:row>240</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242</xdr:row>
          <xdr:rowOff>0</xdr:rowOff>
        </xdr:from>
        <xdr:to>
          <xdr:col>1</xdr:col>
          <xdr:colOff>704850</xdr:colOff>
          <xdr:row>243</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246</xdr:row>
          <xdr:rowOff>0</xdr:rowOff>
        </xdr:from>
        <xdr:to>
          <xdr:col>1</xdr:col>
          <xdr:colOff>704850</xdr:colOff>
          <xdr:row>247</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247</xdr:row>
          <xdr:rowOff>0</xdr:rowOff>
        </xdr:from>
        <xdr:to>
          <xdr:col>1</xdr:col>
          <xdr:colOff>704850</xdr:colOff>
          <xdr:row>248</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243</xdr:row>
          <xdr:rowOff>0</xdr:rowOff>
        </xdr:from>
        <xdr:to>
          <xdr:col>1</xdr:col>
          <xdr:colOff>704850</xdr:colOff>
          <xdr:row>244</xdr:row>
          <xdr:rowOff>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240</xdr:row>
          <xdr:rowOff>0</xdr:rowOff>
        </xdr:from>
        <xdr:to>
          <xdr:col>1</xdr:col>
          <xdr:colOff>704850</xdr:colOff>
          <xdr:row>241</xdr:row>
          <xdr:rowOff>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241</xdr:row>
          <xdr:rowOff>0</xdr:rowOff>
        </xdr:from>
        <xdr:to>
          <xdr:col>1</xdr:col>
          <xdr:colOff>704850</xdr:colOff>
          <xdr:row>242</xdr:row>
          <xdr:rowOff>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245</xdr:row>
          <xdr:rowOff>0</xdr:rowOff>
        </xdr:from>
        <xdr:to>
          <xdr:col>1</xdr:col>
          <xdr:colOff>704850</xdr:colOff>
          <xdr:row>246</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26</xdr:row>
          <xdr:rowOff>0</xdr:rowOff>
        </xdr:from>
        <xdr:to>
          <xdr:col>1</xdr:col>
          <xdr:colOff>723900</xdr:colOff>
          <xdr:row>27</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142</xdr:row>
          <xdr:rowOff>0</xdr:rowOff>
        </xdr:from>
        <xdr:to>
          <xdr:col>1</xdr:col>
          <xdr:colOff>723900</xdr:colOff>
          <xdr:row>143</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29</xdr:row>
          <xdr:rowOff>0</xdr:rowOff>
        </xdr:from>
        <xdr:to>
          <xdr:col>1</xdr:col>
          <xdr:colOff>723900</xdr:colOff>
          <xdr:row>30</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30</xdr:row>
          <xdr:rowOff>0</xdr:rowOff>
        </xdr:from>
        <xdr:to>
          <xdr:col>1</xdr:col>
          <xdr:colOff>723900</xdr:colOff>
          <xdr:row>30</xdr:row>
          <xdr:rowOff>209550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145</xdr:row>
          <xdr:rowOff>0</xdr:rowOff>
        </xdr:from>
        <xdr:to>
          <xdr:col>1</xdr:col>
          <xdr:colOff>723900</xdr:colOff>
          <xdr:row>146</xdr:row>
          <xdr:rowOff>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146</xdr:row>
          <xdr:rowOff>0</xdr:rowOff>
        </xdr:from>
        <xdr:to>
          <xdr:col>1</xdr:col>
          <xdr:colOff>723900</xdr:colOff>
          <xdr:row>146</xdr:row>
          <xdr:rowOff>209550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0</xdr:rowOff>
        </xdr:from>
        <xdr:to>
          <xdr:col>1</xdr:col>
          <xdr:colOff>733425</xdr:colOff>
          <xdr:row>19</xdr:row>
          <xdr:rowOff>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133</xdr:row>
          <xdr:rowOff>0</xdr:rowOff>
        </xdr:from>
        <xdr:to>
          <xdr:col>1</xdr:col>
          <xdr:colOff>733425</xdr:colOff>
          <xdr:row>134</xdr:row>
          <xdr:rowOff>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1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134</xdr:row>
          <xdr:rowOff>0</xdr:rowOff>
        </xdr:from>
        <xdr:to>
          <xdr:col>1</xdr:col>
          <xdr:colOff>733425</xdr:colOff>
          <xdr:row>135</xdr:row>
          <xdr:rowOff>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0</xdr:rowOff>
        </xdr:from>
        <xdr:to>
          <xdr:col>1</xdr:col>
          <xdr:colOff>723900</xdr:colOff>
          <xdr:row>26</xdr:row>
          <xdr:rowOff>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1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141</xdr:row>
          <xdr:rowOff>0</xdr:rowOff>
        </xdr:from>
        <xdr:to>
          <xdr:col>1</xdr:col>
          <xdr:colOff>723900</xdr:colOff>
          <xdr:row>142</xdr:row>
          <xdr:rowOff>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1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244</xdr:row>
          <xdr:rowOff>0</xdr:rowOff>
        </xdr:from>
        <xdr:to>
          <xdr:col>1</xdr:col>
          <xdr:colOff>704850</xdr:colOff>
          <xdr:row>245</xdr:row>
          <xdr:rowOff>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1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要檢索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31</xdr:row>
          <xdr:rowOff>0</xdr:rowOff>
        </xdr:from>
        <xdr:to>
          <xdr:col>1</xdr:col>
          <xdr:colOff>723900</xdr:colOff>
          <xdr:row>32</xdr:row>
          <xdr:rowOff>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1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147</xdr:row>
          <xdr:rowOff>0</xdr:rowOff>
        </xdr:from>
        <xdr:to>
          <xdr:col>1</xdr:col>
          <xdr:colOff>723900</xdr:colOff>
          <xdr:row>148</xdr:row>
          <xdr:rowOff>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1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zh-TW" altLang="en-US" sz="900" b="0" i="0" u="none" strike="noStrike" baseline="0">
                  <a:solidFill>
                    <a:srgbClr val="000000"/>
                  </a:solidFill>
                  <a:latin typeface="新細明體"/>
                  <a:ea typeface="新細明體"/>
                </a:rPr>
                <a:t>申請</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560;&#21033;&#30003;&#35531;&#25152;&#38656;&#25991;&#20214;&#21450;&#36027;&#29992;/&#9679;20180920-IP-&#30332;&#26126;(&#26032;&#22411;)&#65295;&#35373;&#35336;&#23560;&#21033;&#20296;&#23616;&#25104;&#26412;&#20272;&#31639;&#34920;(&#28961;&#24040;&#38598;)-&#25152;&#20839;&#30041;&#23384;&#29256;&#9679;%20-%20&#20462;&#25913;MY&#30332;&#26126;&#12289;&#26032;&#22411;online%20filing&#36027;&#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發明(新型)案成本估算"/>
      <sheetName val="P(M)"/>
      <sheetName val="設計案成本估算"/>
      <sheetName val="D"/>
      <sheetName val="選項"/>
    </sheetNames>
    <sheetDataSet>
      <sheetData sheetId="0"/>
      <sheetData sheetId="1"/>
      <sheetData sheetId="2">
        <row r="15">
          <cell r="B15" t="str">
            <v>設計</v>
          </cell>
        </row>
      </sheetData>
      <sheetData sheetId="3">
        <row r="11">
          <cell r="AB11" t="str">
            <v>官方費用(A1)</v>
          </cell>
        </row>
      </sheetData>
      <sheetData sheetId="4">
        <row r="2">
          <cell r="F2" t="str">
            <v>不申請</v>
          </cell>
        </row>
        <row r="3">
          <cell r="F3" t="str">
            <v>申請</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2" Type="http://schemas.openxmlformats.org/officeDocument/2006/relationships/drawing" Target="../drawings/drawing1.xml"/><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1.xml"/><Relationship Id="rId18" Type="http://schemas.openxmlformats.org/officeDocument/2006/relationships/ctrlProp" Target="../ctrlProps/ctrlProp56.xml"/><Relationship Id="rId26" Type="http://schemas.openxmlformats.org/officeDocument/2006/relationships/ctrlProp" Target="../ctrlProps/ctrlProp64.xml"/><Relationship Id="rId39" Type="http://schemas.openxmlformats.org/officeDocument/2006/relationships/ctrlProp" Target="../ctrlProps/ctrlProp77.xml"/><Relationship Id="rId21" Type="http://schemas.openxmlformats.org/officeDocument/2006/relationships/ctrlProp" Target="../ctrlProps/ctrlProp59.xml"/><Relationship Id="rId34" Type="http://schemas.openxmlformats.org/officeDocument/2006/relationships/ctrlProp" Target="../ctrlProps/ctrlProp72.xml"/><Relationship Id="rId42" Type="http://schemas.openxmlformats.org/officeDocument/2006/relationships/ctrlProp" Target="../ctrlProps/ctrlProp80.xml"/><Relationship Id="rId47" Type="http://schemas.openxmlformats.org/officeDocument/2006/relationships/ctrlProp" Target="../ctrlProps/ctrlProp85.xml"/><Relationship Id="rId50" Type="http://schemas.openxmlformats.org/officeDocument/2006/relationships/ctrlProp" Target="../ctrlProps/ctrlProp88.xml"/><Relationship Id="rId55" Type="http://schemas.openxmlformats.org/officeDocument/2006/relationships/ctrlProp" Target="../ctrlProps/ctrlProp93.xml"/><Relationship Id="rId7" Type="http://schemas.openxmlformats.org/officeDocument/2006/relationships/ctrlProp" Target="../ctrlProps/ctrlProp45.xml"/><Relationship Id="rId2" Type="http://schemas.openxmlformats.org/officeDocument/2006/relationships/drawing" Target="../drawings/drawing2.xml"/><Relationship Id="rId16" Type="http://schemas.openxmlformats.org/officeDocument/2006/relationships/ctrlProp" Target="../ctrlProps/ctrlProp54.xml"/><Relationship Id="rId29" Type="http://schemas.openxmlformats.org/officeDocument/2006/relationships/ctrlProp" Target="../ctrlProps/ctrlProp67.xml"/><Relationship Id="rId11" Type="http://schemas.openxmlformats.org/officeDocument/2006/relationships/ctrlProp" Target="../ctrlProps/ctrlProp49.xml"/><Relationship Id="rId24" Type="http://schemas.openxmlformats.org/officeDocument/2006/relationships/ctrlProp" Target="../ctrlProps/ctrlProp62.xml"/><Relationship Id="rId32" Type="http://schemas.openxmlformats.org/officeDocument/2006/relationships/ctrlProp" Target="../ctrlProps/ctrlProp70.xml"/><Relationship Id="rId37" Type="http://schemas.openxmlformats.org/officeDocument/2006/relationships/ctrlProp" Target="../ctrlProps/ctrlProp75.xml"/><Relationship Id="rId40" Type="http://schemas.openxmlformats.org/officeDocument/2006/relationships/ctrlProp" Target="../ctrlProps/ctrlProp78.xml"/><Relationship Id="rId45" Type="http://schemas.openxmlformats.org/officeDocument/2006/relationships/ctrlProp" Target="../ctrlProps/ctrlProp83.xml"/><Relationship Id="rId53" Type="http://schemas.openxmlformats.org/officeDocument/2006/relationships/ctrlProp" Target="../ctrlProps/ctrlProp91.xml"/><Relationship Id="rId5" Type="http://schemas.openxmlformats.org/officeDocument/2006/relationships/ctrlProp" Target="../ctrlProps/ctrlProp43.xml"/><Relationship Id="rId10" Type="http://schemas.openxmlformats.org/officeDocument/2006/relationships/ctrlProp" Target="../ctrlProps/ctrlProp48.xml"/><Relationship Id="rId19" Type="http://schemas.openxmlformats.org/officeDocument/2006/relationships/ctrlProp" Target="../ctrlProps/ctrlProp57.xml"/><Relationship Id="rId31" Type="http://schemas.openxmlformats.org/officeDocument/2006/relationships/ctrlProp" Target="../ctrlProps/ctrlProp69.xml"/><Relationship Id="rId44" Type="http://schemas.openxmlformats.org/officeDocument/2006/relationships/ctrlProp" Target="../ctrlProps/ctrlProp82.xml"/><Relationship Id="rId52" Type="http://schemas.openxmlformats.org/officeDocument/2006/relationships/ctrlProp" Target="../ctrlProps/ctrlProp90.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 Id="rId27" Type="http://schemas.openxmlformats.org/officeDocument/2006/relationships/ctrlProp" Target="../ctrlProps/ctrlProp65.xml"/><Relationship Id="rId30" Type="http://schemas.openxmlformats.org/officeDocument/2006/relationships/ctrlProp" Target="../ctrlProps/ctrlProp68.xml"/><Relationship Id="rId35" Type="http://schemas.openxmlformats.org/officeDocument/2006/relationships/ctrlProp" Target="../ctrlProps/ctrlProp73.xml"/><Relationship Id="rId43" Type="http://schemas.openxmlformats.org/officeDocument/2006/relationships/ctrlProp" Target="../ctrlProps/ctrlProp81.xml"/><Relationship Id="rId48" Type="http://schemas.openxmlformats.org/officeDocument/2006/relationships/ctrlProp" Target="../ctrlProps/ctrlProp86.xml"/><Relationship Id="rId56" Type="http://schemas.openxmlformats.org/officeDocument/2006/relationships/ctrlProp" Target="../ctrlProps/ctrlProp94.xml"/><Relationship Id="rId8" Type="http://schemas.openxmlformats.org/officeDocument/2006/relationships/ctrlProp" Target="../ctrlProps/ctrlProp46.xml"/><Relationship Id="rId51" Type="http://schemas.openxmlformats.org/officeDocument/2006/relationships/ctrlProp" Target="../ctrlProps/ctrlProp89.xml"/><Relationship Id="rId3" Type="http://schemas.openxmlformats.org/officeDocument/2006/relationships/vmlDrawing" Target="../drawings/vmlDrawing3.v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33" Type="http://schemas.openxmlformats.org/officeDocument/2006/relationships/ctrlProp" Target="../ctrlProps/ctrlProp71.xml"/><Relationship Id="rId38" Type="http://schemas.openxmlformats.org/officeDocument/2006/relationships/ctrlProp" Target="../ctrlProps/ctrlProp76.xml"/><Relationship Id="rId46" Type="http://schemas.openxmlformats.org/officeDocument/2006/relationships/ctrlProp" Target="../ctrlProps/ctrlProp84.xml"/><Relationship Id="rId20" Type="http://schemas.openxmlformats.org/officeDocument/2006/relationships/ctrlProp" Target="../ctrlProps/ctrlProp58.xml"/><Relationship Id="rId41" Type="http://schemas.openxmlformats.org/officeDocument/2006/relationships/ctrlProp" Target="../ctrlProps/ctrlProp79.xml"/><Relationship Id="rId54" Type="http://schemas.openxmlformats.org/officeDocument/2006/relationships/ctrlProp" Target="../ctrlProps/ctrlProp92.xml"/><Relationship Id="rId1" Type="http://schemas.openxmlformats.org/officeDocument/2006/relationships/printerSettings" Target="../printerSettings/printerSettings2.bin"/><Relationship Id="rId6" Type="http://schemas.openxmlformats.org/officeDocument/2006/relationships/ctrlProp" Target="../ctrlProps/ctrlProp44.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36" Type="http://schemas.openxmlformats.org/officeDocument/2006/relationships/ctrlProp" Target="../ctrlProps/ctrlProp74.xml"/><Relationship Id="rId49" Type="http://schemas.openxmlformats.org/officeDocument/2006/relationships/ctrlProp" Target="../ctrlProps/ctrlProp8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29"/>
  <sheetViews>
    <sheetView tabSelected="1" view="pageBreakPreview" topLeftCell="A50" zoomScale="85" zoomScaleNormal="100" zoomScaleSheetLayoutView="85" workbookViewId="0">
      <selection activeCell="H62" sqref="H62"/>
    </sheetView>
  </sheetViews>
  <sheetFormatPr defaultColWidth="9" defaultRowHeight="15.75"/>
  <cols>
    <col min="1" max="1" width="11.75" style="48" customWidth="1"/>
    <col min="2" max="2" width="11.25" style="48" customWidth="1"/>
    <col min="3" max="3" width="6.625" style="48" customWidth="1"/>
    <col min="4" max="4" width="14" style="48" bestFit="1" customWidth="1"/>
    <col min="5" max="5" width="13.625" style="48" customWidth="1"/>
    <col min="6" max="6" width="5.75" style="48" customWidth="1"/>
    <col min="7" max="7" width="12.625" style="48" bestFit="1" customWidth="1"/>
    <col min="8" max="8" width="13.625" style="48" customWidth="1"/>
    <col min="9" max="9" width="14" style="48" customWidth="1"/>
    <col min="10" max="10" width="13.625" style="48" customWidth="1"/>
    <col min="11" max="11" width="16.125" style="48" customWidth="1"/>
    <col min="12" max="12" width="11.75" style="48" customWidth="1"/>
    <col min="13" max="13" width="9" style="48"/>
    <col min="14" max="16384" width="9" style="44"/>
  </cols>
  <sheetData>
    <row r="1" spans="1:39">
      <c r="A1" s="45"/>
      <c r="B1" s="45"/>
      <c r="C1" s="45"/>
      <c r="D1" s="45"/>
      <c r="E1" s="45"/>
      <c r="F1" s="45"/>
      <c r="G1" s="45"/>
      <c r="H1" s="45"/>
      <c r="I1" s="45"/>
      <c r="J1" s="45"/>
      <c r="K1" s="45"/>
      <c r="L1" s="45"/>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row>
    <row r="2" spans="1:39" ht="16.5">
      <c r="A2" s="45" t="s">
        <v>122</v>
      </c>
      <c r="B2" s="45"/>
      <c r="C2" s="45"/>
      <c r="D2" s="45"/>
      <c r="E2" s="45"/>
      <c r="F2" s="45"/>
      <c r="G2" s="45"/>
      <c r="H2" s="45"/>
      <c r="I2" s="45"/>
      <c r="J2" s="45"/>
      <c r="K2" s="45"/>
      <c r="L2" s="45"/>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row>
    <row r="3" spans="1:39">
      <c r="A3" s="45"/>
      <c r="B3" s="45"/>
      <c r="C3" s="45"/>
      <c r="D3" s="45"/>
      <c r="E3" s="45"/>
      <c r="F3" s="45"/>
      <c r="G3" s="45"/>
      <c r="H3" s="45"/>
      <c r="I3" s="45"/>
      <c r="J3" s="45"/>
      <c r="K3" s="45"/>
      <c r="L3" s="45"/>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row>
    <row r="4" spans="1:39" ht="18" customHeight="1">
      <c r="A4" s="105" t="s">
        <v>123</v>
      </c>
      <c r="B4" s="106"/>
      <c r="C4" s="45"/>
      <c r="D4" s="45"/>
      <c r="E4" s="78" t="s">
        <v>124</v>
      </c>
      <c r="F4" s="45"/>
      <c r="G4" s="45"/>
      <c r="H4" s="45"/>
      <c r="I4" s="107" t="s">
        <v>125</v>
      </c>
      <c r="J4" s="107"/>
      <c r="K4" s="108"/>
      <c r="L4" s="108"/>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row>
    <row r="5" spans="1:39" ht="18" customHeight="1">
      <c r="A5" s="79" t="s">
        <v>126</v>
      </c>
      <c r="B5" s="46">
        <v>2</v>
      </c>
      <c r="C5" s="45"/>
      <c r="D5" s="45"/>
      <c r="E5" s="80" t="s">
        <v>127</v>
      </c>
      <c r="F5" s="45"/>
      <c r="G5" s="45"/>
      <c r="H5" s="45"/>
      <c r="I5" s="81" t="s">
        <v>128</v>
      </c>
      <c r="J5" s="65">
        <v>32</v>
      </c>
      <c r="K5" s="81" t="s">
        <v>129</v>
      </c>
      <c r="L5" s="65">
        <v>4.5999999999999996</v>
      </c>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row>
    <row r="6" spans="1:39" ht="18" customHeight="1">
      <c r="A6" s="110" t="s">
        <v>130</v>
      </c>
      <c r="B6" s="112"/>
      <c r="C6" s="45"/>
      <c r="D6" s="45"/>
      <c r="E6" s="55"/>
      <c r="F6" s="45"/>
      <c r="G6" s="45"/>
      <c r="H6" s="45"/>
      <c r="I6" s="82" t="s">
        <v>131</v>
      </c>
      <c r="J6" s="65">
        <v>37.5</v>
      </c>
      <c r="K6" s="82" t="s">
        <v>132</v>
      </c>
      <c r="L6" s="65">
        <v>25</v>
      </c>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row>
    <row r="7" spans="1:39" ht="18" customHeight="1">
      <c r="A7" s="111"/>
      <c r="B7" s="113"/>
      <c r="C7" s="45"/>
      <c r="D7" s="45"/>
      <c r="E7" s="55"/>
      <c r="F7" s="45"/>
      <c r="G7" s="45"/>
      <c r="H7" s="45"/>
      <c r="I7" s="82" t="s">
        <v>133</v>
      </c>
      <c r="J7" s="65">
        <v>0.21</v>
      </c>
      <c r="K7" s="82" t="s">
        <v>134</v>
      </c>
      <c r="L7" s="65">
        <v>1.4E-3</v>
      </c>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row>
    <row r="8" spans="1:39" ht="18" customHeight="1">
      <c r="A8" s="45"/>
      <c r="B8" s="45"/>
      <c r="C8" s="45"/>
      <c r="D8" s="45"/>
      <c r="E8" s="55"/>
      <c r="F8" s="45"/>
      <c r="G8" s="45"/>
      <c r="H8" s="45"/>
      <c r="I8" s="82" t="s">
        <v>135</v>
      </c>
      <c r="J8" s="65">
        <v>2.5000000000000001E-2</v>
      </c>
      <c r="K8" s="82" t="s">
        <v>136</v>
      </c>
      <c r="L8" s="65">
        <v>8.3000000000000007</v>
      </c>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row>
    <row r="9" spans="1:39" ht="18" customHeight="1">
      <c r="A9" s="45"/>
      <c r="B9" s="83"/>
      <c r="C9" s="45"/>
      <c r="D9" s="45"/>
      <c r="E9" s="45"/>
      <c r="F9" s="45"/>
      <c r="G9" s="45"/>
      <c r="H9" s="45"/>
      <c r="I9" s="82" t="s">
        <v>137</v>
      </c>
      <c r="J9" s="65">
        <v>1.1000000000000001</v>
      </c>
      <c r="K9" s="82" t="s">
        <v>138</v>
      </c>
      <c r="L9" s="65">
        <v>23.5</v>
      </c>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row>
    <row r="10" spans="1:39" ht="18" customHeight="1">
      <c r="A10" s="45"/>
      <c r="B10" s="45"/>
      <c r="C10" s="45"/>
      <c r="D10" s="45"/>
      <c r="E10" s="45"/>
      <c r="F10" s="45"/>
      <c r="G10" s="45"/>
      <c r="H10" s="45"/>
      <c r="I10" s="84" t="s">
        <v>165</v>
      </c>
      <c r="J10" s="65">
        <v>4.2</v>
      </c>
      <c r="K10" s="84" t="s">
        <v>164</v>
      </c>
      <c r="L10" s="47">
        <v>21.7</v>
      </c>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row>
    <row r="11" spans="1:39" ht="18" customHeight="1">
      <c r="A11" s="45"/>
      <c r="B11" s="45"/>
      <c r="C11" s="45"/>
      <c r="D11" s="45"/>
      <c r="E11" s="45"/>
      <c r="F11" s="45"/>
      <c r="G11" s="45"/>
      <c r="H11" s="45"/>
      <c r="I11" s="84" t="s">
        <v>170</v>
      </c>
      <c r="J11" s="65">
        <v>43.5</v>
      </c>
      <c r="K11" s="45"/>
      <c r="L11" s="45"/>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row>
    <row r="12" spans="1:39" ht="18" customHeight="1">
      <c r="A12" s="77"/>
      <c r="B12" s="45"/>
      <c r="C12" s="45"/>
      <c r="D12" s="45"/>
      <c r="E12" s="45"/>
      <c r="F12" s="45"/>
      <c r="G12" s="45"/>
      <c r="H12" s="45"/>
      <c r="I12" s="85"/>
      <c r="J12" s="76"/>
      <c r="K12" s="45"/>
      <c r="L12" s="45"/>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row>
    <row r="13" spans="1:39" ht="18" customHeight="1">
      <c r="A13" s="86" t="s">
        <v>179</v>
      </c>
      <c r="B13" s="87"/>
      <c r="C13" s="87"/>
      <c r="D13" s="87"/>
      <c r="E13" s="87"/>
      <c r="F13" s="87"/>
      <c r="G13" s="87"/>
      <c r="H13" s="87"/>
      <c r="I13" s="87"/>
      <c r="J13" s="87"/>
      <c r="K13" s="87"/>
      <c r="L13" s="87"/>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row>
    <row r="14" spans="1:39" ht="32.25" customHeight="1">
      <c r="A14" s="109" t="s">
        <v>139</v>
      </c>
      <c r="B14" s="117" t="s">
        <v>140</v>
      </c>
      <c r="C14" s="121" t="s">
        <v>141</v>
      </c>
      <c r="D14" s="122"/>
      <c r="E14" s="123"/>
      <c r="F14" s="121" t="s">
        <v>142</v>
      </c>
      <c r="G14" s="122"/>
      <c r="H14" s="123"/>
      <c r="I14" s="88" t="s">
        <v>173</v>
      </c>
      <c r="J14" s="124" t="s">
        <v>171</v>
      </c>
      <c r="K14" s="124" t="s">
        <v>172</v>
      </c>
      <c r="L14" s="117" t="s">
        <v>139</v>
      </c>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row>
    <row r="15" spans="1:39" ht="18" customHeight="1">
      <c r="A15" s="109"/>
      <c r="B15" s="109"/>
      <c r="C15" s="89" t="s">
        <v>143</v>
      </c>
      <c r="D15" s="89" t="s">
        <v>144</v>
      </c>
      <c r="E15" s="89" t="s">
        <v>145</v>
      </c>
      <c r="F15" s="89" t="s">
        <v>143</v>
      </c>
      <c r="G15" s="89" t="s">
        <v>144</v>
      </c>
      <c r="H15" s="89" t="s">
        <v>145</v>
      </c>
      <c r="I15" s="89" t="s">
        <v>145</v>
      </c>
      <c r="J15" s="109"/>
      <c r="K15" s="109"/>
      <c r="L15" s="109"/>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row>
    <row r="16" spans="1:39" ht="18" customHeight="1">
      <c r="A16" s="90" t="s">
        <v>146</v>
      </c>
      <c r="B16" s="57"/>
      <c r="C16" s="90" t="s">
        <v>35</v>
      </c>
      <c r="D16" s="64">
        <f>TM!D15</f>
        <v>5700</v>
      </c>
      <c r="E16" s="91">
        <f>D16</f>
        <v>5700</v>
      </c>
      <c r="F16" s="90" t="s">
        <v>36</v>
      </c>
      <c r="G16" s="64">
        <f>TM!G15</f>
        <v>0</v>
      </c>
      <c r="H16" s="91">
        <f>G16</f>
        <v>0</v>
      </c>
      <c r="I16" s="91">
        <f>E16+H16</f>
        <v>5700</v>
      </c>
      <c r="J16" s="41">
        <f>TM!J15</f>
        <v>12000</v>
      </c>
      <c r="K16" s="91">
        <f>I16+J16</f>
        <v>17700</v>
      </c>
      <c r="L16" s="70" t="str">
        <f t="shared" ref="L16:L30" si="0">A16</f>
        <v>台灣</v>
      </c>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row>
    <row r="17" spans="1:39" ht="18" customHeight="1">
      <c r="A17" s="90" t="s">
        <v>147</v>
      </c>
      <c r="B17" s="57"/>
      <c r="C17" s="90" t="s">
        <v>38</v>
      </c>
      <c r="D17" s="64">
        <f>TM!D16</f>
        <v>540</v>
      </c>
      <c r="E17" s="91">
        <f>D17*$L$5</f>
        <v>2484</v>
      </c>
      <c r="F17" s="90" t="s">
        <v>39</v>
      </c>
      <c r="G17" s="64">
        <f>TM!G16</f>
        <v>2000</v>
      </c>
      <c r="H17" s="91">
        <f>G17*$L$5</f>
        <v>9200</v>
      </c>
      <c r="I17" s="91">
        <f t="shared" ref="I17:I32" si="1">E17+H17</f>
        <v>11684</v>
      </c>
      <c r="J17" s="41">
        <f>TM!J16</f>
        <v>21000</v>
      </c>
      <c r="K17" s="91">
        <f t="shared" ref="K17:K32" si="2">I17+J17</f>
        <v>32684</v>
      </c>
      <c r="L17" s="70" t="str">
        <f t="shared" si="0"/>
        <v>大陸</v>
      </c>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row>
    <row r="18" spans="1:39" ht="18" customHeight="1">
      <c r="A18" s="90" t="s">
        <v>148</v>
      </c>
      <c r="B18" s="57"/>
      <c r="C18" s="90" t="s">
        <v>19</v>
      </c>
      <c r="D18" s="64">
        <f>TM!D17</f>
        <v>1100</v>
      </c>
      <c r="E18" s="91">
        <f>D18*$J$5</f>
        <v>35200</v>
      </c>
      <c r="F18" s="90" t="s">
        <v>41</v>
      </c>
      <c r="G18" s="64">
        <f>TM!G17</f>
        <v>375</v>
      </c>
      <c r="H18" s="91">
        <f>G18*$J$5</f>
        <v>12000</v>
      </c>
      <c r="I18" s="91">
        <f t="shared" si="1"/>
        <v>47200</v>
      </c>
      <c r="J18" s="41">
        <f>TM!J17</f>
        <v>26000</v>
      </c>
      <c r="K18" s="91">
        <f t="shared" si="2"/>
        <v>73200</v>
      </c>
      <c r="L18" s="70" t="str">
        <f t="shared" si="0"/>
        <v>美國</v>
      </c>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row>
    <row r="19" spans="1:39" ht="18" customHeight="1">
      <c r="A19" s="90" t="s">
        <v>149</v>
      </c>
      <c r="B19" s="57"/>
      <c r="C19" s="90" t="s">
        <v>42</v>
      </c>
      <c r="D19" s="64">
        <f>TM!D18</f>
        <v>900</v>
      </c>
      <c r="E19" s="91">
        <f>D19*$J$6</f>
        <v>33750</v>
      </c>
      <c r="F19" s="90" t="s">
        <v>43</v>
      </c>
      <c r="G19" s="64">
        <f>TM!G18</f>
        <v>140</v>
      </c>
      <c r="H19" s="91">
        <f>G19*$J$6</f>
        <v>5250</v>
      </c>
      <c r="I19" s="91">
        <f t="shared" si="1"/>
        <v>39000</v>
      </c>
      <c r="J19" s="41">
        <f>TM!J18</f>
        <v>26000</v>
      </c>
      <c r="K19" s="91">
        <f t="shared" si="2"/>
        <v>65000</v>
      </c>
      <c r="L19" s="70" t="str">
        <f t="shared" si="0"/>
        <v>歐盟</v>
      </c>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row>
    <row r="20" spans="1:39" ht="18" customHeight="1">
      <c r="A20" s="70" t="s">
        <v>167</v>
      </c>
      <c r="B20" s="57"/>
      <c r="C20" s="90" t="s">
        <v>168</v>
      </c>
      <c r="D20" s="64">
        <f>TM!D19</f>
        <v>220</v>
      </c>
      <c r="E20" s="91">
        <f>D20*$J$11</f>
        <v>9570</v>
      </c>
      <c r="F20" s="90" t="s">
        <v>20</v>
      </c>
      <c r="G20" s="64">
        <f>TM!G19</f>
        <v>140</v>
      </c>
      <c r="H20" s="91">
        <f>G20*$J$6</f>
        <v>5250</v>
      </c>
      <c r="I20" s="91">
        <f t="shared" si="1"/>
        <v>14820</v>
      </c>
      <c r="J20" s="41">
        <f>TM!J19</f>
        <v>26000</v>
      </c>
      <c r="K20" s="91">
        <f t="shared" si="2"/>
        <v>40820</v>
      </c>
      <c r="L20" s="70" t="str">
        <f t="shared" ref="L20" si="3">A20</f>
        <v>英國</v>
      </c>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row>
    <row r="21" spans="1:39" ht="18" customHeight="1">
      <c r="A21" s="90" t="s">
        <v>150</v>
      </c>
      <c r="B21" s="57"/>
      <c r="C21" s="90" t="s">
        <v>45</v>
      </c>
      <c r="D21" s="64">
        <f>TM!D20</f>
        <v>20600</v>
      </c>
      <c r="E21" s="91">
        <f>D21*$J$7</f>
        <v>4326</v>
      </c>
      <c r="F21" s="90" t="s">
        <v>46</v>
      </c>
      <c r="G21" s="64">
        <f>TM!G20</f>
        <v>107000</v>
      </c>
      <c r="H21" s="91">
        <f>G21*$J$7</f>
        <v>22470</v>
      </c>
      <c r="I21" s="91">
        <f t="shared" si="1"/>
        <v>26796</v>
      </c>
      <c r="J21" s="41">
        <f>TM!J20</f>
        <v>31000</v>
      </c>
      <c r="K21" s="91">
        <f t="shared" si="2"/>
        <v>57796</v>
      </c>
      <c r="L21" s="70" t="str">
        <f t="shared" si="0"/>
        <v>日本</v>
      </c>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row>
    <row r="22" spans="1:39" ht="18" customHeight="1">
      <c r="A22" s="90" t="s">
        <v>151</v>
      </c>
      <c r="B22" s="57"/>
      <c r="C22" s="90" t="s">
        <v>48</v>
      </c>
      <c r="D22" s="64">
        <f>TM!D21</f>
        <v>104000</v>
      </c>
      <c r="E22" s="91">
        <f>D22*$J$8</f>
        <v>2600</v>
      </c>
      <c r="F22" s="90" t="s">
        <v>41</v>
      </c>
      <c r="G22" s="64">
        <f>TM!G21</f>
        <v>1100</v>
      </c>
      <c r="H22" s="91">
        <f>G22*$J$5</f>
        <v>35200</v>
      </c>
      <c r="I22" s="91">
        <f t="shared" si="1"/>
        <v>37800</v>
      </c>
      <c r="J22" s="41">
        <f>TM!J21</f>
        <v>26000</v>
      </c>
      <c r="K22" s="91">
        <f t="shared" si="2"/>
        <v>63800</v>
      </c>
      <c r="L22" s="70" t="str">
        <f t="shared" si="0"/>
        <v>韓國</v>
      </c>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row>
    <row r="23" spans="1:39" ht="18" customHeight="1">
      <c r="A23" s="90" t="s">
        <v>157</v>
      </c>
      <c r="B23" s="57"/>
      <c r="C23" s="90" t="s">
        <v>68</v>
      </c>
      <c r="D23" s="64">
        <f>TM!D22</f>
        <v>623.27</v>
      </c>
      <c r="E23" s="91">
        <f>D23*$L$9</f>
        <v>14646.844999999999</v>
      </c>
      <c r="F23" s="90" t="s">
        <v>28</v>
      </c>
      <c r="G23" s="64">
        <f>TM!G22</f>
        <v>1900</v>
      </c>
      <c r="H23" s="91">
        <f>G23*$L$9</f>
        <v>44650</v>
      </c>
      <c r="I23" s="91">
        <f>E23+H23</f>
        <v>59296.845000000001</v>
      </c>
      <c r="J23" s="41">
        <f>TM!J22</f>
        <v>21000</v>
      </c>
      <c r="K23" s="91">
        <f>I23+J23</f>
        <v>80296.845000000001</v>
      </c>
      <c r="L23" s="92" t="str">
        <f>A23</f>
        <v>加拿大</v>
      </c>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row>
    <row r="24" spans="1:39" ht="18" customHeight="1">
      <c r="A24" s="90" t="s">
        <v>158</v>
      </c>
      <c r="B24" s="57"/>
      <c r="C24" s="90" t="s">
        <v>67</v>
      </c>
      <c r="D24" s="64">
        <f>TM!D23</f>
        <v>800</v>
      </c>
      <c r="E24" s="91">
        <f>D24*$L$10</f>
        <v>17360</v>
      </c>
      <c r="F24" s="90" t="s">
        <v>69</v>
      </c>
      <c r="G24" s="64">
        <f>TM!G23</f>
        <v>1440</v>
      </c>
      <c r="H24" s="91">
        <f>G24*$L$10</f>
        <v>31248</v>
      </c>
      <c r="I24" s="91">
        <f>E24+H24</f>
        <v>48608</v>
      </c>
      <c r="J24" s="41">
        <f>TM!J23</f>
        <v>26000</v>
      </c>
      <c r="K24" s="91">
        <f>I24+J24</f>
        <v>74608</v>
      </c>
      <c r="L24" s="92" t="str">
        <f>A24</f>
        <v>澳洲</v>
      </c>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row>
    <row r="25" spans="1:39" ht="18" customHeight="1">
      <c r="A25" s="90" t="s">
        <v>152</v>
      </c>
      <c r="B25" s="57"/>
      <c r="C25" s="90" t="s">
        <v>50</v>
      </c>
      <c r="D25" s="64">
        <f>TM!D24</f>
        <v>760</v>
      </c>
      <c r="E25" s="91">
        <f>D25*$L$6</f>
        <v>19000</v>
      </c>
      <c r="F25" s="90" t="s">
        <v>23</v>
      </c>
      <c r="G25" s="64">
        <f>TM!G24</f>
        <v>900</v>
      </c>
      <c r="H25" s="91">
        <f>G25*$L$6</f>
        <v>22500</v>
      </c>
      <c r="I25" s="91">
        <f t="shared" si="1"/>
        <v>41500</v>
      </c>
      <c r="J25" s="41">
        <f>TM!J24</f>
        <v>31000</v>
      </c>
      <c r="K25" s="91">
        <f t="shared" si="2"/>
        <v>72500</v>
      </c>
      <c r="L25" s="70" t="str">
        <f t="shared" si="0"/>
        <v>新加坡</v>
      </c>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row>
    <row r="26" spans="1:39" ht="18" customHeight="1">
      <c r="A26" s="90" t="s">
        <v>155</v>
      </c>
      <c r="B26" s="57"/>
      <c r="C26" s="90" t="s">
        <v>26</v>
      </c>
      <c r="D26" s="64">
        <f>TM!D25</f>
        <v>2240</v>
      </c>
      <c r="E26" s="91">
        <f>D26*$L$8</f>
        <v>18592</v>
      </c>
      <c r="F26" s="90" t="s">
        <v>55</v>
      </c>
      <c r="G26" s="64">
        <f>TM!G25</f>
        <v>2213</v>
      </c>
      <c r="H26" s="91">
        <f>G26*$L$8</f>
        <v>18367.900000000001</v>
      </c>
      <c r="I26" s="91">
        <f>E26+H26</f>
        <v>36959.9</v>
      </c>
      <c r="J26" s="41">
        <f>TM!J25</f>
        <v>21000</v>
      </c>
      <c r="K26" s="91">
        <f>I26+J26</f>
        <v>57959.9</v>
      </c>
      <c r="L26" s="70" t="str">
        <f>A26</f>
        <v>馬來西亞</v>
      </c>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row>
    <row r="27" spans="1:39" ht="18" customHeight="1">
      <c r="A27" s="70" t="s">
        <v>207</v>
      </c>
      <c r="B27" s="57"/>
      <c r="C27" s="90" t="s">
        <v>19</v>
      </c>
      <c r="D27" s="64">
        <f>TM!D26</f>
        <v>189</v>
      </c>
      <c r="E27" s="91">
        <f>D27*$J$5</f>
        <v>6048</v>
      </c>
      <c r="F27" s="90" t="s">
        <v>19</v>
      </c>
      <c r="G27" s="64">
        <f>TM!G26</f>
        <v>275</v>
      </c>
      <c r="H27" s="91">
        <f>G27*$J$5</f>
        <v>8800</v>
      </c>
      <c r="I27" s="91">
        <f>E27+H27</f>
        <v>14848</v>
      </c>
      <c r="J27" s="41">
        <f>TM!J26</f>
        <v>26000</v>
      </c>
      <c r="K27" s="91">
        <f>I27+J27</f>
        <v>40848</v>
      </c>
      <c r="L27" s="70" t="str">
        <f>A27</f>
        <v>菲律賓</v>
      </c>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row>
    <row r="28" spans="1:39" ht="18" customHeight="1">
      <c r="A28" s="90" t="s">
        <v>156</v>
      </c>
      <c r="B28" s="57"/>
      <c r="C28" s="90" t="s">
        <v>19</v>
      </c>
      <c r="D28" s="64">
        <f>TM!D27</f>
        <v>360</v>
      </c>
      <c r="E28" s="91">
        <f>D28*$J$5</f>
        <v>11520</v>
      </c>
      <c r="F28" s="90" t="s">
        <v>19</v>
      </c>
      <c r="G28" s="64">
        <f>TM!G27</f>
        <v>850</v>
      </c>
      <c r="H28" s="91">
        <f>G28*$J$5</f>
        <v>27200</v>
      </c>
      <c r="I28" s="91">
        <f>E28+H28</f>
        <v>38720</v>
      </c>
      <c r="J28" s="41">
        <f>TM!J27</f>
        <v>31000</v>
      </c>
      <c r="K28" s="91">
        <f>I28+J28</f>
        <v>69720</v>
      </c>
      <c r="L28" s="70" t="str">
        <f>A28</f>
        <v>印尼</v>
      </c>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row>
    <row r="29" spans="1:39" ht="18" customHeight="1">
      <c r="A29" s="90" t="s">
        <v>153</v>
      </c>
      <c r="B29" s="57"/>
      <c r="C29" s="90" t="s">
        <v>52</v>
      </c>
      <c r="D29" s="64">
        <f>TM!D28</f>
        <v>1730000</v>
      </c>
      <c r="E29" s="91">
        <f>D29*$L$7</f>
        <v>2422</v>
      </c>
      <c r="F29" s="90" t="s">
        <v>19</v>
      </c>
      <c r="G29" s="64">
        <f>TM!G28</f>
        <v>555</v>
      </c>
      <c r="H29" s="91">
        <f>G29*$J$5</f>
        <v>17760</v>
      </c>
      <c r="I29" s="91">
        <f t="shared" si="1"/>
        <v>20182</v>
      </c>
      <c r="J29" s="41">
        <f>TM!J28</f>
        <v>31000</v>
      </c>
      <c r="K29" s="91">
        <f t="shared" si="2"/>
        <v>51182</v>
      </c>
      <c r="L29" s="70" t="str">
        <f t="shared" si="0"/>
        <v>越南</v>
      </c>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row>
    <row r="30" spans="1:39" ht="18" customHeight="1">
      <c r="A30" s="90" t="s">
        <v>154</v>
      </c>
      <c r="B30" s="57"/>
      <c r="C30" s="90" t="s">
        <v>25</v>
      </c>
      <c r="D30" s="64">
        <f>TM!D29</f>
        <v>18000</v>
      </c>
      <c r="E30" s="91">
        <f>D30*$J$9</f>
        <v>19800</v>
      </c>
      <c r="F30" s="90" t="s">
        <v>25</v>
      </c>
      <c r="G30" s="64">
        <f>TM!G29</f>
        <v>23500</v>
      </c>
      <c r="H30" s="91">
        <f>G30*$J$9</f>
        <v>25850.000000000004</v>
      </c>
      <c r="I30" s="91">
        <f t="shared" si="1"/>
        <v>45650</v>
      </c>
      <c r="J30" s="41">
        <f>TM!J29</f>
        <v>31000</v>
      </c>
      <c r="K30" s="91">
        <f t="shared" si="2"/>
        <v>76650</v>
      </c>
      <c r="L30" s="70" t="str">
        <f t="shared" si="0"/>
        <v>泰國</v>
      </c>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row>
    <row r="31" spans="1:39" ht="18" customHeight="1">
      <c r="A31" s="70" t="s">
        <v>160</v>
      </c>
      <c r="B31" s="57"/>
      <c r="C31" s="90" t="s">
        <v>166</v>
      </c>
      <c r="D31" s="64">
        <f>TM!D30</f>
        <v>3000</v>
      </c>
      <c r="E31" s="91">
        <f>D31*$J$10</f>
        <v>12600</v>
      </c>
      <c r="F31" s="90" t="s">
        <v>18</v>
      </c>
      <c r="G31" s="64">
        <f>TM!G30</f>
        <v>3750</v>
      </c>
      <c r="H31" s="91">
        <f>G31*$L$5</f>
        <v>17250</v>
      </c>
      <c r="I31" s="91">
        <f t="shared" si="1"/>
        <v>29850</v>
      </c>
      <c r="J31" s="41">
        <f>TM!J30</f>
        <v>26000</v>
      </c>
      <c r="K31" s="91">
        <f t="shared" si="2"/>
        <v>55850</v>
      </c>
      <c r="L31" s="70" t="str">
        <f t="shared" ref="L31:L32" si="4">A31</f>
        <v>香港</v>
      </c>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row>
    <row r="32" spans="1:39" ht="18" customHeight="1">
      <c r="A32" s="70" t="s">
        <v>161</v>
      </c>
      <c r="B32" s="57"/>
      <c r="C32" s="90" t="s">
        <v>19</v>
      </c>
      <c r="D32" s="64">
        <f>TM!D31</f>
        <v>260</v>
      </c>
      <c r="E32" s="91">
        <f>D32*$J$5</f>
        <v>8320</v>
      </c>
      <c r="F32" s="90" t="s">
        <v>19</v>
      </c>
      <c r="G32" s="64">
        <f>TM!G31</f>
        <v>1100</v>
      </c>
      <c r="H32" s="91">
        <f>G32*$J$5</f>
        <v>35200</v>
      </c>
      <c r="I32" s="91">
        <f t="shared" si="1"/>
        <v>43520</v>
      </c>
      <c r="J32" s="41">
        <f>TM!J31</f>
        <v>40000</v>
      </c>
      <c r="K32" s="91">
        <f t="shared" si="2"/>
        <v>83520</v>
      </c>
      <c r="L32" s="70" t="str">
        <f t="shared" si="4"/>
        <v>澳門</v>
      </c>
      <c r="M32" s="104" t="str">
        <f>IF(選項!K2=1,"澳門只允許一案一類","")</f>
        <v>澳門只允許一案一類</v>
      </c>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row>
    <row r="33" spans="1:39" ht="18" customHeight="1">
      <c r="A33" s="70" t="s">
        <v>208</v>
      </c>
      <c r="B33" s="57"/>
      <c r="C33" s="90" t="s">
        <v>19</v>
      </c>
      <c r="D33" s="64">
        <f>TM!D32</f>
        <v>300</v>
      </c>
      <c r="E33" s="91">
        <f>D33*$J$5</f>
        <v>9600</v>
      </c>
      <c r="F33" s="90" t="s">
        <v>19</v>
      </c>
      <c r="G33" s="64">
        <f>TM!G32</f>
        <v>300</v>
      </c>
      <c r="H33" s="91">
        <f>G33*$J$5</f>
        <v>9600</v>
      </c>
      <c r="I33" s="91">
        <f t="shared" ref="I33" si="5">E33+H33</f>
        <v>19200</v>
      </c>
      <c r="J33" s="41">
        <f>TM!J32</f>
        <v>21000</v>
      </c>
      <c r="K33" s="91">
        <f t="shared" ref="K33" si="6">I33+J33</f>
        <v>40200</v>
      </c>
      <c r="L33" s="70" t="str">
        <f t="shared" ref="L33" si="7">A33</f>
        <v>印度</v>
      </c>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row>
    <row r="34" spans="1:39" ht="20.100000000000001" customHeight="1">
      <c r="A34" s="57"/>
      <c r="B34" s="57"/>
      <c r="C34" s="57"/>
      <c r="D34" s="58" t="s">
        <v>159</v>
      </c>
      <c r="E34" s="59">
        <f>SUM(E16:E33)</f>
        <v>233538.845</v>
      </c>
      <c r="F34" s="57"/>
      <c r="G34" s="58" t="s">
        <v>159</v>
      </c>
      <c r="H34" s="60">
        <f>SUM(H16:H33)</f>
        <v>347795.9</v>
      </c>
      <c r="I34" s="61">
        <f>SUM(I16:I33)</f>
        <v>581334.745</v>
      </c>
      <c r="J34" s="62">
        <f>SUM(J16:J33)</f>
        <v>473000</v>
      </c>
      <c r="K34" s="63">
        <f>SUM(K16:K33)</f>
        <v>1054334.7450000001</v>
      </c>
      <c r="L34" s="70"/>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row>
    <row r="35" spans="1:39" s="72" customFormat="1" ht="18" customHeight="1">
      <c r="A35" s="93" t="s">
        <v>77</v>
      </c>
      <c r="B35" s="71"/>
      <c r="C35" s="71"/>
      <c r="D35" s="71"/>
      <c r="E35" s="71"/>
      <c r="F35" s="71"/>
      <c r="G35" s="71"/>
      <c r="H35" s="71"/>
      <c r="I35" s="71"/>
      <c r="J35" s="71"/>
      <c r="K35" s="71"/>
      <c r="L35" s="71"/>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row>
    <row r="36" spans="1:39" s="72" customFormat="1" ht="18" customHeight="1">
      <c r="A36" s="94" t="s">
        <v>201</v>
      </c>
      <c r="B36" s="71"/>
      <c r="C36" s="71"/>
      <c r="D36" s="71"/>
      <c r="E36" s="71"/>
      <c r="F36" s="71"/>
      <c r="G36" s="71"/>
      <c r="H36" s="71"/>
      <c r="I36" s="71"/>
      <c r="J36" s="71"/>
      <c r="K36" s="71"/>
      <c r="L36" s="71"/>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row>
    <row r="37" spans="1:39" s="72" customFormat="1" ht="18" customHeight="1">
      <c r="A37" s="93" t="s">
        <v>202</v>
      </c>
      <c r="B37" s="71"/>
      <c r="C37" s="71"/>
      <c r="D37" s="71"/>
      <c r="E37" s="71"/>
      <c r="F37" s="71"/>
      <c r="G37" s="71"/>
      <c r="H37" s="71"/>
      <c r="I37" s="71"/>
      <c r="J37" s="71"/>
      <c r="K37" s="71"/>
      <c r="L37" s="71"/>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row>
    <row r="38" spans="1:39" s="72" customFormat="1" ht="18" customHeight="1">
      <c r="A38" s="93" t="s">
        <v>203</v>
      </c>
      <c r="B38" s="95"/>
      <c r="C38" s="95"/>
      <c r="D38" s="95"/>
      <c r="E38" s="95"/>
      <c r="F38" s="95"/>
      <c r="G38" s="71"/>
      <c r="H38" s="71"/>
      <c r="I38" s="71"/>
      <c r="J38" s="71"/>
      <c r="K38" s="71"/>
      <c r="L38" s="71"/>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row>
    <row r="39" spans="1:39" s="72" customFormat="1" ht="18" customHeight="1">
      <c r="A39" s="93" t="s">
        <v>210</v>
      </c>
      <c r="B39" s="95"/>
      <c r="C39" s="95"/>
      <c r="D39" s="95"/>
      <c r="E39" s="95"/>
      <c r="F39" s="95"/>
      <c r="G39" s="71"/>
      <c r="H39" s="71"/>
      <c r="I39" s="71"/>
      <c r="J39" s="71"/>
      <c r="K39" s="71"/>
      <c r="L39" s="71"/>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row>
    <row r="40" spans="1:39" s="72" customFormat="1" ht="18" customHeight="1">
      <c r="A40" s="93" t="s">
        <v>204</v>
      </c>
      <c r="B40" s="95"/>
      <c r="C40" s="95"/>
      <c r="D40" s="95"/>
      <c r="E40" s="95"/>
      <c r="F40" s="95"/>
      <c r="G40" s="71"/>
      <c r="H40" s="71"/>
      <c r="I40" s="71"/>
      <c r="J40" s="71"/>
      <c r="K40" s="71"/>
      <c r="L40" s="71"/>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row>
    <row r="41" spans="1:39" s="72" customFormat="1" ht="18" customHeight="1">
      <c r="A41" s="93" t="s">
        <v>206</v>
      </c>
      <c r="B41" s="95"/>
      <c r="C41" s="95"/>
      <c r="D41" s="95"/>
      <c r="E41" s="95"/>
      <c r="F41" s="95"/>
      <c r="G41" s="71"/>
      <c r="H41" s="71"/>
      <c r="I41" s="71"/>
      <c r="J41" s="71"/>
      <c r="K41" s="71"/>
      <c r="L41" s="71"/>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row>
    <row r="42" spans="1:39" s="72" customFormat="1" ht="18" customHeight="1">
      <c r="A42" s="93" t="s">
        <v>213</v>
      </c>
      <c r="B42" s="95"/>
      <c r="C42" s="95"/>
      <c r="D42" s="95"/>
      <c r="E42" s="95"/>
      <c r="F42" s="95"/>
      <c r="G42" s="71"/>
      <c r="H42" s="71"/>
      <c r="I42" s="71"/>
      <c r="J42" s="71"/>
      <c r="K42" s="71"/>
      <c r="L42" s="71"/>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row>
    <row r="43" spans="1:39" s="72" customFormat="1" ht="18" customHeight="1">
      <c r="A43" s="93" t="s">
        <v>205</v>
      </c>
      <c r="B43" s="95"/>
      <c r="C43" s="95"/>
      <c r="D43" s="95"/>
      <c r="E43" s="95"/>
      <c r="F43" s="95"/>
      <c r="G43" s="71"/>
      <c r="H43" s="71"/>
      <c r="I43" s="71"/>
      <c r="J43" s="71"/>
      <c r="K43" s="71"/>
      <c r="L43" s="71"/>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row>
    <row r="44" spans="1:39" s="72" customFormat="1" ht="18" customHeight="1">
      <c r="A44" s="93" t="s">
        <v>212</v>
      </c>
      <c r="B44" s="95"/>
      <c r="C44" s="95"/>
      <c r="D44" s="95"/>
      <c r="E44" s="95"/>
      <c r="F44" s="95"/>
      <c r="G44" s="71"/>
      <c r="H44" s="71"/>
      <c r="I44" s="71"/>
      <c r="J44" s="71"/>
      <c r="K44" s="71"/>
      <c r="L44" s="71"/>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row>
    <row r="45" spans="1:39" s="72" customFormat="1" ht="18" customHeight="1">
      <c r="A45" s="93" t="s">
        <v>209</v>
      </c>
      <c r="B45" s="95"/>
      <c r="C45" s="95"/>
      <c r="D45" s="95"/>
      <c r="E45" s="95"/>
      <c r="F45" s="95"/>
      <c r="G45" s="71"/>
      <c r="H45" s="71"/>
      <c r="I45" s="71"/>
      <c r="J45" s="71"/>
      <c r="K45" s="71"/>
      <c r="L45" s="71"/>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row>
    <row r="46" spans="1:39" s="72" customFormat="1" ht="18" customHeight="1">
      <c r="A46" s="93" t="s">
        <v>211</v>
      </c>
      <c r="B46" s="95"/>
      <c r="C46" s="95"/>
      <c r="D46" s="95"/>
      <c r="E46" s="95"/>
      <c r="F46" s="95"/>
      <c r="G46" s="71"/>
      <c r="H46" s="71"/>
      <c r="I46" s="71"/>
      <c r="J46" s="71"/>
      <c r="K46" s="71"/>
      <c r="L46" s="71"/>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row>
    <row r="47" spans="1:39" ht="18" customHeight="1">
      <c r="A47" s="45"/>
      <c r="B47" s="45"/>
      <c r="C47" s="45"/>
      <c r="D47" s="45"/>
      <c r="E47" s="45"/>
      <c r="F47" s="45"/>
      <c r="G47" s="45"/>
      <c r="H47" s="45"/>
      <c r="I47" s="45"/>
      <c r="J47" s="45"/>
      <c r="K47" s="45"/>
      <c r="L47" s="45"/>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row>
    <row r="48" spans="1:39" s="67" customFormat="1" ht="18" customHeight="1">
      <c r="A48" s="86" t="s">
        <v>180</v>
      </c>
      <c r="B48" s="96"/>
      <c r="C48" s="96"/>
      <c r="D48" s="96"/>
      <c r="E48" s="96"/>
      <c r="F48" s="96"/>
      <c r="G48" s="96"/>
      <c r="H48" s="96"/>
      <c r="I48" s="96"/>
      <c r="J48" s="96"/>
      <c r="K48" s="96"/>
      <c r="L48" s="9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row>
    <row r="49" spans="1:39" ht="32.25" customHeight="1">
      <c r="A49" s="115" t="s">
        <v>139</v>
      </c>
      <c r="B49" s="116" t="s">
        <v>140</v>
      </c>
      <c r="C49" s="118" t="s">
        <v>174</v>
      </c>
      <c r="D49" s="119"/>
      <c r="E49" s="120"/>
      <c r="F49" s="118" t="s">
        <v>175</v>
      </c>
      <c r="G49" s="119"/>
      <c r="H49" s="120"/>
      <c r="I49" s="97" t="s">
        <v>176</v>
      </c>
      <c r="J49" s="114" t="s">
        <v>177</v>
      </c>
      <c r="K49" s="114" t="s">
        <v>178</v>
      </c>
      <c r="L49" s="116" t="s">
        <v>139</v>
      </c>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row>
    <row r="50" spans="1:39" ht="18" customHeight="1">
      <c r="A50" s="115"/>
      <c r="B50" s="115"/>
      <c r="C50" s="98" t="s">
        <v>143</v>
      </c>
      <c r="D50" s="98" t="s">
        <v>144</v>
      </c>
      <c r="E50" s="98" t="s">
        <v>145</v>
      </c>
      <c r="F50" s="98" t="s">
        <v>143</v>
      </c>
      <c r="G50" s="98" t="s">
        <v>144</v>
      </c>
      <c r="H50" s="98" t="s">
        <v>145</v>
      </c>
      <c r="I50" s="98" t="s">
        <v>145</v>
      </c>
      <c r="J50" s="115"/>
      <c r="K50" s="115"/>
      <c r="L50" s="115"/>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row>
    <row r="51" spans="1:39" ht="18" customHeight="1">
      <c r="A51" s="90" t="s">
        <v>146</v>
      </c>
      <c r="B51" s="57"/>
      <c r="C51" s="90" t="s">
        <v>17</v>
      </c>
      <c r="D51" s="64">
        <f>TM!D131</f>
        <v>5000</v>
      </c>
      <c r="E51" s="91">
        <f>D51</f>
        <v>5000</v>
      </c>
      <c r="F51" s="90" t="s">
        <v>17</v>
      </c>
      <c r="G51" s="64">
        <f>TM!G131</f>
        <v>0</v>
      </c>
      <c r="H51" s="91">
        <f>G51</f>
        <v>0</v>
      </c>
      <c r="I51" s="91">
        <f>E51+H51</f>
        <v>5000</v>
      </c>
      <c r="J51" s="41">
        <f>TM!J131</f>
        <v>0</v>
      </c>
      <c r="K51" s="91">
        <f>I51+J51</f>
        <v>5000</v>
      </c>
      <c r="L51" s="70" t="str">
        <f>A51</f>
        <v>台灣</v>
      </c>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row>
    <row r="52" spans="1:39" ht="18" customHeight="1">
      <c r="A52" s="90" t="s">
        <v>147</v>
      </c>
      <c r="B52" s="57"/>
      <c r="C52" s="90" t="s">
        <v>57</v>
      </c>
      <c r="D52" s="64">
        <f>TM!D132</f>
        <v>0</v>
      </c>
      <c r="E52" s="91">
        <f>D52*$L$5</f>
        <v>0</v>
      </c>
      <c r="F52" s="90" t="s">
        <v>57</v>
      </c>
      <c r="G52" s="64">
        <f>TM!G132</f>
        <v>0</v>
      </c>
      <c r="H52" s="91">
        <f>G52*$L$5</f>
        <v>0</v>
      </c>
      <c r="I52" s="91">
        <f t="shared" ref="I52:I67" si="8">E52+H52</f>
        <v>0</v>
      </c>
      <c r="J52" s="41">
        <f>TM!J132</f>
        <v>3000</v>
      </c>
      <c r="K52" s="91">
        <f t="shared" ref="K52:K67" si="9">I52+J52</f>
        <v>3000</v>
      </c>
      <c r="L52" s="70" t="str">
        <f t="shared" ref="L52:L66" si="10">A52</f>
        <v>大陸</v>
      </c>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row>
    <row r="53" spans="1:39" ht="18" customHeight="1">
      <c r="A53" s="90" t="s">
        <v>148</v>
      </c>
      <c r="B53" s="57"/>
      <c r="C53" s="90" t="s">
        <v>19</v>
      </c>
      <c r="D53" s="64">
        <f>TM!D133</f>
        <v>300</v>
      </c>
      <c r="E53" s="91">
        <f>D53*$J$5</f>
        <v>9600</v>
      </c>
      <c r="F53" s="90" t="s">
        <v>19</v>
      </c>
      <c r="G53" s="64">
        <f>TM!G133</f>
        <v>515</v>
      </c>
      <c r="H53" s="91">
        <f>G53*$J$5</f>
        <v>16480</v>
      </c>
      <c r="I53" s="91">
        <f t="shared" si="8"/>
        <v>26080</v>
      </c>
      <c r="J53" s="41">
        <f>TM!J133</f>
        <v>17000</v>
      </c>
      <c r="K53" s="91">
        <f t="shared" si="9"/>
        <v>43080</v>
      </c>
      <c r="L53" s="70" t="str">
        <f t="shared" si="10"/>
        <v>美國</v>
      </c>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row>
    <row r="54" spans="1:39" ht="18" customHeight="1">
      <c r="A54" s="90" t="s">
        <v>149</v>
      </c>
      <c r="B54" s="57"/>
      <c r="C54" s="90" t="s">
        <v>58</v>
      </c>
      <c r="D54" s="64">
        <f>TM!D134</f>
        <v>0</v>
      </c>
      <c r="E54" s="91">
        <f>D54*$J$6</f>
        <v>0</v>
      </c>
      <c r="F54" s="90" t="s">
        <v>58</v>
      </c>
      <c r="G54" s="64">
        <f>TM!G134</f>
        <v>0</v>
      </c>
      <c r="H54" s="91">
        <f>G54*$J$6</f>
        <v>0</v>
      </c>
      <c r="I54" s="91">
        <f t="shared" si="8"/>
        <v>0</v>
      </c>
      <c r="J54" s="41">
        <f>TM!J134</f>
        <v>7000</v>
      </c>
      <c r="K54" s="91">
        <f t="shared" si="9"/>
        <v>7000</v>
      </c>
      <c r="L54" s="70" t="str">
        <f t="shared" si="10"/>
        <v>歐盟</v>
      </c>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row>
    <row r="55" spans="1:39" ht="18" customHeight="1">
      <c r="A55" s="70" t="s">
        <v>167</v>
      </c>
      <c r="B55" s="57"/>
      <c r="C55" s="90" t="s">
        <v>168</v>
      </c>
      <c r="D55" s="64">
        <f>TM!D135</f>
        <v>0</v>
      </c>
      <c r="E55" s="91">
        <f>D55*$J$11</f>
        <v>0</v>
      </c>
      <c r="F55" s="90" t="s">
        <v>20</v>
      </c>
      <c r="G55" s="64">
        <f>TM!G135</f>
        <v>0</v>
      </c>
      <c r="H55" s="91">
        <f>G55*$J$6</f>
        <v>0</v>
      </c>
      <c r="I55" s="91">
        <f t="shared" si="8"/>
        <v>0</v>
      </c>
      <c r="J55" s="41">
        <f>TM!J135</f>
        <v>7000</v>
      </c>
      <c r="K55" s="91">
        <f t="shared" si="9"/>
        <v>7000</v>
      </c>
      <c r="L55" s="70" t="str">
        <f t="shared" ref="L55" si="11">A55</f>
        <v>英國</v>
      </c>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row>
    <row r="56" spans="1:39" ht="18" customHeight="1">
      <c r="A56" s="90" t="s">
        <v>150</v>
      </c>
      <c r="B56" s="57"/>
      <c r="C56" s="90" t="s">
        <v>21</v>
      </c>
      <c r="D56" s="64">
        <f>TM!D136</f>
        <v>65800</v>
      </c>
      <c r="E56" s="91">
        <f>D56*$J$7</f>
        <v>13818</v>
      </c>
      <c r="F56" s="90" t="s">
        <v>21</v>
      </c>
      <c r="G56" s="64">
        <f>TM!G136</f>
        <v>22000</v>
      </c>
      <c r="H56" s="91">
        <f>G56*$J$7</f>
        <v>4620</v>
      </c>
      <c r="I56" s="91">
        <f t="shared" si="8"/>
        <v>18438</v>
      </c>
      <c r="J56" s="41">
        <f>TM!J136</f>
        <v>7000</v>
      </c>
      <c r="K56" s="91">
        <f t="shared" si="9"/>
        <v>25438</v>
      </c>
      <c r="L56" s="70" t="str">
        <f t="shared" si="10"/>
        <v>日本</v>
      </c>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row>
    <row r="57" spans="1:39" ht="18" customHeight="1">
      <c r="A57" s="90" t="s">
        <v>151</v>
      </c>
      <c r="B57" s="57"/>
      <c r="C57" s="90" t="s">
        <v>59</v>
      </c>
      <c r="D57" s="64">
        <f>TM!D137</f>
        <v>402000</v>
      </c>
      <c r="E57" s="91">
        <f>D57*$J$8</f>
        <v>10050</v>
      </c>
      <c r="F57" s="90" t="s">
        <v>60</v>
      </c>
      <c r="G57" s="64">
        <f>TM!G137</f>
        <v>460</v>
      </c>
      <c r="H57" s="91">
        <f>G57*$J$5</f>
        <v>14720</v>
      </c>
      <c r="I57" s="91">
        <f t="shared" si="8"/>
        <v>24770</v>
      </c>
      <c r="J57" s="41">
        <f>TM!J137</f>
        <v>7000</v>
      </c>
      <c r="K57" s="91">
        <f t="shared" si="9"/>
        <v>31770</v>
      </c>
      <c r="L57" s="70" t="str">
        <f t="shared" si="10"/>
        <v>韓國</v>
      </c>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row>
    <row r="58" spans="1:39" ht="18" customHeight="1">
      <c r="A58" s="90" t="s">
        <v>157</v>
      </c>
      <c r="B58" s="57"/>
      <c r="C58" s="90" t="s">
        <v>28</v>
      </c>
      <c r="D58" s="64">
        <f>TM!D138</f>
        <v>0</v>
      </c>
      <c r="E58" s="91">
        <f>D58*$L$9</f>
        <v>0</v>
      </c>
      <c r="F58" s="90" t="s">
        <v>28</v>
      </c>
      <c r="G58" s="64">
        <f>TM!G138</f>
        <v>525</v>
      </c>
      <c r="H58" s="91">
        <f>G58*$L$9</f>
        <v>12337.5</v>
      </c>
      <c r="I58" s="91">
        <f>E58+H58</f>
        <v>12337.5</v>
      </c>
      <c r="J58" s="41">
        <f>TM!J138</f>
        <v>7000</v>
      </c>
      <c r="K58" s="91">
        <f>I58+J58</f>
        <v>19337.5</v>
      </c>
      <c r="L58" s="70" t="str">
        <f>A58</f>
        <v>加拿大</v>
      </c>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1:39" ht="18" customHeight="1">
      <c r="A59" s="90" t="s">
        <v>158</v>
      </c>
      <c r="B59" s="57"/>
      <c r="C59" s="90" t="s">
        <v>67</v>
      </c>
      <c r="D59" s="64">
        <f>TM!D139</f>
        <v>0</v>
      </c>
      <c r="E59" s="91">
        <f>D59*$L$10</f>
        <v>0</v>
      </c>
      <c r="F59" s="90" t="s">
        <v>69</v>
      </c>
      <c r="G59" s="64">
        <f>TM!G139</f>
        <v>840</v>
      </c>
      <c r="H59" s="91">
        <f>G59*$L$10</f>
        <v>18228</v>
      </c>
      <c r="I59" s="91">
        <f>E59+H59</f>
        <v>18228</v>
      </c>
      <c r="J59" s="41">
        <f>TM!J139</f>
        <v>7000</v>
      </c>
      <c r="K59" s="91">
        <f>I59+J59</f>
        <v>25228</v>
      </c>
      <c r="L59" s="92" t="str">
        <f>A59</f>
        <v>澳洲</v>
      </c>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row>
    <row r="60" spans="1:39" ht="18" customHeight="1">
      <c r="A60" s="90" t="s">
        <v>152</v>
      </c>
      <c r="B60" s="57"/>
      <c r="C60" s="90" t="s">
        <v>23</v>
      </c>
      <c r="D60" s="64">
        <f>TM!D140</f>
        <v>0</v>
      </c>
      <c r="E60" s="91">
        <f>D60*$L$6</f>
        <v>0</v>
      </c>
      <c r="F60" s="90" t="s">
        <v>23</v>
      </c>
      <c r="G60" s="64">
        <f>TM!G140</f>
        <v>700</v>
      </c>
      <c r="H60" s="91">
        <f>G60*$L$6</f>
        <v>17500</v>
      </c>
      <c r="I60" s="91">
        <f t="shared" si="8"/>
        <v>17500</v>
      </c>
      <c r="J60" s="41">
        <f>TM!J140</f>
        <v>7000</v>
      </c>
      <c r="K60" s="91">
        <f t="shared" si="9"/>
        <v>24500</v>
      </c>
      <c r="L60" s="70" t="str">
        <f t="shared" si="10"/>
        <v>新加坡</v>
      </c>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row>
    <row r="61" spans="1:39" ht="18" customHeight="1">
      <c r="A61" s="90" t="s">
        <v>155</v>
      </c>
      <c r="B61" s="57"/>
      <c r="C61" s="90" t="s">
        <v>62</v>
      </c>
      <c r="D61" s="64">
        <f>TM!D141</f>
        <v>50</v>
      </c>
      <c r="E61" s="91">
        <f>D61*$L$8</f>
        <v>415.00000000000006</v>
      </c>
      <c r="F61" s="90" t="s">
        <v>26</v>
      </c>
      <c r="G61" s="64">
        <f>TM!G141</f>
        <v>424</v>
      </c>
      <c r="H61" s="91">
        <f>G61*$L$8</f>
        <v>3519.2000000000003</v>
      </c>
      <c r="I61" s="91">
        <f>E61+H61</f>
        <v>3934.2000000000003</v>
      </c>
      <c r="J61" s="41">
        <f>TM!J141</f>
        <v>7000</v>
      </c>
      <c r="K61" s="91">
        <f>I61+J61</f>
        <v>10934.2</v>
      </c>
      <c r="L61" s="70" t="str">
        <f>A61</f>
        <v>馬來西亞</v>
      </c>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row>
    <row r="62" spans="1:39" ht="18" customHeight="1">
      <c r="A62" s="70" t="s">
        <v>207</v>
      </c>
      <c r="B62" s="57"/>
      <c r="C62" s="90" t="s">
        <v>19</v>
      </c>
      <c r="D62" s="64">
        <f>TM!D142</f>
        <v>49</v>
      </c>
      <c r="E62" s="91">
        <f>D62*$J$5</f>
        <v>1568</v>
      </c>
      <c r="F62" s="90" t="s">
        <v>19</v>
      </c>
      <c r="G62" s="64">
        <f>TM!G142</f>
        <v>80</v>
      </c>
      <c r="H62" s="91">
        <f>G62*$J$5</f>
        <v>2560</v>
      </c>
      <c r="I62" s="91">
        <f>E62+H62</f>
        <v>4128</v>
      </c>
      <c r="J62" s="41">
        <f>TM!J142</f>
        <v>7000</v>
      </c>
      <c r="K62" s="91">
        <f>I62+J62</f>
        <v>11128</v>
      </c>
      <c r="L62" s="70" t="str">
        <f>A62</f>
        <v>菲律賓</v>
      </c>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row>
    <row r="63" spans="1:39" ht="18" customHeight="1">
      <c r="A63" s="90" t="s">
        <v>156</v>
      </c>
      <c r="B63" s="57"/>
      <c r="C63" s="90" t="s">
        <v>19</v>
      </c>
      <c r="D63" s="64">
        <f>TM!D143</f>
        <v>0</v>
      </c>
      <c r="E63" s="91">
        <f>D63*$J$5</f>
        <v>0</v>
      </c>
      <c r="F63" s="90" t="s">
        <v>19</v>
      </c>
      <c r="G63" s="64">
        <f>TM!G143</f>
        <v>150</v>
      </c>
      <c r="H63" s="91">
        <f>G63*$J$5</f>
        <v>4800</v>
      </c>
      <c r="I63" s="91">
        <f>E63+H63</f>
        <v>4800</v>
      </c>
      <c r="J63" s="41">
        <f>TM!J143</f>
        <v>7000</v>
      </c>
      <c r="K63" s="91">
        <f>I63+J63</f>
        <v>11800</v>
      </c>
      <c r="L63" s="70" t="str">
        <f>A63</f>
        <v>印尼</v>
      </c>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row>
    <row r="64" spans="1:39" ht="18" customHeight="1">
      <c r="A64" s="90" t="s">
        <v>153</v>
      </c>
      <c r="B64" s="57"/>
      <c r="C64" s="90" t="s">
        <v>61</v>
      </c>
      <c r="D64" s="64">
        <f>TM!D144</f>
        <v>460000</v>
      </c>
      <c r="E64" s="91">
        <f>D64*$L$7</f>
        <v>644</v>
      </c>
      <c r="F64" s="90" t="s">
        <v>19</v>
      </c>
      <c r="G64" s="64">
        <f>TM!G144</f>
        <v>177</v>
      </c>
      <c r="H64" s="91">
        <f>G64*$J$5</f>
        <v>5664</v>
      </c>
      <c r="I64" s="91">
        <f t="shared" si="8"/>
        <v>6308</v>
      </c>
      <c r="J64" s="41">
        <f>TM!J144</f>
        <v>7000</v>
      </c>
      <c r="K64" s="91">
        <f t="shared" si="9"/>
        <v>13308</v>
      </c>
      <c r="L64" s="70" t="str">
        <f t="shared" si="10"/>
        <v>越南</v>
      </c>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row>
    <row r="65" spans="1:39" ht="18" customHeight="1">
      <c r="A65" s="90" t="s">
        <v>154</v>
      </c>
      <c r="B65" s="57"/>
      <c r="C65" s="90" t="s">
        <v>25</v>
      </c>
      <c r="D65" s="64">
        <f>TM!D145</f>
        <v>10800</v>
      </c>
      <c r="E65" s="91">
        <f>D65*$J$9</f>
        <v>11880.000000000002</v>
      </c>
      <c r="F65" s="90" t="s">
        <v>25</v>
      </c>
      <c r="G65" s="64">
        <f>TM!G145</f>
        <v>3500</v>
      </c>
      <c r="H65" s="91">
        <f>G65*$J$9</f>
        <v>3850.0000000000005</v>
      </c>
      <c r="I65" s="91">
        <f t="shared" si="8"/>
        <v>15730.000000000002</v>
      </c>
      <c r="J65" s="41">
        <f>TM!J145</f>
        <v>7000</v>
      </c>
      <c r="K65" s="91">
        <f t="shared" si="9"/>
        <v>22730</v>
      </c>
      <c r="L65" s="70" t="str">
        <f t="shared" si="10"/>
        <v>泰國</v>
      </c>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row>
    <row r="66" spans="1:39" ht="18" customHeight="1">
      <c r="A66" s="70" t="s">
        <v>160</v>
      </c>
      <c r="B66" s="57"/>
      <c r="C66" s="90" t="s">
        <v>166</v>
      </c>
      <c r="D66" s="64">
        <f>TM!D146</f>
        <v>0</v>
      </c>
      <c r="E66" s="91">
        <f>D66*$J$10</f>
        <v>0</v>
      </c>
      <c r="F66" s="90" t="s">
        <v>18</v>
      </c>
      <c r="G66" s="64">
        <f>TM!G146</f>
        <v>1860</v>
      </c>
      <c r="H66" s="91">
        <f>G66*$L$5</f>
        <v>8556</v>
      </c>
      <c r="I66" s="91">
        <f t="shared" si="8"/>
        <v>8556</v>
      </c>
      <c r="J66" s="41">
        <f>TM!J146</f>
        <v>7000</v>
      </c>
      <c r="K66" s="91">
        <f t="shared" si="9"/>
        <v>15556</v>
      </c>
      <c r="L66" s="70" t="str">
        <f t="shared" si="10"/>
        <v>香港</v>
      </c>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row>
    <row r="67" spans="1:39" ht="18" customHeight="1">
      <c r="A67" s="70" t="s">
        <v>161</v>
      </c>
      <c r="B67" s="57"/>
      <c r="C67" s="90" t="s">
        <v>19</v>
      </c>
      <c r="D67" s="64">
        <f>TM!D147</f>
        <v>0</v>
      </c>
      <c r="E67" s="91">
        <f>D67*$J$5</f>
        <v>0</v>
      </c>
      <c r="F67" s="90" t="s">
        <v>19</v>
      </c>
      <c r="G67" s="64">
        <f>TM!G147</f>
        <v>0</v>
      </c>
      <c r="H67" s="91">
        <f>G67*$J$5</f>
        <v>0</v>
      </c>
      <c r="I67" s="91">
        <f t="shared" si="8"/>
        <v>0</v>
      </c>
      <c r="J67" s="41">
        <f>TM!J147</f>
        <v>10000</v>
      </c>
      <c r="K67" s="91">
        <f t="shared" si="9"/>
        <v>10000</v>
      </c>
      <c r="L67" s="70" t="str">
        <f t="shared" ref="L67" si="12">A67</f>
        <v>澳門</v>
      </c>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row>
    <row r="68" spans="1:39" ht="18" customHeight="1">
      <c r="A68" s="70" t="s">
        <v>208</v>
      </c>
      <c r="B68" s="57"/>
      <c r="C68" s="90" t="s">
        <v>19</v>
      </c>
      <c r="D68" s="64">
        <f>TM!D148</f>
        <v>0</v>
      </c>
      <c r="E68" s="91">
        <f>D68*$J$5</f>
        <v>0</v>
      </c>
      <c r="F68" s="90" t="s">
        <v>19</v>
      </c>
      <c r="G68" s="64">
        <f>TM!G148</f>
        <v>400</v>
      </c>
      <c r="H68" s="91">
        <f>G68*$J$5</f>
        <v>12800</v>
      </c>
      <c r="I68" s="91">
        <f t="shared" ref="I68" si="13">E68+H68</f>
        <v>12800</v>
      </c>
      <c r="J68" s="41">
        <f>TM!J148</f>
        <v>7000</v>
      </c>
      <c r="K68" s="91">
        <f t="shared" ref="K68" si="14">I68+J68</f>
        <v>19800</v>
      </c>
      <c r="L68" s="70" t="str">
        <f t="shared" ref="L68" si="15">A68</f>
        <v>印度</v>
      </c>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row>
    <row r="69" spans="1:39" ht="20.100000000000001" customHeight="1">
      <c r="A69" s="57"/>
      <c r="B69" s="57"/>
      <c r="C69" s="57"/>
      <c r="D69" s="58" t="s">
        <v>159</v>
      </c>
      <c r="E69" s="59">
        <f>SUM(E51:E68)</f>
        <v>52975</v>
      </c>
      <c r="F69" s="57"/>
      <c r="G69" s="58" t="s">
        <v>159</v>
      </c>
      <c r="H69" s="60">
        <f>SUM(H51:H68)</f>
        <v>125634.7</v>
      </c>
      <c r="I69" s="61">
        <f>SUM(I51:I68)</f>
        <v>178609.7</v>
      </c>
      <c r="J69" s="62">
        <f>SUM(J51:J68)</f>
        <v>128000</v>
      </c>
      <c r="K69" s="63">
        <f>SUM(K51:K68)</f>
        <v>306609.7</v>
      </c>
      <c r="L69" s="70"/>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row>
    <row r="70" spans="1:39" s="72" customFormat="1" ht="16.5">
      <c r="A70" s="101" t="str">
        <f>IF(OR(TM!$E$6=TRUE,TM!$E$7=TRUE,TM!$E$8=TRUE),IF(TM!$P$17=TRUE,"備註：美國商標案之申請基礎為意圖使用者，在領取商標註冊證前必需提呈商標使用聲明，此部分程序之預估費用已包含在上表中。",""),"")</f>
        <v>備註：美國商標案之申請基礎為意圖使用者，在領取商標註冊證前必需提呈商標使用聲明，此部分程序之預估費用已包含在上表中。</v>
      </c>
      <c r="B70" s="102"/>
      <c r="C70" s="71"/>
      <c r="D70" s="71"/>
      <c r="E70" s="71"/>
      <c r="F70" s="71"/>
      <c r="G70" s="71"/>
      <c r="H70" s="71"/>
      <c r="I70" s="71"/>
      <c r="J70" s="71"/>
      <c r="K70" s="71"/>
      <c r="L70" s="71"/>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row>
    <row r="71" spans="1:39" ht="16.5">
      <c r="A71" s="71"/>
      <c r="B71" s="52"/>
      <c r="C71" s="45"/>
      <c r="D71" s="45"/>
      <c r="E71" s="45"/>
      <c r="F71" s="45"/>
      <c r="G71" s="45"/>
      <c r="H71" s="45"/>
      <c r="I71" s="45"/>
      <c r="J71" s="45"/>
      <c r="K71" s="45"/>
      <c r="L71" s="45"/>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row>
    <row r="72" spans="1:39" ht="16.5">
      <c r="A72" s="71"/>
      <c r="B72" s="52"/>
      <c r="C72" s="45"/>
      <c r="D72" s="45"/>
      <c r="E72" s="45"/>
      <c r="F72" s="45"/>
      <c r="G72" s="45"/>
      <c r="H72" s="45"/>
      <c r="I72" s="45"/>
      <c r="J72" s="45"/>
      <c r="K72" s="45"/>
      <c r="L72" s="45"/>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row>
    <row r="73" spans="1:39" s="67" customFormat="1" ht="18" customHeight="1">
      <c r="A73" s="86" t="s">
        <v>181</v>
      </c>
      <c r="B73" s="96"/>
      <c r="C73" s="96"/>
      <c r="D73" s="96"/>
      <c r="E73" s="96"/>
      <c r="F73" s="96"/>
      <c r="G73" s="96"/>
      <c r="H73" s="96"/>
      <c r="I73" s="96"/>
      <c r="J73" s="96"/>
      <c r="K73" s="96"/>
      <c r="L73" s="9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row>
    <row r="74" spans="1:39">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row>
    <row r="75" spans="1:39">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row>
    <row r="76" spans="1:39">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row>
    <row r="77" spans="1:39">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row>
    <row r="78" spans="1:39">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row>
    <row r="79" spans="1:39">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row>
    <row r="80" spans="1:39">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row>
    <row r="81" spans="1:39">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row>
    <row r="82" spans="1:39">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row>
    <row r="83" spans="1:39">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row>
    <row r="84" spans="1:39">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row>
    <row r="85" spans="1:39">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row>
    <row r="86" spans="1:39">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row>
    <row r="87" spans="1:39">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row>
    <row r="88" spans="1:39">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row>
    <row r="89" spans="1:39">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row>
    <row r="90" spans="1:39">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row>
    <row r="91" spans="1:39">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row>
    <row r="92" spans="1:39">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row>
    <row r="93" spans="1:39">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row>
    <row r="94" spans="1:39">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row>
    <row r="95" spans="1:39">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row>
    <row r="96" spans="1:39">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row>
    <row r="97" spans="1:39">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row>
    <row r="98" spans="1:39">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row>
    <row r="99" spans="1:39">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row>
    <row r="100" spans="1:39">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row>
    <row r="101" spans="1:39">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row>
    <row r="102" spans="1:39">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row>
    <row r="103" spans="1:39">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row>
    <row r="104" spans="1:39">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row>
    <row r="105" spans="1:39">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row>
    <row r="106" spans="1:39">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row>
    <row r="107" spans="1:39">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row>
    <row r="108" spans="1:39">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row>
    <row r="109" spans="1:39">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row>
    <row r="110" spans="1:39">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row>
    <row r="111" spans="1:39">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row>
    <row r="112" spans="1:39">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row>
    <row r="113" spans="1:39">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row>
    <row r="114" spans="1:39">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row>
    <row r="115" spans="1:39">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row>
    <row r="116" spans="1:39">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row>
    <row r="117" spans="1:39">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row>
    <row r="118" spans="1:39">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row>
    <row r="119" spans="1:39">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row>
    <row r="120" spans="1:39">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row>
    <row r="121" spans="1:39">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row>
    <row r="122" spans="1:39">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row>
    <row r="123" spans="1:39">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row>
    <row r="124" spans="1:39">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row>
    <row r="125" spans="1:39">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row>
    <row r="126" spans="1:39">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row>
    <row r="127" spans="1:39">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row>
    <row r="128" spans="1:39">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row>
    <row r="129" spans="1:39">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row>
    <row r="130" spans="1:39">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row>
    <row r="131" spans="1:39">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row>
    <row r="132" spans="1:39">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row>
    <row r="133" spans="1:39">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row>
    <row r="134" spans="1:39">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row>
    <row r="135" spans="1:39">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row>
    <row r="136" spans="1:39">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row>
    <row r="137" spans="1:39">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42"/>
      <c r="AM137" s="42"/>
    </row>
    <row r="138" spans="1:39">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row>
    <row r="139" spans="1:39">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row>
    <row r="140" spans="1:39">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row>
    <row r="141" spans="1:39">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row>
    <row r="142" spans="1:39">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row>
    <row r="143" spans="1:39">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row>
    <row r="144" spans="1:39">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row>
    <row r="145" spans="1:39">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row>
    <row r="146" spans="1:39">
      <c r="A146" s="42"/>
      <c r="B146" s="42"/>
      <c r="C146" s="42"/>
      <c r="D146" s="42"/>
      <c r="E146" s="42"/>
      <c r="F146" s="42"/>
      <c r="G146" s="42"/>
      <c r="H146" s="42"/>
      <c r="I146" s="42"/>
      <c r="J146" s="42"/>
      <c r="K146" s="42"/>
      <c r="L146" s="42"/>
      <c r="M146" s="42"/>
      <c r="N146" s="42"/>
      <c r="O146" s="42"/>
      <c r="P146" s="42"/>
      <c r="Q146" s="42"/>
      <c r="R146" s="42"/>
      <c r="S146" s="42"/>
      <c r="T146" s="42"/>
      <c r="U146" s="42"/>
    </row>
    <row r="147" spans="1:39">
      <c r="A147" s="42"/>
      <c r="B147" s="42"/>
      <c r="C147" s="42"/>
      <c r="D147" s="42"/>
      <c r="E147" s="42"/>
      <c r="F147" s="42"/>
      <c r="G147" s="42"/>
      <c r="H147" s="42"/>
      <c r="I147" s="42"/>
      <c r="J147" s="42"/>
      <c r="K147" s="42"/>
      <c r="L147" s="42"/>
      <c r="M147" s="42"/>
      <c r="N147" s="42"/>
      <c r="O147" s="42"/>
      <c r="P147" s="42"/>
      <c r="Q147" s="42"/>
      <c r="R147" s="42"/>
      <c r="S147" s="42"/>
      <c r="T147" s="42"/>
      <c r="U147" s="42"/>
    </row>
    <row r="148" spans="1:39">
      <c r="A148" s="42"/>
      <c r="B148" s="42"/>
      <c r="C148" s="42"/>
      <c r="D148" s="42"/>
      <c r="E148" s="42"/>
      <c r="F148" s="42"/>
      <c r="G148" s="42"/>
      <c r="H148" s="42"/>
      <c r="I148" s="42"/>
      <c r="J148" s="42"/>
      <c r="K148" s="42"/>
      <c r="L148" s="42"/>
      <c r="M148" s="42"/>
      <c r="N148" s="42"/>
      <c r="O148" s="42"/>
      <c r="P148" s="42"/>
      <c r="Q148" s="42"/>
      <c r="R148" s="42"/>
      <c r="S148" s="42"/>
      <c r="T148" s="42"/>
      <c r="U148" s="42"/>
    </row>
    <row r="149" spans="1:39">
      <c r="A149" s="42"/>
      <c r="B149" s="42"/>
      <c r="C149" s="42"/>
      <c r="D149" s="42"/>
      <c r="E149" s="42"/>
      <c r="F149" s="42"/>
      <c r="G149" s="42"/>
      <c r="H149" s="42"/>
      <c r="I149" s="42"/>
      <c r="J149" s="42"/>
      <c r="K149" s="42"/>
      <c r="L149" s="42"/>
      <c r="M149" s="42"/>
      <c r="N149" s="42"/>
      <c r="O149" s="42"/>
      <c r="P149" s="42"/>
      <c r="Q149" s="42"/>
      <c r="R149" s="42"/>
      <c r="S149" s="42"/>
      <c r="T149" s="42"/>
      <c r="U149" s="42"/>
    </row>
    <row r="150" spans="1:39">
      <c r="A150" s="42"/>
      <c r="B150" s="42"/>
      <c r="C150" s="42"/>
      <c r="D150" s="42"/>
      <c r="E150" s="42"/>
      <c r="F150" s="42"/>
      <c r="G150" s="42"/>
      <c r="H150" s="42"/>
      <c r="I150" s="42"/>
      <c r="J150" s="42"/>
      <c r="K150" s="42"/>
      <c r="L150" s="42"/>
      <c r="M150" s="42"/>
      <c r="N150" s="42"/>
      <c r="O150" s="42"/>
      <c r="P150" s="42"/>
      <c r="Q150" s="42"/>
      <c r="R150" s="42"/>
      <c r="S150" s="42"/>
      <c r="T150" s="42"/>
      <c r="U150" s="42"/>
    </row>
    <row r="151" spans="1:39">
      <c r="A151" s="42"/>
      <c r="B151" s="42"/>
      <c r="C151" s="42"/>
      <c r="D151" s="42"/>
      <c r="E151" s="42"/>
      <c r="F151" s="42"/>
      <c r="G151" s="42"/>
      <c r="H151" s="42"/>
      <c r="I151" s="42"/>
      <c r="J151" s="42"/>
      <c r="K151" s="42"/>
      <c r="L151" s="42"/>
      <c r="M151" s="42"/>
      <c r="N151" s="42"/>
      <c r="O151" s="42"/>
      <c r="P151" s="42"/>
      <c r="Q151" s="42"/>
      <c r="R151" s="42"/>
      <c r="S151" s="42"/>
      <c r="T151" s="42"/>
      <c r="U151" s="42"/>
    </row>
    <row r="152" spans="1:39">
      <c r="A152" s="42"/>
      <c r="B152" s="42"/>
      <c r="C152" s="42"/>
      <c r="D152" s="42"/>
      <c r="E152" s="42"/>
      <c r="F152" s="42"/>
      <c r="G152" s="42"/>
      <c r="H152" s="42"/>
      <c r="I152" s="42"/>
      <c r="J152" s="42"/>
      <c r="K152" s="42"/>
      <c r="L152" s="42"/>
      <c r="M152" s="42"/>
      <c r="N152" s="42"/>
      <c r="O152" s="42"/>
      <c r="P152" s="42"/>
      <c r="Q152" s="42"/>
      <c r="R152" s="42"/>
      <c r="S152" s="42"/>
      <c r="T152" s="42"/>
      <c r="U152" s="42"/>
    </row>
    <row r="153" spans="1:39">
      <c r="A153" s="42"/>
      <c r="B153" s="42"/>
      <c r="C153" s="42"/>
      <c r="D153" s="42"/>
      <c r="E153" s="42"/>
      <c r="F153" s="42"/>
      <c r="G153" s="42"/>
      <c r="H153" s="42"/>
      <c r="I153" s="42"/>
      <c r="J153" s="42"/>
      <c r="K153" s="42"/>
      <c r="L153" s="42"/>
      <c r="M153" s="42"/>
      <c r="N153" s="42"/>
      <c r="O153" s="42"/>
      <c r="P153" s="42"/>
      <c r="Q153" s="42"/>
      <c r="R153" s="42"/>
      <c r="S153" s="42"/>
      <c r="T153" s="42"/>
      <c r="U153" s="42"/>
    </row>
    <row r="154" spans="1:39">
      <c r="A154" s="42"/>
      <c r="B154" s="42"/>
      <c r="C154" s="42"/>
      <c r="D154" s="42"/>
      <c r="E154" s="42"/>
      <c r="F154" s="42"/>
      <c r="G154" s="42"/>
      <c r="H154" s="42"/>
      <c r="I154" s="42"/>
      <c r="J154" s="42"/>
      <c r="K154" s="42"/>
      <c r="L154" s="42"/>
      <c r="M154" s="42"/>
      <c r="N154" s="42"/>
      <c r="O154" s="42"/>
      <c r="P154" s="42"/>
      <c r="Q154" s="42"/>
      <c r="R154" s="42"/>
      <c r="S154" s="42"/>
      <c r="T154" s="42"/>
      <c r="U154" s="42"/>
    </row>
    <row r="155" spans="1:39">
      <c r="A155" s="42"/>
      <c r="B155" s="42"/>
      <c r="C155" s="42"/>
      <c r="D155" s="42"/>
      <c r="E155" s="42"/>
      <c r="F155" s="42"/>
      <c r="G155" s="42"/>
      <c r="H155" s="42"/>
      <c r="I155" s="42"/>
      <c r="J155" s="42"/>
      <c r="K155" s="42"/>
      <c r="L155" s="42"/>
      <c r="M155" s="42"/>
      <c r="N155" s="42"/>
      <c r="O155" s="42"/>
      <c r="P155" s="42"/>
      <c r="Q155" s="42"/>
      <c r="R155" s="42"/>
      <c r="S155" s="42"/>
      <c r="T155" s="42"/>
      <c r="U155" s="42"/>
    </row>
    <row r="156" spans="1:39">
      <c r="A156" s="42"/>
      <c r="B156" s="42"/>
      <c r="C156" s="42"/>
      <c r="D156" s="42"/>
      <c r="E156" s="42"/>
      <c r="F156" s="42"/>
      <c r="G156" s="42"/>
      <c r="H156" s="42"/>
      <c r="I156" s="42"/>
      <c r="J156" s="42"/>
      <c r="K156" s="42"/>
      <c r="L156" s="42"/>
      <c r="M156" s="42"/>
      <c r="N156" s="42"/>
      <c r="O156" s="42"/>
      <c r="P156" s="42"/>
      <c r="Q156" s="42"/>
      <c r="R156" s="42"/>
      <c r="S156" s="42"/>
      <c r="T156" s="42"/>
      <c r="U156" s="42"/>
    </row>
    <row r="157" spans="1:39">
      <c r="A157" s="42"/>
      <c r="B157" s="42"/>
      <c r="C157" s="42"/>
      <c r="D157" s="42"/>
      <c r="E157" s="42"/>
      <c r="F157" s="42"/>
      <c r="G157" s="42"/>
      <c r="H157" s="42"/>
      <c r="I157" s="42"/>
      <c r="J157" s="42"/>
      <c r="K157" s="42"/>
      <c r="L157" s="42"/>
      <c r="M157" s="42"/>
      <c r="N157" s="42"/>
      <c r="O157" s="42"/>
      <c r="P157" s="42"/>
      <c r="Q157" s="42"/>
      <c r="R157" s="42"/>
      <c r="S157" s="42"/>
      <c r="T157" s="42"/>
      <c r="U157" s="42"/>
    </row>
    <row r="158" spans="1:39">
      <c r="A158" s="42"/>
      <c r="B158" s="42"/>
      <c r="C158" s="42"/>
      <c r="D158" s="42"/>
      <c r="E158" s="42"/>
      <c r="F158" s="42"/>
      <c r="G158" s="42"/>
      <c r="H158" s="42"/>
      <c r="I158" s="42"/>
      <c r="J158" s="42"/>
      <c r="K158" s="42"/>
      <c r="L158" s="42"/>
      <c r="M158" s="42"/>
      <c r="N158" s="42"/>
      <c r="O158" s="42"/>
      <c r="P158" s="42"/>
      <c r="Q158" s="42"/>
      <c r="R158" s="42"/>
      <c r="S158" s="42"/>
      <c r="T158" s="42"/>
      <c r="U158" s="42"/>
    </row>
    <row r="159" spans="1:39">
      <c r="A159" s="42"/>
      <c r="B159" s="42"/>
      <c r="C159" s="42"/>
      <c r="D159" s="42"/>
      <c r="E159" s="42"/>
      <c r="F159" s="42"/>
      <c r="G159" s="42"/>
      <c r="H159" s="42"/>
      <c r="I159" s="42"/>
      <c r="J159" s="42"/>
      <c r="K159" s="42"/>
      <c r="L159" s="42"/>
      <c r="M159" s="42"/>
      <c r="N159" s="42"/>
      <c r="O159" s="42"/>
      <c r="P159" s="42"/>
      <c r="Q159" s="42"/>
      <c r="R159" s="42"/>
      <c r="S159" s="42"/>
      <c r="T159" s="42"/>
      <c r="U159" s="42"/>
    </row>
    <row r="160" spans="1:39">
      <c r="A160" s="42"/>
      <c r="B160" s="42"/>
      <c r="C160" s="42"/>
      <c r="D160" s="42"/>
      <c r="E160" s="42"/>
      <c r="F160" s="42"/>
      <c r="G160" s="42"/>
      <c r="H160" s="42"/>
      <c r="I160" s="42"/>
      <c r="J160" s="42"/>
      <c r="K160" s="42"/>
      <c r="L160" s="42"/>
      <c r="M160" s="42"/>
      <c r="N160" s="42"/>
      <c r="O160" s="42"/>
      <c r="P160" s="42"/>
      <c r="Q160" s="42"/>
      <c r="R160" s="42"/>
      <c r="S160" s="42"/>
      <c r="T160" s="42"/>
      <c r="U160" s="42"/>
    </row>
    <row r="161" spans="1:21">
      <c r="A161" s="42"/>
      <c r="B161" s="42"/>
      <c r="C161" s="42"/>
      <c r="D161" s="42"/>
      <c r="E161" s="42"/>
      <c r="F161" s="42"/>
      <c r="G161" s="42"/>
      <c r="H161" s="42"/>
      <c r="I161" s="42"/>
      <c r="J161" s="42"/>
      <c r="K161" s="42"/>
      <c r="L161" s="42"/>
      <c r="M161" s="42"/>
      <c r="N161" s="42"/>
      <c r="O161" s="42"/>
      <c r="P161" s="42"/>
      <c r="Q161" s="42"/>
      <c r="R161" s="42"/>
      <c r="S161" s="42"/>
      <c r="T161" s="42"/>
      <c r="U161" s="42"/>
    </row>
    <row r="162" spans="1:21">
      <c r="A162" s="42"/>
      <c r="B162" s="42"/>
      <c r="C162" s="42"/>
      <c r="D162" s="42"/>
      <c r="E162" s="42"/>
      <c r="F162" s="42"/>
      <c r="G162" s="42"/>
      <c r="H162" s="42"/>
      <c r="I162" s="42"/>
      <c r="J162" s="42"/>
      <c r="K162" s="42"/>
      <c r="L162" s="42"/>
      <c r="M162" s="42"/>
      <c r="N162" s="42"/>
      <c r="O162" s="42"/>
      <c r="P162" s="42"/>
      <c r="Q162" s="42"/>
      <c r="R162" s="42"/>
      <c r="S162" s="42"/>
      <c r="T162" s="42"/>
      <c r="U162" s="42"/>
    </row>
    <row r="163" spans="1:21">
      <c r="A163" s="42"/>
      <c r="B163" s="42"/>
      <c r="C163" s="42"/>
      <c r="D163" s="42"/>
      <c r="E163" s="42"/>
      <c r="F163" s="42"/>
      <c r="G163" s="42"/>
      <c r="H163" s="42"/>
      <c r="I163" s="42"/>
      <c r="J163" s="42"/>
      <c r="K163" s="42"/>
      <c r="L163" s="42"/>
      <c r="M163" s="42"/>
      <c r="N163" s="42"/>
      <c r="O163" s="42"/>
      <c r="P163" s="42"/>
      <c r="Q163" s="42"/>
      <c r="R163" s="42"/>
      <c r="S163" s="42"/>
      <c r="T163" s="42"/>
      <c r="U163" s="42"/>
    </row>
    <row r="164" spans="1:21">
      <c r="A164" s="42"/>
      <c r="B164" s="42"/>
      <c r="C164" s="42"/>
      <c r="D164" s="42"/>
      <c r="E164" s="42"/>
      <c r="F164" s="42"/>
      <c r="G164" s="42"/>
      <c r="H164" s="42"/>
      <c r="I164" s="42"/>
      <c r="J164" s="42"/>
      <c r="K164" s="42"/>
      <c r="L164" s="42"/>
      <c r="M164" s="42"/>
      <c r="N164" s="42"/>
      <c r="O164" s="42"/>
      <c r="P164" s="42"/>
      <c r="Q164" s="42"/>
      <c r="R164" s="42"/>
      <c r="S164" s="42"/>
      <c r="T164" s="42"/>
      <c r="U164" s="42"/>
    </row>
    <row r="165" spans="1:21">
      <c r="A165" s="42"/>
      <c r="B165" s="42"/>
      <c r="C165" s="42"/>
      <c r="D165" s="42"/>
      <c r="E165" s="42"/>
      <c r="F165" s="42"/>
      <c r="G165" s="42"/>
      <c r="H165" s="42"/>
      <c r="I165" s="42"/>
      <c r="J165" s="42"/>
      <c r="K165" s="42"/>
      <c r="L165" s="42"/>
      <c r="M165" s="42"/>
      <c r="N165" s="42"/>
      <c r="O165" s="42"/>
      <c r="P165" s="42"/>
      <c r="Q165" s="42"/>
      <c r="R165" s="42"/>
      <c r="S165" s="42"/>
      <c r="T165" s="42"/>
      <c r="U165" s="42"/>
    </row>
    <row r="166" spans="1:21">
      <c r="A166" s="42"/>
      <c r="B166" s="42"/>
      <c r="C166" s="42"/>
      <c r="D166" s="42"/>
      <c r="E166" s="42"/>
      <c r="F166" s="42"/>
      <c r="G166" s="42"/>
      <c r="H166" s="42"/>
      <c r="I166" s="42"/>
      <c r="J166" s="42"/>
      <c r="K166" s="42"/>
      <c r="L166" s="42"/>
      <c r="M166" s="42"/>
      <c r="N166" s="42"/>
      <c r="O166" s="42"/>
      <c r="P166" s="42"/>
      <c r="Q166" s="42"/>
      <c r="R166" s="42"/>
      <c r="S166" s="42"/>
      <c r="T166" s="42"/>
      <c r="U166" s="42"/>
    </row>
    <row r="167" spans="1:21">
      <c r="A167" s="42"/>
      <c r="B167" s="42"/>
      <c r="C167" s="42"/>
      <c r="D167" s="42"/>
      <c r="E167" s="42"/>
      <c r="F167" s="42"/>
      <c r="G167" s="42"/>
      <c r="H167" s="42"/>
      <c r="I167" s="42"/>
      <c r="J167" s="42"/>
      <c r="K167" s="42"/>
      <c r="L167" s="42"/>
      <c r="M167" s="42"/>
      <c r="N167" s="42"/>
      <c r="O167" s="42"/>
      <c r="P167" s="42"/>
      <c r="Q167" s="42"/>
      <c r="R167" s="42"/>
      <c r="S167" s="42"/>
      <c r="T167" s="42"/>
      <c r="U167" s="42"/>
    </row>
    <row r="168" spans="1:21">
      <c r="A168" s="42"/>
      <c r="B168" s="42"/>
      <c r="C168" s="42"/>
      <c r="D168" s="42"/>
      <c r="E168" s="42"/>
      <c r="F168" s="42"/>
      <c r="G168" s="42"/>
      <c r="H168" s="42"/>
      <c r="I168" s="42"/>
      <c r="J168" s="42"/>
      <c r="K168" s="42"/>
      <c r="L168" s="42"/>
      <c r="M168" s="42"/>
      <c r="N168" s="42"/>
      <c r="O168" s="42"/>
      <c r="P168" s="42"/>
      <c r="Q168" s="42"/>
      <c r="R168" s="42"/>
      <c r="S168" s="42"/>
      <c r="T168" s="42"/>
      <c r="U168" s="42"/>
    </row>
    <row r="169" spans="1:21">
      <c r="A169" s="42"/>
      <c r="B169" s="42"/>
      <c r="C169" s="42"/>
      <c r="D169" s="42"/>
      <c r="E169" s="42"/>
      <c r="F169" s="42"/>
      <c r="G169" s="42"/>
      <c r="H169" s="42"/>
      <c r="I169" s="42"/>
      <c r="J169" s="42"/>
      <c r="K169" s="42"/>
      <c r="L169" s="42"/>
      <c r="M169" s="42"/>
      <c r="N169" s="42"/>
      <c r="O169" s="42"/>
      <c r="P169" s="42"/>
      <c r="Q169" s="42"/>
      <c r="R169" s="42"/>
      <c r="S169" s="42"/>
      <c r="T169" s="42"/>
      <c r="U169" s="42"/>
    </row>
    <row r="170" spans="1:21">
      <c r="A170" s="42"/>
      <c r="B170" s="42"/>
      <c r="C170" s="42"/>
      <c r="D170" s="42"/>
      <c r="E170" s="42"/>
      <c r="F170" s="42"/>
      <c r="G170" s="42"/>
      <c r="H170" s="42"/>
      <c r="I170" s="42"/>
      <c r="J170" s="42"/>
      <c r="K170" s="42"/>
      <c r="L170" s="42"/>
      <c r="M170" s="42"/>
      <c r="N170" s="42"/>
      <c r="O170" s="42"/>
      <c r="P170" s="42"/>
      <c r="Q170" s="42"/>
      <c r="R170" s="42"/>
      <c r="S170" s="42"/>
      <c r="T170" s="42"/>
      <c r="U170" s="42"/>
    </row>
    <row r="171" spans="1:21">
      <c r="A171" s="42"/>
      <c r="B171" s="42"/>
      <c r="C171" s="42"/>
      <c r="D171" s="42"/>
      <c r="E171" s="42"/>
      <c r="F171" s="42"/>
      <c r="G171" s="42"/>
      <c r="H171" s="42"/>
      <c r="I171" s="42"/>
      <c r="J171" s="42"/>
      <c r="K171" s="42"/>
      <c r="L171" s="42"/>
      <c r="M171" s="42"/>
      <c r="N171" s="42"/>
      <c r="O171" s="42"/>
      <c r="P171" s="42"/>
      <c r="Q171" s="42"/>
      <c r="R171" s="42"/>
      <c r="S171" s="42"/>
      <c r="T171" s="42"/>
      <c r="U171" s="42"/>
    </row>
    <row r="172" spans="1:21">
      <c r="A172" s="42"/>
      <c r="B172" s="42"/>
      <c r="C172" s="42"/>
      <c r="D172" s="42"/>
      <c r="E172" s="42"/>
      <c r="F172" s="42"/>
      <c r="G172" s="42"/>
      <c r="H172" s="42"/>
      <c r="I172" s="42"/>
      <c r="J172" s="42"/>
      <c r="K172" s="42"/>
      <c r="L172" s="42"/>
      <c r="M172" s="42"/>
      <c r="N172" s="42"/>
      <c r="O172" s="42"/>
      <c r="P172" s="42"/>
      <c r="Q172" s="42"/>
      <c r="R172" s="42"/>
      <c r="S172" s="42"/>
      <c r="T172" s="42"/>
      <c r="U172" s="42"/>
    </row>
    <row r="173" spans="1:21">
      <c r="A173" s="42"/>
      <c r="B173" s="42"/>
      <c r="C173" s="42"/>
      <c r="D173" s="42"/>
      <c r="E173" s="42"/>
      <c r="F173" s="42"/>
      <c r="G173" s="42"/>
      <c r="H173" s="42"/>
      <c r="I173" s="42"/>
      <c r="J173" s="42"/>
      <c r="K173" s="42"/>
      <c r="L173" s="42"/>
      <c r="M173" s="42"/>
      <c r="N173" s="42"/>
      <c r="O173" s="42"/>
      <c r="P173" s="42"/>
      <c r="Q173" s="42"/>
      <c r="R173" s="42"/>
      <c r="S173" s="42"/>
      <c r="T173" s="42"/>
      <c r="U173" s="42"/>
    </row>
    <row r="174" spans="1:21">
      <c r="A174" s="42"/>
      <c r="B174" s="42"/>
      <c r="C174" s="42"/>
      <c r="D174" s="42"/>
      <c r="E174" s="42"/>
      <c r="F174" s="42"/>
      <c r="G174" s="42"/>
      <c r="H174" s="42"/>
      <c r="I174" s="42"/>
      <c r="J174" s="42"/>
      <c r="K174" s="42"/>
      <c r="L174" s="42"/>
      <c r="M174" s="42"/>
      <c r="N174" s="42"/>
      <c r="O174" s="42"/>
      <c r="P174" s="42"/>
      <c r="Q174" s="42"/>
      <c r="R174" s="42"/>
      <c r="S174" s="42"/>
      <c r="T174" s="42"/>
      <c r="U174" s="42"/>
    </row>
    <row r="175" spans="1:21">
      <c r="A175" s="42"/>
      <c r="B175" s="42"/>
      <c r="C175" s="42"/>
      <c r="D175" s="42"/>
      <c r="E175" s="42"/>
      <c r="F175" s="42"/>
      <c r="G175" s="42"/>
      <c r="H175" s="42"/>
      <c r="I175" s="42"/>
      <c r="J175" s="42"/>
      <c r="K175" s="42"/>
      <c r="L175" s="42"/>
      <c r="M175" s="42"/>
      <c r="N175" s="42"/>
      <c r="O175" s="42"/>
      <c r="P175" s="42"/>
      <c r="Q175" s="42"/>
      <c r="R175" s="42"/>
      <c r="S175" s="42"/>
      <c r="T175" s="42"/>
      <c r="U175" s="42"/>
    </row>
    <row r="176" spans="1:21">
      <c r="A176" s="42"/>
      <c r="B176" s="42"/>
      <c r="C176" s="42"/>
      <c r="D176" s="42"/>
      <c r="E176" s="42"/>
      <c r="F176" s="42"/>
      <c r="G176" s="42"/>
      <c r="H176" s="42"/>
      <c r="I176" s="42"/>
      <c r="J176" s="42"/>
      <c r="K176" s="42"/>
      <c r="L176" s="42"/>
      <c r="M176" s="42"/>
      <c r="N176" s="42"/>
      <c r="O176" s="42"/>
      <c r="P176" s="42"/>
      <c r="Q176" s="42"/>
      <c r="R176" s="42"/>
      <c r="S176" s="42"/>
      <c r="T176" s="42"/>
      <c r="U176" s="42"/>
    </row>
    <row r="177" spans="1:21">
      <c r="A177" s="42"/>
      <c r="B177" s="42"/>
      <c r="C177" s="42"/>
      <c r="D177" s="42"/>
      <c r="E177" s="42"/>
      <c r="F177" s="42"/>
      <c r="G177" s="42"/>
      <c r="H177" s="42"/>
      <c r="I177" s="42"/>
      <c r="J177" s="42"/>
      <c r="K177" s="42"/>
      <c r="L177" s="42"/>
      <c r="M177" s="42"/>
      <c r="N177" s="42"/>
      <c r="O177" s="42"/>
      <c r="P177" s="42"/>
      <c r="Q177" s="42"/>
      <c r="R177" s="42"/>
      <c r="S177" s="42"/>
      <c r="T177" s="42"/>
      <c r="U177" s="42"/>
    </row>
    <row r="178" spans="1:21">
      <c r="A178" s="42"/>
      <c r="B178" s="42"/>
      <c r="C178" s="42"/>
      <c r="D178" s="42"/>
      <c r="E178" s="42"/>
      <c r="F178" s="42"/>
      <c r="G178" s="42"/>
      <c r="H178" s="42"/>
      <c r="I178" s="42"/>
      <c r="J178" s="42"/>
      <c r="K178" s="42"/>
      <c r="L178" s="42"/>
      <c r="M178" s="42"/>
      <c r="N178" s="42"/>
      <c r="O178" s="42"/>
      <c r="P178" s="42"/>
      <c r="Q178" s="42"/>
      <c r="R178" s="42"/>
      <c r="S178" s="42"/>
      <c r="T178" s="42"/>
      <c r="U178" s="42"/>
    </row>
    <row r="179" spans="1:21">
      <c r="A179" s="42"/>
      <c r="B179" s="42"/>
      <c r="C179" s="42"/>
      <c r="D179" s="42"/>
      <c r="E179" s="42"/>
      <c r="F179" s="42"/>
      <c r="G179" s="42"/>
      <c r="H179" s="42"/>
      <c r="I179" s="42"/>
      <c r="J179" s="42"/>
      <c r="K179" s="42"/>
      <c r="L179" s="42"/>
      <c r="M179" s="42"/>
      <c r="N179" s="42"/>
      <c r="O179" s="42"/>
      <c r="P179" s="42"/>
      <c r="Q179" s="42"/>
      <c r="R179" s="42"/>
      <c r="S179" s="42"/>
      <c r="T179" s="42"/>
      <c r="U179" s="42"/>
    </row>
    <row r="180" spans="1:21">
      <c r="A180" s="42"/>
      <c r="B180" s="42"/>
      <c r="C180" s="42"/>
      <c r="D180" s="42"/>
      <c r="E180" s="42"/>
      <c r="F180" s="42"/>
      <c r="G180" s="42"/>
      <c r="H180" s="42"/>
      <c r="I180" s="42"/>
      <c r="J180" s="42"/>
      <c r="K180" s="42"/>
      <c r="L180" s="42"/>
      <c r="M180" s="42"/>
      <c r="N180" s="42"/>
      <c r="O180" s="42"/>
      <c r="P180" s="42"/>
      <c r="Q180" s="42"/>
      <c r="R180" s="42"/>
      <c r="S180" s="42"/>
      <c r="T180" s="42"/>
      <c r="U180" s="42"/>
    </row>
    <row r="181" spans="1:21">
      <c r="A181" s="42"/>
      <c r="B181" s="42"/>
      <c r="C181" s="42"/>
      <c r="D181" s="42"/>
      <c r="E181" s="42"/>
      <c r="F181" s="42"/>
      <c r="G181" s="42"/>
      <c r="H181" s="42"/>
      <c r="I181" s="42"/>
      <c r="J181" s="42"/>
      <c r="K181" s="42"/>
      <c r="L181" s="42"/>
      <c r="M181" s="42"/>
      <c r="N181" s="42"/>
      <c r="O181" s="42"/>
      <c r="P181" s="42"/>
      <c r="Q181" s="42"/>
      <c r="R181" s="42"/>
      <c r="S181" s="42"/>
      <c r="T181" s="42"/>
      <c r="U181" s="42"/>
    </row>
    <row r="182" spans="1:21">
      <c r="A182" s="42"/>
      <c r="B182" s="42"/>
      <c r="C182" s="42"/>
      <c r="D182" s="42"/>
      <c r="E182" s="42"/>
      <c r="F182" s="42"/>
      <c r="G182" s="42"/>
      <c r="H182" s="42"/>
      <c r="I182" s="42"/>
      <c r="J182" s="42"/>
      <c r="K182" s="42"/>
      <c r="L182" s="42"/>
      <c r="M182" s="42"/>
      <c r="N182" s="42"/>
      <c r="O182" s="42"/>
      <c r="P182" s="42"/>
      <c r="Q182" s="42"/>
      <c r="R182" s="42"/>
      <c r="S182" s="42"/>
      <c r="T182" s="42"/>
      <c r="U182" s="42"/>
    </row>
    <row r="183" spans="1:21">
      <c r="A183" s="42"/>
      <c r="B183" s="42"/>
      <c r="C183" s="42"/>
      <c r="D183" s="42"/>
      <c r="E183" s="42"/>
      <c r="F183" s="42"/>
      <c r="G183" s="42"/>
      <c r="H183" s="42"/>
      <c r="I183" s="42"/>
      <c r="J183" s="42"/>
      <c r="K183" s="42"/>
      <c r="L183" s="42"/>
      <c r="M183" s="42"/>
      <c r="N183" s="42"/>
      <c r="O183" s="42"/>
      <c r="P183" s="42"/>
      <c r="Q183" s="42"/>
      <c r="R183" s="42"/>
      <c r="S183" s="42"/>
      <c r="T183" s="42"/>
      <c r="U183" s="42"/>
    </row>
    <row r="184" spans="1:21">
      <c r="A184" s="42"/>
      <c r="B184" s="42"/>
      <c r="C184" s="42"/>
      <c r="D184" s="42"/>
      <c r="E184" s="42"/>
      <c r="F184" s="42"/>
      <c r="G184" s="42"/>
      <c r="H184" s="42"/>
      <c r="I184" s="42"/>
      <c r="J184" s="42"/>
      <c r="K184" s="42"/>
      <c r="L184" s="42"/>
      <c r="M184" s="42"/>
      <c r="N184" s="42"/>
      <c r="O184" s="42"/>
      <c r="P184" s="42"/>
      <c r="Q184" s="42"/>
      <c r="R184" s="42"/>
      <c r="S184" s="42"/>
      <c r="T184" s="42"/>
      <c r="U184" s="42"/>
    </row>
    <row r="185" spans="1:21">
      <c r="A185" s="42"/>
      <c r="B185" s="42"/>
      <c r="C185" s="42"/>
      <c r="D185" s="42"/>
      <c r="E185" s="42"/>
      <c r="F185" s="42"/>
      <c r="G185" s="42"/>
      <c r="H185" s="42"/>
      <c r="I185" s="42"/>
      <c r="J185" s="42"/>
      <c r="K185" s="42"/>
      <c r="L185" s="42"/>
      <c r="M185" s="42"/>
      <c r="N185" s="42"/>
      <c r="O185" s="42"/>
      <c r="P185" s="42"/>
      <c r="Q185" s="42"/>
      <c r="R185" s="42"/>
      <c r="S185" s="42"/>
      <c r="T185" s="42"/>
      <c r="U185" s="42"/>
    </row>
    <row r="186" spans="1:21">
      <c r="A186" s="42"/>
      <c r="B186" s="42"/>
      <c r="C186" s="42"/>
      <c r="D186" s="42"/>
      <c r="E186" s="42"/>
      <c r="F186" s="42"/>
      <c r="G186" s="42"/>
      <c r="H186" s="42"/>
      <c r="I186" s="42"/>
      <c r="J186" s="42"/>
      <c r="K186" s="42"/>
      <c r="L186" s="42"/>
      <c r="M186" s="42"/>
      <c r="N186" s="42"/>
      <c r="O186" s="42"/>
      <c r="P186" s="42"/>
      <c r="Q186" s="42"/>
      <c r="R186" s="42"/>
      <c r="S186" s="42"/>
      <c r="T186" s="42"/>
      <c r="U186" s="42"/>
    </row>
    <row r="187" spans="1:21">
      <c r="A187" s="42"/>
      <c r="B187" s="42"/>
      <c r="C187" s="42"/>
      <c r="D187" s="42"/>
      <c r="E187" s="42"/>
      <c r="F187" s="42"/>
      <c r="G187" s="42"/>
      <c r="H187" s="42"/>
      <c r="I187" s="42"/>
      <c r="J187" s="42"/>
      <c r="K187" s="42"/>
      <c r="L187" s="42"/>
      <c r="M187" s="42"/>
      <c r="N187" s="42"/>
      <c r="O187" s="42"/>
      <c r="P187" s="42"/>
      <c r="Q187" s="42"/>
      <c r="R187" s="42"/>
      <c r="S187" s="42"/>
      <c r="T187" s="42"/>
      <c r="U187" s="42"/>
    </row>
    <row r="188" spans="1:21">
      <c r="A188" s="42"/>
      <c r="B188" s="42"/>
      <c r="C188" s="42"/>
      <c r="D188" s="42"/>
      <c r="E188" s="42"/>
      <c r="F188" s="42"/>
      <c r="G188" s="42"/>
      <c r="H188" s="42"/>
      <c r="I188" s="42"/>
      <c r="J188" s="42"/>
      <c r="K188" s="42"/>
      <c r="L188" s="42"/>
      <c r="M188" s="42"/>
      <c r="N188" s="42"/>
      <c r="O188" s="42"/>
      <c r="P188" s="42"/>
      <c r="Q188" s="42"/>
      <c r="R188" s="42"/>
      <c r="S188" s="42"/>
      <c r="T188" s="42"/>
      <c r="U188" s="42"/>
    </row>
    <row r="189" spans="1:21">
      <c r="A189" s="42"/>
      <c r="B189" s="42"/>
      <c r="C189" s="42"/>
      <c r="D189" s="42"/>
      <c r="E189" s="42"/>
      <c r="F189" s="42"/>
      <c r="G189" s="42"/>
      <c r="H189" s="42"/>
      <c r="I189" s="42"/>
      <c r="J189" s="42"/>
      <c r="K189" s="42"/>
      <c r="L189" s="42"/>
      <c r="M189" s="42"/>
      <c r="N189" s="42"/>
      <c r="O189" s="42"/>
      <c r="P189" s="42"/>
      <c r="Q189" s="42"/>
      <c r="R189" s="42"/>
      <c r="S189" s="42"/>
      <c r="T189" s="42"/>
      <c r="U189" s="42"/>
    </row>
    <row r="190" spans="1:21">
      <c r="A190" s="42"/>
      <c r="B190" s="42"/>
      <c r="C190" s="42"/>
      <c r="D190" s="42"/>
      <c r="E190" s="42"/>
      <c r="F190" s="42"/>
      <c r="G190" s="42"/>
      <c r="H190" s="42"/>
      <c r="I190" s="42"/>
      <c r="J190" s="42"/>
      <c r="K190" s="42"/>
      <c r="L190" s="42"/>
      <c r="M190" s="42"/>
      <c r="N190" s="42"/>
      <c r="O190" s="42"/>
      <c r="P190" s="42"/>
      <c r="Q190" s="42"/>
      <c r="R190" s="42"/>
      <c r="S190" s="42"/>
      <c r="T190" s="42"/>
      <c r="U190" s="42"/>
    </row>
    <row r="191" spans="1:21">
      <c r="A191" s="42"/>
      <c r="B191" s="42"/>
      <c r="C191" s="42"/>
      <c r="D191" s="42"/>
      <c r="E191" s="42"/>
      <c r="F191" s="42"/>
      <c r="G191" s="42"/>
      <c r="H191" s="42"/>
      <c r="I191" s="42"/>
      <c r="J191" s="42"/>
      <c r="K191" s="42"/>
      <c r="L191" s="42"/>
      <c r="M191" s="42"/>
      <c r="N191" s="42"/>
      <c r="O191" s="42"/>
      <c r="P191" s="42"/>
      <c r="Q191" s="42"/>
      <c r="R191" s="42"/>
      <c r="S191" s="42"/>
      <c r="T191" s="42"/>
      <c r="U191" s="42"/>
    </row>
    <row r="192" spans="1:21">
      <c r="A192" s="42"/>
      <c r="B192" s="42"/>
      <c r="C192" s="42"/>
      <c r="D192" s="42"/>
      <c r="E192" s="42"/>
      <c r="F192" s="42"/>
      <c r="G192" s="42"/>
      <c r="H192" s="42"/>
      <c r="I192" s="42"/>
      <c r="J192" s="42"/>
      <c r="K192" s="42"/>
      <c r="L192" s="42"/>
      <c r="M192" s="42"/>
      <c r="N192" s="42"/>
      <c r="O192" s="42"/>
      <c r="P192" s="42"/>
      <c r="Q192" s="42"/>
      <c r="R192" s="42"/>
      <c r="S192" s="42"/>
      <c r="T192" s="42"/>
      <c r="U192" s="42"/>
    </row>
    <row r="193" spans="1:21">
      <c r="A193" s="42"/>
      <c r="B193" s="42"/>
      <c r="C193" s="42"/>
      <c r="D193" s="42"/>
      <c r="E193" s="42"/>
      <c r="F193" s="42"/>
      <c r="G193" s="42"/>
      <c r="H193" s="42"/>
      <c r="I193" s="42"/>
      <c r="J193" s="42"/>
      <c r="K193" s="42"/>
      <c r="L193" s="42"/>
      <c r="M193" s="42"/>
      <c r="N193" s="42"/>
      <c r="O193" s="42"/>
      <c r="P193" s="42"/>
      <c r="Q193" s="42"/>
      <c r="R193" s="42"/>
      <c r="S193" s="42"/>
      <c r="T193" s="42"/>
      <c r="U193" s="42"/>
    </row>
    <row r="194" spans="1:21">
      <c r="A194" s="42"/>
      <c r="B194" s="42"/>
      <c r="C194" s="42"/>
      <c r="D194" s="42"/>
      <c r="E194" s="42"/>
      <c r="F194" s="42"/>
      <c r="G194" s="42"/>
      <c r="H194" s="42"/>
      <c r="I194" s="42"/>
      <c r="J194" s="42"/>
      <c r="K194" s="42"/>
      <c r="L194" s="42"/>
      <c r="M194" s="42"/>
      <c r="N194" s="42"/>
      <c r="O194" s="42"/>
      <c r="P194" s="42"/>
      <c r="Q194" s="42"/>
      <c r="R194" s="42"/>
      <c r="S194" s="42"/>
      <c r="T194" s="42"/>
      <c r="U194" s="42"/>
    </row>
    <row r="195" spans="1:21">
      <c r="A195" s="42"/>
      <c r="B195" s="42"/>
      <c r="C195" s="42"/>
      <c r="D195" s="42"/>
      <c r="E195" s="42"/>
      <c r="F195" s="42"/>
      <c r="G195" s="42"/>
      <c r="H195" s="42"/>
      <c r="I195" s="42"/>
      <c r="J195" s="42"/>
      <c r="K195" s="42"/>
      <c r="L195" s="42"/>
      <c r="M195" s="42"/>
      <c r="N195" s="42"/>
      <c r="O195" s="42"/>
      <c r="P195" s="42"/>
      <c r="Q195" s="42"/>
      <c r="R195" s="42"/>
      <c r="S195" s="42"/>
      <c r="T195" s="42"/>
      <c r="U195" s="42"/>
    </row>
    <row r="196" spans="1:21">
      <c r="A196" s="42"/>
      <c r="B196" s="42"/>
      <c r="C196" s="42"/>
      <c r="D196" s="42"/>
      <c r="E196" s="42"/>
      <c r="F196" s="42"/>
      <c r="G196" s="42"/>
      <c r="H196" s="42"/>
      <c r="I196" s="42"/>
      <c r="J196" s="42"/>
      <c r="K196" s="42"/>
      <c r="L196" s="42"/>
      <c r="M196" s="42"/>
      <c r="N196" s="42"/>
      <c r="O196" s="42"/>
      <c r="P196" s="42"/>
      <c r="Q196" s="42"/>
      <c r="R196" s="42"/>
      <c r="S196" s="42"/>
      <c r="T196" s="42"/>
      <c r="U196" s="42"/>
    </row>
    <row r="197" spans="1:21">
      <c r="A197" s="42"/>
      <c r="B197" s="42"/>
      <c r="C197" s="42"/>
      <c r="D197" s="42"/>
      <c r="E197" s="42"/>
      <c r="F197" s="42"/>
      <c r="G197" s="42"/>
      <c r="H197" s="42"/>
      <c r="I197" s="42"/>
      <c r="J197" s="42"/>
      <c r="K197" s="42"/>
      <c r="L197" s="42"/>
      <c r="M197" s="42"/>
      <c r="N197" s="42"/>
      <c r="O197" s="42"/>
      <c r="P197" s="42"/>
      <c r="Q197" s="42"/>
      <c r="R197" s="42"/>
      <c r="S197" s="42"/>
      <c r="T197" s="42"/>
      <c r="U197" s="42"/>
    </row>
    <row r="198" spans="1:21">
      <c r="A198" s="42"/>
      <c r="B198" s="42"/>
      <c r="C198" s="42"/>
      <c r="D198" s="42"/>
      <c r="E198" s="42"/>
      <c r="F198" s="42"/>
      <c r="G198" s="42"/>
      <c r="H198" s="42"/>
      <c r="I198" s="42"/>
      <c r="J198" s="42"/>
      <c r="K198" s="42"/>
      <c r="L198" s="42"/>
      <c r="M198" s="42"/>
      <c r="N198" s="42"/>
      <c r="O198" s="42"/>
      <c r="P198" s="42"/>
      <c r="Q198" s="42"/>
      <c r="R198" s="42"/>
      <c r="S198" s="42"/>
      <c r="T198" s="42"/>
      <c r="U198" s="42"/>
    </row>
    <row r="199" spans="1:21">
      <c r="A199" s="42"/>
      <c r="B199" s="42"/>
      <c r="C199" s="42"/>
      <c r="D199" s="42"/>
      <c r="E199" s="42"/>
      <c r="F199" s="42"/>
      <c r="G199" s="42"/>
      <c r="H199" s="42"/>
      <c r="I199" s="42"/>
      <c r="J199" s="42"/>
      <c r="K199" s="42"/>
      <c r="L199" s="42"/>
      <c r="M199" s="42"/>
      <c r="N199" s="42"/>
      <c r="O199" s="42"/>
      <c r="P199" s="42"/>
      <c r="Q199" s="42"/>
      <c r="R199" s="42"/>
      <c r="S199" s="42"/>
      <c r="T199" s="42"/>
      <c r="U199" s="42"/>
    </row>
    <row r="200" spans="1:21">
      <c r="A200" s="42"/>
      <c r="B200" s="42"/>
      <c r="C200" s="42"/>
      <c r="D200" s="42"/>
      <c r="E200" s="42"/>
      <c r="F200" s="42"/>
      <c r="G200" s="42"/>
      <c r="H200" s="42"/>
      <c r="I200" s="42"/>
      <c r="J200" s="42"/>
      <c r="K200" s="42"/>
      <c r="L200" s="42"/>
      <c r="M200" s="42"/>
      <c r="N200" s="42"/>
      <c r="O200" s="42"/>
      <c r="P200" s="42"/>
      <c r="Q200" s="42"/>
      <c r="R200" s="42"/>
      <c r="S200" s="42"/>
      <c r="T200" s="42"/>
      <c r="U200" s="42"/>
    </row>
    <row r="201" spans="1:21">
      <c r="A201" s="42"/>
      <c r="B201" s="42"/>
      <c r="C201" s="42"/>
      <c r="D201" s="42"/>
      <c r="E201" s="42"/>
      <c r="F201" s="42"/>
      <c r="G201" s="42"/>
      <c r="H201" s="42"/>
      <c r="I201" s="42"/>
      <c r="J201" s="42"/>
      <c r="K201" s="42"/>
      <c r="L201" s="42"/>
      <c r="M201" s="42"/>
      <c r="N201" s="42"/>
      <c r="O201" s="42"/>
      <c r="P201" s="42"/>
      <c r="Q201" s="42"/>
      <c r="R201" s="42"/>
      <c r="S201" s="42"/>
      <c r="T201" s="42"/>
      <c r="U201" s="42"/>
    </row>
    <row r="202" spans="1:21">
      <c r="A202" s="42"/>
      <c r="B202" s="42"/>
      <c r="C202" s="42"/>
      <c r="D202" s="42"/>
      <c r="E202" s="42"/>
      <c r="F202" s="42"/>
      <c r="G202" s="42"/>
      <c r="H202" s="42"/>
      <c r="I202" s="42"/>
      <c r="J202" s="42"/>
      <c r="K202" s="42"/>
      <c r="L202" s="42"/>
      <c r="M202" s="42"/>
      <c r="N202" s="42"/>
      <c r="O202" s="42"/>
      <c r="P202" s="42"/>
      <c r="Q202" s="42"/>
      <c r="R202" s="42"/>
      <c r="S202" s="42"/>
      <c r="T202" s="42"/>
      <c r="U202" s="42"/>
    </row>
    <row r="203" spans="1:21">
      <c r="A203" s="42"/>
      <c r="B203" s="42"/>
      <c r="C203" s="42"/>
      <c r="D203" s="42"/>
      <c r="E203" s="42"/>
      <c r="F203" s="42"/>
      <c r="G203" s="42"/>
      <c r="H203" s="42"/>
      <c r="I203" s="42"/>
      <c r="J203" s="42"/>
      <c r="K203" s="42"/>
      <c r="L203" s="42"/>
      <c r="M203" s="42"/>
      <c r="N203" s="42"/>
      <c r="O203" s="42"/>
      <c r="P203" s="42"/>
      <c r="Q203" s="42"/>
      <c r="R203" s="42"/>
      <c r="S203" s="42"/>
      <c r="T203" s="42"/>
      <c r="U203" s="42"/>
    </row>
    <row r="204" spans="1:21">
      <c r="A204" s="42"/>
      <c r="B204" s="42"/>
      <c r="C204" s="42"/>
      <c r="D204" s="42"/>
      <c r="E204" s="42"/>
      <c r="F204" s="42"/>
      <c r="G204" s="42"/>
      <c r="H204" s="42"/>
      <c r="I204" s="42"/>
      <c r="J204" s="42"/>
      <c r="K204" s="42"/>
      <c r="L204" s="42"/>
      <c r="M204" s="42"/>
      <c r="N204" s="42"/>
      <c r="O204" s="42"/>
      <c r="P204" s="42"/>
      <c r="Q204" s="42"/>
      <c r="R204" s="42"/>
      <c r="S204" s="42"/>
      <c r="T204" s="42"/>
      <c r="U204" s="42"/>
    </row>
    <row r="205" spans="1:21">
      <c r="A205" s="42"/>
      <c r="B205" s="42"/>
      <c r="C205" s="42"/>
      <c r="D205" s="42"/>
      <c r="E205" s="42"/>
      <c r="F205" s="42"/>
      <c r="G205" s="42"/>
      <c r="H205" s="42"/>
      <c r="I205" s="42"/>
      <c r="J205" s="42"/>
      <c r="K205" s="42"/>
      <c r="L205" s="42"/>
      <c r="M205" s="42"/>
      <c r="N205" s="42"/>
      <c r="O205" s="42"/>
      <c r="P205" s="42"/>
      <c r="Q205" s="42"/>
      <c r="R205" s="42"/>
      <c r="S205" s="42"/>
      <c r="T205" s="42"/>
      <c r="U205" s="42"/>
    </row>
    <row r="206" spans="1:21">
      <c r="A206" s="42"/>
      <c r="B206" s="42"/>
      <c r="C206" s="42"/>
      <c r="D206" s="42"/>
      <c r="E206" s="42"/>
      <c r="F206" s="42"/>
      <c r="G206" s="42"/>
      <c r="H206" s="42"/>
      <c r="I206" s="42"/>
      <c r="J206" s="42"/>
      <c r="K206" s="42"/>
      <c r="L206" s="42"/>
      <c r="M206" s="42"/>
      <c r="N206" s="42"/>
      <c r="O206" s="42"/>
      <c r="P206" s="42"/>
      <c r="Q206" s="42"/>
      <c r="R206" s="42"/>
      <c r="S206" s="42"/>
      <c r="T206" s="42"/>
      <c r="U206" s="42"/>
    </row>
    <row r="207" spans="1:21">
      <c r="A207" s="42"/>
      <c r="B207" s="42"/>
      <c r="C207" s="42"/>
      <c r="D207" s="42"/>
      <c r="E207" s="42"/>
      <c r="F207" s="42"/>
      <c r="G207" s="42"/>
      <c r="H207" s="42"/>
      <c r="I207" s="42"/>
      <c r="J207" s="42"/>
      <c r="K207" s="42"/>
      <c r="L207" s="42"/>
      <c r="M207" s="42"/>
      <c r="N207" s="42"/>
      <c r="O207" s="42"/>
      <c r="P207" s="42"/>
      <c r="Q207" s="42"/>
      <c r="R207" s="42"/>
      <c r="S207" s="42"/>
      <c r="T207" s="42"/>
      <c r="U207" s="42"/>
    </row>
    <row r="208" spans="1:21">
      <c r="A208" s="42"/>
      <c r="B208" s="42"/>
      <c r="C208" s="42"/>
      <c r="D208" s="42"/>
      <c r="E208" s="42"/>
      <c r="F208" s="42"/>
      <c r="G208" s="42"/>
      <c r="H208" s="42"/>
      <c r="I208" s="42"/>
      <c r="J208" s="42"/>
      <c r="K208" s="42"/>
      <c r="L208" s="42"/>
      <c r="M208" s="42"/>
      <c r="N208" s="42"/>
      <c r="O208" s="42"/>
      <c r="P208" s="42"/>
      <c r="Q208" s="42"/>
      <c r="R208" s="42"/>
      <c r="S208" s="42"/>
      <c r="T208" s="42"/>
      <c r="U208" s="42"/>
    </row>
    <row r="209" spans="1:21">
      <c r="A209" s="42"/>
      <c r="B209" s="42"/>
      <c r="C209" s="42"/>
      <c r="D209" s="42"/>
      <c r="E209" s="42"/>
      <c r="F209" s="42"/>
      <c r="G209" s="42"/>
      <c r="H209" s="42"/>
      <c r="I209" s="42"/>
      <c r="J209" s="42"/>
      <c r="K209" s="42"/>
      <c r="L209" s="42"/>
      <c r="M209" s="42"/>
      <c r="N209" s="42"/>
      <c r="O209" s="42"/>
      <c r="P209" s="42"/>
      <c r="Q209" s="42"/>
      <c r="R209" s="42"/>
      <c r="S209" s="42"/>
      <c r="T209" s="42"/>
      <c r="U209" s="42"/>
    </row>
    <row r="210" spans="1:21">
      <c r="A210" s="42"/>
      <c r="B210" s="42"/>
      <c r="C210" s="42"/>
      <c r="D210" s="42"/>
      <c r="E210" s="42"/>
      <c r="F210" s="42"/>
      <c r="G210" s="42"/>
      <c r="H210" s="42"/>
      <c r="I210" s="42"/>
      <c r="J210" s="42"/>
      <c r="K210" s="42"/>
      <c r="L210" s="42"/>
      <c r="M210" s="42"/>
      <c r="N210" s="42"/>
      <c r="O210" s="42"/>
      <c r="P210" s="42"/>
      <c r="Q210" s="42"/>
      <c r="R210" s="42"/>
      <c r="S210" s="42"/>
      <c r="T210" s="42"/>
      <c r="U210" s="42"/>
    </row>
    <row r="211" spans="1:21">
      <c r="A211" s="42"/>
      <c r="B211" s="42"/>
      <c r="C211" s="42"/>
      <c r="D211" s="42"/>
      <c r="E211" s="42"/>
      <c r="F211" s="42"/>
      <c r="G211" s="42"/>
      <c r="H211" s="42"/>
      <c r="I211" s="42"/>
      <c r="J211" s="42"/>
      <c r="K211" s="42"/>
      <c r="L211" s="42"/>
      <c r="M211" s="42"/>
      <c r="N211" s="42"/>
      <c r="O211" s="42"/>
      <c r="P211" s="42"/>
      <c r="Q211" s="42"/>
      <c r="R211" s="42"/>
      <c r="S211" s="42"/>
      <c r="T211" s="42"/>
      <c r="U211" s="42"/>
    </row>
    <row r="212" spans="1:21">
      <c r="A212" s="42"/>
      <c r="B212" s="42"/>
      <c r="C212" s="42"/>
      <c r="D212" s="42"/>
      <c r="E212" s="42"/>
      <c r="F212" s="42"/>
      <c r="G212" s="42"/>
      <c r="H212" s="42"/>
      <c r="I212" s="42"/>
      <c r="J212" s="42"/>
      <c r="K212" s="42"/>
      <c r="L212" s="42"/>
      <c r="M212" s="42"/>
      <c r="N212" s="42"/>
      <c r="O212" s="42"/>
      <c r="P212" s="42"/>
      <c r="Q212" s="42"/>
      <c r="R212" s="42"/>
      <c r="S212" s="42"/>
      <c r="T212" s="42"/>
      <c r="U212" s="42"/>
    </row>
    <row r="213" spans="1:21">
      <c r="A213" s="42"/>
      <c r="B213" s="42"/>
      <c r="C213" s="42"/>
      <c r="D213" s="42"/>
      <c r="E213" s="42"/>
      <c r="F213" s="42"/>
      <c r="G213" s="42"/>
      <c r="H213" s="42"/>
      <c r="I213" s="42"/>
      <c r="J213" s="42"/>
      <c r="K213" s="42"/>
      <c r="L213" s="42"/>
      <c r="M213" s="42"/>
      <c r="N213" s="42"/>
      <c r="O213" s="42"/>
      <c r="P213" s="42"/>
      <c r="Q213" s="42"/>
      <c r="R213" s="42"/>
      <c r="S213" s="42"/>
      <c r="T213" s="42"/>
      <c r="U213" s="42"/>
    </row>
    <row r="214" spans="1:21">
      <c r="A214" s="42"/>
      <c r="B214" s="42"/>
      <c r="C214" s="42"/>
      <c r="D214" s="42"/>
      <c r="E214" s="42"/>
      <c r="F214" s="42"/>
      <c r="G214" s="42"/>
      <c r="H214" s="42"/>
      <c r="I214" s="42"/>
      <c r="J214" s="42"/>
      <c r="K214" s="42"/>
      <c r="L214" s="42"/>
      <c r="M214" s="42"/>
      <c r="N214" s="42"/>
      <c r="O214" s="42"/>
      <c r="P214" s="42"/>
      <c r="Q214" s="42"/>
      <c r="R214" s="42"/>
      <c r="S214" s="42"/>
      <c r="T214" s="42"/>
      <c r="U214" s="42"/>
    </row>
    <row r="215" spans="1:21">
      <c r="A215" s="42"/>
      <c r="B215" s="42"/>
      <c r="C215" s="42"/>
      <c r="D215" s="42"/>
      <c r="E215" s="42"/>
      <c r="F215" s="42"/>
      <c r="G215" s="42"/>
      <c r="H215" s="42"/>
      <c r="I215" s="42"/>
      <c r="J215" s="42"/>
      <c r="K215" s="42"/>
      <c r="L215" s="42"/>
      <c r="M215" s="42"/>
      <c r="N215" s="42"/>
      <c r="O215" s="42"/>
      <c r="P215" s="42"/>
      <c r="Q215" s="42"/>
      <c r="R215" s="42"/>
      <c r="S215" s="42"/>
      <c r="T215" s="42"/>
      <c r="U215" s="42"/>
    </row>
    <row r="216" spans="1:21">
      <c r="A216" s="42"/>
      <c r="B216" s="42"/>
      <c r="C216" s="42"/>
      <c r="D216" s="42"/>
      <c r="E216" s="42"/>
      <c r="F216" s="42"/>
      <c r="G216" s="42"/>
      <c r="H216" s="42"/>
      <c r="I216" s="42"/>
      <c r="J216" s="42"/>
      <c r="K216" s="42"/>
      <c r="L216" s="42"/>
      <c r="M216" s="42"/>
      <c r="N216" s="42"/>
      <c r="O216" s="42"/>
      <c r="P216" s="42"/>
      <c r="Q216" s="42"/>
      <c r="R216" s="42"/>
      <c r="S216" s="42"/>
      <c r="T216" s="42"/>
      <c r="U216" s="42"/>
    </row>
    <row r="217" spans="1:21">
      <c r="A217" s="42"/>
      <c r="B217" s="42"/>
      <c r="C217" s="42"/>
      <c r="D217" s="42"/>
      <c r="E217" s="42"/>
      <c r="F217" s="42"/>
      <c r="G217" s="42"/>
      <c r="H217" s="42"/>
      <c r="I217" s="42"/>
      <c r="J217" s="42"/>
      <c r="K217" s="42"/>
      <c r="L217" s="42"/>
      <c r="M217" s="42"/>
      <c r="N217" s="42"/>
      <c r="O217" s="42"/>
      <c r="P217" s="42"/>
      <c r="Q217" s="42"/>
      <c r="R217" s="42"/>
      <c r="S217" s="42"/>
      <c r="T217" s="42"/>
      <c r="U217" s="42"/>
    </row>
    <row r="218" spans="1:21">
      <c r="A218" s="42"/>
      <c r="B218" s="42"/>
      <c r="C218" s="42"/>
      <c r="D218" s="42"/>
      <c r="E218" s="42"/>
      <c r="F218" s="42"/>
      <c r="G218" s="42"/>
      <c r="H218" s="42"/>
      <c r="I218" s="42"/>
      <c r="J218" s="42"/>
      <c r="K218" s="42"/>
      <c r="L218" s="42"/>
      <c r="M218" s="42"/>
      <c r="N218" s="43"/>
    </row>
    <row r="219" spans="1:21">
      <c r="A219" s="42"/>
      <c r="B219" s="42"/>
      <c r="C219" s="42"/>
      <c r="D219" s="42"/>
      <c r="E219" s="42"/>
      <c r="F219" s="42"/>
      <c r="G219" s="42"/>
      <c r="H219" s="42"/>
      <c r="I219" s="42"/>
      <c r="J219" s="42"/>
      <c r="K219" s="42"/>
      <c r="L219" s="42"/>
      <c r="M219" s="42"/>
      <c r="N219" s="43"/>
    </row>
    <row r="220" spans="1:21">
      <c r="A220" s="42"/>
      <c r="B220" s="42"/>
      <c r="C220" s="42"/>
      <c r="D220" s="42"/>
      <c r="E220" s="42"/>
      <c r="F220" s="42"/>
      <c r="G220" s="42"/>
      <c r="H220" s="42"/>
      <c r="I220" s="42"/>
      <c r="J220" s="42"/>
      <c r="K220" s="42"/>
      <c r="L220" s="42"/>
      <c r="M220" s="42"/>
      <c r="N220" s="43"/>
    </row>
    <row r="221" spans="1:21">
      <c r="A221" s="42"/>
      <c r="B221" s="42"/>
      <c r="C221" s="42"/>
      <c r="D221" s="42"/>
      <c r="E221" s="42"/>
      <c r="F221" s="42"/>
      <c r="G221" s="42"/>
      <c r="H221" s="42"/>
      <c r="I221" s="42"/>
      <c r="J221" s="42"/>
      <c r="K221" s="42"/>
      <c r="L221" s="42"/>
      <c r="M221" s="42"/>
      <c r="N221" s="43"/>
    </row>
    <row r="222" spans="1:21">
      <c r="A222" s="42"/>
      <c r="B222" s="42"/>
      <c r="C222" s="42"/>
      <c r="D222" s="42"/>
      <c r="E222" s="42"/>
      <c r="F222" s="42"/>
      <c r="G222" s="42"/>
      <c r="H222" s="42"/>
      <c r="I222" s="42"/>
      <c r="J222" s="42"/>
      <c r="K222" s="42"/>
      <c r="L222" s="42"/>
      <c r="M222" s="42"/>
      <c r="N222" s="43"/>
    </row>
    <row r="223" spans="1:21">
      <c r="A223" s="42"/>
      <c r="B223" s="42"/>
      <c r="C223" s="42"/>
      <c r="D223" s="42"/>
      <c r="E223" s="42"/>
      <c r="F223" s="42"/>
      <c r="G223" s="42"/>
      <c r="H223" s="42"/>
      <c r="I223" s="42"/>
      <c r="J223" s="42"/>
      <c r="K223" s="42"/>
      <c r="L223" s="42"/>
      <c r="M223" s="42"/>
      <c r="N223" s="43"/>
    </row>
    <row r="224" spans="1:21">
      <c r="A224" s="42"/>
      <c r="B224" s="42"/>
      <c r="C224" s="42"/>
      <c r="D224" s="42"/>
      <c r="E224" s="42"/>
      <c r="F224" s="42"/>
      <c r="G224" s="42"/>
      <c r="H224" s="42"/>
      <c r="I224" s="42"/>
      <c r="J224" s="42"/>
      <c r="K224" s="42"/>
      <c r="L224" s="42"/>
      <c r="M224" s="42"/>
      <c r="N224" s="43"/>
    </row>
    <row r="225" spans="1:14">
      <c r="A225" s="42"/>
      <c r="B225" s="42"/>
      <c r="C225" s="42"/>
      <c r="D225" s="42"/>
      <c r="E225" s="42"/>
      <c r="F225" s="42"/>
      <c r="G225" s="42"/>
      <c r="H225" s="42"/>
      <c r="I225" s="42"/>
      <c r="J225" s="42"/>
      <c r="K225" s="42"/>
      <c r="L225" s="42"/>
      <c r="M225" s="42"/>
      <c r="N225" s="43"/>
    </row>
    <row r="226" spans="1:14">
      <c r="A226" s="42"/>
      <c r="B226" s="42"/>
      <c r="C226" s="42"/>
      <c r="D226" s="42"/>
      <c r="E226" s="42"/>
      <c r="F226" s="42"/>
      <c r="G226" s="42"/>
      <c r="H226" s="42"/>
      <c r="I226" s="42"/>
      <c r="J226" s="42"/>
      <c r="K226" s="42"/>
      <c r="L226" s="42"/>
      <c r="M226" s="42"/>
      <c r="N226" s="43"/>
    </row>
    <row r="227" spans="1:14">
      <c r="A227" s="42"/>
      <c r="B227" s="42"/>
      <c r="C227" s="42"/>
      <c r="D227" s="42"/>
      <c r="E227" s="42"/>
      <c r="F227" s="42"/>
      <c r="G227" s="42"/>
      <c r="H227" s="42"/>
      <c r="I227" s="42"/>
      <c r="J227" s="42"/>
      <c r="K227" s="42"/>
      <c r="L227" s="42"/>
      <c r="M227" s="42"/>
      <c r="N227" s="43"/>
    </row>
    <row r="228" spans="1:14">
      <c r="A228" s="42"/>
      <c r="B228" s="42"/>
      <c r="C228" s="42"/>
      <c r="D228" s="42"/>
      <c r="E228" s="42"/>
      <c r="F228" s="42"/>
      <c r="G228" s="42"/>
      <c r="H228" s="42"/>
      <c r="I228" s="42"/>
      <c r="J228" s="42"/>
      <c r="K228" s="42"/>
      <c r="L228" s="42"/>
      <c r="M228" s="42"/>
      <c r="N228" s="43"/>
    </row>
    <row r="229" spans="1:14">
      <c r="A229" s="42"/>
      <c r="B229" s="42"/>
      <c r="C229" s="42"/>
      <c r="D229" s="42"/>
      <c r="E229" s="42"/>
      <c r="F229" s="42"/>
      <c r="G229" s="42"/>
      <c r="H229" s="42"/>
      <c r="I229" s="42"/>
      <c r="J229" s="42"/>
      <c r="K229" s="42"/>
      <c r="L229" s="42"/>
      <c r="M229" s="42"/>
      <c r="N229" s="43"/>
    </row>
    <row r="230" spans="1:14">
      <c r="A230" s="42"/>
      <c r="B230" s="42"/>
      <c r="C230" s="42"/>
      <c r="D230" s="42"/>
      <c r="E230" s="42"/>
      <c r="F230" s="42"/>
      <c r="G230" s="42"/>
      <c r="H230" s="42"/>
      <c r="I230" s="42"/>
      <c r="J230" s="42"/>
      <c r="K230" s="42"/>
      <c r="L230" s="42"/>
      <c r="M230" s="42"/>
      <c r="N230" s="43"/>
    </row>
    <row r="231" spans="1:14">
      <c r="A231" s="42"/>
      <c r="B231" s="42"/>
      <c r="C231" s="42"/>
      <c r="D231" s="42"/>
      <c r="E231" s="42"/>
      <c r="F231" s="42"/>
      <c r="G231" s="42"/>
      <c r="H231" s="42"/>
      <c r="I231" s="42"/>
      <c r="J231" s="42"/>
      <c r="K231" s="42"/>
      <c r="L231" s="42"/>
      <c r="M231" s="42"/>
      <c r="N231" s="43"/>
    </row>
    <row r="232" spans="1:14">
      <c r="A232" s="42"/>
      <c r="B232" s="42"/>
      <c r="C232" s="42"/>
      <c r="D232" s="42"/>
      <c r="E232" s="42"/>
      <c r="F232" s="42"/>
      <c r="G232" s="42"/>
      <c r="H232" s="42"/>
      <c r="I232" s="42"/>
      <c r="J232" s="42"/>
      <c r="K232" s="42"/>
      <c r="L232" s="42"/>
      <c r="M232" s="42"/>
      <c r="N232" s="43"/>
    </row>
    <row r="233" spans="1:14">
      <c r="A233" s="42"/>
      <c r="B233" s="42"/>
      <c r="C233" s="42"/>
      <c r="D233" s="42"/>
      <c r="E233" s="42"/>
      <c r="F233" s="42"/>
      <c r="G233" s="42"/>
      <c r="H233" s="42"/>
      <c r="I233" s="42"/>
      <c r="J233" s="42"/>
      <c r="K233" s="42"/>
      <c r="L233" s="42"/>
      <c r="M233" s="42"/>
      <c r="N233" s="43"/>
    </row>
    <row r="234" spans="1:14">
      <c r="A234" s="42"/>
      <c r="B234" s="42"/>
      <c r="C234" s="42"/>
      <c r="D234" s="42"/>
      <c r="E234" s="42"/>
      <c r="F234" s="42"/>
      <c r="G234" s="42"/>
      <c r="H234" s="42"/>
      <c r="I234" s="42"/>
      <c r="J234" s="42"/>
      <c r="K234" s="42"/>
      <c r="L234" s="42"/>
      <c r="M234" s="42"/>
      <c r="N234" s="43"/>
    </row>
    <row r="235" spans="1:14">
      <c r="A235" s="42"/>
      <c r="B235" s="42"/>
      <c r="C235" s="42"/>
      <c r="D235" s="42"/>
      <c r="E235" s="42"/>
      <c r="F235" s="42"/>
      <c r="G235" s="42"/>
      <c r="H235" s="42"/>
      <c r="I235" s="42"/>
      <c r="J235" s="42"/>
      <c r="K235" s="42"/>
      <c r="L235" s="42"/>
      <c r="M235" s="42"/>
      <c r="N235" s="43"/>
    </row>
    <row r="236" spans="1:14">
      <c r="A236" s="42"/>
      <c r="B236" s="42"/>
      <c r="C236" s="42"/>
      <c r="D236" s="42"/>
      <c r="E236" s="42"/>
      <c r="F236" s="42"/>
      <c r="G236" s="42"/>
      <c r="H236" s="42"/>
      <c r="I236" s="42"/>
      <c r="J236" s="42"/>
      <c r="K236" s="42"/>
      <c r="L236" s="42"/>
      <c r="M236" s="42"/>
      <c r="N236" s="43"/>
    </row>
    <row r="237" spans="1:14">
      <c r="A237" s="42"/>
      <c r="B237" s="42"/>
      <c r="C237" s="42"/>
      <c r="D237" s="42"/>
      <c r="E237" s="42"/>
      <c r="F237" s="42"/>
      <c r="G237" s="42"/>
      <c r="H237" s="42"/>
      <c r="I237" s="42"/>
      <c r="J237" s="42"/>
      <c r="K237" s="42"/>
      <c r="L237" s="42"/>
      <c r="M237" s="42"/>
      <c r="N237" s="43"/>
    </row>
    <row r="238" spans="1:14">
      <c r="A238" s="42"/>
      <c r="B238" s="42"/>
      <c r="C238" s="42"/>
      <c r="D238" s="42"/>
      <c r="E238" s="42"/>
      <c r="F238" s="42"/>
      <c r="G238" s="42"/>
      <c r="H238" s="42"/>
      <c r="I238" s="42"/>
      <c r="J238" s="42"/>
      <c r="K238" s="42"/>
      <c r="L238" s="42"/>
      <c r="M238" s="42"/>
      <c r="N238" s="43"/>
    </row>
    <row r="239" spans="1:14">
      <c r="A239" s="42"/>
      <c r="B239" s="42"/>
      <c r="C239" s="42"/>
      <c r="D239" s="42"/>
      <c r="E239" s="42"/>
      <c r="F239" s="42"/>
      <c r="G239" s="42"/>
      <c r="H239" s="42"/>
      <c r="I239" s="42"/>
      <c r="J239" s="42"/>
      <c r="K239" s="42"/>
      <c r="L239" s="42"/>
      <c r="M239" s="42"/>
      <c r="N239" s="43"/>
    </row>
    <row r="240" spans="1:14">
      <c r="A240" s="42"/>
      <c r="B240" s="42"/>
      <c r="C240" s="42"/>
      <c r="D240" s="42"/>
      <c r="E240" s="42"/>
      <c r="F240" s="42"/>
      <c r="G240" s="42"/>
      <c r="H240" s="42"/>
      <c r="I240" s="42"/>
      <c r="J240" s="42"/>
      <c r="K240" s="42"/>
      <c r="L240" s="42"/>
      <c r="M240" s="42"/>
      <c r="N240" s="43"/>
    </row>
    <row r="241" spans="1:14">
      <c r="A241" s="42"/>
      <c r="B241" s="42"/>
      <c r="C241" s="42"/>
      <c r="D241" s="42"/>
      <c r="E241" s="42"/>
      <c r="F241" s="42"/>
      <c r="G241" s="42"/>
      <c r="H241" s="42"/>
      <c r="I241" s="42"/>
      <c r="J241" s="42"/>
      <c r="K241" s="42"/>
      <c r="L241" s="42"/>
      <c r="M241" s="42"/>
      <c r="N241" s="43"/>
    </row>
    <row r="242" spans="1:14">
      <c r="A242" s="42"/>
      <c r="B242" s="42"/>
      <c r="C242" s="42"/>
      <c r="D242" s="42"/>
      <c r="E242" s="42"/>
      <c r="F242" s="42"/>
      <c r="G242" s="42"/>
      <c r="H242" s="42"/>
      <c r="I242" s="42"/>
      <c r="J242" s="42"/>
      <c r="K242" s="42"/>
      <c r="L242" s="42"/>
      <c r="M242" s="42"/>
      <c r="N242" s="43"/>
    </row>
    <row r="243" spans="1:14">
      <c r="A243" s="42"/>
      <c r="B243" s="42"/>
      <c r="C243" s="42"/>
      <c r="D243" s="42"/>
      <c r="E243" s="42"/>
      <c r="F243" s="42"/>
      <c r="G243" s="42"/>
      <c r="H243" s="42"/>
      <c r="I243" s="42"/>
      <c r="J243" s="42"/>
      <c r="K243" s="42"/>
      <c r="L243" s="42"/>
      <c r="M243" s="42"/>
      <c r="N243" s="43"/>
    </row>
    <row r="244" spans="1:14">
      <c r="A244" s="42"/>
      <c r="B244" s="42"/>
      <c r="C244" s="42"/>
      <c r="D244" s="42"/>
      <c r="E244" s="42"/>
      <c r="F244" s="42"/>
      <c r="G244" s="42"/>
      <c r="H244" s="42"/>
      <c r="I244" s="42"/>
      <c r="J244" s="42"/>
      <c r="K244" s="42"/>
      <c r="L244" s="42"/>
      <c r="M244" s="42"/>
      <c r="N244" s="43"/>
    </row>
    <row r="245" spans="1:14">
      <c r="A245" s="42"/>
      <c r="B245" s="42"/>
      <c r="C245" s="42"/>
      <c r="D245" s="42"/>
      <c r="E245" s="42"/>
      <c r="F245" s="42"/>
      <c r="G245" s="42"/>
      <c r="H245" s="42"/>
      <c r="I245" s="42"/>
      <c r="J245" s="42"/>
      <c r="K245" s="42"/>
      <c r="L245" s="42"/>
      <c r="M245" s="42"/>
      <c r="N245" s="43"/>
    </row>
    <row r="246" spans="1:14">
      <c r="A246" s="42"/>
      <c r="B246" s="42"/>
      <c r="C246" s="42"/>
      <c r="D246" s="42"/>
      <c r="E246" s="42"/>
      <c r="F246" s="42"/>
      <c r="G246" s="42"/>
      <c r="H246" s="42"/>
      <c r="I246" s="42"/>
      <c r="J246" s="42"/>
      <c r="K246" s="42"/>
      <c r="L246" s="42"/>
      <c r="M246" s="42"/>
      <c r="N246" s="43"/>
    </row>
    <row r="247" spans="1:14">
      <c r="A247" s="42"/>
      <c r="B247" s="42"/>
      <c r="C247" s="42"/>
      <c r="D247" s="42"/>
      <c r="E247" s="42"/>
      <c r="F247" s="42"/>
      <c r="G247" s="42"/>
      <c r="H247" s="42"/>
      <c r="I247" s="42"/>
      <c r="J247" s="42"/>
      <c r="K247" s="42"/>
      <c r="L247" s="42"/>
      <c r="M247" s="42"/>
      <c r="N247" s="43"/>
    </row>
    <row r="248" spans="1:14">
      <c r="A248" s="42"/>
      <c r="B248" s="42"/>
      <c r="C248" s="42"/>
      <c r="D248" s="42"/>
      <c r="E248" s="42"/>
      <c r="F248" s="42"/>
      <c r="G248" s="42"/>
      <c r="H248" s="42"/>
      <c r="I248" s="42"/>
      <c r="J248" s="42"/>
      <c r="K248" s="42"/>
      <c r="L248" s="42"/>
      <c r="M248" s="42"/>
      <c r="N248" s="43"/>
    </row>
    <row r="249" spans="1:14">
      <c r="A249" s="42"/>
      <c r="B249" s="42"/>
      <c r="C249" s="42"/>
      <c r="D249" s="42"/>
      <c r="E249" s="42"/>
      <c r="F249" s="42"/>
      <c r="G249" s="42"/>
      <c r="H249" s="42"/>
      <c r="I249" s="42"/>
      <c r="J249" s="42"/>
      <c r="K249" s="42"/>
      <c r="L249" s="42"/>
      <c r="M249" s="42"/>
      <c r="N249" s="43"/>
    </row>
    <row r="250" spans="1:14">
      <c r="A250" s="42"/>
      <c r="B250" s="42"/>
      <c r="C250" s="42"/>
      <c r="D250" s="42"/>
      <c r="E250" s="42"/>
      <c r="F250" s="42"/>
      <c r="G250" s="42"/>
      <c r="H250" s="42"/>
      <c r="I250" s="42"/>
      <c r="J250" s="42"/>
      <c r="K250" s="42"/>
      <c r="L250" s="42"/>
      <c r="M250" s="42"/>
      <c r="N250" s="43"/>
    </row>
    <row r="251" spans="1:14">
      <c r="A251" s="42"/>
      <c r="B251" s="42"/>
      <c r="C251" s="42"/>
      <c r="D251" s="42"/>
      <c r="E251" s="42"/>
      <c r="F251" s="42"/>
      <c r="G251" s="42"/>
      <c r="H251" s="42"/>
      <c r="I251" s="42"/>
      <c r="J251" s="42"/>
      <c r="K251" s="42"/>
      <c r="L251" s="42"/>
      <c r="M251" s="42"/>
      <c r="N251" s="43"/>
    </row>
    <row r="252" spans="1:14">
      <c r="A252" s="42"/>
      <c r="B252" s="42"/>
      <c r="C252" s="42"/>
      <c r="D252" s="42"/>
      <c r="E252" s="42"/>
      <c r="F252" s="42"/>
      <c r="G252" s="42"/>
      <c r="H252" s="42"/>
      <c r="I252" s="42"/>
      <c r="J252" s="42"/>
      <c r="K252" s="42"/>
      <c r="L252" s="42"/>
      <c r="M252" s="42"/>
      <c r="N252" s="43"/>
    </row>
    <row r="253" spans="1:14">
      <c r="A253" s="42"/>
      <c r="B253" s="42"/>
      <c r="C253" s="42"/>
      <c r="D253" s="42"/>
      <c r="E253" s="42"/>
      <c r="F253" s="42"/>
      <c r="G253" s="42"/>
      <c r="H253" s="42"/>
      <c r="I253" s="42"/>
      <c r="J253" s="42"/>
      <c r="K253" s="42"/>
      <c r="L253" s="42"/>
      <c r="M253" s="42"/>
      <c r="N253" s="43"/>
    </row>
    <row r="254" spans="1:14">
      <c r="A254" s="42"/>
      <c r="B254" s="42"/>
      <c r="C254" s="42"/>
      <c r="D254" s="42"/>
      <c r="E254" s="42"/>
      <c r="F254" s="42"/>
      <c r="G254" s="42"/>
      <c r="H254" s="42"/>
      <c r="I254" s="42"/>
      <c r="J254" s="42"/>
      <c r="K254" s="42"/>
      <c r="L254" s="42"/>
      <c r="M254" s="42"/>
      <c r="N254" s="43"/>
    </row>
    <row r="255" spans="1:14">
      <c r="A255" s="42"/>
      <c r="B255" s="42"/>
      <c r="C255" s="42"/>
      <c r="D255" s="42"/>
      <c r="E255" s="42"/>
      <c r="F255" s="42"/>
      <c r="G255" s="42"/>
      <c r="H255" s="42"/>
      <c r="I255" s="42"/>
      <c r="J255" s="42"/>
      <c r="K255" s="42"/>
      <c r="L255" s="42"/>
      <c r="M255" s="42"/>
      <c r="N255" s="43"/>
    </row>
    <row r="256" spans="1:14">
      <c r="A256" s="42"/>
      <c r="B256" s="42"/>
      <c r="C256" s="42"/>
      <c r="D256" s="42"/>
      <c r="E256" s="42"/>
      <c r="F256" s="42"/>
      <c r="G256" s="42"/>
      <c r="H256" s="42"/>
      <c r="I256" s="42"/>
      <c r="J256" s="42"/>
      <c r="K256" s="42"/>
      <c r="L256" s="42"/>
      <c r="M256" s="42"/>
      <c r="N256" s="43"/>
    </row>
    <row r="257" spans="1:14">
      <c r="A257" s="42"/>
      <c r="B257" s="42"/>
      <c r="C257" s="42"/>
      <c r="D257" s="42"/>
      <c r="E257" s="42"/>
      <c r="F257" s="42"/>
      <c r="G257" s="42"/>
      <c r="H257" s="42"/>
      <c r="I257" s="42"/>
      <c r="J257" s="42"/>
      <c r="K257" s="42"/>
      <c r="L257" s="42"/>
      <c r="M257" s="42"/>
      <c r="N257" s="43"/>
    </row>
    <row r="258" spans="1:14">
      <c r="A258" s="42"/>
      <c r="B258" s="42"/>
      <c r="C258" s="42"/>
      <c r="D258" s="42"/>
      <c r="E258" s="42"/>
      <c r="F258" s="42"/>
      <c r="G258" s="42"/>
      <c r="H258" s="42"/>
      <c r="I258" s="42"/>
      <c r="J258" s="42"/>
      <c r="K258" s="42"/>
      <c r="L258" s="42"/>
      <c r="M258" s="42"/>
      <c r="N258" s="43"/>
    </row>
    <row r="259" spans="1:14">
      <c r="A259" s="42"/>
      <c r="B259" s="42"/>
      <c r="C259" s="42"/>
      <c r="D259" s="42"/>
      <c r="E259" s="42"/>
      <c r="F259" s="42"/>
      <c r="G259" s="42"/>
      <c r="H259" s="42"/>
      <c r="I259" s="42"/>
      <c r="J259" s="42"/>
      <c r="K259" s="42"/>
      <c r="L259" s="42"/>
      <c r="M259" s="42"/>
      <c r="N259" s="43"/>
    </row>
    <row r="260" spans="1:14">
      <c r="A260" s="42"/>
      <c r="B260" s="42"/>
      <c r="C260" s="42"/>
      <c r="D260" s="42"/>
      <c r="E260" s="42"/>
      <c r="F260" s="42"/>
      <c r="G260" s="42"/>
      <c r="H260" s="42"/>
      <c r="I260" s="42"/>
      <c r="J260" s="42"/>
      <c r="K260" s="42"/>
      <c r="L260" s="42"/>
      <c r="M260" s="42"/>
      <c r="N260" s="43"/>
    </row>
    <row r="261" spans="1:14">
      <c r="A261" s="42"/>
      <c r="B261" s="42"/>
      <c r="C261" s="42"/>
      <c r="D261" s="42"/>
      <c r="E261" s="42"/>
      <c r="F261" s="42"/>
      <c r="G261" s="42"/>
      <c r="H261" s="42"/>
      <c r="I261" s="42"/>
      <c r="J261" s="42"/>
      <c r="K261" s="42"/>
      <c r="L261" s="42"/>
      <c r="M261" s="42"/>
      <c r="N261" s="43"/>
    </row>
    <row r="262" spans="1:14">
      <c r="A262" s="42"/>
      <c r="B262" s="42"/>
      <c r="C262" s="42"/>
      <c r="D262" s="42"/>
      <c r="E262" s="42"/>
      <c r="F262" s="42"/>
      <c r="G262" s="42"/>
      <c r="H262" s="42"/>
      <c r="I262" s="42"/>
      <c r="J262" s="42"/>
      <c r="K262" s="42"/>
      <c r="L262" s="42"/>
      <c r="M262" s="42"/>
      <c r="N262" s="43"/>
    </row>
    <row r="263" spans="1:14">
      <c r="A263" s="42"/>
      <c r="B263" s="42"/>
      <c r="C263" s="42"/>
      <c r="D263" s="42"/>
      <c r="E263" s="42"/>
      <c r="F263" s="42"/>
      <c r="G263" s="42"/>
      <c r="H263" s="42"/>
      <c r="I263" s="42"/>
      <c r="J263" s="42"/>
      <c r="K263" s="42"/>
      <c r="L263" s="42"/>
      <c r="M263" s="42"/>
      <c r="N263" s="43"/>
    </row>
    <row r="264" spans="1:14">
      <c r="A264" s="42"/>
      <c r="B264" s="42"/>
      <c r="C264" s="42"/>
      <c r="D264" s="42"/>
      <c r="E264" s="42"/>
      <c r="F264" s="42"/>
      <c r="G264" s="42"/>
      <c r="H264" s="42"/>
      <c r="I264" s="42"/>
      <c r="J264" s="42"/>
      <c r="K264" s="42"/>
      <c r="L264" s="42"/>
      <c r="M264" s="42"/>
      <c r="N264" s="43"/>
    </row>
    <row r="265" spans="1:14">
      <c r="A265" s="42"/>
      <c r="B265" s="42"/>
      <c r="C265" s="42"/>
      <c r="D265" s="42"/>
      <c r="E265" s="42"/>
      <c r="F265" s="42"/>
      <c r="G265" s="42"/>
      <c r="H265" s="42"/>
      <c r="I265" s="42"/>
      <c r="J265" s="42"/>
      <c r="K265" s="42"/>
      <c r="L265" s="42"/>
      <c r="M265" s="42"/>
      <c r="N265" s="43"/>
    </row>
    <row r="266" spans="1:14">
      <c r="A266" s="42"/>
      <c r="B266" s="42"/>
      <c r="C266" s="42"/>
      <c r="D266" s="42"/>
      <c r="E266" s="42"/>
      <c r="F266" s="42"/>
      <c r="G266" s="42"/>
      <c r="H266" s="42"/>
      <c r="I266" s="42"/>
      <c r="J266" s="42"/>
      <c r="K266" s="42"/>
      <c r="L266" s="42"/>
      <c r="M266" s="42"/>
      <c r="N266" s="43"/>
    </row>
    <row r="267" spans="1:14">
      <c r="A267" s="42"/>
      <c r="B267" s="42"/>
      <c r="C267" s="42"/>
      <c r="D267" s="42"/>
      <c r="E267" s="42"/>
      <c r="F267" s="42"/>
      <c r="G267" s="42"/>
      <c r="H267" s="42"/>
      <c r="I267" s="42"/>
      <c r="J267" s="42"/>
      <c r="K267" s="42"/>
      <c r="L267" s="42"/>
      <c r="M267" s="42"/>
      <c r="N267" s="43"/>
    </row>
    <row r="268" spans="1:14">
      <c r="A268" s="42"/>
      <c r="B268" s="42"/>
      <c r="C268" s="42"/>
      <c r="D268" s="42"/>
      <c r="E268" s="42"/>
      <c r="F268" s="42"/>
      <c r="G268" s="42"/>
      <c r="H268" s="42"/>
      <c r="I268" s="42"/>
      <c r="J268" s="42"/>
      <c r="K268" s="42"/>
      <c r="L268" s="42"/>
      <c r="M268" s="42"/>
      <c r="N268" s="43"/>
    </row>
    <row r="269" spans="1:14">
      <c r="A269" s="42"/>
      <c r="B269" s="42"/>
      <c r="C269" s="42"/>
      <c r="D269" s="42"/>
      <c r="E269" s="42"/>
      <c r="F269" s="42"/>
      <c r="G269" s="42"/>
      <c r="H269" s="42"/>
      <c r="I269" s="42"/>
      <c r="J269" s="42"/>
      <c r="K269" s="42"/>
      <c r="L269" s="42"/>
      <c r="M269" s="42"/>
      <c r="N269" s="43"/>
    </row>
    <row r="270" spans="1:14">
      <c r="A270" s="42"/>
      <c r="B270" s="42"/>
      <c r="C270" s="42"/>
      <c r="D270" s="42"/>
      <c r="E270" s="42"/>
      <c r="F270" s="42"/>
      <c r="G270" s="42"/>
      <c r="H270" s="42"/>
      <c r="I270" s="42"/>
      <c r="J270" s="42"/>
      <c r="K270" s="42"/>
      <c r="L270" s="42"/>
      <c r="M270" s="42"/>
      <c r="N270" s="43"/>
    </row>
    <row r="271" spans="1:14">
      <c r="A271" s="42"/>
      <c r="B271" s="42"/>
      <c r="C271" s="42"/>
      <c r="D271" s="42"/>
      <c r="E271" s="42"/>
      <c r="F271" s="42"/>
      <c r="G271" s="42"/>
      <c r="H271" s="42"/>
      <c r="I271" s="42"/>
      <c r="J271" s="42"/>
      <c r="K271" s="42"/>
      <c r="L271" s="42"/>
      <c r="M271" s="42"/>
      <c r="N271" s="43"/>
    </row>
    <row r="272" spans="1:14">
      <c r="A272" s="42"/>
      <c r="B272" s="42"/>
      <c r="C272" s="42"/>
      <c r="D272" s="42"/>
      <c r="E272" s="42"/>
      <c r="F272" s="42"/>
      <c r="G272" s="42"/>
      <c r="H272" s="42"/>
      <c r="I272" s="42"/>
      <c r="J272" s="42"/>
      <c r="K272" s="42"/>
      <c r="L272" s="42"/>
      <c r="M272" s="42"/>
      <c r="N272" s="43"/>
    </row>
    <row r="273" spans="1:14">
      <c r="A273" s="42"/>
      <c r="B273" s="42"/>
      <c r="C273" s="42"/>
      <c r="D273" s="42"/>
      <c r="E273" s="42"/>
      <c r="F273" s="42"/>
      <c r="G273" s="42"/>
      <c r="H273" s="42"/>
      <c r="I273" s="42"/>
      <c r="J273" s="42"/>
      <c r="K273" s="42"/>
      <c r="L273" s="42"/>
      <c r="M273" s="42"/>
      <c r="N273" s="43"/>
    </row>
    <row r="274" spans="1:14">
      <c r="A274" s="42"/>
      <c r="B274" s="42"/>
      <c r="C274" s="42"/>
      <c r="D274" s="42"/>
      <c r="E274" s="42"/>
      <c r="F274" s="42"/>
      <c r="G274" s="42"/>
      <c r="H274" s="42"/>
      <c r="I274" s="42"/>
      <c r="J274" s="42"/>
      <c r="K274" s="42"/>
      <c r="L274" s="42"/>
      <c r="M274" s="42"/>
      <c r="N274" s="43"/>
    </row>
    <row r="275" spans="1:14">
      <c r="A275" s="42"/>
      <c r="B275" s="42"/>
      <c r="C275" s="42"/>
      <c r="D275" s="42"/>
      <c r="E275" s="42"/>
      <c r="F275" s="42"/>
      <c r="G275" s="42"/>
      <c r="H275" s="42"/>
      <c r="I275" s="42"/>
      <c r="J275" s="42"/>
      <c r="K275" s="42"/>
      <c r="L275" s="42"/>
      <c r="M275" s="42"/>
      <c r="N275" s="43"/>
    </row>
    <row r="276" spans="1:14">
      <c r="A276" s="42"/>
      <c r="B276" s="42"/>
      <c r="C276" s="42"/>
      <c r="D276" s="42"/>
      <c r="E276" s="42"/>
      <c r="F276" s="42"/>
      <c r="G276" s="42"/>
      <c r="H276" s="42"/>
      <c r="I276" s="42"/>
      <c r="J276" s="42"/>
      <c r="K276" s="42"/>
      <c r="L276" s="42"/>
      <c r="M276" s="42"/>
      <c r="N276" s="43"/>
    </row>
    <row r="277" spans="1:14">
      <c r="A277" s="42"/>
      <c r="B277" s="42"/>
      <c r="C277" s="42"/>
      <c r="D277" s="42"/>
      <c r="E277" s="42"/>
      <c r="F277" s="42"/>
      <c r="G277" s="42"/>
      <c r="H277" s="42"/>
      <c r="I277" s="42"/>
      <c r="J277" s="42"/>
      <c r="K277" s="42"/>
      <c r="L277" s="42"/>
      <c r="M277" s="42"/>
      <c r="N277" s="43"/>
    </row>
    <row r="278" spans="1:14">
      <c r="A278" s="42"/>
      <c r="B278" s="42"/>
      <c r="C278" s="42"/>
      <c r="D278" s="42"/>
      <c r="E278" s="42"/>
      <c r="F278" s="42"/>
      <c r="G278" s="42"/>
      <c r="H278" s="42"/>
      <c r="I278" s="42"/>
      <c r="J278" s="42"/>
      <c r="K278" s="42"/>
      <c r="L278" s="42"/>
      <c r="M278" s="42"/>
      <c r="N278" s="43"/>
    </row>
    <row r="279" spans="1:14">
      <c r="A279" s="42"/>
      <c r="B279" s="42"/>
      <c r="C279" s="42"/>
      <c r="D279" s="42"/>
      <c r="E279" s="42"/>
      <c r="F279" s="42"/>
      <c r="G279" s="42"/>
      <c r="H279" s="42"/>
      <c r="I279" s="42"/>
      <c r="J279" s="42"/>
      <c r="K279" s="42"/>
      <c r="L279" s="42"/>
      <c r="M279" s="42"/>
      <c r="N279" s="43"/>
    </row>
    <row r="280" spans="1:14">
      <c r="A280" s="42"/>
      <c r="B280" s="42"/>
      <c r="C280" s="42"/>
      <c r="D280" s="42"/>
      <c r="E280" s="42"/>
      <c r="F280" s="42"/>
      <c r="G280" s="42"/>
      <c r="H280" s="42"/>
      <c r="I280" s="42"/>
      <c r="J280" s="42"/>
      <c r="K280" s="42"/>
      <c r="L280" s="42"/>
      <c r="M280" s="42"/>
      <c r="N280" s="43"/>
    </row>
    <row r="281" spans="1:14">
      <c r="A281" s="42"/>
      <c r="B281" s="42"/>
      <c r="C281" s="42"/>
      <c r="D281" s="42"/>
      <c r="E281" s="42"/>
      <c r="F281" s="42"/>
      <c r="G281" s="42"/>
      <c r="H281" s="42"/>
      <c r="I281" s="42"/>
      <c r="J281" s="42"/>
      <c r="K281" s="42"/>
      <c r="L281" s="42"/>
      <c r="M281" s="42"/>
      <c r="N281" s="43"/>
    </row>
    <row r="282" spans="1:14">
      <c r="A282" s="42"/>
      <c r="B282" s="42"/>
      <c r="C282" s="42"/>
      <c r="D282" s="42"/>
      <c r="E282" s="42"/>
      <c r="F282" s="42"/>
      <c r="G282" s="42"/>
      <c r="H282" s="42"/>
      <c r="I282" s="42"/>
      <c r="J282" s="42"/>
      <c r="K282" s="42"/>
      <c r="L282" s="42"/>
      <c r="M282" s="42"/>
      <c r="N282" s="43"/>
    </row>
    <row r="283" spans="1:14">
      <c r="A283" s="42"/>
      <c r="B283" s="42"/>
      <c r="C283" s="42"/>
      <c r="D283" s="42"/>
      <c r="E283" s="42"/>
      <c r="F283" s="42"/>
      <c r="G283" s="42"/>
      <c r="H283" s="42"/>
      <c r="I283" s="42"/>
      <c r="J283" s="42"/>
      <c r="K283" s="42"/>
      <c r="L283" s="42"/>
      <c r="M283" s="42"/>
      <c r="N283" s="43"/>
    </row>
    <row r="284" spans="1:14">
      <c r="A284" s="42"/>
      <c r="B284" s="42"/>
      <c r="C284" s="42"/>
      <c r="D284" s="42"/>
      <c r="E284" s="42"/>
      <c r="F284" s="42"/>
      <c r="G284" s="42"/>
      <c r="H284" s="42"/>
      <c r="I284" s="42"/>
      <c r="J284" s="42"/>
      <c r="K284" s="42"/>
      <c r="L284" s="42"/>
      <c r="M284" s="42"/>
      <c r="N284" s="43"/>
    </row>
    <row r="285" spans="1:14">
      <c r="A285" s="42"/>
      <c r="B285" s="42"/>
      <c r="C285" s="42"/>
      <c r="D285" s="42"/>
      <c r="E285" s="42"/>
      <c r="F285" s="42"/>
      <c r="G285" s="42"/>
      <c r="H285" s="42"/>
      <c r="I285" s="42"/>
      <c r="J285" s="42"/>
      <c r="K285" s="42"/>
      <c r="L285" s="42"/>
      <c r="M285" s="42"/>
      <c r="N285" s="43"/>
    </row>
    <row r="286" spans="1:14">
      <c r="A286" s="42"/>
      <c r="B286" s="42"/>
      <c r="C286" s="42"/>
      <c r="D286" s="42"/>
      <c r="E286" s="42"/>
      <c r="F286" s="42"/>
      <c r="G286" s="42"/>
      <c r="H286" s="42"/>
      <c r="I286" s="42"/>
      <c r="J286" s="42"/>
      <c r="K286" s="42"/>
      <c r="L286" s="42"/>
      <c r="M286" s="42"/>
      <c r="N286" s="43"/>
    </row>
    <row r="287" spans="1:14">
      <c r="A287" s="42"/>
      <c r="B287" s="42"/>
      <c r="C287" s="42"/>
      <c r="D287" s="42"/>
      <c r="E287" s="42"/>
      <c r="F287" s="42"/>
      <c r="G287" s="42"/>
      <c r="H287" s="42"/>
      <c r="I287" s="42"/>
      <c r="J287" s="42"/>
      <c r="K287" s="42"/>
      <c r="L287" s="42"/>
      <c r="M287" s="42"/>
      <c r="N287" s="43"/>
    </row>
    <row r="288" spans="1:14">
      <c r="A288" s="42"/>
      <c r="B288" s="42"/>
      <c r="C288" s="42"/>
      <c r="D288" s="42"/>
      <c r="E288" s="42"/>
      <c r="F288" s="42"/>
      <c r="G288" s="42"/>
      <c r="H288" s="42"/>
      <c r="I288" s="42"/>
      <c r="J288" s="42"/>
      <c r="K288" s="42"/>
      <c r="L288" s="42"/>
      <c r="M288" s="42"/>
      <c r="N288" s="43"/>
    </row>
    <row r="289" spans="1:14">
      <c r="A289" s="42"/>
      <c r="B289" s="42"/>
      <c r="C289" s="42"/>
      <c r="D289" s="42"/>
      <c r="E289" s="42"/>
      <c r="F289" s="42"/>
      <c r="G289" s="42"/>
      <c r="H289" s="42"/>
      <c r="I289" s="42"/>
      <c r="J289" s="42"/>
      <c r="K289" s="42"/>
      <c r="L289" s="42"/>
      <c r="M289" s="42"/>
      <c r="N289" s="43"/>
    </row>
    <row r="290" spans="1:14">
      <c r="A290" s="42"/>
      <c r="B290" s="42"/>
      <c r="C290" s="42"/>
      <c r="D290" s="42"/>
      <c r="E290" s="42"/>
      <c r="F290" s="42"/>
      <c r="G290" s="42"/>
      <c r="H290" s="42"/>
      <c r="I290" s="42"/>
      <c r="J290" s="42"/>
      <c r="K290" s="42"/>
      <c r="L290" s="42"/>
      <c r="M290" s="42"/>
      <c r="N290" s="43"/>
    </row>
    <row r="291" spans="1:14">
      <c r="A291" s="42"/>
      <c r="B291" s="42"/>
      <c r="C291" s="42"/>
      <c r="D291" s="42"/>
      <c r="E291" s="42"/>
      <c r="F291" s="42"/>
      <c r="G291" s="42"/>
      <c r="H291" s="42"/>
      <c r="I291" s="42"/>
      <c r="J291" s="42"/>
      <c r="K291" s="42"/>
      <c r="L291" s="42"/>
      <c r="M291" s="42"/>
      <c r="N291" s="43"/>
    </row>
    <row r="292" spans="1:14">
      <c r="A292" s="42"/>
      <c r="B292" s="42"/>
      <c r="C292" s="42"/>
      <c r="D292" s="42"/>
      <c r="E292" s="42"/>
      <c r="F292" s="42"/>
      <c r="G292" s="42"/>
      <c r="H292" s="42"/>
      <c r="I292" s="42"/>
      <c r="J292" s="42"/>
      <c r="K292" s="42"/>
      <c r="L292" s="42"/>
      <c r="M292" s="42"/>
      <c r="N292" s="43"/>
    </row>
    <row r="293" spans="1:14">
      <c r="A293" s="42"/>
      <c r="B293" s="42"/>
      <c r="C293" s="42"/>
      <c r="D293" s="42"/>
      <c r="E293" s="42"/>
      <c r="F293" s="42"/>
      <c r="G293" s="42"/>
      <c r="H293" s="42"/>
      <c r="I293" s="42"/>
      <c r="J293" s="42"/>
      <c r="K293" s="42"/>
      <c r="L293" s="42"/>
      <c r="M293" s="42"/>
      <c r="N293" s="43"/>
    </row>
    <row r="294" spans="1:14">
      <c r="A294" s="42"/>
      <c r="B294" s="42"/>
      <c r="C294" s="42"/>
      <c r="D294" s="42"/>
      <c r="E294" s="42"/>
      <c r="F294" s="42"/>
      <c r="G294" s="42"/>
      <c r="H294" s="42"/>
      <c r="I294" s="42"/>
      <c r="J294" s="42"/>
      <c r="K294" s="42"/>
      <c r="L294" s="42"/>
      <c r="M294" s="42"/>
      <c r="N294" s="43"/>
    </row>
    <row r="295" spans="1:14">
      <c r="A295" s="42"/>
      <c r="B295" s="42"/>
      <c r="C295" s="42"/>
      <c r="D295" s="42"/>
      <c r="E295" s="42"/>
      <c r="F295" s="42"/>
      <c r="G295" s="42"/>
      <c r="H295" s="42"/>
      <c r="I295" s="42"/>
      <c r="J295" s="42"/>
      <c r="K295" s="42"/>
      <c r="L295" s="42"/>
      <c r="M295" s="42"/>
      <c r="N295" s="43"/>
    </row>
    <row r="296" spans="1:14">
      <c r="A296" s="42"/>
      <c r="B296" s="42"/>
      <c r="C296" s="42"/>
      <c r="D296" s="42"/>
      <c r="E296" s="42"/>
      <c r="F296" s="42"/>
      <c r="G296" s="42"/>
      <c r="H296" s="42"/>
      <c r="I296" s="42"/>
      <c r="J296" s="42"/>
      <c r="K296" s="42"/>
      <c r="L296" s="42"/>
      <c r="M296" s="42"/>
      <c r="N296" s="43"/>
    </row>
    <row r="297" spans="1:14">
      <c r="A297" s="42"/>
      <c r="B297" s="42"/>
      <c r="C297" s="42"/>
      <c r="D297" s="42"/>
      <c r="E297" s="42"/>
      <c r="F297" s="42"/>
      <c r="G297" s="42"/>
      <c r="H297" s="42"/>
      <c r="I297" s="42"/>
      <c r="J297" s="42"/>
      <c r="K297" s="42"/>
      <c r="L297" s="42"/>
      <c r="M297" s="42"/>
      <c r="N297" s="43"/>
    </row>
    <row r="298" spans="1:14">
      <c r="A298" s="42"/>
      <c r="B298" s="42"/>
      <c r="C298" s="42"/>
      <c r="D298" s="42"/>
      <c r="E298" s="42"/>
      <c r="F298" s="42"/>
      <c r="G298" s="42"/>
      <c r="H298" s="42"/>
      <c r="I298" s="42"/>
      <c r="J298" s="42"/>
      <c r="K298" s="42"/>
      <c r="L298" s="42"/>
      <c r="M298" s="42"/>
      <c r="N298" s="43"/>
    </row>
    <row r="299" spans="1:14">
      <c r="A299" s="42"/>
      <c r="B299" s="42"/>
      <c r="C299" s="42"/>
      <c r="D299" s="42"/>
      <c r="E299" s="42"/>
      <c r="F299" s="42"/>
      <c r="G299" s="42"/>
      <c r="H299" s="42"/>
      <c r="I299" s="42"/>
      <c r="J299" s="42"/>
      <c r="K299" s="42"/>
      <c r="L299" s="42"/>
      <c r="M299" s="42"/>
      <c r="N299" s="43"/>
    </row>
    <row r="300" spans="1:14">
      <c r="A300" s="42"/>
      <c r="B300" s="42"/>
      <c r="C300" s="42"/>
      <c r="D300" s="42"/>
      <c r="E300" s="42"/>
      <c r="F300" s="42"/>
      <c r="G300" s="42"/>
      <c r="H300" s="42"/>
      <c r="I300" s="42"/>
      <c r="J300" s="42"/>
      <c r="K300" s="42"/>
      <c r="L300" s="42"/>
      <c r="M300" s="42"/>
      <c r="N300" s="43"/>
    </row>
    <row r="301" spans="1:14">
      <c r="A301" s="42"/>
      <c r="B301" s="42"/>
      <c r="C301" s="42"/>
      <c r="D301" s="42"/>
      <c r="E301" s="42"/>
      <c r="F301" s="42"/>
      <c r="G301" s="42"/>
      <c r="H301" s="42"/>
      <c r="I301" s="42"/>
      <c r="J301" s="42"/>
      <c r="K301" s="42"/>
      <c r="L301" s="42"/>
      <c r="M301" s="42"/>
      <c r="N301" s="43"/>
    </row>
    <row r="302" spans="1:14">
      <c r="A302" s="42"/>
      <c r="B302" s="42"/>
      <c r="C302" s="42"/>
      <c r="D302" s="42"/>
      <c r="E302" s="42"/>
      <c r="F302" s="42"/>
      <c r="G302" s="42"/>
      <c r="H302" s="42"/>
      <c r="I302" s="42"/>
      <c r="J302" s="42"/>
      <c r="K302" s="42"/>
      <c r="L302" s="42"/>
      <c r="M302" s="42"/>
      <c r="N302" s="43"/>
    </row>
    <row r="303" spans="1:14">
      <c r="A303" s="42"/>
      <c r="B303" s="42"/>
      <c r="C303" s="42"/>
      <c r="D303" s="42"/>
      <c r="E303" s="42"/>
      <c r="F303" s="42"/>
      <c r="G303" s="42"/>
      <c r="H303" s="42"/>
      <c r="I303" s="42"/>
      <c r="J303" s="42"/>
      <c r="K303" s="42"/>
      <c r="L303" s="42"/>
      <c r="M303" s="42"/>
      <c r="N303" s="43"/>
    </row>
    <row r="304" spans="1:14">
      <c r="A304" s="42"/>
      <c r="B304" s="42"/>
      <c r="C304" s="42"/>
      <c r="D304" s="42"/>
      <c r="E304" s="42"/>
      <c r="F304" s="42"/>
      <c r="G304" s="42"/>
      <c r="H304" s="42"/>
      <c r="I304" s="42"/>
      <c r="J304" s="42"/>
      <c r="K304" s="42"/>
      <c r="L304" s="42"/>
      <c r="M304" s="42"/>
      <c r="N304" s="43"/>
    </row>
    <row r="305" spans="1:14">
      <c r="A305" s="42"/>
      <c r="B305" s="42"/>
      <c r="C305" s="42"/>
      <c r="D305" s="42"/>
      <c r="E305" s="42"/>
      <c r="F305" s="42"/>
      <c r="G305" s="42"/>
      <c r="H305" s="42"/>
      <c r="I305" s="42"/>
      <c r="J305" s="42"/>
      <c r="K305" s="42"/>
      <c r="L305" s="42"/>
      <c r="M305" s="42"/>
      <c r="N305" s="43"/>
    </row>
    <row r="306" spans="1:14">
      <c r="A306" s="42"/>
      <c r="B306" s="42"/>
      <c r="C306" s="42"/>
      <c r="D306" s="42"/>
      <c r="E306" s="42"/>
      <c r="F306" s="42"/>
      <c r="G306" s="42"/>
      <c r="H306" s="42"/>
      <c r="I306" s="42"/>
      <c r="J306" s="42"/>
      <c r="K306" s="42"/>
      <c r="L306" s="42"/>
      <c r="M306" s="42"/>
      <c r="N306" s="43"/>
    </row>
    <row r="307" spans="1:14">
      <c r="A307" s="42"/>
      <c r="B307" s="42"/>
      <c r="C307" s="42"/>
      <c r="D307" s="42"/>
      <c r="E307" s="42"/>
      <c r="F307" s="42"/>
      <c r="G307" s="42"/>
      <c r="H307" s="42"/>
      <c r="I307" s="42"/>
      <c r="J307" s="42"/>
      <c r="K307" s="42"/>
      <c r="L307" s="42"/>
      <c r="M307" s="42"/>
      <c r="N307" s="43"/>
    </row>
    <row r="308" spans="1:14">
      <c r="A308" s="42"/>
      <c r="B308" s="42"/>
      <c r="C308" s="42"/>
      <c r="D308" s="42"/>
      <c r="E308" s="42"/>
      <c r="F308" s="42"/>
      <c r="G308" s="42"/>
      <c r="H308" s="42"/>
      <c r="I308" s="42"/>
      <c r="J308" s="42"/>
      <c r="K308" s="42"/>
      <c r="L308" s="42"/>
      <c r="M308" s="42"/>
      <c r="N308" s="43"/>
    </row>
    <row r="309" spans="1:14">
      <c r="A309" s="42"/>
      <c r="B309" s="42"/>
      <c r="C309" s="42"/>
      <c r="D309" s="42"/>
      <c r="E309" s="42"/>
      <c r="F309" s="42"/>
      <c r="G309" s="42"/>
      <c r="H309" s="42"/>
      <c r="I309" s="42"/>
      <c r="J309" s="42"/>
      <c r="K309" s="42"/>
      <c r="L309" s="42"/>
      <c r="M309" s="42"/>
      <c r="N309" s="43"/>
    </row>
    <row r="310" spans="1:14">
      <c r="A310" s="42"/>
      <c r="B310" s="42"/>
      <c r="C310" s="42"/>
      <c r="D310" s="42"/>
      <c r="E310" s="42"/>
      <c r="F310" s="42"/>
      <c r="G310" s="42"/>
      <c r="H310" s="42"/>
      <c r="I310" s="42"/>
      <c r="J310" s="42"/>
      <c r="K310" s="42"/>
      <c r="L310" s="42"/>
      <c r="M310" s="42"/>
      <c r="N310" s="43"/>
    </row>
    <row r="311" spans="1:14">
      <c r="A311" s="42"/>
      <c r="B311" s="42"/>
      <c r="C311" s="42"/>
      <c r="D311" s="42"/>
      <c r="E311" s="42"/>
      <c r="F311" s="42"/>
      <c r="G311" s="42"/>
      <c r="H311" s="42"/>
      <c r="I311" s="42"/>
      <c r="J311" s="42"/>
      <c r="K311" s="42"/>
      <c r="L311" s="42"/>
      <c r="M311" s="42"/>
      <c r="N311" s="43"/>
    </row>
    <row r="312" spans="1:14">
      <c r="A312" s="42"/>
      <c r="B312" s="42"/>
      <c r="C312" s="42"/>
      <c r="D312" s="42"/>
      <c r="E312" s="42"/>
      <c r="F312" s="42"/>
      <c r="G312" s="42"/>
      <c r="H312" s="42"/>
      <c r="I312" s="42"/>
      <c r="J312" s="42"/>
      <c r="K312" s="42"/>
      <c r="L312" s="42"/>
      <c r="M312" s="42"/>
      <c r="N312" s="43"/>
    </row>
    <row r="313" spans="1:14">
      <c r="A313" s="42"/>
      <c r="B313" s="42"/>
      <c r="C313" s="42"/>
      <c r="D313" s="42"/>
      <c r="E313" s="42"/>
      <c r="F313" s="42"/>
      <c r="G313" s="42"/>
      <c r="H313" s="42"/>
      <c r="I313" s="42"/>
      <c r="J313" s="42"/>
      <c r="K313" s="42"/>
      <c r="L313" s="42"/>
      <c r="M313" s="42"/>
      <c r="N313" s="43"/>
    </row>
    <row r="314" spans="1:14">
      <c r="A314" s="42"/>
      <c r="B314" s="42"/>
      <c r="C314" s="42"/>
      <c r="D314" s="42"/>
      <c r="E314" s="42"/>
      <c r="F314" s="42"/>
      <c r="G314" s="42"/>
      <c r="H314" s="42"/>
      <c r="I314" s="42"/>
      <c r="J314" s="42"/>
      <c r="K314" s="42"/>
      <c r="L314" s="42"/>
      <c r="M314" s="42"/>
      <c r="N314" s="43"/>
    </row>
    <row r="315" spans="1:14">
      <c r="A315" s="42"/>
      <c r="B315" s="42"/>
      <c r="C315" s="42"/>
      <c r="D315" s="42"/>
      <c r="E315" s="42"/>
      <c r="F315" s="42"/>
      <c r="G315" s="42"/>
      <c r="H315" s="42"/>
      <c r="I315" s="42"/>
      <c r="J315" s="42"/>
      <c r="K315" s="42"/>
      <c r="L315" s="42"/>
      <c r="M315" s="42"/>
      <c r="N315" s="43"/>
    </row>
    <row r="316" spans="1:14">
      <c r="A316" s="42"/>
      <c r="B316" s="42"/>
      <c r="C316" s="42"/>
      <c r="D316" s="42"/>
      <c r="E316" s="42"/>
      <c r="F316" s="42"/>
      <c r="G316" s="42"/>
      <c r="H316" s="42"/>
      <c r="I316" s="42"/>
      <c r="J316" s="42"/>
      <c r="K316" s="42"/>
      <c r="L316" s="42"/>
      <c r="M316" s="42"/>
      <c r="N316" s="43"/>
    </row>
    <row r="317" spans="1:14">
      <c r="A317" s="42"/>
      <c r="B317" s="42"/>
      <c r="C317" s="42"/>
      <c r="D317" s="42"/>
      <c r="E317" s="42"/>
      <c r="F317" s="42"/>
      <c r="G317" s="42"/>
      <c r="H317" s="42"/>
      <c r="I317" s="42"/>
      <c r="J317" s="42"/>
      <c r="K317" s="42"/>
      <c r="L317" s="42"/>
      <c r="M317" s="42"/>
      <c r="N317" s="43"/>
    </row>
    <row r="318" spans="1:14">
      <c r="A318" s="42"/>
      <c r="B318" s="42"/>
      <c r="C318" s="42"/>
      <c r="D318" s="42"/>
      <c r="E318" s="42"/>
      <c r="F318" s="42"/>
      <c r="G318" s="42"/>
      <c r="H318" s="42"/>
      <c r="I318" s="42"/>
      <c r="J318" s="42"/>
      <c r="K318" s="42"/>
      <c r="L318" s="42"/>
      <c r="M318" s="42"/>
      <c r="N318" s="43"/>
    </row>
    <row r="319" spans="1:14">
      <c r="A319" s="42"/>
      <c r="B319" s="42"/>
      <c r="C319" s="42"/>
      <c r="D319" s="42"/>
      <c r="E319" s="42"/>
      <c r="F319" s="42"/>
      <c r="G319" s="42"/>
      <c r="H319" s="42"/>
      <c r="I319" s="42"/>
      <c r="J319" s="42"/>
      <c r="K319" s="42"/>
      <c r="L319" s="42"/>
      <c r="M319" s="42"/>
      <c r="N319" s="43"/>
    </row>
    <row r="320" spans="1:14">
      <c r="A320" s="42"/>
      <c r="B320" s="42"/>
      <c r="C320" s="42"/>
      <c r="D320" s="42"/>
      <c r="E320" s="42"/>
      <c r="F320" s="42"/>
      <c r="G320" s="42"/>
      <c r="H320" s="42"/>
      <c r="I320" s="42"/>
      <c r="J320" s="42"/>
      <c r="K320" s="42"/>
      <c r="L320" s="42"/>
      <c r="M320" s="42"/>
      <c r="N320" s="43"/>
    </row>
    <row r="321" spans="1:14">
      <c r="A321" s="42"/>
      <c r="B321" s="42"/>
      <c r="C321" s="42"/>
      <c r="D321" s="42"/>
      <c r="E321" s="42"/>
      <c r="F321" s="42"/>
      <c r="G321" s="42"/>
      <c r="H321" s="42"/>
      <c r="I321" s="42"/>
      <c r="J321" s="42"/>
      <c r="K321" s="42"/>
      <c r="L321" s="42"/>
      <c r="M321" s="42"/>
      <c r="N321" s="43"/>
    </row>
    <row r="322" spans="1:14">
      <c r="A322" s="42"/>
      <c r="B322" s="42"/>
      <c r="C322" s="42"/>
      <c r="D322" s="42"/>
      <c r="E322" s="42"/>
      <c r="F322" s="42"/>
      <c r="G322" s="42"/>
      <c r="H322" s="42"/>
      <c r="I322" s="42"/>
      <c r="J322" s="42"/>
      <c r="K322" s="42"/>
      <c r="L322" s="42"/>
      <c r="M322" s="42"/>
      <c r="N322" s="43"/>
    </row>
    <row r="323" spans="1:14">
      <c r="A323" s="42"/>
      <c r="B323" s="42"/>
      <c r="C323" s="42"/>
      <c r="D323" s="42"/>
      <c r="E323" s="42"/>
      <c r="F323" s="42"/>
      <c r="G323" s="42"/>
      <c r="H323" s="42"/>
      <c r="I323" s="42"/>
      <c r="J323" s="42"/>
      <c r="K323" s="42"/>
      <c r="L323" s="42"/>
      <c r="M323" s="42"/>
      <c r="N323" s="43"/>
    </row>
    <row r="324" spans="1:14">
      <c r="A324" s="42"/>
      <c r="B324" s="42"/>
      <c r="C324" s="42"/>
      <c r="D324" s="42"/>
      <c r="E324" s="42"/>
      <c r="F324" s="42"/>
      <c r="G324" s="42"/>
      <c r="H324" s="42"/>
      <c r="I324" s="42"/>
      <c r="J324" s="42"/>
      <c r="K324" s="42"/>
      <c r="L324" s="42"/>
      <c r="M324" s="42"/>
      <c r="N324" s="43"/>
    </row>
    <row r="325" spans="1:14">
      <c r="A325" s="42"/>
      <c r="B325" s="42"/>
      <c r="C325" s="42"/>
      <c r="D325" s="42"/>
      <c r="E325" s="42"/>
      <c r="F325" s="42"/>
      <c r="G325" s="42"/>
      <c r="H325" s="42"/>
      <c r="I325" s="42"/>
      <c r="J325" s="42"/>
      <c r="K325" s="42"/>
      <c r="L325" s="42"/>
      <c r="M325" s="42"/>
      <c r="N325" s="43"/>
    </row>
    <row r="326" spans="1:14">
      <c r="A326" s="42"/>
      <c r="B326" s="42"/>
      <c r="C326" s="42"/>
      <c r="D326" s="42"/>
      <c r="E326" s="42"/>
      <c r="F326" s="42"/>
      <c r="G326" s="42"/>
      <c r="H326" s="42"/>
      <c r="I326" s="42"/>
      <c r="J326" s="42"/>
      <c r="K326" s="42"/>
      <c r="L326" s="42"/>
      <c r="M326" s="42"/>
      <c r="N326" s="43"/>
    </row>
    <row r="327" spans="1:14">
      <c r="A327" s="42"/>
      <c r="B327" s="42"/>
      <c r="C327" s="42"/>
      <c r="D327" s="42"/>
      <c r="E327" s="42"/>
      <c r="F327" s="42"/>
      <c r="G327" s="42"/>
      <c r="H327" s="42"/>
      <c r="I327" s="42"/>
      <c r="J327" s="42"/>
      <c r="K327" s="42"/>
      <c r="L327" s="42"/>
      <c r="M327" s="42"/>
      <c r="N327" s="43"/>
    </row>
    <row r="328" spans="1:14">
      <c r="A328" s="42"/>
      <c r="B328" s="42"/>
      <c r="C328" s="42"/>
      <c r="D328" s="42"/>
      <c r="E328" s="42"/>
      <c r="F328" s="42"/>
      <c r="G328" s="42"/>
      <c r="H328" s="42"/>
      <c r="I328" s="42"/>
      <c r="J328" s="42"/>
      <c r="K328" s="42"/>
      <c r="L328" s="42"/>
      <c r="M328" s="42"/>
      <c r="N328" s="43"/>
    </row>
    <row r="329" spans="1:14">
      <c r="A329" s="42"/>
    </row>
  </sheetData>
  <sheetProtection algorithmName="SHA-512" hashValue="umrHerGn7aLJb2UITG+sEBz0FNth3JSxNtyanQ4dIruy+A7IUHX7gOPeYugylN3Je/8ujiHLYyGIqe+YUs9InQ==" saltValue="CvLral3lzEYxgVQasMGS3A==" spinCount="100000" sheet="1" objects="1" scenarios="1" selectLockedCells="1"/>
  <mergeCells count="18">
    <mergeCell ref="K49:K50"/>
    <mergeCell ref="L49:L50"/>
    <mergeCell ref="L14:L15"/>
    <mergeCell ref="B14:B15"/>
    <mergeCell ref="A49:A50"/>
    <mergeCell ref="B49:B50"/>
    <mergeCell ref="C49:E49"/>
    <mergeCell ref="F49:H49"/>
    <mergeCell ref="J49:J50"/>
    <mergeCell ref="C14:E14"/>
    <mergeCell ref="F14:H14"/>
    <mergeCell ref="J14:J15"/>
    <mergeCell ref="K14:K15"/>
    <mergeCell ref="A4:B4"/>
    <mergeCell ref="I4:L4"/>
    <mergeCell ref="A14:A15"/>
    <mergeCell ref="A6:A7"/>
    <mergeCell ref="B6:B7"/>
  </mergeCells>
  <phoneticPr fontId="1" type="noConversion"/>
  <dataValidations xWindow="305" yWindow="375" count="1">
    <dataValidation allowBlank="1" showInputMessage="1" showErrorMessage="1" promptTitle="類別總數：" prompt="填入要指定的商品/服務的類別總數。_x000a__x000a_" sqref="B5" xr:uid="{00000000-0002-0000-0000-000000000000}"/>
  </dataValidations>
  <pageMargins left="0.70866141732283472" right="0.70866141732283472" top="0.74803149606299213" bottom="0.74803149606299213" header="0.31496062992125984" footer="0.31496062992125984"/>
  <pageSetup paperSize="9" scale="60" orientation="portrait" r:id="rId1"/>
  <headerFooter>
    <oddHeader>&amp;C&amp;G&amp;RPatent Your Future!&amp;"微軟正黑體,標準"&amp;X®</oddHeader>
    <oddFooter>&amp;L&amp;"標楷體,標準"《IP Winner．慧幫你盈®》&amp;C&amp;"標楷體,標準"第 &amp;P 頁，共 &amp;N 頁&amp;R&amp;"標楷體,標準"V2026.06</oddFooter>
  </headerFooter>
  <rowBreaks count="1" manualBreakCount="1">
    <brk id="70" max="11" man="1"/>
  </rowBreaks>
  <colBreaks count="1" manualBreakCount="1">
    <brk id="1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85" r:id="rId5" name="Option Button 61">
              <controlPr defaultSize="0" autoFill="0" autoLine="0" autoPict="0">
                <anchor moveWithCells="1">
                  <from>
                    <xdr:col>1</xdr:col>
                    <xdr:colOff>38100</xdr:colOff>
                    <xdr:row>5</xdr:row>
                    <xdr:rowOff>66675</xdr:rowOff>
                  </from>
                  <to>
                    <xdr:col>1</xdr:col>
                    <xdr:colOff>781050</xdr:colOff>
                    <xdr:row>5</xdr:row>
                    <xdr:rowOff>200025</xdr:rowOff>
                  </to>
                </anchor>
              </controlPr>
            </control>
          </mc:Choice>
        </mc:AlternateContent>
        <mc:AlternateContent xmlns:mc="http://schemas.openxmlformats.org/markup-compatibility/2006">
          <mc:Choice Requires="x14">
            <control shapeId="1086" r:id="rId6" name="Option Button 62">
              <controlPr defaultSize="0" autoFill="0" autoLine="0" autoPict="0">
                <anchor moveWithCells="1">
                  <from>
                    <xdr:col>1</xdr:col>
                    <xdr:colOff>38100</xdr:colOff>
                    <xdr:row>6</xdr:row>
                    <xdr:rowOff>38100</xdr:rowOff>
                  </from>
                  <to>
                    <xdr:col>1</xdr:col>
                    <xdr:colOff>781050</xdr:colOff>
                    <xdr:row>6</xdr:row>
                    <xdr:rowOff>180975</xdr:rowOff>
                  </to>
                </anchor>
              </controlPr>
            </control>
          </mc:Choice>
        </mc:AlternateContent>
        <mc:AlternateContent xmlns:mc="http://schemas.openxmlformats.org/markup-compatibility/2006">
          <mc:Choice Requires="x14">
            <control shapeId="1243" r:id="rId7" name="Check Box 219">
              <controlPr defaultSize="0" autoFill="0" autoLine="0" autoPict="0" altText="官方費用">
                <anchor moveWithCells="1">
                  <from>
                    <xdr:col>4</xdr:col>
                    <xdr:colOff>47625</xdr:colOff>
                    <xdr:row>5</xdr:row>
                    <xdr:rowOff>47625</xdr:rowOff>
                  </from>
                  <to>
                    <xdr:col>4</xdr:col>
                    <xdr:colOff>933450</xdr:colOff>
                    <xdr:row>5</xdr:row>
                    <xdr:rowOff>190500</xdr:rowOff>
                  </to>
                </anchor>
              </controlPr>
            </control>
          </mc:Choice>
        </mc:AlternateContent>
        <mc:AlternateContent xmlns:mc="http://schemas.openxmlformats.org/markup-compatibility/2006">
          <mc:Choice Requires="x14">
            <control shapeId="1246" r:id="rId8" name="Check Box 222">
              <controlPr defaultSize="0" autoFill="0" autoLine="0" autoPict="0">
                <anchor moveWithCells="1">
                  <from>
                    <xdr:col>1</xdr:col>
                    <xdr:colOff>161925</xdr:colOff>
                    <xdr:row>16</xdr:row>
                    <xdr:rowOff>47625</xdr:rowOff>
                  </from>
                  <to>
                    <xdr:col>1</xdr:col>
                    <xdr:colOff>723900</xdr:colOff>
                    <xdr:row>16</xdr:row>
                    <xdr:rowOff>190500</xdr:rowOff>
                  </to>
                </anchor>
              </controlPr>
            </control>
          </mc:Choice>
        </mc:AlternateContent>
        <mc:AlternateContent xmlns:mc="http://schemas.openxmlformats.org/markup-compatibility/2006">
          <mc:Choice Requires="x14">
            <control shapeId="1247" r:id="rId9" name="Check Box 223">
              <controlPr defaultSize="0" autoFill="0" autoLine="0" autoPict="0">
                <anchor moveWithCells="1">
                  <from>
                    <xdr:col>1</xdr:col>
                    <xdr:colOff>161925</xdr:colOff>
                    <xdr:row>17</xdr:row>
                    <xdr:rowOff>47625</xdr:rowOff>
                  </from>
                  <to>
                    <xdr:col>1</xdr:col>
                    <xdr:colOff>723900</xdr:colOff>
                    <xdr:row>17</xdr:row>
                    <xdr:rowOff>190500</xdr:rowOff>
                  </to>
                </anchor>
              </controlPr>
            </control>
          </mc:Choice>
        </mc:AlternateContent>
        <mc:AlternateContent xmlns:mc="http://schemas.openxmlformats.org/markup-compatibility/2006">
          <mc:Choice Requires="x14">
            <control shapeId="1248" r:id="rId10" name="Check Box 224">
              <controlPr defaultSize="0" autoFill="0" autoLine="0" autoPict="0">
                <anchor moveWithCells="1">
                  <from>
                    <xdr:col>1</xdr:col>
                    <xdr:colOff>161925</xdr:colOff>
                    <xdr:row>15</xdr:row>
                    <xdr:rowOff>47625</xdr:rowOff>
                  </from>
                  <to>
                    <xdr:col>1</xdr:col>
                    <xdr:colOff>723900</xdr:colOff>
                    <xdr:row>15</xdr:row>
                    <xdr:rowOff>190500</xdr:rowOff>
                  </to>
                </anchor>
              </controlPr>
            </control>
          </mc:Choice>
        </mc:AlternateContent>
        <mc:AlternateContent xmlns:mc="http://schemas.openxmlformats.org/markup-compatibility/2006">
          <mc:Choice Requires="x14">
            <control shapeId="1249" r:id="rId11" name="Check Box 225">
              <controlPr defaultSize="0" autoFill="0" autoLine="0" autoPict="0">
                <anchor moveWithCells="1">
                  <from>
                    <xdr:col>1</xdr:col>
                    <xdr:colOff>161925</xdr:colOff>
                    <xdr:row>18</xdr:row>
                    <xdr:rowOff>47625</xdr:rowOff>
                  </from>
                  <to>
                    <xdr:col>1</xdr:col>
                    <xdr:colOff>723900</xdr:colOff>
                    <xdr:row>18</xdr:row>
                    <xdr:rowOff>190500</xdr:rowOff>
                  </to>
                </anchor>
              </controlPr>
            </control>
          </mc:Choice>
        </mc:AlternateContent>
        <mc:AlternateContent xmlns:mc="http://schemas.openxmlformats.org/markup-compatibility/2006">
          <mc:Choice Requires="x14">
            <control shapeId="1250" r:id="rId12" name="Check Box 226">
              <controlPr defaultSize="0" autoFill="0" autoLine="0" autoPict="0">
                <anchor moveWithCells="1">
                  <from>
                    <xdr:col>1</xdr:col>
                    <xdr:colOff>161925</xdr:colOff>
                    <xdr:row>20</xdr:row>
                    <xdr:rowOff>47625</xdr:rowOff>
                  </from>
                  <to>
                    <xdr:col>1</xdr:col>
                    <xdr:colOff>723900</xdr:colOff>
                    <xdr:row>20</xdr:row>
                    <xdr:rowOff>190500</xdr:rowOff>
                  </to>
                </anchor>
              </controlPr>
            </control>
          </mc:Choice>
        </mc:AlternateContent>
        <mc:AlternateContent xmlns:mc="http://schemas.openxmlformats.org/markup-compatibility/2006">
          <mc:Choice Requires="x14">
            <control shapeId="1251" r:id="rId13" name="Check Box 227">
              <controlPr defaultSize="0" autoFill="0" autoLine="0" autoPict="0">
                <anchor moveWithCells="1">
                  <from>
                    <xdr:col>1</xdr:col>
                    <xdr:colOff>161925</xdr:colOff>
                    <xdr:row>21</xdr:row>
                    <xdr:rowOff>47625</xdr:rowOff>
                  </from>
                  <to>
                    <xdr:col>1</xdr:col>
                    <xdr:colOff>723900</xdr:colOff>
                    <xdr:row>21</xdr:row>
                    <xdr:rowOff>190500</xdr:rowOff>
                  </to>
                </anchor>
              </controlPr>
            </control>
          </mc:Choice>
        </mc:AlternateContent>
        <mc:AlternateContent xmlns:mc="http://schemas.openxmlformats.org/markup-compatibility/2006">
          <mc:Choice Requires="x14">
            <control shapeId="1252" r:id="rId14" name="Check Box 228">
              <controlPr defaultSize="0" autoFill="0" autoLine="0" autoPict="0">
                <anchor moveWithCells="1">
                  <from>
                    <xdr:col>1</xdr:col>
                    <xdr:colOff>161925</xdr:colOff>
                    <xdr:row>24</xdr:row>
                    <xdr:rowOff>47625</xdr:rowOff>
                  </from>
                  <to>
                    <xdr:col>1</xdr:col>
                    <xdr:colOff>723900</xdr:colOff>
                    <xdr:row>24</xdr:row>
                    <xdr:rowOff>190500</xdr:rowOff>
                  </to>
                </anchor>
              </controlPr>
            </control>
          </mc:Choice>
        </mc:AlternateContent>
        <mc:AlternateContent xmlns:mc="http://schemas.openxmlformats.org/markup-compatibility/2006">
          <mc:Choice Requires="x14">
            <control shapeId="1253" r:id="rId15" name="Check Box 229">
              <controlPr defaultSize="0" autoFill="0" autoLine="0" autoPict="0">
                <anchor moveWithCells="1">
                  <from>
                    <xdr:col>1</xdr:col>
                    <xdr:colOff>161925</xdr:colOff>
                    <xdr:row>28</xdr:row>
                    <xdr:rowOff>47625</xdr:rowOff>
                  </from>
                  <to>
                    <xdr:col>1</xdr:col>
                    <xdr:colOff>723900</xdr:colOff>
                    <xdr:row>28</xdr:row>
                    <xdr:rowOff>190500</xdr:rowOff>
                  </to>
                </anchor>
              </controlPr>
            </control>
          </mc:Choice>
        </mc:AlternateContent>
        <mc:AlternateContent xmlns:mc="http://schemas.openxmlformats.org/markup-compatibility/2006">
          <mc:Choice Requires="x14">
            <control shapeId="1254" r:id="rId16" name="Check Box 230">
              <controlPr defaultSize="0" autoFill="0" autoLine="0" autoPict="0">
                <anchor moveWithCells="1">
                  <from>
                    <xdr:col>1</xdr:col>
                    <xdr:colOff>161925</xdr:colOff>
                    <xdr:row>29</xdr:row>
                    <xdr:rowOff>47625</xdr:rowOff>
                  </from>
                  <to>
                    <xdr:col>1</xdr:col>
                    <xdr:colOff>723900</xdr:colOff>
                    <xdr:row>29</xdr:row>
                    <xdr:rowOff>190500</xdr:rowOff>
                  </to>
                </anchor>
              </controlPr>
            </control>
          </mc:Choice>
        </mc:AlternateContent>
        <mc:AlternateContent xmlns:mc="http://schemas.openxmlformats.org/markup-compatibility/2006">
          <mc:Choice Requires="x14">
            <control shapeId="1255" r:id="rId17" name="Check Box 231">
              <controlPr defaultSize="0" autoFill="0" autoLine="0" autoPict="0">
                <anchor moveWithCells="1">
                  <from>
                    <xdr:col>1</xdr:col>
                    <xdr:colOff>161925</xdr:colOff>
                    <xdr:row>25</xdr:row>
                    <xdr:rowOff>47625</xdr:rowOff>
                  </from>
                  <to>
                    <xdr:col>1</xdr:col>
                    <xdr:colOff>723900</xdr:colOff>
                    <xdr:row>25</xdr:row>
                    <xdr:rowOff>190500</xdr:rowOff>
                  </to>
                </anchor>
              </controlPr>
            </control>
          </mc:Choice>
        </mc:AlternateContent>
        <mc:AlternateContent xmlns:mc="http://schemas.openxmlformats.org/markup-compatibility/2006">
          <mc:Choice Requires="x14">
            <control shapeId="1256" r:id="rId18" name="Check Box 232">
              <controlPr defaultSize="0" autoFill="0" autoLine="0" autoPict="0">
                <anchor moveWithCells="1">
                  <from>
                    <xdr:col>1</xdr:col>
                    <xdr:colOff>161925</xdr:colOff>
                    <xdr:row>27</xdr:row>
                    <xdr:rowOff>47625</xdr:rowOff>
                  </from>
                  <to>
                    <xdr:col>1</xdr:col>
                    <xdr:colOff>723900</xdr:colOff>
                    <xdr:row>27</xdr:row>
                    <xdr:rowOff>190500</xdr:rowOff>
                  </to>
                </anchor>
              </controlPr>
            </control>
          </mc:Choice>
        </mc:AlternateContent>
        <mc:AlternateContent xmlns:mc="http://schemas.openxmlformats.org/markup-compatibility/2006">
          <mc:Choice Requires="x14">
            <control shapeId="1257" r:id="rId19" name="Check Box 233">
              <controlPr defaultSize="0" autoFill="0" autoLine="0" autoPict="0">
                <anchor moveWithCells="1">
                  <from>
                    <xdr:col>1</xdr:col>
                    <xdr:colOff>161925</xdr:colOff>
                    <xdr:row>22</xdr:row>
                    <xdr:rowOff>47625</xdr:rowOff>
                  </from>
                  <to>
                    <xdr:col>1</xdr:col>
                    <xdr:colOff>723900</xdr:colOff>
                    <xdr:row>22</xdr:row>
                    <xdr:rowOff>190500</xdr:rowOff>
                  </to>
                </anchor>
              </controlPr>
            </control>
          </mc:Choice>
        </mc:AlternateContent>
        <mc:AlternateContent xmlns:mc="http://schemas.openxmlformats.org/markup-compatibility/2006">
          <mc:Choice Requires="x14">
            <control shapeId="1258" r:id="rId20" name="Check Box 234">
              <controlPr defaultSize="0" autoFill="0" autoLine="0" autoPict="0">
                <anchor moveWithCells="1">
                  <from>
                    <xdr:col>1</xdr:col>
                    <xdr:colOff>161925</xdr:colOff>
                    <xdr:row>23</xdr:row>
                    <xdr:rowOff>47625</xdr:rowOff>
                  </from>
                  <to>
                    <xdr:col>1</xdr:col>
                    <xdr:colOff>723900</xdr:colOff>
                    <xdr:row>23</xdr:row>
                    <xdr:rowOff>190500</xdr:rowOff>
                  </to>
                </anchor>
              </controlPr>
            </control>
          </mc:Choice>
        </mc:AlternateContent>
        <mc:AlternateContent xmlns:mc="http://schemas.openxmlformats.org/markup-compatibility/2006">
          <mc:Choice Requires="x14">
            <control shapeId="1285" r:id="rId21" name="Check Box 261">
              <controlPr defaultSize="0" autoFill="0" autoLine="0" autoPict="0" altText="官方費用">
                <anchor moveWithCells="1">
                  <from>
                    <xdr:col>4</xdr:col>
                    <xdr:colOff>47625</xdr:colOff>
                    <xdr:row>6</xdr:row>
                    <xdr:rowOff>47625</xdr:rowOff>
                  </from>
                  <to>
                    <xdr:col>4</xdr:col>
                    <xdr:colOff>933450</xdr:colOff>
                    <xdr:row>6</xdr:row>
                    <xdr:rowOff>190500</xdr:rowOff>
                  </to>
                </anchor>
              </controlPr>
            </control>
          </mc:Choice>
        </mc:AlternateContent>
        <mc:AlternateContent xmlns:mc="http://schemas.openxmlformats.org/markup-compatibility/2006">
          <mc:Choice Requires="x14">
            <control shapeId="1286" r:id="rId22" name="Check Box 262">
              <controlPr defaultSize="0" autoFill="0" autoLine="0" autoPict="0" altText="官方費用">
                <anchor moveWithCells="1">
                  <from>
                    <xdr:col>4</xdr:col>
                    <xdr:colOff>47625</xdr:colOff>
                    <xdr:row>7</xdr:row>
                    <xdr:rowOff>57150</xdr:rowOff>
                  </from>
                  <to>
                    <xdr:col>4</xdr:col>
                    <xdr:colOff>933450</xdr:colOff>
                    <xdr:row>7</xdr:row>
                    <xdr:rowOff>190500</xdr:rowOff>
                  </to>
                </anchor>
              </controlPr>
            </control>
          </mc:Choice>
        </mc:AlternateContent>
        <mc:AlternateContent xmlns:mc="http://schemas.openxmlformats.org/markup-compatibility/2006">
          <mc:Choice Requires="x14">
            <control shapeId="1313" r:id="rId23" name="Check Box 289">
              <controlPr defaultSize="0" autoFill="0" autoLine="0" autoPict="0">
                <anchor moveWithCells="1">
                  <from>
                    <xdr:col>1</xdr:col>
                    <xdr:colOff>161925</xdr:colOff>
                    <xdr:row>30</xdr:row>
                    <xdr:rowOff>47625</xdr:rowOff>
                  </from>
                  <to>
                    <xdr:col>1</xdr:col>
                    <xdr:colOff>723900</xdr:colOff>
                    <xdr:row>30</xdr:row>
                    <xdr:rowOff>190500</xdr:rowOff>
                  </to>
                </anchor>
              </controlPr>
            </control>
          </mc:Choice>
        </mc:AlternateContent>
        <mc:AlternateContent xmlns:mc="http://schemas.openxmlformats.org/markup-compatibility/2006">
          <mc:Choice Requires="x14">
            <control shapeId="1314" r:id="rId24" name="Check Box 290">
              <controlPr defaultSize="0" autoFill="0" autoLine="0" autoPict="0">
                <anchor moveWithCells="1">
                  <from>
                    <xdr:col>1</xdr:col>
                    <xdr:colOff>161925</xdr:colOff>
                    <xdr:row>31</xdr:row>
                    <xdr:rowOff>47625</xdr:rowOff>
                  </from>
                  <to>
                    <xdr:col>1</xdr:col>
                    <xdr:colOff>723900</xdr:colOff>
                    <xdr:row>31</xdr:row>
                    <xdr:rowOff>190500</xdr:rowOff>
                  </to>
                </anchor>
              </controlPr>
            </control>
          </mc:Choice>
        </mc:AlternateContent>
        <mc:AlternateContent xmlns:mc="http://schemas.openxmlformats.org/markup-compatibility/2006">
          <mc:Choice Requires="x14">
            <control shapeId="1317" r:id="rId25" name="Check Box 293">
              <controlPr defaultSize="0" autoFill="0" autoLine="0" autoPict="0">
                <anchor moveWithCells="1">
                  <from>
                    <xdr:col>1</xdr:col>
                    <xdr:colOff>161925</xdr:colOff>
                    <xdr:row>19</xdr:row>
                    <xdr:rowOff>47625</xdr:rowOff>
                  </from>
                  <to>
                    <xdr:col>1</xdr:col>
                    <xdr:colOff>723900</xdr:colOff>
                    <xdr:row>19</xdr:row>
                    <xdr:rowOff>190500</xdr:rowOff>
                  </to>
                </anchor>
              </controlPr>
            </control>
          </mc:Choice>
        </mc:AlternateContent>
        <mc:AlternateContent xmlns:mc="http://schemas.openxmlformats.org/markup-compatibility/2006">
          <mc:Choice Requires="x14">
            <control shapeId="1390" r:id="rId26" name="Check Box 366">
              <controlPr defaultSize="0" autoFill="0" autoLine="0" autoPict="0">
                <anchor moveWithCells="1">
                  <from>
                    <xdr:col>1</xdr:col>
                    <xdr:colOff>161925</xdr:colOff>
                    <xdr:row>51</xdr:row>
                    <xdr:rowOff>47625</xdr:rowOff>
                  </from>
                  <to>
                    <xdr:col>1</xdr:col>
                    <xdr:colOff>723900</xdr:colOff>
                    <xdr:row>51</xdr:row>
                    <xdr:rowOff>190500</xdr:rowOff>
                  </to>
                </anchor>
              </controlPr>
            </control>
          </mc:Choice>
        </mc:AlternateContent>
        <mc:AlternateContent xmlns:mc="http://schemas.openxmlformats.org/markup-compatibility/2006">
          <mc:Choice Requires="x14">
            <control shapeId="1391" r:id="rId27" name="Check Box 367">
              <controlPr defaultSize="0" autoFill="0" autoLine="0" autoPict="0">
                <anchor moveWithCells="1">
                  <from>
                    <xdr:col>1</xdr:col>
                    <xdr:colOff>161925</xdr:colOff>
                    <xdr:row>52</xdr:row>
                    <xdr:rowOff>47625</xdr:rowOff>
                  </from>
                  <to>
                    <xdr:col>1</xdr:col>
                    <xdr:colOff>723900</xdr:colOff>
                    <xdr:row>52</xdr:row>
                    <xdr:rowOff>190500</xdr:rowOff>
                  </to>
                </anchor>
              </controlPr>
            </control>
          </mc:Choice>
        </mc:AlternateContent>
        <mc:AlternateContent xmlns:mc="http://schemas.openxmlformats.org/markup-compatibility/2006">
          <mc:Choice Requires="x14">
            <control shapeId="1392" r:id="rId28" name="Check Box 368">
              <controlPr defaultSize="0" autoFill="0" autoLine="0" autoPict="0">
                <anchor moveWithCells="1">
                  <from>
                    <xdr:col>1</xdr:col>
                    <xdr:colOff>161925</xdr:colOff>
                    <xdr:row>50</xdr:row>
                    <xdr:rowOff>47625</xdr:rowOff>
                  </from>
                  <to>
                    <xdr:col>1</xdr:col>
                    <xdr:colOff>723900</xdr:colOff>
                    <xdr:row>50</xdr:row>
                    <xdr:rowOff>190500</xdr:rowOff>
                  </to>
                </anchor>
              </controlPr>
            </control>
          </mc:Choice>
        </mc:AlternateContent>
        <mc:AlternateContent xmlns:mc="http://schemas.openxmlformats.org/markup-compatibility/2006">
          <mc:Choice Requires="x14">
            <control shapeId="1393" r:id="rId29" name="Check Box 369">
              <controlPr defaultSize="0" autoFill="0" autoLine="0" autoPict="0">
                <anchor moveWithCells="1">
                  <from>
                    <xdr:col>1</xdr:col>
                    <xdr:colOff>161925</xdr:colOff>
                    <xdr:row>53</xdr:row>
                    <xdr:rowOff>47625</xdr:rowOff>
                  </from>
                  <to>
                    <xdr:col>1</xdr:col>
                    <xdr:colOff>723900</xdr:colOff>
                    <xdr:row>53</xdr:row>
                    <xdr:rowOff>190500</xdr:rowOff>
                  </to>
                </anchor>
              </controlPr>
            </control>
          </mc:Choice>
        </mc:AlternateContent>
        <mc:AlternateContent xmlns:mc="http://schemas.openxmlformats.org/markup-compatibility/2006">
          <mc:Choice Requires="x14">
            <control shapeId="1394" r:id="rId30" name="Check Box 370">
              <controlPr defaultSize="0" autoFill="0" autoLine="0" autoPict="0">
                <anchor moveWithCells="1">
                  <from>
                    <xdr:col>1</xdr:col>
                    <xdr:colOff>161925</xdr:colOff>
                    <xdr:row>55</xdr:row>
                    <xdr:rowOff>47625</xdr:rowOff>
                  </from>
                  <to>
                    <xdr:col>1</xdr:col>
                    <xdr:colOff>723900</xdr:colOff>
                    <xdr:row>55</xdr:row>
                    <xdr:rowOff>190500</xdr:rowOff>
                  </to>
                </anchor>
              </controlPr>
            </control>
          </mc:Choice>
        </mc:AlternateContent>
        <mc:AlternateContent xmlns:mc="http://schemas.openxmlformats.org/markup-compatibility/2006">
          <mc:Choice Requires="x14">
            <control shapeId="1395" r:id="rId31" name="Check Box 371">
              <controlPr defaultSize="0" autoFill="0" autoLine="0" autoPict="0">
                <anchor moveWithCells="1">
                  <from>
                    <xdr:col>1</xdr:col>
                    <xdr:colOff>161925</xdr:colOff>
                    <xdr:row>56</xdr:row>
                    <xdr:rowOff>47625</xdr:rowOff>
                  </from>
                  <to>
                    <xdr:col>1</xdr:col>
                    <xdr:colOff>723900</xdr:colOff>
                    <xdr:row>56</xdr:row>
                    <xdr:rowOff>190500</xdr:rowOff>
                  </to>
                </anchor>
              </controlPr>
            </control>
          </mc:Choice>
        </mc:AlternateContent>
        <mc:AlternateContent xmlns:mc="http://schemas.openxmlformats.org/markup-compatibility/2006">
          <mc:Choice Requires="x14">
            <control shapeId="1396" r:id="rId32" name="Check Box 372">
              <controlPr defaultSize="0" autoFill="0" autoLine="0" autoPict="0">
                <anchor moveWithCells="1">
                  <from>
                    <xdr:col>1</xdr:col>
                    <xdr:colOff>161925</xdr:colOff>
                    <xdr:row>59</xdr:row>
                    <xdr:rowOff>47625</xdr:rowOff>
                  </from>
                  <to>
                    <xdr:col>1</xdr:col>
                    <xdr:colOff>723900</xdr:colOff>
                    <xdr:row>59</xdr:row>
                    <xdr:rowOff>190500</xdr:rowOff>
                  </to>
                </anchor>
              </controlPr>
            </control>
          </mc:Choice>
        </mc:AlternateContent>
        <mc:AlternateContent xmlns:mc="http://schemas.openxmlformats.org/markup-compatibility/2006">
          <mc:Choice Requires="x14">
            <control shapeId="1397" r:id="rId33" name="Check Box 373">
              <controlPr defaultSize="0" autoFill="0" autoLine="0" autoPict="0">
                <anchor moveWithCells="1">
                  <from>
                    <xdr:col>1</xdr:col>
                    <xdr:colOff>161925</xdr:colOff>
                    <xdr:row>63</xdr:row>
                    <xdr:rowOff>47625</xdr:rowOff>
                  </from>
                  <to>
                    <xdr:col>1</xdr:col>
                    <xdr:colOff>723900</xdr:colOff>
                    <xdr:row>63</xdr:row>
                    <xdr:rowOff>190500</xdr:rowOff>
                  </to>
                </anchor>
              </controlPr>
            </control>
          </mc:Choice>
        </mc:AlternateContent>
        <mc:AlternateContent xmlns:mc="http://schemas.openxmlformats.org/markup-compatibility/2006">
          <mc:Choice Requires="x14">
            <control shapeId="1398" r:id="rId34" name="Check Box 374">
              <controlPr defaultSize="0" autoFill="0" autoLine="0" autoPict="0">
                <anchor moveWithCells="1">
                  <from>
                    <xdr:col>1</xdr:col>
                    <xdr:colOff>161925</xdr:colOff>
                    <xdr:row>64</xdr:row>
                    <xdr:rowOff>47625</xdr:rowOff>
                  </from>
                  <to>
                    <xdr:col>1</xdr:col>
                    <xdr:colOff>723900</xdr:colOff>
                    <xdr:row>64</xdr:row>
                    <xdr:rowOff>190500</xdr:rowOff>
                  </to>
                </anchor>
              </controlPr>
            </control>
          </mc:Choice>
        </mc:AlternateContent>
        <mc:AlternateContent xmlns:mc="http://schemas.openxmlformats.org/markup-compatibility/2006">
          <mc:Choice Requires="x14">
            <control shapeId="1399" r:id="rId35" name="Check Box 375">
              <controlPr defaultSize="0" autoFill="0" autoLine="0" autoPict="0">
                <anchor moveWithCells="1">
                  <from>
                    <xdr:col>1</xdr:col>
                    <xdr:colOff>161925</xdr:colOff>
                    <xdr:row>60</xdr:row>
                    <xdr:rowOff>47625</xdr:rowOff>
                  </from>
                  <to>
                    <xdr:col>1</xdr:col>
                    <xdr:colOff>723900</xdr:colOff>
                    <xdr:row>60</xdr:row>
                    <xdr:rowOff>190500</xdr:rowOff>
                  </to>
                </anchor>
              </controlPr>
            </control>
          </mc:Choice>
        </mc:AlternateContent>
        <mc:AlternateContent xmlns:mc="http://schemas.openxmlformats.org/markup-compatibility/2006">
          <mc:Choice Requires="x14">
            <control shapeId="1400" r:id="rId36" name="Check Box 376">
              <controlPr defaultSize="0" autoFill="0" autoLine="0" autoPict="0">
                <anchor moveWithCells="1">
                  <from>
                    <xdr:col>1</xdr:col>
                    <xdr:colOff>161925</xdr:colOff>
                    <xdr:row>62</xdr:row>
                    <xdr:rowOff>47625</xdr:rowOff>
                  </from>
                  <to>
                    <xdr:col>1</xdr:col>
                    <xdr:colOff>723900</xdr:colOff>
                    <xdr:row>62</xdr:row>
                    <xdr:rowOff>190500</xdr:rowOff>
                  </to>
                </anchor>
              </controlPr>
            </control>
          </mc:Choice>
        </mc:AlternateContent>
        <mc:AlternateContent xmlns:mc="http://schemas.openxmlformats.org/markup-compatibility/2006">
          <mc:Choice Requires="x14">
            <control shapeId="1401" r:id="rId37" name="Check Box 377">
              <controlPr defaultSize="0" autoFill="0" autoLine="0" autoPict="0">
                <anchor moveWithCells="1">
                  <from>
                    <xdr:col>1</xdr:col>
                    <xdr:colOff>161925</xdr:colOff>
                    <xdr:row>57</xdr:row>
                    <xdr:rowOff>47625</xdr:rowOff>
                  </from>
                  <to>
                    <xdr:col>1</xdr:col>
                    <xdr:colOff>723900</xdr:colOff>
                    <xdr:row>57</xdr:row>
                    <xdr:rowOff>190500</xdr:rowOff>
                  </to>
                </anchor>
              </controlPr>
            </control>
          </mc:Choice>
        </mc:AlternateContent>
        <mc:AlternateContent xmlns:mc="http://schemas.openxmlformats.org/markup-compatibility/2006">
          <mc:Choice Requires="x14">
            <control shapeId="1402" r:id="rId38" name="Check Box 378">
              <controlPr defaultSize="0" autoFill="0" autoLine="0" autoPict="0">
                <anchor moveWithCells="1">
                  <from>
                    <xdr:col>1</xdr:col>
                    <xdr:colOff>161925</xdr:colOff>
                    <xdr:row>58</xdr:row>
                    <xdr:rowOff>47625</xdr:rowOff>
                  </from>
                  <to>
                    <xdr:col>1</xdr:col>
                    <xdr:colOff>723900</xdr:colOff>
                    <xdr:row>58</xdr:row>
                    <xdr:rowOff>190500</xdr:rowOff>
                  </to>
                </anchor>
              </controlPr>
            </control>
          </mc:Choice>
        </mc:AlternateContent>
        <mc:AlternateContent xmlns:mc="http://schemas.openxmlformats.org/markup-compatibility/2006">
          <mc:Choice Requires="x14">
            <control shapeId="1403" r:id="rId39" name="Check Box 379">
              <controlPr defaultSize="0" autoFill="0" autoLine="0" autoPict="0">
                <anchor moveWithCells="1">
                  <from>
                    <xdr:col>1</xdr:col>
                    <xdr:colOff>161925</xdr:colOff>
                    <xdr:row>65</xdr:row>
                    <xdr:rowOff>47625</xdr:rowOff>
                  </from>
                  <to>
                    <xdr:col>1</xdr:col>
                    <xdr:colOff>723900</xdr:colOff>
                    <xdr:row>65</xdr:row>
                    <xdr:rowOff>190500</xdr:rowOff>
                  </to>
                </anchor>
              </controlPr>
            </control>
          </mc:Choice>
        </mc:AlternateContent>
        <mc:AlternateContent xmlns:mc="http://schemas.openxmlformats.org/markup-compatibility/2006">
          <mc:Choice Requires="x14">
            <control shapeId="1404" r:id="rId40" name="Check Box 380">
              <controlPr defaultSize="0" autoFill="0" autoLine="0" autoPict="0">
                <anchor moveWithCells="1">
                  <from>
                    <xdr:col>1</xdr:col>
                    <xdr:colOff>161925</xdr:colOff>
                    <xdr:row>66</xdr:row>
                    <xdr:rowOff>47625</xdr:rowOff>
                  </from>
                  <to>
                    <xdr:col>1</xdr:col>
                    <xdr:colOff>723900</xdr:colOff>
                    <xdr:row>66</xdr:row>
                    <xdr:rowOff>190500</xdr:rowOff>
                  </to>
                </anchor>
              </controlPr>
            </control>
          </mc:Choice>
        </mc:AlternateContent>
        <mc:AlternateContent xmlns:mc="http://schemas.openxmlformats.org/markup-compatibility/2006">
          <mc:Choice Requires="x14">
            <control shapeId="1405" r:id="rId41" name="Check Box 381">
              <controlPr defaultSize="0" autoFill="0" autoLine="0" autoPict="0">
                <anchor moveWithCells="1">
                  <from>
                    <xdr:col>1</xdr:col>
                    <xdr:colOff>161925</xdr:colOff>
                    <xdr:row>54</xdr:row>
                    <xdr:rowOff>47625</xdr:rowOff>
                  </from>
                  <to>
                    <xdr:col>1</xdr:col>
                    <xdr:colOff>723900</xdr:colOff>
                    <xdr:row>54</xdr:row>
                    <xdr:rowOff>190500</xdr:rowOff>
                  </to>
                </anchor>
              </controlPr>
            </control>
          </mc:Choice>
        </mc:AlternateContent>
        <mc:AlternateContent xmlns:mc="http://schemas.openxmlformats.org/markup-compatibility/2006">
          <mc:Choice Requires="x14">
            <control shapeId="1406" r:id="rId42" name="Check Box 382">
              <controlPr defaultSize="0" autoFill="0" autoLine="0" autoPict="0">
                <anchor moveWithCells="1">
                  <from>
                    <xdr:col>1</xdr:col>
                    <xdr:colOff>161925</xdr:colOff>
                    <xdr:row>26</xdr:row>
                    <xdr:rowOff>47625</xdr:rowOff>
                  </from>
                  <to>
                    <xdr:col>1</xdr:col>
                    <xdr:colOff>723900</xdr:colOff>
                    <xdr:row>26</xdr:row>
                    <xdr:rowOff>190500</xdr:rowOff>
                  </to>
                </anchor>
              </controlPr>
            </control>
          </mc:Choice>
        </mc:AlternateContent>
        <mc:AlternateContent xmlns:mc="http://schemas.openxmlformats.org/markup-compatibility/2006">
          <mc:Choice Requires="x14">
            <control shapeId="1407" r:id="rId43" name="Check Box 383">
              <controlPr defaultSize="0" autoFill="0" autoLine="0" autoPict="0">
                <anchor moveWithCells="1">
                  <from>
                    <xdr:col>1</xdr:col>
                    <xdr:colOff>161925</xdr:colOff>
                    <xdr:row>61</xdr:row>
                    <xdr:rowOff>47625</xdr:rowOff>
                  </from>
                  <to>
                    <xdr:col>1</xdr:col>
                    <xdr:colOff>723900</xdr:colOff>
                    <xdr:row>61</xdr:row>
                    <xdr:rowOff>190500</xdr:rowOff>
                  </to>
                </anchor>
              </controlPr>
            </control>
          </mc:Choice>
        </mc:AlternateContent>
        <mc:AlternateContent xmlns:mc="http://schemas.openxmlformats.org/markup-compatibility/2006">
          <mc:Choice Requires="x14">
            <control shapeId="1408" r:id="rId44" name="Check Box 384">
              <controlPr defaultSize="0" autoFill="0" autoLine="0" autoPict="0">
                <anchor moveWithCells="1">
                  <from>
                    <xdr:col>1</xdr:col>
                    <xdr:colOff>161925</xdr:colOff>
                    <xdr:row>32</xdr:row>
                    <xdr:rowOff>47625</xdr:rowOff>
                  </from>
                  <to>
                    <xdr:col>1</xdr:col>
                    <xdr:colOff>723900</xdr:colOff>
                    <xdr:row>32</xdr:row>
                    <xdr:rowOff>190500</xdr:rowOff>
                  </to>
                </anchor>
              </controlPr>
            </control>
          </mc:Choice>
        </mc:AlternateContent>
        <mc:AlternateContent xmlns:mc="http://schemas.openxmlformats.org/markup-compatibility/2006">
          <mc:Choice Requires="x14">
            <control shapeId="1409" r:id="rId45" name="Check Box 385">
              <controlPr defaultSize="0" autoFill="0" autoLine="0" autoPict="0">
                <anchor moveWithCells="1">
                  <from>
                    <xdr:col>1</xdr:col>
                    <xdr:colOff>161925</xdr:colOff>
                    <xdr:row>67</xdr:row>
                    <xdr:rowOff>47625</xdr:rowOff>
                  </from>
                  <to>
                    <xdr:col>1</xdr:col>
                    <xdr:colOff>723900</xdr:colOff>
                    <xdr:row>67</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78"/>
  <sheetViews>
    <sheetView view="pageBreakPreview" topLeftCell="A229" zoomScaleNormal="100" zoomScaleSheetLayoutView="100" workbookViewId="0">
      <selection activeCell="E245" sqref="E245"/>
    </sheetView>
  </sheetViews>
  <sheetFormatPr defaultRowHeight="16.5"/>
  <cols>
    <col min="1" max="1" width="10.625" style="25" customWidth="1"/>
    <col min="2" max="2" width="11.25" style="25" customWidth="1"/>
    <col min="3" max="3" width="6.625" style="25" customWidth="1"/>
    <col min="4" max="4" width="12.375" style="25" bestFit="1" customWidth="1"/>
    <col min="5" max="5" width="13.625" style="25" customWidth="1"/>
    <col min="6" max="6" width="5.75" style="25" customWidth="1"/>
    <col min="7" max="7" width="12.375" style="25" bestFit="1" customWidth="1"/>
    <col min="8" max="8" width="13.625" style="25" customWidth="1"/>
    <col min="9" max="9" width="12.375" style="25" bestFit="1" customWidth="1"/>
    <col min="10" max="10" width="13.625" style="25" customWidth="1"/>
    <col min="11" max="11" width="16.125" style="25" customWidth="1"/>
    <col min="12" max="12" width="10.625" style="25" customWidth="1"/>
    <col min="13" max="13" width="9" style="25"/>
    <col min="19" max="19" width="19.25" customWidth="1"/>
    <col min="20" max="20" width="23.375" customWidth="1"/>
    <col min="21" max="21" width="19.25" customWidth="1"/>
  </cols>
  <sheetData>
    <row r="1" spans="1:39">
      <c r="A1" s="1"/>
      <c r="B1" s="1"/>
      <c r="C1" s="1"/>
      <c r="D1" s="1"/>
      <c r="E1" s="1"/>
      <c r="F1" s="1"/>
      <c r="G1" s="1"/>
      <c r="H1" s="1"/>
      <c r="I1" s="1"/>
      <c r="J1" s="1"/>
      <c r="K1" s="1"/>
      <c r="L1" s="1"/>
      <c r="M1" s="1"/>
      <c r="N1" s="12"/>
    </row>
    <row r="2" spans="1:39" s="44" customFormat="1">
      <c r="A2" s="33" t="s">
        <v>121</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row>
    <row r="3" spans="1:39">
      <c r="A3" s="1"/>
      <c r="B3" s="1"/>
      <c r="C3" s="1"/>
      <c r="D3" s="1"/>
      <c r="E3" s="1"/>
      <c r="F3" s="1"/>
      <c r="G3" s="1"/>
      <c r="H3" s="1"/>
      <c r="I3" s="1"/>
      <c r="J3" s="1"/>
      <c r="K3" s="1"/>
      <c r="L3" s="1"/>
      <c r="M3" s="1"/>
      <c r="N3" s="12"/>
    </row>
    <row r="4" spans="1:39">
      <c r="A4" s="149" t="s">
        <v>1</v>
      </c>
      <c r="B4" s="150"/>
      <c r="C4" s="2"/>
      <c r="D4" s="2"/>
      <c r="E4" s="2"/>
      <c r="F4" s="2"/>
      <c r="G4" s="2"/>
      <c r="H4" s="2"/>
      <c r="I4" s="151" t="s">
        <v>119</v>
      </c>
      <c r="J4" s="152"/>
      <c r="K4" s="153"/>
      <c r="L4" s="153"/>
    </row>
    <row r="5" spans="1:39">
      <c r="A5" s="6" t="s">
        <v>12</v>
      </c>
      <c r="B5" s="11">
        <f>商標成本估算!B5</f>
        <v>2</v>
      </c>
      <c r="C5" s="2"/>
      <c r="D5" s="160" t="s">
        <v>115</v>
      </c>
      <c r="E5" s="161"/>
      <c r="F5" s="2"/>
      <c r="G5" s="2"/>
      <c r="H5" s="2"/>
      <c r="I5" s="39" t="s">
        <v>4</v>
      </c>
      <c r="J5" s="3">
        <f>商標成本估算!J5</f>
        <v>32</v>
      </c>
      <c r="K5" s="39" t="s">
        <v>2</v>
      </c>
      <c r="L5" s="3">
        <f>商標成本估算!L5</f>
        <v>4.5999999999999996</v>
      </c>
    </row>
    <row r="6" spans="1:39">
      <c r="A6" s="154" t="s">
        <v>13</v>
      </c>
      <c r="B6" s="156"/>
      <c r="C6" s="2"/>
      <c r="D6" s="56" t="s">
        <v>116</v>
      </c>
      <c r="E6" s="56" t="b">
        <v>1</v>
      </c>
      <c r="F6" s="2"/>
      <c r="G6" s="2"/>
      <c r="H6" s="2"/>
      <c r="I6" s="4" t="s">
        <v>6</v>
      </c>
      <c r="J6" s="3">
        <f>商標成本估算!J6</f>
        <v>37.5</v>
      </c>
      <c r="K6" s="4" t="s">
        <v>3</v>
      </c>
      <c r="L6" s="3">
        <f>商標成本估算!L6</f>
        <v>25</v>
      </c>
    </row>
    <row r="7" spans="1:39">
      <c r="A7" s="155"/>
      <c r="B7" s="157"/>
      <c r="C7" s="2"/>
      <c r="D7" s="56" t="s">
        <v>117</v>
      </c>
      <c r="E7" s="56" t="b">
        <v>1</v>
      </c>
      <c r="F7" s="2"/>
      <c r="G7" s="2"/>
      <c r="H7" s="2"/>
      <c r="I7" s="4" t="s">
        <v>8</v>
      </c>
      <c r="J7" s="3">
        <f>商標成本估算!J7</f>
        <v>0.21</v>
      </c>
      <c r="K7" s="4" t="s">
        <v>5</v>
      </c>
      <c r="L7" s="3">
        <f>商標成本估算!L7</f>
        <v>1.4E-3</v>
      </c>
    </row>
    <row r="8" spans="1:39">
      <c r="A8" s="2"/>
      <c r="B8" s="2"/>
      <c r="C8" s="2"/>
      <c r="D8" s="56" t="s">
        <v>118</v>
      </c>
      <c r="E8" s="56" t="b">
        <v>1</v>
      </c>
      <c r="F8" s="2"/>
      <c r="G8" s="2"/>
      <c r="H8" s="2"/>
      <c r="I8" s="4" t="s">
        <v>10</v>
      </c>
      <c r="J8" s="3">
        <f>商標成本估算!J8</f>
        <v>2.5000000000000001E-2</v>
      </c>
      <c r="K8" s="4" t="s">
        <v>9</v>
      </c>
      <c r="L8" s="3">
        <f>商標成本估算!L8</f>
        <v>8.3000000000000007</v>
      </c>
    </row>
    <row r="9" spans="1:39">
      <c r="A9" s="2"/>
      <c r="C9" s="2"/>
      <c r="D9" s="2"/>
      <c r="E9" s="2"/>
      <c r="F9" s="2"/>
      <c r="G9" s="2"/>
      <c r="H9" s="2"/>
      <c r="I9" s="4" t="s">
        <v>7</v>
      </c>
      <c r="J9" s="3">
        <f>商標成本估算!J9</f>
        <v>1.1000000000000001</v>
      </c>
      <c r="K9" s="4" t="s">
        <v>11</v>
      </c>
      <c r="L9" s="3">
        <f>商標成本估算!L9</f>
        <v>23.5</v>
      </c>
    </row>
    <row r="10" spans="1:39">
      <c r="A10" s="2"/>
      <c r="B10" s="2"/>
      <c r="C10" s="2"/>
      <c r="D10" s="2"/>
      <c r="E10" s="2"/>
      <c r="F10" s="2"/>
      <c r="G10" s="2"/>
      <c r="H10" s="2"/>
      <c r="I10" s="73" t="s">
        <v>163</v>
      </c>
      <c r="J10" s="3">
        <f>商標成本估算!J10</f>
        <v>4.2</v>
      </c>
      <c r="K10" s="73" t="s">
        <v>162</v>
      </c>
      <c r="L10" s="3">
        <f>商標成本估算!L10</f>
        <v>21.7</v>
      </c>
    </row>
    <row r="11" spans="1:39">
      <c r="A11" s="2"/>
      <c r="B11" s="2"/>
      <c r="C11" s="2"/>
      <c r="D11" s="2"/>
      <c r="E11" s="2"/>
      <c r="F11" s="2"/>
      <c r="G11" s="2"/>
      <c r="H11" s="2"/>
      <c r="I11" s="74" t="s">
        <v>169</v>
      </c>
      <c r="J11" s="3">
        <f>商標成本估算!J11</f>
        <v>43.5</v>
      </c>
      <c r="K11" s="73"/>
      <c r="L11" s="3"/>
      <c r="M11" s="1"/>
      <c r="N11" s="12"/>
    </row>
    <row r="12" spans="1:39" s="44" customFormat="1">
      <c r="A12" s="103" t="s">
        <v>179</v>
      </c>
      <c r="B12" s="49"/>
      <c r="C12" s="49"/>
      <c r="D12" s="49"/>
      <c r="E12" s="49"/>
      <c r="F12" s="49"/>
      <c r="G12" s="49"/>
      <c r="H12" s="49"/>
      <c r="I12" s="49"/>
      <c r="J12" s="49"/>
      <c r="K12" s="49"/>
      <c r="L12" s="49"/>
      <c r="M12" s="42"/>
      <c r="N12" s="43"/>
    </row>
    <row r="13" spans="1:39" ht="32.25" customHeight="1">
      <c r="A13" s="142" t="s">
        <v>16</v>
      </c>
      <c r="B13" s="140" t="s">
        <v>76</v>
      </c>
      <c r="C13" s="146" t="s">
        <v>94</v>
      </c>
      <c r="D13" s="147"/>
      <c r="E13" s="148"/>
      <c r="F13" s="146" t="s">
        <v>96</v>
      </c>
      <c r="G13" s="147"/>
      <c r="H13" s="148"/>
      <c r="I13" s="99" t="s">
        <v>188</v>
      </c>
      <c r="J13" s="138" t="s">
        <v>189</v>
      </c>
      <c r="K13" s="138" t="s">
        <v>190</v>
      </c>
      <c r="L13" s="140" t="s">
        <v>16</v>
      </c>
      <c r="M13" s="13"/>
      <c r="N13" s="12"/>
    </row>
    <row r="14" spans="1:39">
      <c r="A14" s="143"/>
      <c r="B14" s="141"/>
      <c r="C14" s="75" t="s">
        <v>31</v>
      </c>
      <c r="D14" s="75" t="s">
        <v>32</v>
      </c>
      <c r="E14" s="75" t="s">
        <v>33</v>
      </c>
      <c r="F14" s="75" t="s">
        <v>31</v>
      </c>
      <c r="G14" s="75" t="s">
        <v>32</v>
      </c>
      <c r="H14" s="75" t="s">
        <v>33</v>
      </c>
      <c r="I14" s="75" t="s">
        <v>33</v>
      </c>
      <c r="J14" s="139"/>
      <c r="K14" s="139"/>
      <c r="L14" s="141"/>
      <c r="M14" s="1"/>
      <c r="N14" s="12"/>
    </row>
    <row r="15" spans="1:39">
      <c r="A15" s="5" t="s">
        <v>34</v>
      </c>
      <c r="B15" s="16"/>
      <c r="C15" s="5" t="s">
        <v>17</v>
      </c>
      <c r="D15" s="14">
        <f t="shared" ref="D15:D32" si="0">IF($E$6=FALSE,0,IF(P15=FALSE,0,D57))</f>
        <v>5700</v>
      </c>
      <c r="E15" s="14">
        <f t="shared" ref="E15:E32" si="1">IF($E$6=FALSE,0,IF(P15=FALSE,0,E57))</f>
        <v>5700</v>
      </c>
      <c r="F15" s="5" t="s">
        <v>17</v>
      </c>
      <c r="G15" s="14">
        <f t="shared" ref="G15:G32" si="2">IF($E$7=FALSE,0,IF(P15=FALSE,0,G57))</f>
        <v>0</v>
      </c>
      <c r="H15" s="14">
        <f t="shared" ref="H15:H32" si="3">IF($E$7=FALSE,0,IF(P15=FALSE,0,H57))</f>
        <v>0</v>
      </c>
      <c r="I15" s="14">
        <f>E15+H15</f>
        <v>5700</v>
      </c>
      <c r="J15" s="14">
        <f t="shared" ref="J15:J32" si="4">IF($E$8=FALSE,0,IF(P15=FALSE,0,J57))</f>
        <v>12000</v>
      </c>
      <c r="K15" s="14">
        <f>I15+J15</f>
        <v>17700</v>
      </c>
      <c r="L15" s="5" t="str">
        <f t="shared" ref="L15:L30" si="5">A15</f>
        <v>台灣</v>
      </c>
      <c r="M15" s="1"/>
      <c r="N15" s="12"/>
      <c r="P15" s="37" t="b">
        <v>1</v>
      </c>
    </row>
    <row r="16" spans="1:39">
      <c r="A16" s="5" t="s">
        <v>37</v>
      </c>
      <c r="B16" s="16"/>
      <c r="C16" s="5" t="s">
        <v>18</v>
      </c>
      <c r="D16" s="14">
        <f t="shared" si="0"/>
        <v>540</v>
      </c>
      <c r="E16" s="14">
        <f t="shared" si="1"/>
        <v>2484</v>
      </c>
      <c r="F16" s="5" t="s">
        <v>18</v>
      </c>
      <c r="G16" s="14">
        <f t="shared" si="2"/>
        <v>2000</v>
      </c>
      <c r="H16" s="14">
        <f t="shared" si="3"/>
        <v>9200</v>
      </c>
      <c r="I16" s="14">
        <f t="shared" ref="I16:I29" si="6">E16+H16</f>
        <v>11684</v>
      </c>
      <c r="J16" s="14">
        <f t="shared" si="4"/>
        <v>21000</v>
      </c>
      <c r="K16" s="14">
        <f t="shared" ref="K16:K29" si="7">I16+J16</f>
        <v>32684</v>
      </c>
      <c r="L16" s="5" t="str">
        <f t="shared" si="5"/>
        <v>大陸</v>
      </c>
      <c r="M16" s="1"/>
      <c r="N16" s="12"/>
      <c r="P16" s="37" t="b">
        <v>1</v>
      </c>
    </row>
    <row r="17" spans="1:21">
      <c r="A17" s="5" t="s">
        <v>40</v>
      </c>
      <c r="B17" s="16"/>
      <c r="C17" s="5" t="s">
        <v>19</v>
      </c>
      <c r="D17" s="14">
        <f t="shared" si="0"/>
        <v>1100</v>
      </c>
      <c r="E17" s="14">
        <f t="shared" si="1"/>
        <v>35200</v>
      </c>
      <c r="F17" s="5" t="s">
        <v>19</v>
      </c>
      <c r="G17" s="14">
        <f t="shared" si="2"/>
        <v>375</v>
      </c>
      <c r="H17" s="14">
        <f t="shared" si="3"/>
        <v>12000</v>
      </c>
      <c r="I17" s="14">
        <f t="shared" si="6"/>
        <v>47200</v>
      </c>
      <c r="J17" s="14">
        <f t="shared" si="4"/>
        <v>26000</v>
      </c>
      <c r="K17" s="14">
        <f t="shared" si="7"/>
        <v>73200</v>
      </c>
      <c r="L17" s="5" t="str">
        <f t="shared" si="5"/>
        <v>美國</v>
      </c>
      <c r="M17" s="1"/>
      <c r="N17" s="12"/>
      <c r="P17" s="37" t="b">
        <v>1</v>
      </c>
    </row>
    <row r="18" spans="1:21">
      <c r="A18" s="26" t="s">
        <v>0</v>
      </c>
      <c r="B18" s="16"/>
      <c r="C18" s="5" t="s">
        <v>20</v>
      </c>
      <c r="D18" s="14">
        <f t="shared" si="0"/>
        <v>900</v>
      </c>
      <c r="E18" s="14">
        <f t="shared" si="1"/>
        <v>33750</v>
      </c>
      <c r="F18" s="5" t="s">
        <v>20</v>
      </c>
      <c r="G18" s="14">
        <f t="shared" si="2"/>
        <v>140</v>
      </c>
      <c r="H18" s="14">
        <f t="shared" si="3"/>
        <v>5250</v>
      </c>
      <c r="I18" s="14">
        <f t="shared" si="6"/>
        <v>39000</v>
      </c>
      <c r="J18" s="14">
        <f t="shared" si="4"/>
        <v>26000</v>
      </c>
      <c r="K18" s="14">
        <f t="shared" si="7"/>
        <v>65000</v>
      </c>
      <c r="L18" s="5" t="str">
        <f t="shared" si="5"/>
        <v>歐盟</v>
      </c>
      <c r="M18" s="1"/>
      <c r="N18" s="12"/>
      <c r="P18" s="37" t="b">
        <v>1</v>
      </c>
    </row>
    <row r="19" spans="1:21">
      <c r="A19" s="26" t="s">
        <v>167</v>
      </c>
      <c r="B19" s="16"/>
      <c r="C19" s="5" t="s">
        <v>168</v>
      </c>
      <c r="D19" s="14">
        <f t="shared" si="0"/>
        <v>220</v>
      </c>
      <c r="E19" s="14">
        <f t="shared" si="1"/>
        <v>9570</v>
      </c>
      <c r="F19" s="5" t="s">
        <v>20</v>
      </c>
      <c r="G19" s="14">
        <f t="shared" si="2"/>
        <v>140</v>
      </c>
      <c r="H19" s="14">
        <f t="shared" si="3"/>
        <v>5250</v>
      </c>
      <c r="I19" s="14">
        <f t="shared" ref="I19" si="8">E19+H19</f>
        <v>14820</v>
      </c>
      <c r="J19" s="14">
        <f t="shared" si="4"/>
        <v>26000</v>
      </c>
      <c r="K19" s="14">
        <f t="shared" ref="K19" si="9">I19+J19</f>
        <v>40820</v>
      </c>
      <c r="L19" s="5" t="str">
        <f t="shared" ref="L19" si="10">A19</f>
        <v>英國</v>
      </c>
      <c r="M19" s="1"/>
      <c r="N19" s="12"/>
      <c r="P19" s="37" t="b">
        <v>1</v>
      </c>
    </row>
    <row r="20" spans="1:21">
      <c r="A20" s="5" t="s">
        <v>44</v>
      </c>
      <c r="B20" s="16"/>
      <c r="C20" s="5" t="s">
        <v>21</v>
      </c>
      <c r="D20" s="14">
        <f t="shared" si="0"/>
        <v>20600</v>
      </c>
      <c r="E20" s="14">
        <f t="shared" si="1"/>
        <v>4326</v>
      </c>
      <c r="F20" s="5" t="s">
        <v>21</v>
      </c>
      <c r="G20" s="14">
        <f t="shared" si="2"/>
        <v>107000</v>
      </c>
      <c r="H20" s="14">
        <f t="shared" si="3"/>
        <v>22470</v>
      </c>
      <c r="I20" s="14">
        <f t="shared" si="6"/>
        <v>26796</v>
      </c>
      <c r="J20" s="14">
        <f t="shared" si="4"/>
        <v>31000</v>
      </c>
      <c r="K20" s="14">
        <f t="shared" si="7"/>
        <v>57796</v>
      </c>
      <c r="L20" s="5" t="str">
        <f t="shared" si="5"/>
        <v>日本</v>
      </c>
      <c r="M20" s="1"/>
      <c r="N20" s="12"/>
      <c r="P20" s="37" t="b">
        <v>1</v>
      </c>
    </row>
    <row r="21" spans="1:21">
      <c r="A21" s="5" t="s">
        <v>47</v>
      </c>
      <c r="B21" s="16"/>
      <c r="C21" s="5" t="s">
        <v>22</v>
      </c>
      <c r="D21" s="14">
        <f t="shared" si="0"/>
        <v>104000</v>
      </c>
      <c r="E21" s="14">
        <f t="shared" si="1"/>
        <v>2600</v>
      </c>
      <c r="F21" s="5" t="s">
        <v>19</v>
      </c>
      <c r="G21" s="14">
        <f t="shared" si="2"/>
        <v>1100</v>
      </c>
      <c r="H21" s="14">
        <f t="shared" si="3"/>
        <v>35200</v>
      </c>
      <c r="I21" s="14">
        <f t="shared" si="6"/>
        <v>37800</v>
      </c>
      <c r="J21" s="14">
        <f t="shared" si="4"/>
        <v>26000</v>
      </c>
      <c r="K21" s="14">
        <f t="shared" si="7"/>
        <v>63800</v>
      </c>
      <c r="L21" s="5" t="str">
        <f t="shared" si="5"/>
        <v>韓國</v>
      </c>
      <c r="M21" s="1"/>
      <c r="N21" s="12"/>
      <c r="P21" s="37" t="b">
        <v>1</v>
      </c>
    </row>
    <row r="22" spans="1:21">
      <c r="A22" s="26" t="s">
        <v>27</v>
      </c>
      <c r="B22" s="16"/>
      <c r="C22" s="5" t="s">
        <v>28</v>
      </c>
      <c r="D22" s="14">
        <f t="shared" si="0"/>
        <v>623.27</v>
      </c>
      <c r="E22" s="14">
        <f t="shared" si="1"/>
        <v>14646.844999999999</v>
      </c>
      <c r="F22" s="5" t="s">
        <v>28</v>
      </c>
      <c r="G22" s="14">
        <f t="shared" si="2"/>
        <v>1900</v>
      </c>
      <c r="H22" s="14">
        <f t="shared" si="3"/>
        <v>44650</v>
      </c>
      <c r="I22" s="14">
        <f>E22+H22</f>
        <v>59296.845000000001</v>
      </c>
      <c r="J22" s="14">
        <f t="shared" si="4"/>
        <v>21000</v>
      </c>
      <c r="K22" s="14">
        <f>I22+J22</f>
        <v>80296.845000000001</v>
      </c>
      <c r="L22" s="27" t="str">
        <f>A22</f>
        <v>加拿大</v>
      </c>
      <c r="M22" s="15"/>
      <c r="N22" s="12"/>
      <c r="P22" s="37" t="b">
        <v>1</v>
      </c>
      <c r="S22" s="127" t="s">
        <v>183</v>
      </c>
      <c r="T22" s="128"/>
      <c r="U22" s="129"/>
    </row>
    <row r="23" spans="1:21">
      <c r="A23" s="26" t="s">
        <v>66</v>
      </c>
      <c r="B23" s="16"/>
      <c r="C23" s="5" t="s">
        <v>67</v>
      </c>
      <c r="D23" s="14">
        <f t="shared" si="0"/>
        <v>800</v>
      </c>
      <c r="E23" s="14">
        <f t="shared" si="1"/>
        <v>17360</v>
      </c>
      <c r="F23" s="5" t="s">
        <v>67</v>
      </c>
      <c r="G23" s="14">
        <f t="shared" si="2"/>
        <v>1440</v>
      </c>
      <c r="H23" s="14">
        <f t="shared" si="3"/>
        <v>31248</v>
      </c>
      <c r="I23" s="14">
        <f>E23+H23</f>
        <v>48608</v>
      </c>
      <c r="J23" s="14">
        <f t="shared" si="4"/>
        <v>26000</v>
      </c>
      <c r="K23" s="14">
        <f>I23+J23</f>
        <v>74608</v>
      </c>
      <c r="L23" s="27" t="str">
        <f>A23</f>
        <v>澳洲</v>
      </c>
      <c r="M23" s="15"/>
      <c r="N23" s="12"/>
      <c r="P23" s="37" t="b">
        <v>1</v>
      </c>
      <c r="S23" s="40" t="s">
        <v>95</v>
      </c>
      <c r="T23" s="40" t="s">
        <v>97</v>
      </c>
      <c r="U23" s="40" t="s">
        <v>182</v>
      </c>
    </row>
    <row r="24" spans="1:21">
      <c r="A24" s="5" t="s">
        <v>49</v>
      </c>
      <c r="B24" s="16"/>
      <c r="C24" s="5" t="s">
        <v>23</v>
      </c>
      <c r="D24" s="14">
        <f t="shared" si="0"/>
        <v>760</v>
      </c>
      <c r="E24" s="14">
        <f t="shared" si="1"/>
        <v>19000</v>
      </c>
      <c r="F24" s="5" t="s">
        <v>23</v>
      </c>
      <c r="G24" s="14">
        <f t="shared" si="2"/>
        <v>900</v>
      </c>
      <c r="H24" s="14">
        <f t="shared" si="3"/>
        <v>22500</v>
      </c>
      <c r="I24" s="14">
        <f t="shared" si="6"/>
        <v>41500</v>
      </c>
      <c r="J24" s="14">
        <f t="shared" si="4"/>
        <v>31000</v>
      </c>
      <c r="K24" s="14">
        <f t="shared" si="7"/>
        <v>72500</v>
      </c>
      <c r="L24" s="5" t="str">
        <f t="shared" si="5"/>
        <v>新加坡</v>
      </c>
      <c r="M24" s="1"/>
      <c r="N24" s="12"/>
      <c r="P24" s="37" t="b">
        <v>1</v>
      </c>
    </row>
    <row r="25" spans="1:21">
      <c r="A25" s="5" t="s">
        <v>54</v>
      </c>
      <c r="B25" s="16"/>
      <c r="C25" s="5" t="s">
        <v>26</v>
      </c>
      <c r="D25" s="14">
        <f t="shared" si="0"/>
        <v>2240</v>
      </c>
      <c r="E25" s="14">
        <f t="shared" si="1"/>
        <v>18592</v>
      </c>
      <c r="F25" s="5" t="s">
        <v>26</v>
      </c>
      <c r="G25" s="14">
        <f t="shared" si="2"/>
        <v>2213</v>
      </c>
      <c r="H25" s="14">
        <f t="shared" si="3"/>
        <v>18367.900000000001</v>
      </c>
      <c r="I25" s="14">
        <f>E25+H25</f>
        <v>36959.9</v>
      </c>
      <c r="J25" s="14">
        <f t="shared" si="4"/>
        <v>21000</v>
      </c>
      <c r="K25" s="14">
        <f>I25+J25</f>
        <v>57959.9</v>
      </c>
      <c r="L25" s="5" t="str">
        <f>A25</f>
        <v>馬來西亞</v>
      </c>
      <c r="M25" s="1"/>
      <c r="N25" s="12"/>
      <c r="P25" s="37" t="b">
        <v>1</v>
      </c>
    </row>
    <row r="26" spans="1:21">
      <c r="A26" s="53" t="s">
        <v>207</v>
      </c>
      <c r="B26" s="16"/>
      <c r="C26" s="5" t="s">
        <v>19</v>
      </c>
      <c r="D26" s="14">
        <f t="shared" si="0"/>
        <v>189</v>
      </c>
      <c r="E26" s="14">
        <f t="shared" si="1"/>
        <v>6048</v>
      </c>
      <c r="F26" s="5" t="s">
        <v>19</v>
      </c>
      <c r="G26" s="14">
        <f t="shared" si="2"/>
        <v>275</v>
      </c>
      <c r="H26" s="14">
        <f t="shared" si="3"/>
        <v>8800</v>
      </c>
      <c r="I26" s="14">
        <f>E26+H26</f>
        <v>14848</v>
      </c>
      <c r="J26" s="14">
        <f t="shared" si="4"/>
        <v>26000</v>
      </c>
      <c r="K26" s="14">
        <f>I26+J26</f>
        <v>40848</v>
      </c>
      <c r="L26" s="5" t="str">
        <f>A26</f>
        <v>菲律賓</v>
      </c>
      <c r="M26" s="1"/>
      <c r="N26" s="12"/>
      <c r="P26" s="37" t="b">
        <v>1</v>
      </c>
    </row>
    <row r="27" spans="1:21">
      <c r="A27" s="53" t="s">
        <v>112</v>
      </c>
      <c r="B27" s="16"/>
      <c r="C27" s="5" t="s">
        <v>19</v>
      </c>
      <c r="D27" s="14">
        <f t="shared" si="0"/>
        <v>360</v>
      </c>
      <c r="E27" s="14">
        <f t="shared" si="1"/>
        <v>11520</v>
      </c>
      <c r="F27" s="5" t="s">
        <v>19</v>
      </c>
      <c r="G27" s="14">
        <f t="shared" si="2"/>
        <v>850</v>
      </c>
      <c r="H27" s="14">
        <f t="shared" si="3"/>
        <v>27200</v>
      </c>
      <c r="I27" s="14">
        <f t="shared" ref="I27" si="11">E27+H27</f>
        <v>38720</v>
      </c>
      <c r="J27" s="14">
        <f t="shared" si="4"/>
        <v>31000</v>
      </c>
      <c r="K27" s="14">
        <f t="shared" ref="K27" si="12">I27+J27</f>
        <v>69720</v>
      </c>
      <c r="L27" s="5" t="str">
        <f>A27</f>
        <v>印尼</v>
      </c>
      <c r="M27" s="1"/>
      <c r="N27" s="12"/>
      <c r="P27" s="37" t="b">
        <v>1</v>
      </c>
    </row>
    <row r="28" spans="1:21">
      <c r="A28" s="5" t="s">
        <v>51</v>
      </c>
      <c r="B28" s="16"/>
      <c r="C28" s="5" t="s">
        <v>24</v>
      </c>
      <c r="D28" s="14">
        <f t="shared" si="0"/>
        <v>1730000</v>
      </c>
      <c r="E28" s="14">
        <f t="shared" si="1"/>
        <v>2422</v>
      </c>
      <c r="F28" s="5" t="s">
        <v>19</v>
      </c>
      <c r="G28" s="14">
        <f t="shared" si="2"/>
        <v>555</v>
      </c>
      <c r="H28" s="14">
        <f t="shared" si="3"/>
        <v>17760</v>
      </c>
      <c r="I28" s="14">
        <f t="shared" si="6"/>
        <v>20182</v>
      </c>
      <c r="J28" s="14">
        <f t="shared" si="4"/>
        <v>31000</v>
      </c>
      <c r="K28" s="14">
        <f t="shared" si="7"/>
        <v>51182</v>
      </c>
      <c r="L28" s="5" t="str">
        <f t="shared" si="5"/>
        <v>越南</v>
      </c>
      <c r="M28" s="1"/>
      <c r="N28" s="12"/>
      <c r="P28" s="37" t="b">
        <v>1</v>
      </c>
    </row>
    <row r="29" spans="1:21">
      <c r="A29" s="5" t="s">
        <v>53</v>
      </c>
      <c r="B29" s="16"/>
      <c r="C29" s="5" t="s">
        <v>25</v>
      </c>
      <c r="D29" s="14">
        <f t="shared" si="0"/>
        <v>18000</v>
      </c>
      <c r="E29" s="14">
        <f t="shared" si="1"/>
        <v>19800</v>
      </c>
      <c r="F29" s="5" t="s">
        <v>25</v>
      </c>
      <c r="G29" s="14">
        <f t="shared" si="2"/>
        <v>23500</v>
      </c>
      <c r="H29" s="14">
        <f t="shared" si="3"/>
        <v>25850.000000000004</v>
      </c>
      <c r="I29" s="14">
        <f t="shared" si="6"/>
        <v>45650</v>
      </c>
      <c r="J29" s="14">
        <f t="shared" si="4"/>
        <v>31000</v>
      </c>
      <c r="K29" s="14">
        <f t="shared" si="7"/>
        <v>76650</v>
      </c>
      <c r="L29" s="5" t="str">
        <f t="shared" si="5"/>
        <v>泰國</v>
      </c>
      <c r="M29" s="1"/>
      <c r="N29" s="12"/>
      <c r="P29" s="37" t="b">
        <v>1</v>
      </c>
    </row>
    <row r="30" spans="1:21">
      <c r="A30" s="53" t="s">
        <v>160</v>
      </c>
      <c r="B30" s="16"/>
      <c r="C30" s="5" t="s">
        <v>166</v>
      </c>
      <c r="D30" s="14">
        <f t="shared" si="0"/>
        <v>3000</v>
      </c>
      <c r="E30" s="14">
        <f t="shared" si="1"/>
        <v>12600</v>
      </c>
      <c r="F30" s="5" t="s">
        <v>18</v>
      </c>
      <c r="G30" s="14">
        <f t="shared" si="2"/>
        <v>3750</v>
      </c>
      <c r="H30" s="14">
        <f t="shared" si="3"/>
        <v>17250</v>
      </c>
      <c r="I30" s="14">
        <f t="shared" ref="I30:I31" si="13">E30+H30</f>
        <v>29850</v>
      </c>
      <c r="J30" s="14">
        <f t="shared" si="4"/>
        <v>26000</v>
      </c>
      <c r="K30" s="14">
        <f t="shared" ref="K30:K31" si="14">I30+J30</f>
        <v>55850</v>
      </c>
      <c r="L30" s="5" t="str">
        <f t="shared" si="5"/>
        <v>香港</v>
      </c>
      <c r="M30" s="1"/>
      <c r="N30" s="12"/>
      <c r="P30" s="37" t="b">
        <v>1</v>
      </c>
    </row>
    <row r="31" spans="1:21" ht="17.25">
      <c r="A31" s="53" t="s">
        <v>161</v>
      </c>
      <c r="B31" s="16"/>
      <c r="C31" s="5" t="s">
        <v>19</v>
      </c>
      <c r="D31" s="14">
        <f t="shared" si="0"/>
        <v>260</v>
      </c>
      <c r="E31" s="14">
        <f t="shared" si="1"/>
        <v>8320</v>
      </c>
      <c r="F31" s="5" t="s">
        <v>19</v>
      </c>
      <c r="G31" s="14">
        <f t="shared" si="2"/>
        <v>1100</v>
      </c>
      <c r="H31" s="14">
        <f t="shared" si="3"/>
        <v>35200</v>
      </c>
      <c r="I31" s="14">
        <f t="shared" si="13"/>
        <v>43520</v>
      </c>
      <c r="J31" s="14">
        <f t="shared" si="4"/>
        <v>40000</v>
      </c>
      <c r="K31" s="14">
        <f t="shared" si="14"/>
        <v>83520</v>
      </c>
      <c r="L31" s="5" t="str">
        <f t="shared" ref="L31" si="15">A31</f>
        <v>澳門</v>
      </c>
      <c r="M31" s="104" t="s">
        <v>214</v>
      </c>
      <c r="N31" s="12"/>
      <c r="P31" s="37" t="b">
        <v>1</v>
      </c>
    </row>
    <row r="32" spans="1:21">
      <c r="A32" s="53" t="s">
        <v>208</v>
      </c>
      <c r="B32" s="16"/>
      <c r="C32" s="5" t="s">
        <v>19</v>
      </c>
      <c r="D32" s="14">
        <f t="shared" si="0"/>
        <v>300</v>
      </c>
      <c r="E32" s="14">
        <f t="shared" si="1"/>
        <v>9600</v>
      </c>
      <c r="F32" s="5" t="s">
        <v>19</v>
      </c>
      <c r="G32" s="14">
        <f t="shared" si="2"/>
        <v>300</v>
      </c>
      <c r="H32" s="14">
        <f t="shared" si="3"/>
        <v>9600</v>
      </c>
      <c r="I32" s="14">
        <f t="shared" ref="I32" si="16">E32+H32</f>
        <v>19200</v>
      </c>
      <c r="J32" s="14">
        <f t="shared" si="4"/>
        <v>21000</v>
      </c>
      <c r="K32" s="14">
        <f t="shared" ref="K32" si="17">I32+J32</f>
        <v>40200</v>
      </c>
      <c r="L32" s="5" t="str">
        <f t="shared" ref="L32" si="18">A32</f>
        <v>印度</v>
      </c>
      <c r="M32" s="1"/>
      <c r="N32" s="12"/>
      <c r="P32" s="37" t="b">
        <v>1</v>
      </c>
    </row>
    <row r="33" spans="1:21" ht="18.75">
      <c r="A33" s="16"/>
      <c r="B33" s="16"/>
      <c r="C33" s="16"/>
      <c r="D33" s="17" t="s">
        <v>56</v>
      </c>
      <c r="E33" s="18">
        <f>SUM(E15:E32)</f>
        <v>233538.845</v>
      </c>
      <c r="F33" s="16"/>
      <c r="G33" s="17" t="s">
        <v>56</v>
      </c>
      <c r="H33" s="19">
        <f>SUM(H15:H32)</f>
        <v>347795.9</v>
      </c>
      <c r="I33" s="20">
        <f>SUM(I15:I32)</f>
        <v>581334.745</v>
      </c>
      <c r="J33" s="21">
        <f>SUM(J15:J32)</f>
        <v>473000</v>
      </c>
      <c r="K33" s="22">
        <f>SUM(K15:K32)</f>
        <v>1054334.7450000001</v>
      </c>
      <c r="L33" s="5"/>
      <c r="M33" s="1"/>
      <c r="N33" s="12"/>
      <c r="S33" s="14">
        <f>E33</f>
        <v>233538.845</v>
      </c>
      <c r="T33" s="14">
        <f>H33</f>
        <v>347795.9</v>
      </c>
      <c r="U33" s="14">
        <f>J33</f>
        <v>473000</v>
      </c>
    </row>
    <row r="34" spans="1:21">
      <c r="A34" s="35" t="s">
        <v>77</v>
      </c>
      <c r="B34" s="2"/>
      <c r="C34" s="2"/>
      <c r="D34" s="2"/>
      <c r="E34" s="2"/>
      <c r="F34" s="2"/>
      <c r="G34" s="2"/>
      <c r="H34" s="2"/>
      <c r="I34" s="2"/>
      <c r="J34" s="2"/>
      <c r="K34" s="2"/>
      <c r="L34" s="2"/>
      <c r="M34" s="1"/>
      <c r="N34" s="12"/>
    </row>
    <row r="35" spans="1:21">
      <c r="A35" s="36" t="s">
        <v>78</v>
      </c>
      <c r="B35" s="2"/>
      <c r="C35" s="2"/>
      <c r="D35" s="2"/>
      <c r="E35" s="2"/>
      <c r="F35" s="2"/>
      <c r="G35" s="2"/>
      <c r="H35" s="2"/>
      <c r="I35" s="2"/>
      <c r="J35" s="2"/>
      <c r="K35" s="2"/>
      <c r="L35" s="2"/>
      <c r="M35" s="1"/>
      <c r="N35" s="12"/>
    </row>
    <row r="36" spans="1:21">
      <c r="A36" s="35" t="s">
        <v>79</v>
      </c>
      <c r="B36" s="2"/>
      <c r="C36" s="2"/>
      <c r="D36" s="2"/>
      <c r="E36" s="2"/>
      <c r="F36" s="2"/>
      <c r="G36" s="2"/>
      <c r="H36" s="2"/>
      <c r="I36" s="2"/>
      <c r="J36" s="2"/>
      <c r="K36" s="2"/>
      <c r="L36" s="2"/>
      <c r="M36" s="1"/>
      <c r="N36" s="12"/>
    </row>
    <row r="37" spans="1:21" s="44" customFormat="1" ht="16.5" customHeight="1">
      <c r="A37" s="51" t="s">
        <v>102</v>
      </c>
      <c r="B37" s="50"/>
      <c r="C37" s="50"/>
      <c r="D37" s="50"/>
      <c r="E37" s="50"/>
      <c r="F37" s="50"/>
      <c r="G37" s="45"/>
      <c r="H37" s="45"/>
      <c r="I37" s="45"/>
      <c r="J37" s="45"/>
      <c r="K37" s="45"/>
      <c r="L37" s="45"/>
      <c r="M37" s="42"/>
      <c r="N37" s="43"/>
    </row>
    <row r="38" spans="1:21" s="44" customFormat="1" ht="16.5" customHeight="1">
      <c r="A38" s="51" t="s">
        <v>103</v>
      </c>
      <c r="B38" s="50"/>
      <c r="C38" s="50"/>
      <c r="D38" s="50"/>
      <c r="E38" s="50"/>
      <c r="F38" s="50"/>
      <c r="G38" s="45"/>
      <c r="H38" s="45"/>
      <c r="I38" s="45"/>
      <c r="J38" s="45"/>
      <c r="K38" s="45"/>
      <c r="L38" s="45"/>
      <c r="M38" s="42"/>
      <c r="N38" s="43"/>
    </row>
    <row r="39" spans="1:21" s="44" customFormat="1">
      <c r="A39" s="51" t="s">
        <v>104</v>
      </c>
      <c r="B39" s="50"/>
      <c r="C39" s="50"/>
      <c r="D39" s="50"/>
      <c r="E39" s="50"/>
      <c r="F39" s="50"/>
      <c r="G39" s="45"/>
      <c r="H39" s="45"/>
      <c r="I39" s="45"/>
      <c r="J39" s="45"/>
      <c r="K39" s="45"/>
      <c r="L39" s="45"/>
      <c r="M39" s="42"/>
      <c r="N39" s="43"/>
    </row>
    <row r="40" spans="1:21" s="44" customFormat="1" ht="16.5" customHeight="1">
      <c r="A40" s="51" t="s">
        <v>105</v>
      </c>
      <c r="B40" s="50"/>
      <c r="C40" s="50"/>
      <c r="D40" s="50"/>
      <c r="E40" s="50"/>
      <c r="F40" s="50"/>
      <c r="G40" s="45"/>
      <c r="H40" s="45"/>
      <c r="I40" s="45"/>
      <c r="J40" s="45"/>
      <c r="K40" s="45"/>
      <c r="L40" s="45"/>
      <c r="M40" s="42"/>
      <c r="N40" s="43"/>
    </row>
    <row r="41" spans="1:21" s="44" customFormat="1" ht="16.5" customHeight="1">
      <c r="A41" s="51" t="s">
        <v>106</v>
      </c>
      <c r="B41" s="50"/>
      <c r="C41" s="50"/>
      <c r="D41" s="50"/>
      <c r="E41" s="50"/>
      <c r="F41" s="50"/>
      <c r="G41" s="45"/>
      <c r="H41" s="45"/>
      <c r="I41" s="45"/>
      <c r="J41" s="45"/>
      <c r="K41" s="45"/>
      <c r="L41" s="45"/>
      <c r="M41" s="42"/>
      <c r="N41" s="43"/>
    </row>
    <row r="42" spans="1:21" s="44" customFormat="1" ht="16.5" customHeight="1">
      <c r="A42" s="51" t="s">
        <v>107</v>
      </c>
      <c r="B42" s="50"/>
      <c r="C42" s="50"/>
      <c r="D42" s="50"/>
      <c r="E42" s="50"/>
      <c r="F42" s="50"/>
      <c r="G42" s="45"/>
      <c r="H42" s="45"/>
      <c r="I42" s="45"/>
      <c r="J42" s="45"/>
      <c r="K42" s="45"/>
      <c r="L42" s="45"/>
      <c r="M42" s="42"/>
      <c r="N42" s="43"/>
    </row>
    <row r="43" spans="1:21" s="44" customFormat="1" ht="16.5" customHeight="1">
      <c r="A43" s="51" t="s">
        <v>108</v>
      </c>
      <c r="B43" s="50"/>
      <c r="C43" s="50"/>
      <c r="D43" s="50"/>
      <c r="E43" s="50"/>
      <c r="F43" s="50"/>
      <c r="G43" s="45"/>
      <c r="H43" s="45"/>
      <c r="I43" s="45"/>
      <c r="J43" s="45"/>
      <c r="K43" s="45"/>
      <c r="L43" s="45"/>
      <c r="M43" s="42"/>
      <c r="N43" s="43"/>
    </row>
    <row r="44" spans="1:21" s="44" customFormat="1" ht="16.5" customHeight="1">
      <c r="A44" s="51" t="s">
        <v>110</v>
      </c>
      <c r="B44" s="50"/>
      <c r="C44" s="50"/>
      <c r="D44" s="50"/>
      <c r="E44" s="50"/>
      <c r="F44" s="50"/>
      <c r="G44" s="45"/>
      <c r="H44" s="45"/>
      <c r="I44" s="45"/>
      <c r="J44" s="45"/>
      <c r="K44" s="45"/>
      <c r="L44" s="45"/>
      <c r="M44" s="42"/>
      <c r="N44" s="43"/>
    </row>
    <row r="45" spans="1:21" s="44" customFormat="1" ht="16.5" customHeight="1">
      <c r="A45" s="51" t="s">
        <v>111</v>
      </c>
      <c r="B45" s="50"/>
      <c r="C45" s="50"/>
      <c r="D45" s="50"/>
      <c r="E45" s="50"/>
      <c r="F45" s="50"/>
      <c r="G45" s="45"/>
      <c r="H45" s="45"/>
      <c r="I45" s="45"/>
      <c r="J45" s="45"/>
      <c r="K45" s="45"/>
      <c r="L45" s="45"/>
      <c r="M45" s="42"/>
      <c r="N45" s="43"/>
    </row>
    <row r="46" spans="1:21" ht="16.5" customHeight="1">
      <c r="A46" s="51" t="s">
        <v>80</v>
      </c>
      <c r="B46" s="15"/>
      <c r="C46" s="15"/>
      <c r="D46" s="15"/>
      <c r="E46" s="15"/>
      <c r="F46" s="15"/>
      <c r="G46" s="2"/>
      <c r="H46" s="2"/>
      <c r="I46" s="2"/>
      <c r="J46" s="2"/>
      <c r="K46" s="2"/>
      <c r="L46" s="2"/>
      <c r="M46" s="1"/>
      <c r="N46" s="12"/>
    </row>
    <row r="47" spans="1:21" ht="16.5" customHeight="1">
      <c r="A47" s="51" t="s">
        <v>113</v>
      </c>
      <c r="B47" s="15"/>
      <c r="C47" s="15"/>
      <c r="D47" s="15"/>
      <c r="E47" s="15"/>
      <c r="F47" s="15"/>
      <c r="G47" s="2"/>
      <c r="H47" s="2"/>
      <c r="I47" s="2"/>
      <c r="J47" s="2"/>
      <c r="K47" s="2"/>
      <c r="L47" s="2"/>
      <c r="M47" s="1"/>
      <c r="N47" s="12"/>
    </row>
    <row r="48" spans="1:21" ht="16.5" customHeight="1">
      <c r="A48" s="51" t="s">
        <v>81</v>
      </c>
      <c r="B48" s="15"/>
      <c r="C48" s="15"/>
      <c r="D48" s="15"/>
      <c r="E48" s="15"/>
      <c r="F48" s="15"/>
      <c r="G48" s="2"/>
      <c r="H48" s="2"/>
      <c r="I48" s="2"/>
      <c r="J48" s="2"/>
      <c r="K48" s="2"/>
      <c r="L48" s="2"/>
      <c r="M48" s="1"/>
      <c r="N48" s="12"/>
    </row>
    <row r="49" spans="1:14" ht="16.5" customHeight="1">
      <c r="A49" s="51" t="s">
        <v>114</v>
      </c>
      <c r="B49" s="15"/>
      <c r="C49" s="15"/>
      <c r="D49" s="15"/>
      <c r="E49" s="15"/>
      <c r="F49" s="15"/>
      <c r="G49" s="2"/>
      <c r="H49" s="2"/>
      <c r="I49" s="2"/>
      <c r="J49" s="2"/>
      <c r="K49" s="2"/>
      <c r="L49" s="2"/>
      <c r="M49" s="1"/>
      <c r="N49" s="12"/>
    </row>
    <row r="50" spans="1:14">
      <c r="A50" s="34" t="s">
        <v>82</v>
      </c>
      <c r="B50" s="2"/>
      <c r="C50" s="2"/>
      <c r="D50" s="2"/>
      <c r="E50" s="2"/>
      <c r="F50" s="2"/>
      <c r="G50" s="2"/>
      <c r="H50" s="2"/>
      <c r="I50" s="2"/>
      <c r="J50" s="2"/>
      <c r="K50" s="2"/>
      <c r="L50" s="2"/>
      <c r="M50" s="1"/>
      <c r="N50" s="12"/>
    </row>
    <row r="51" spans="1:14">
      <c r="A51" s="68" t="s">
        <v>120</v>
      </c>
      <c r="B51" s="2"/>
      <c r="C51" s="2"/>
      <c r="D51" s="2"/>
      <c r="E51" s="2"/>
      <c r="F51" s="2"/>
      <c r="G51" s="2"/>
      <c r="H51" s="2"/>
      <c r="I51" s="2"/>
      <c r="J51" s="2"/>
      <c r="K51" s="2"/>
      <c r="L51" s="2"/>
      <c r="M51" s="1"/>
      <c r="N51" s="12"/>
    </row>
    <row r="52" spans="1:14">
      <c r="A52" s="2"/>
      <c r="B52" s="2"/>
      <c r="C52" s="2"/>
      <c r="D52" s="2"/>
      <c r="E52" s="2"/>
      <c r="F52" s="2"/>
      <c r="G52" s="2"/>
      <c r="H52" s="2"/>
      <c r="I52" s="2"/>
      <c r="J52" s="2"/>
      <c r="K52" s="2"/>
      <c r="L52" s="2"/>
      <c r="M52" s="1"/>
      <c r="N52" s="12"/>
    </row>
    <row r="53" spans="1:14">
      <c r="A53" t="s">
        <v>86</v>
      </c>
      <c r="B53" s="2"/>
      <c r="C53" s="2"/>
      <c r="D53" s="2"/>
      <c r="E53" s="2"/>
      <c r="F53" s="2"/>
      <c r="G53" s="2"/>
      <c r="H53" s="2"/>
      <c r="I53" s="2"/>
      <c r="J53" s="2"/>
      <c r="K53" s="2"/>
      <c r="L53" s="2"/>
      <c r="M53" s="1"/>
      <c r="N53" s="12"/>
    </row>
    <row r="54" spans="1:14" s="44" customFormat="1">
      <c r="A54" s="103" t="s">
        <v>179</v>
      </c>
      <c r="B54" s="49"/>
      <c r="C54" s="49"/>
      <c r="D54" s="49"/>
      <c r="E54" s="49"/>
      <c r="F54" s="49"/>
      <c r="G54" s="49"/>
      <c r="H54" s="49"/>
      <c r="I54" s="49"/>
      <c r="J54" s="49"/>
      <c r="K54" s="49"/>
      <c r="L54" s="49"/>
      <c r="M54" s="42"/>
      <c r="N54" s="43"/>
    </row>
    <row r="55" spans="1:14" ht="32.25" customHeight="1">
      <c r="A55" s="142" t="s">
        <v>16</v>
      </c>
      <c r="B55" s="144" t="s">
        <v>72</v>
      </c>
      <c r="C55" s="146" t="s">
        <v>29</v>
      </c>
      <c r="D55" s="147"/>
      <c r="E55" s="148"/>
      <c r="F55" s="146" t="s">
        <v>30</v>
      </c>
      <c r="G55" s="147"/>
      <c r="H55" s="148"/>
      <c r="I55" s="99" t="s">
        <v>188</v>
      </c>
      <c r="J55" s="138" t="s">
        <v>189</v>
      </c>
      <c r="K55" s="138" t="s">
        <v>190</v>
      </c>
      <c r="L55" s="140" t="s">
        <v>16</v>
      </c>
      <c r="M55" s="13"/>
      <c r="N55" s="12"/>
    </row>
    <row r="56" spans="1:14">
      <c r="A56" s="143"/>
      <c r="B56" s="145"/>
      <c r="C56" s="75" t="s">
        <v>31</v>
      </c>
      <c r="D56" s="75" t="s">
        <v>32</v>
      </c>
      <c r="E56" s="75" t="s">
        <v>33</v>
      </c>
      <c r="F56" s="75" t="s">
        <v>31</v>
      </c>
      <c r="G56" s="75" t="s">
        <v>32</v>
      </c>
      <c r="H56" s="75" t="s">
        <v>33</v>
      </c>
      <c r="I56" s="75" t="s">
        <v>33</v>
      </c>
      <c r="J56" s="139"/>
      <c r="K56" s="139"/>
      <c r="L56" s="141"/>
      <c r="M56" s="1"/>
      <c r="N56" s="12"/>
    </row>
    <row r="57" spans="1:14">
      <c r="A57" s="5" t="s">
        <v>34</v>
      </c>
      <c r="B57" s="29" t="str">
        <f>IF(選項!$K$2=1,"一案多類","一案一類")</f>
        <v>一案多類</v>
      </c>
      <c r="C57" s="5" t="s">
        <v>17</v>
      </c>
      <c r="D57" s="14">
        <f t="shared" ref="D57:D74" si="19">IF(B57="一案多類",D81,D105)</f>
        <v>5700</v>
      </c>
      <c r="E57" s="14">
        <f t="shared" ref="E57:E74" si="20">IF(B57="一案多類",E81,E105)</f>
        <v>5700</v>
      </c>
      <c r="F57" s="5" t="s">
        <v>17</v>
      </c>
      <c r="G57" s="14">
        <f t="shared" ref="G57:G74" si="21">IF(B57="一案多類",G81,G105)</f>
        <v>0</v>
      </c>
      <c r="H57" s="14">
        <f t="shared" ref="H57:H74" si="22">IF(B57="一案多類",H81,H105)</f>
        <v>0</v>
      </c>
      <c r="I57" s="14">
        <f>E57+H57</f>
        <v>5700</v>
      </c>
      <c r="J57" s="14">
        <f t="shared" ref="J57:J74" si="23">IF(B57="一案多類",J81,J105)</f>
        <v>12000</v>
      </c>
      <c r="K57" s="14">
        <f>I57+J57</f>
        <v>17700</v>
      </c>
      <c r="L57" s="5" t="str">
        <f t="shared" ref="L57:L72" si="24">A57</f>
        <v>台灣</v>
      </c>
      <c r="M57" s="1"/>
      <c r="N57" s="12"/>
    </row>
    <row r="58" spans="1:14">
      <c r="A58" s="5" t="s">
        <v>37</v>
      </c>
      <c r="B58" s="29" t="str">
        <f>IF(選項!$K$2=1,"一案多類","一案一類")</f>
        <v>一案多類</v>
      </c>
      <c r="C58" s="5" t="s">
        <v>18</v>
      </c>
      <c r="D58" s="14">
        <f t="shared" si="19"/>
        <v>540</v>
      </c>
      <c r="E58" s="14">
        <f t="shared" si="20"/>
        <v>2484</v>
      </c>
      <c r="F58" s="5" t="s">
        <v>18</v>
      </c>
      <c r="G58" s="14">
        <f t="shared" si="21"/>
        <v>2000</v>
      </c>
      <c r="H58" s="14">
        <f t="shared" si="22"/>
        <v>9200</v>
      </c>
      <c r="I58" s="14">
        <f t="shared" ref="I58:I71" si="25">E58+H58</f>
        <v>11684</v>
      </c>
      <c r="J58" s="14">
        <f t="shared" si="23"/>
        <v>21000</v>
      </c>
      <c r="K58" s="14">
        <f t="shared" ref="K58:K71" si="26">I58+J58</f>
        <v>32684</v>
      </c>
      <c r="L58" s="5" t="str">
        <f t="shared" si="24"/>
        <v>大陸</v>
      </c>
      <c r="M58" s="1"/>
      <c r="N58" s="12"/>
    </row>
    <row r="59" spans="1:14">
      <c r="A59" s="5" t="s">
        <v>40</v>
      </c>
      <c r="B59" s="29" t="str">
        <f>IF(選項!$K$2=1,"一案多類","一案一類")</f>
        <v>一案多類</v>
      </c>
      <c r="C59" s="5" t="s">
        <v>19</v>
      </c>
      <c r="D59" s="14">
        <f t="shared" si="19"/>
        <v>1100</v>
      </c>
      <c r="E59" s="14">
        <f t="shared" si="20"/>
        <v>35200</v>
      </c>
      <c r="F59" s="5" t="s">
        <v>19</v>
      </c>
      <c r="G59" s="14">
        <f t="shared" si="21"/>
        <v>375</v>
      </c>
      <c r="H59" s="14">
        <f t="shared" si="22"/>
        <v>12000</v>
      </c>
      <c r="I59" s="14">
        <f t="shared" si="25"/>
        <v>47200</v>
      </c>
      <c r="J59" s="14">
        <f t="shared" si="23"/>
        <v>26000</v>
      </c>
      <c r="K59" s="14">
        <f t="shared" si="26"/>
        <v>73200</v>
      </c>
      <c r="L59" s="5" t="str">
        <f t="shared" si="24"/>
        <v>美國</v>
      </c>
      <c r="M59" s="1"/>
      <c r="N59" s="12"/>
    </row>
    <row r="60" spans="1:14">
      <c r="A60" s="26" t="s">
        <v>0</v>
      </c>
      <c r="B60" s="29" t="str">
        <f>IF(選項!$K$2=1,"一案多類","一案一類")</f>
        <v>一案多類</v>
      </c>
      <c r="C60" s="5" t="s">
        <v>20</v>
      </c>
      <c r="D60" s="14">
        <f t="shared" si="19"/>
        <v>900</v>
      </c>
      <c r="E60" s="14">
        <f t="shared" si="20"/>
        <v>33750</v>
      </c>
      <c r="F60" s="5" t="s">
        <v>20</v>
      </c>
      <c r="G60" s="14">
        <f t="shared" si="21"/>
        <v>140</v>
      </c>
      <c r="H60" s="14">
        <f t="shared" si="22"/>
        <v>5250</v>
      </c>
      <c r="I60" s="14">
        <f t="shared" si="25"/>
        <v>39000</v>
      </c>
      <c r="J60" s="14">
        <f t="shared" si="23"/>
        <v>26000</v>
      </c>
      <c r="K60" s="14">
        <f t="shared" si="26"/>
        <v>65000</v>
      </c>
      <c r="L60" s="5" t="str">
        <f t="shared" si="24"/>
        <v>歐盟</v>
      </c>
      <c r="M60" s="1"/>
      <c r="N60" s="12"/>
    </row>
    <row r="61" spans="1:14">
      <c r="A61" s="26" t="s">
        <v>167</v>
      </c>
      <c r="B61" s="29" t="str">
        <f>IF(選項!$K$2=1,"一案多類","一案一類")</f>
        <v>一案多類</v>
      </c>
      <c r="C61" s="5" t="s">
        <v>168</v>
      </c>
      <c r="D61" s="14">
        <f t="shared" si="19"/>
        <v>220</v>
      </c>
      <c r="E61" s="14">
        <f t="shared" si="20"/>
        <v>9570</v>
      </c>
      <c r="F61" s="5" t="s">
        <v>20</v>
      </c>
      <c r="G61" s="14">
        <f t="shared" si="21"/>
        <v>140</v>
      </c>
      <c r="H61" s="14">
        <f t="shared" si="22"/>
        <v>5250</v>
      </c>
      <c r="I61" s="14">
        <f t="shared" ref="I61" si="27">E61+H61</f>
        <v>14820</v>
      </c>
      <c r="J61" s="14">
        <f t="shared" si="23"/>
        <v>26000</v>
      </c>
      <c r="K61" s="14">
        <f t="shared" ref="K61" si="28">I61+J61</f>
        <v>40820</v>
      </c>
      <c r="L61" s="5" t="str">
        <f t="shared" ref="L61" si="29">A61</f>
        <v>英國</v>
      </c>
      <c r="M61" s="1"/>
      <c r="N61" s="12"/>
    </row>
    <row r="62" spans="1:14">
      <c r="A62" s="5" t="s">
        <v>44</v>
      </c>
      <c r="B62" s="29" t="str">
        <f>IF(選項!$K$2=1,"一案多類","一案一類")</f>
        <v>一案多類</v>
      </c>
      <c r="C62" s="5" t="s">
        <v>21</v>
      </c>
      <c r="D62" s="14">
        <f t="shared" si="19"/>
        <v>20600</v>
      </c>
      <c r="E62" s="14">
        <f t="shared" si="20"/>
        <v>4326</v>
      </c>
      <c r="F62" s="5" t="s">
        <v>21</v>
      </c>
      <c r="G62" s="14">
        <f t="shared" si="21"/>
        <v>107000</v>
      </c>
      <c r="H62" s="14">
        <f t="shared" si="22"/>
        <v>22470</v>
      </c>
      <c r="I62" s="14">
        <f t="shared" si="25"/>
        <v>26796</v>
      </c>
      <c r="J62" s="14">
        <f t="shared" si="23"/>
        <v>31000</v>
      </c>
      <c r="K62" s="14">
        <f t="shared" si="26"/>
        <v>57796</v>
      </c>
      <c r="L62" s="5" t="str">
        <f t="shared" si="24"/>
        <v>日本</v>
      </c>
      <c r="M62" s="1"/>
      <c r="N62" s="12"/>
    </row>
    <row r="63" spans="1:14">
      <c r="A63" s="5" t="s">
        <v>47</v>
      </c>
      <c r="B63" s="29" t="str">
        <f>IF(選項!$K$2=1,"一案多類","一案一類")</f>
        <v>一案多類</v>
      </c>
      <c r="C63" s="5" t="s">
        <v>22</v>
      </c>
      <c r="D63" s="14">
        <f t="shared" si="19"/>
        <v>104000</v>
      </c>
      <c r="E63" s="14">
        <f t="shared" si="20"/>
        <v>2600</v>
      </c>
      <c r="F63" s="5" t="s">
        <v>19</v>
      </c>
      <c r="G63" s="14">
        <f t="shared" si="21"/>
        <v>1100</v>
      </c>
      <c r="H63" s="14">
        <f t="shared" si="22"/>
        <v>35200</v>
      </c>
      <c r="I63" s="14">
        <f t="shared" si="25"/>
        <v>37800</v>
      </c>
      <c r="J63" s="14">
        <f t="shared" si="23"/>
        <v>26000</v>
      </c>
      <c r="K63" s="14">
        <f t="shared" si="26"/>
        <v>63800</v>
      </c>
      <c r="L63" s="5" t="str">
        <f t="shared" si="24"/>
        <v>韓國</v>
      </c>
      <c r="M63" s="1"/>
      <c r="N63" s="12"/>
    </row>
    <row r="64" spans="1:14">
      <c r="A64" s="26" t="s">
        <v>27</v>
      </c>
      <c r="B64" s="29" t="str">
        <f>IF(選項!$K$2=1,"一案多類","一案一類")</f>
        <v>一案多類</v>
      </c>
      <c r="C64" s="5" t="s">
        <v>28</v>
      </c>
      <c r="D64" s="14">
        <f t="shared" si="19"/>
        <v>623.27</v>
      </c>
      <c r="E64" s="14">
        <f t="shared" si="20"/>
        <v>14646.844999999999</v>
      </c>
      <c r="F64" s="5" t="s">
        <v>28</v>
      </c>
      <c r="G64" s="14">
        <f t="shared" si="21"/>
        <v>1900</v>
      </c>
      <c r="H64" s="14">
        <f t="shared" si="22"/>
        <v>44650</v>
      </c>
      <c r="I64" s="14">
        <f>E64+H64</f>
        <v>59296.845000000001</v>
      </c>
      <c r="J64" s="14">
        <f t="shared" si="23"/>
        <v>21000</v>
      </c>
      <c r="K64" s="14">
        <f>I64+J64</f>
        <v>80296.845000000001</v>
      </c>
      <c r="L64" s="27" t="str">
        <f>A64</f>
        <v>加拿大</v>
      </c>
      <c r="M64" s="15"/>
      <c r="N64" s="12"/>
    </row>
    <row r="65" spans="1:14">
      <c r="A65" s="26" t="s">
        <v>66</v>
      </c>
      <c r="B65" s="29" t="str">
        <f>IF(選項!$K$2=1,"一案多類","一案一類")</f>
        <v>一案多類</v>
      </c>
      <c r="C65" s="5" t="s">
        <v>67</v>
      </c>
      <c r="D65" s="14">
        <f t="shared" si="19"/>
        <v>800</v>
      </c>
      <c r="E65" s="14">
        <f t="shared" si="20"/>
        <v>17360</v>
      </c>
      <c r="F65" s="5" t="s">
        <v>67</v>
      </c>
      <c r="G65" s="14">
        <f t="shared" si="21"/>
        <v>1440</v>
      </c>
      <c r="H65" s="14">
        <f t="shared" si="22"/>
        <v>31248</v>
      </c>
      <c r="I65" s="14">
        <f>E65+H65</f>
        <v>48608</v>
      </c>
      <c r="J65" s="14">
        <f t="shared" si="23"/>
        <v>26000</v>
      </c>
      <c r="K65" s="14">
        <f>I65+J65</f>
        <v>74608</v>
      </c>
      <c r="L65" s="27" t="str">
        <f>A65</f>
        <v>澳洲</v>
      </c>
      <c r="M65" s="15"/>
      <c r="N65" s="12"/>
    </row>
    <row r="66" spans="1:14">
      <c r="A66" s="5" t="s">
        <v>49</v>
      </c>
      <c r="B66" s="29" t="str">
        <f>IF(選項!$K$2=1,"一案多類","一案一類")</f>
        <v>一案多類</v>
      </c>
      <c r="C66" s="5" t="s">
        <v>23</v>
      </c>
      <c r="D66" s="14">
        <f t="shared" si="19"/>
        <v>760</v>
      </c>
      <c r="E66" s="14">
        <f t="shared" si="20"/>
        <v>19000</v>
      </c>
      <c r="F66" s="5" t="s">
        <v>23</v>
      </c>
      <c r="G66" s="14">
        <f t="shared" si="21"/>
        <v>900</v>
      </c>
      <c r="H66" s="14">
        <f t="shared" si="22"/>
        <v>22500</v>
      </c>
      <c r="I66" s="14">
        <f t="shared" si="25"/>
        <v>41500</v>
      </c>
      <c r="J66" s="14">
        <f t="shared" si="23"/>
        <v>31000</v>
      </c>
      <c r="K66" s="14">
        <f t="shared" si="26"/>
        <v>72500</v>
      </c>
      <c r="L66" s="5" t="str">
        <f t="shared" si="24"/>
        <v>新加坡</v>
      </c>
      <c r="M66" s="1"/>
      <c r="N66" s="12"/>
    </row>
    <row r="67" spans="1:14">
      <c r="A67" s="5" t="s">
        <v>54</v>
      </c>
      <c r="B67" s="29" t="str">
        <f>IF(選項!$K$2=1,"一案多類","一案一類")</f>
        <v>一案多類</v>
      </c>
      <c r="C67" s="5" t="s">
        <v>26</v>
      </c>
      <c r="D67" s="14">
        <f t="shared" si="19"/>
        <v>2240</v>
      </c>
      <c r="E67" s="14">
        <f t="shared" si="20"/>
        <v>18592</v>
      </c>
      <c r="F67" s="5" t="s">
        <v>26</v>
      </c>
      <c r="G67" s="14">
        <f t="shared" si="21"/>
        <v>2213</v>
      </c>
      <c r="H67" s="14">
        <f t="shared" si="22"/>
        <v>18367.900000000001</v>
      </c>
      <c r="I67" s="14">
        <f>E67+H67</f>
        <v>36959.9</v>
      </c>
      <c r="J67" s="14">
        <f t="shared" si="23"/>
        <v>21000</v>
      </c>
      <c r="K67" s="14">
        <f>I67+J67</f>
        <v>57959.9</v>
      </c>
      <c r="L67" s="5" t="str">
        <f>A67</f>
        <v>馬來西亞</v>
      </c>
      <c r="M67" s="1"/>
      <c r="N67" s="12"/>
    </row>
    <row r="68" spans="1:14">
      <c r="A68" s="53" t="s">
        <v>207</v>
      </c>
      <c r="B68" s="29" t="str">
        <f>IF(選項!$K$2=1,"一案多類","一案一類")</f>
        <v>一案多類</v>
      </c>
      <c r="C68" s="5" t="s">
        <v>19</v>
      </c>
      <c r="D68" s="14">
        <f t="shared" si="19"/>
        <v>189</v>
      </c>
      <c r="E68" s="14">
        <f t="shared" si="20"/>
        <v>6048</v>
      </c>
      <c r="F68" s="5" t="s">
        <v>19</v>
      </c>
      <c r="G68" s="14">
        <f t="shared" si="21"/>
        <v>275</v>
      </c>
      <c r="H68" s="14">
        <f t="shared" si="22"/>
        <v>8800</v>
      </c>
      <c r="I68" s="14">
        <f>E68+H68</f>
        <v>14848</v>
      </c>
      <c r="J68" s="14">
        <f t="shared" si="23"/>
        <v>26000</v>
      </c>
      <c r="K68" s="14">
        <f>I68+J68</f>
        <v>40848</v>
      </c>
      <c r="L68" s="5" t="str">
        <f>A68</f>
        <v>菲律賓</v>
      </c>
      <c r="M68" s="1"/>
      <c r="N68" s="12"/>
    </row>
    <row r="69" spans="1:14">
      <c r="A69" s="53" t="s">
        <v>112</v>
      </c>
      <c r="B69" s="29" t="str">
        <f>IF(選項!$K$2=1,"一案多類","一案一類")</f>
        <v>一案多類</v>
      </c>
      <c r="C69" s="5" t="s">
        <v>19</v>
      </c>
      <c r="D69" s="14">
        <f t="shared" si="19"/>
        <v>360</v>
      </c>
      <c r="E69" s="14">
        <f t="shared" si="20"/>
        <v>11520</v>
      </c>
      <c r="F69" s="5" t="s">
        <v>19</v>
      </c>
      <c r="G69" s="14">
        <f t="shared" si="21"/>
        <v>850</v>
      </c>
      <c r="H69" s="14">
        <f t="shared" si="22"/>
        <v>27200</v>
      </c>
      <c r="I69" s="14">
        <f t="shared" ref="I69" si="30">E69+H69</f>
        <v>38720</v>
      </c>
      <c r="J69" s="14">
        <f t="shared" si="23"/>
        <v>31000</v>
      </c>
      <c r="K69" s="14">
        <f t="shared" ref="K69" si="31">I69+J69</f>
        <v>69720</v>
      </c>
      <c r="L69" s="5" t="str">
        <f>A69</f>
        <v>印尼</v>
      </c>
      <c r="M69" s="1"/>
      <c r="N69" s="12"/>
    </row>
    <row r="70" spans="1:14">
      <c r="A70" s="5" t="s">
        <v>51</v>
      </c>
      <c r="B70" s="29" t="str">
        <f>IF(選項!$K$2=1,"一案多類","一案一類")</f>
        <v>一案多類</v>
      </c>
      <c r="C70" s="5" t="s">
        <v>24</v>
      </c>
      <c r="D70" s="14">
        <f t="shared" si="19"/>
        <v>1730000</v>
      </c>
      <c r="E70" s="14">
        <f t="shared" si="20"/>
        <v>2422</v>
      </c>
      <c r="F70" s="5" t="s">
        <v>19</v>
      </c>
      <c r="G70" s="14">
        <f t="shared" si="21"/>
        <v>555</v>
      </c>
      <c r="H70" s="14">
        <f t="shared" si="22"/>
        <v>17760</v>
      </c>
      <c r="I70" s="14">
        <f t="shared" si="25"/>
        <v>20182</v>
      </c>
      <c r="J70" s="14">
        <f t="shared" si="23"/>
        <v>31000</v>
      </c>
      <c r="K70" s="14">
        <f t="shared" si="26"/>
        <v>51182</v>
      </c>
      <c r="L70" s="5" t="str">
        <f t="shared" si="24"/>
        <v>越南</v>
      </c>
      <c r="M70" s="1"/>
      <c r="N70" s="12"/>
    </row>
    <row r="71" spans="1:14">
      <c r="A71" s="5" t="s">
        <v>53</v>
      </c>
      <c r="B71" s="29" t="str">
        <f>IF(選項!$K$2=1,"一案多類","一案一類")</f>
        <v>一案多類</v>
      </c>
      <c r="C71" s="5" t="s">
        <v>25</v>
      </c>
      <c r="D71" s="14">
        <f t="shared" si="19"/>
        <v>18000</v>
      </c>
      <c r="E71" s="14">
        <f t="shared" si="20"/>
        <v>19800</v>
      </c>
      <c r="F71" s="5" t="s">
        <v>25</v>
      </c>
      <c r="G71" s="14">
        <f t="shared" si="21"/>
        <v>23500</v>
      </c>
      <c r="H71" s="14">
        <f t="shared" si="22"/>
        <v>25850.000000000004</v>
      </c>
      <c r="I71" s="14">
        <f t="shared" si="25"/>
        <v>45650</v>
      </c>
      <c r="J71" s="14">
        <f t="shared" si="23"/>
        <v>31000</v>
      </c>
      <c r="K71" s="14">
        <f t="shared" si="26"/>
        <v>76650</v>
      </c>
      <c r="L71" s="5" t="str">
        <f t="shared" si="24"/>
        <v>泰國</v>
      </c>
      <c r="M71" s="1"/>
      <c r="N71" s="12"/>
    </row>
    <row r="72" spans="1:14">
      <c r="A72" s="53" t="s">
        <v>160</v>
      </c>
      <c r="B72" s="29" t="str">
        <f>IF(選項!$K$2=1,"一案多類","一案一類")</f>
        <v>一案多類</v>
      </c>
      <c r="C72" s="5" t="s">
        <v>166</v>
      </c>
      <c r="D72" s="14">
        <f t="shared" si="19"/>
        <v>3000</v>
      </c>
      <c r="E72" s="14">
        <f t="shared" si="20"/>
        <v>12600</v>
      </c>
      <c r="F72" s="5" t="s">
        <v>18</v>
      </c>
      <c r="G72" s="14">
        <f t="shared" si="21"/>
        <v>3750</v>
      </c>
      <c r="H72" s="14">
        <f t="shared" si="22"/>
        <v>17250</v>
      </c>
      <c r="I72" s="14">
        <f t="shared" ref="I72:I73" si="32">E72+H72</f>
        <v>29850</v>
      </c>
      <c r="J72" s="14">
        <f t="shared" si="23"/>
        <v>26000</v>
      </c>
      <c r="K72" s="14">
        <f t="shared" ref="K72:K73" si="33">I72+J72</f>
        <v>55850</v>
      </c>
      <c r="L72" s="5" t="str">
        <f t="shared" si="24"/>
        <v>香港</v>
      </c>
      <c r="M72" s="1"/>
      <c r="N72" s="12"/>
    </row>
    <row r="73" spans="1:14" ht="17.25">
      <c r="A73" s="53" t="s">
        <v>161</v>
      </c>
      <c r="B73" s="29" t="str">
        <f>IF(選項!$K$2=1,"一案多類","一案一類")</f>
        <v>一案多類</v>
      </c>
      <c r="C73" s="5" t="s">
        <v>19</v>
      </c>
      <c r="D73" s="14">
        <f t="shared" si="19"/>
        <v>260</v>
      </c>
      <c r="E73" s="14">
        <f t="shared" si="20"/>
        <v>8320</v>
      </c>
      <c r="F73" s="5" t="s">
        <v>19</v>
      </c>
      <c r="G73" s="14">
        <f t="shared" si="21"/>
        <v>1100</v>
      </c>
      <c r="H73" s="14">
        <f t="shared" si="22"/>
        <v>35200</v>
      </c>
      <c r="I73" s="14">
        <f t="shared" si="32"/>
        <v>43520</v>
      </c>
      <c r="J73" s="14">
        <f t="shared" si="23"/>
        <v>40000</v>
      </c>
      <c r="K73" s="14">
        <f t="shared" si="33"/>
        <v>83520</v>
      </c>
      <c r="L73" s="5" t="str">
        <f t="shared" ref="L73" si="34">A73</f>
        <v>澳門</v>
      </c>
      <c r="M73" s="104" t="s">
        <v>214</v>
      </c>
      <c r="N73" s="12"/>
    </row>
    <row r="74" spans="1:14">
      <c r="A74" s="53" t="s">
        <v>208</v>
      </c>
      <c r="B74" s="29" t="str">
        <f>IF(選項!$K$2=1,"一案多類","一案一類")</f>
        <v>一案多類</v>
      </c>
      <c r="C74" s="5" t="s">
        <v>19</v>
      </c>
      <c r="D74" s="14">
        <f t="shared" si="19"/>
        <v>300</v>
      </c>
      <c r="E74" s="14">
        <f t="shared" si="20"/>
        <v>9600</v>
      </c>
      <c r="F74" s="5" t="s">
        <v>19</v>
      </c>
      <c r="G74" s="14">
        <f t="shared" si="21"/>
        <v>300</v>
      </c>
      <c r="H74" s="14">
        <f t="shared" si="22"/>
        <v>9600</v>
      </c>
      <c r="I74" s="14">
        <f t="shared" ref="I74" si="35">E74+H74</f>
        <v>19200</v>
      </c>
      <c r="J74" s="14">
        <f t="shared" si="23"/>
        <v>21000</v>
      </c>
      <c r="K74" s="14">
        <f t="shared" ref="K74" si="36">I74+J74</f>
        <v>40200</v>
      </c>
      <c r="L74" s="5" t="str">
        <f t="shared" ref="L74" si="37">A74</f>
        <v>印度</v>
      </c>
      <c r="M74" s="1"/>
      <c r="N74" s="12"/>
    </row>
    <row r="75" spans="1:14" ht="18.75">
      <c r="A75" s="16"/>
      <c r="B75" s="16"/>
      <c r="C75" s="16"/>
      <c r="D75" s="17" t="s">
        <v>56</v>
      </c>
      <c r="E75" s="18">
        <f>SUM(E57:E74)</f>
        <v>233538.845</v>
      </c>
      <c r="F75" s="16"/>
      <c r="G75" s="17" t="s">
        <v>56</v>
      </c>
      <c r="H75" s="19">
        <f>SUM(H57:H74)</f>
        <v>347795.9</v>
      </c>
      <c r="I75" s="20">
        <f>SUM(I57:I74)</f>
        <v>581334.745</v>
      </c>
      <c r="J75" s="21">
        <f>SUM(J57:J74)</f>
        <v>473000</v>
      </c>
      <c r="K75" s="22">
        <f>SUM(K57:K74)</f>
        <v>1054334.7450000001</v>
      </c>
      <c r="L75" s="5"/>
      <c r="M75" s="1"/>
      <c r="N75" s="12"/>
    </row>
    <row r="76" spans="1:14">
      <c r="A76" s="2"/>
      <c r="B76" s="2"/>
      <c r="C76" s="2"/>
      <c r="D76" s="2"/>
      <c r="E76" s="2"/>
      <c r="F76" s="2"/>
      <c r="G76" s="2"/>
      <c r="H76" s="2"/>
      <c r="I76" s="2"/>
      <c r="J76" s="2"/>
      <c r="K76" s="2"/>
      <c r="L76" s="2"/>
      <c r="M76" s="1"/>
      <c r="N76" s="12"/>
    </row>
    <row r="77" spans="1:14">
      <c r="A77" t="s">
        <v>87</v>
      </c>
      <c r="B77" s="2"/>
      <c r="C77" s="2"/>
      <c r="D77" s="2"/>
      <c r="E77" s="2"/>
      <c r="F77" s="2"/>
      <c r="G77" s="2"/>
      <c r="H77" s="2"/>
      <c r="I77" s="2"/>
      <c r="J77" s="2"/>
      <c r="K77" s="2"/>
      <c r="L77" s="2"/>
      <c r="M77" s="1"/>
      <c r="N77" s="12"/>
    </row>
    <row r="78" spans="1:14" s="44" customFormat="1">
      <c r="A78" s="103" t="s">
        <v>179</v>
      </c>
      <c r="B78" s="49"/>
      <c r="C78" s="49"/>
      <c r="D78" s="49"/>
      <c r="E78" s="49"/>
      <c r="F78" s="49"/>
      <c r="G78" s="49"/>
      <c r="H78" s="49"/>
      <c r="I78" s="49"/>
      <c r="J78" s="49"/>
      <c r="K78" s="49"/>
      <c r="L78" s="49"/>
      <c r="M78" s="42"/>
      <c r="N78" s="43"/>
    </row>
    <row r="79" spans="1:14" ht="32.25" customHeight="1">
      <c r="A79" s="142" t="s">
        <v>16</v>
      </c>
      <c r="B79" s="144" t="s">
        <v>13</v>
      </c>
      <c r="C79" s="146" t="s">
        <v>29</v>
      </c>
      <c r="D79" s="147"/>
      <c r="E79" s="148"/>
      <c r="F79" s="146" t="s">
        <v>30</v>
      </c>
      <c r="G79" s="147"/>
      <c r="H79" s="148"/>
      <c r="I79" s="99" t="s">
        <v>188</v>
      </c>
      <c r="J79" s="138" t="s">
        <v>189</v>
      </c>
      <c r="K79" s="138" t="s">
        <v>190</v>
      </c>
      <c r="L79" s="140" t="s">
        <v>16</v>
      </c>
      <c r="M79" s="13"/>
      <c r="N79" s="12"/>
    </row>
    <row r="80" spans="1:14">
      <c r="A80" s="143"/>
      <c r="B80" s="145"/>
      <c r="C80" s="75" t="s">
        <v>31</v>
      </c>
      <c r="D80" s="75" t="s">
        <v>32</v>
      </c>
      <c r="E80" s="75" t="s">
        <v>33</v>
      </c>
      <c r="F80" s="75" t="s">
        <v>31</v>
      </c>
      <c r="G80" s="75" t="s">
        <v>32</v>
      </c>
      <c r="H80" s="75" t="s">
        <v>33</v>
      </c>
      <c r="I80" s="75" t="s">
        <v>33</v>
      </c>
      <c r="J80" s="139"/>
      <c r="K80" s="139"/>
      <c r="L80" s="141"/>
      <c r="M80" s="1"/>
      <c r="N80" s="12"/>
    </row>
    <row r="81" spans="1:14">
      <c r="A81" s="5" t="s">
        <v>34</v>
      </c>
      <c r="B81" s="28" t="s">
        <v>71</v>
      </c>
      <c r="C81" s="5" t="s">
        <v>17</v>
      </c>
      <c r="D81" s="14">
        <f>IF($B$5&gt;0,2700+3000*($B$5-1),0)</f>
        <v>5700</v>
      </c>
      <c r="E81" s="14">
        <f>D81</f>
        <v>5700</v>
      </c>
      <c r="F81" s="5" t="s">
        <v>17</v>
      </c>
      <c r="G81" s="14">
        <v>0</v>
      </c>
      <c r="H81" s="14">
        <v>0</v>
      </c>
      <c r="I81" s="14">
        <f>E81+H81</f>
        <v>5700</v>
      </c>
      <c r="J81" s="14">
        <f>IF($B$5&gt;0,6000+6000*($B$5-1),0)</f>
        <v>12000</v>
      </c>
      <c r="K81" s="14">
        <f>I81+J81</f>
        <v>17700</v>
      </c>
      <c r="L81" s="5" t="str">
        <f t="shared" ref="L81:L96" si="38">A81</f>
        <v>台灣</v>
      </c>
      <c r="M81" s="1"/>
      <c r="N81" s="12"/>
    </row>
    <row r="82" spans="1:14">
      <c r="A82" s="5" t="s">
        <v>37</v>
      </c>
      <c r="B82" s="28" t="s">
        <v>71</v>
      </c>
      <c r="C82" s="5" t="s">
        <v>18</v>
      </c>
      <c r="D82" s="14">
        <f>IF($B$5&gt;0,270*$B$5,0)</f>
        <v>540</v>
      </c>
      <c r="E82" s="14">
        <f>D82*$L$5</f>
        <v>2484</v>
      </c>
      <c r="F82" s="5" t="s">
        <v>18</v>
      </c>
      <c r="G82" s="14">
        <f>IF($B$5&gt;0,1000*$B$5,0)</f>
        <v>2000</v>
      </c>
      <c r="H82" s="14">
        <f>G82*$L$5</f>
        <v>9200</v>
      </c>
      <c r="I82" s="14">
        <f>E82+H82</f>
        <v>11684</v>
      </c>
      <c r="J82" s="14">
        <f>IF($B$5&gt;0,15000+6000*($B$5-1),0)</f>
        <v>21000</v>
      </c>
      <c r="K82" s="14">
        <f>I82+J82</f>
        <v>32684</v>
      </c>
      <c r="L82" s="5" t="str">
        <f t="shared" si="38"/>
        <v>大陸</v>
      </c>
      <c r="M82" s="1"/>
      <c r="N82" s="12"/>
    </row>
    <row r="83" spans="1:14">
      <c r="A83" s="5" t="s">
        <v>40</v>
      </c>
      <c r="B83" s="28" t="s">
        <v>71</v>
      </c>
      <c r="C83" s="5" t="s">
        <v>19</v>
      </c>
      <c r="D83" s="14">
        <f>IF($B$5&gt;0,(350+200)*$B$5,0)</f>
        <v>1100</v>
      </c>
      <c r="E83" s="14">
        <f>D83*$J$5</f>
        <v>35200</v>
      </c>
      <c r="F83" s="5" t="s">
        <v>19</v>
      </c>
      <c r="G83" s="14">
        <f>IF($B$5&gt;0,375,0)</f>
        <v>375</v>
      </c>
      <c r="H83" s="14">
        <f>G83*$J$5</f>
        <v>12000</v>
      </c>
      <c r="I83" s="14">
        <f t="shared" ref="I83:I95" si="39">E83+H83</f>
        <v>47200</v>
      </c>
      <c r="J83" s="14">
        <f>IF($B$5&gt;0,20000+6000*($B$5-1),0)</f>
        <v>26000</v>
      </c>
      <c r="K83" s="14">
        <f t="shared" ref="K83:K95" si="40">I83+J83</f>
        <v>73200</v>
      </c>
      <c r="L83" s="5" t="str">
        <f t="shared" si="38"/>
        <v>美國</v>
      </c>
      <c r="M83" s="1"/>
      <c r="N83" s="12"/>
    </row>
    <row r="84" spans="1:14">
      <c r="A84" s="26" t="s">
        <v>0</v>
      </c>
      <c r="B84" s="28" t="s">
        <v>71</v>
      </c>
      <c r="C84" s="5" t="s">
        <v>20</v>
      </c>
      <c r="D84" s="14">
        <f>IF($B$5&gt;0,IF($B$5&lt;=2,850+50*($B$5-1),850+50+150*($B$5-2)),0)</f>
        <v>900</v>
      </c>
      <c r="E84" s="14">
        <f>D84*$J$6</f>
        <v>33750</v>
      </c>
      <c r="F84" s="5" t="s">
        <v>20</v>
      </c>
      <c r="G84" s="14">
        <f>IF($B$5&gt;0,90+50*($B$5-1),0)</f>
        <v>140</v>
      </c>
      <c r="H84" s="14">
        <f>G84*$J$6</f>
        <v>5250</v>
      </c>
      <c r="I84" s="14">
        <f t="shared" si="39"/>
        <v>39000</v>
      </c>
      <c r="J84" s="14">
        <f>IF($B$5&gt;0,20000+6000*($B$5-1),0)</f>
        <v>26000</v>
      </c>
      <c r="K84" s="14">
        <f t="shared" si="40"/>
        <v>65000</v>
      </c>
      <c r="L84" s="5" t="str">
        <f t="shared" si="38"/>
        <v>歐盟</v>
      </c>
      <c r="M84" s="1"/>
      <c r="N84" s="12"/>
    </row>
    <row r="85" spans="1:14">
      <c r="A85" s="26" t="s">
        <v>167</v>
      </c>
      <c r="B85" s="28" t="s">
        <v>71</v>
      </c>
      <c r="C85" s="5" t="s">
        <v>168</v>
      </c>
      <c r="D85" s="14">
        <f>IF($B$5&gt;0,170+50*($B$5-1),0)</f>
        <v>220</v>
      </c>
      <c r="E85" s="14">
        <f>D85*$J$11</f>
        <v>9570</v>
      </c>
      <c r="F85" s="5" t="s">
        <v>20</v>
      </c>
      <c r="G85" s="14">
        <f>IF($B$5&gt;0,90+50*($B$5-1),0)</f>
        <v>140</v>
      </c>
      <c r="H85" s="14">
        <f>G85*$J$6</f>
        <v>5250</v>
      </c>
      <c r="I85" s="14">
        <f t="shared" ref="I85" si="41">E85+H85</f>
        <v>14820</v>
      </c>
      <c r="J85" s="14">
        <f>IF($B$5&gt;0,20000+6000*($B$5-1),0)</f>
        <v>26000</v>
      </c>
      <c r="K85" s="14">
        <f t="shared" ref="K85" si="42">I85+J85</f>
        <v>40820</v>
      </c>
      <c r="L85" s="5" t="str">
        <f t="shared" ref="L85" si="43">A85</f>
        <v>英國</v>
      </c>
      <c r="M85" s="1"/>
      <c r="N85" s="12"/>
    </row>
    <row r="86" spans="1:14">
      <c r="A86" s="5" t="s">
        <v>44</v>
      </c>
      <c r="B86" s="28" t="s">
        <v>71</v>
      </c>
      <c r="C86" s="5" t="s">
        <v>21</v>
      </c>
      <c r="D86" s="14">
        <f>IF($B$5&gt;0,12000+8600*($B$5-1),0)</f>
        <v>20600</v>
      </c>
      <c r="E86" s="14">
        <f>D86*$J$7</f>
        <v>4326</v>
      </c>
      <c r="F86" s="5" t="s">
        <v>21</v>
      </c>
      <c r="G86" s="14">
        <f>IF($B$5&gt;0,63000+44000*($B$5-1),0)</f>
        <v>107000</v>
      </c>
      <c r="H86" s="14">
        <f>G86*$J$7</f>
        <v>22470</v>
      </c>
      <c r="I86" s="14">
        <f t="shared" si="39"/>
        <v>26796</v>
      </c>
      <c r="J86" s="14">
        <f>IF($B$5&gt;0,25000+6000*($B$5-1),0)</f>
        <v>31000</v>
      </c>
      <c r="K86" s="14">
        <f t="shared" si="40"/>
        <v>57796</v>
      </c>
      <c r="L86" s="5" t="str">
        <f t="shared" si="38"/>
        <v>日本</v>
      </c>
      <c r="M86" s="1"/>
      <c r="N86" s="12"/>
    </row>
    <row r="87" spans="1:14">
      <c r="A87" s="5" t="s">
        <v>47</v>
      </c>
      <c r="B87" s="28" t="s">
        <v>71</v>
      </c>
      <c r="C87" s="5" t="s">
        <v>22</v>
      </c>
      <c r="D87" s="14">
        <f>IF($B$5&gt;0,52000*$B$5,0)</f>
        <v>104000</v>
      </c>
      <c r="E87" s="14">
        <f>D87*$J$8</f>
        <v>2600</v>
      </c>
      <c r="F87" s="5" t="s">
        <v>19</v>
      </c>
      <c r="G87" s="14">
        <f>IF($B$5&gt;0,600+500*($B$5-1),0)</f>
        <v>1100</v>
      </c>
      <c r="H87" s="14">
        <f>G87*$J$5</f>
        <v>35200</v>
      </c>
      <c r="I87" s="14">
        <f t="shared" si="39"/>
        <v>37800</v>
      </c>
      <c r="J87" s="14">
        <f>IF($B$5&gt;0,20000+6000*($B$5-1),0)</f>
        <v>26000</v>
      </c>
      <c r="K87" s="14">
        <f t="shared" si="40"/>
        <v>63800</v>
      </c>
      <c r="L87" s="5" t="str">
        <f t="shared" si="38"/>
        <v>韓國</v>
      </c>
      <c r="M87" s="1"/>
      <c r="N87" s="12"/>
    </row>
    <row r="88" spans="1:14">
      <c r="A88" s="26" t="s">
        <v>27</v>
      </c>
      <c r="B88" s="28" t="s">
        <v>71</v>
      </c>
      <c r="C88" s="5" t="s">
        <v>28</v>
      </c>
      <c r="D88" s="14">
        <f>IF($B$5&gt;0,478.15+145.12*($B$5-1),0)</f>
        <v>623.27</v>
      </c>
      <c r="E88" s="14">
        <f>D88*$L$9</f>
        <v>14646.844999999999</v>
      </c>
      <c r="F88" s="5" t="s">
        <v>28</v>
      </c>
      <c r="G88" s="14">
        <f>IF($B$5&gt;0,950+950*($B$5-1),0)</f>
        <v>1900</v>
      </c>
      <c r="H88" s="14">
        <f>G88*$L$9</f>
        <v>44650</v>
      </c>
      <c r="I88" s="14">
        <f>E88+H88</f>
        <v>59296.845000000001</v>
      </c>
      <c r="J88" s="14">
        <f>IF($B$5&gt;0,15000+6000*($B$5-1),0)</f>
        <v>21000</v>
      </c>
      <c r="K88" s="14">
        <f>I88+J88</f>
        <v>80296.845000000001</v>
      </c>
      <c r="L88" s="27" t="str">
        <f>A88</f>
        <v>加拿大</v>
      </c>
      <c r="M88" s="15"/>
      <c r="N88" s="12"/>
    </row>
    <row r="89" spans="1:14">
      <c r="A89" s="26" t="s">
        <v>66</v>
      </c>
      <c r="B89" s="28" t="s">
        <v>71</v>
      </c>
      <c r="C89" s="5" t="s">
        <v>67</v>
      </c>
      <c r="D89" s="14">
        <f>IF($B$5&gt;0,400*$B$5,0)</f>
        <v>800</v>
      </c>
      <c r="E89" s="14">
        <f>D89*$L$10</f>
        <v>17360</v>
      </c>
      <c r="F89" s="5" t="s">
        <v>67</v>
      </c>
      <c r="G89" s="14">
        <f>IF($B$5&gt;0,895+545*($B$5-1),0)</f>
        <v>1440</v>
      </c>
      <c r="H89" s="14">
        <f>G89*$L$10</f>
        <v>31248</v>
      </c>
      <c r="I89" s="14">
        <f>E89+H89</f>
        <v>48608</v>
      </c>
      <c r="J89" s="14">
        <f>IF($B$5&gt;0,20000+6000*($B$5-1),0)</f>
        <v>26000</v>
      </c>
      <c r="K89" s="14">
        <f>I89+J89</f>
        <v>74608</v>
      </c>
      <c r="L89" s="27" t="str">
        <f>A89</f>
        <v>澳洲</v>
      </c>
      <c r="M89" s="15"/>
      <c r="N89" s="12"/>
    </row>
    <row r="90" spans="1:14">
      <c r="A90" s="5" t="s">
        <v>49</v>
      </c>
      <c r="B90" s="28" t="s">
        <v>71</v>
      </c>
      <c r="C90" s="5" t="s">
        <v>23</v>
      </c>
      <c r="D90" s="14">
        <f>IF($B$5&gt;0,380*$B$5,0)</f>
        <v>760</v>
      </c>
      <c r="E90" s="14">
        <f>D90*$L$6</f>
        <v>19000</v>
      </c>
      <c r="F90" s="5" t="s">
        <v>23</v>
      </c>
      <c r="G90" s="14">
        <f>IF($B$5&gt;0,500+400*($B$5-1),0)</f>
        <v>900</v>
      </c>
      <c r="H90" s="14">
        <f>G90*$L$6</f>
        <v>22500</v>
      </c>
      <c r="I90" s="14">
        <f t="shared" si="39"/>
        <v>41500</v>
      </c>
      <c r="J90" s="14">
        <f>IF($B$5&gt;0,25000+6000*($B$5-1),0)</f>
        <v>31000</v>
      </c>
      <c r="K90" s="14">
        <f t="shared" si="40"/>
        <v>72500</v>
      </c>
      <c r="L90" s="5" t="str">
        <f t="shared" si="38"/>
        <v>新加坡</v>
      </c>
      <c r="M90" s="1"/>
      <c r="N90" s="12"/>
    </row>
    <row r="91" spans="1:14">
      <c r="A91" s="5" t="s">
        <v>54</v>
      </c>
      <c r="B91" s="28" t="s">
        <v>71</v>
      </c>
      <c r="C91" s="5" t="s">
        <v>26</v>
      </c>
      <c r="D91" s="14">
        <f>IF($B$5&gt;0,1120+20+1100*($B$5-1),0)</f>
        <v>2240</v>
      </c>
      <c r="E91" s="14">
        <f>D91*$L$8</f>
        <v>18592</v>
      </c>
      <c r="F91" s="5" t="s">
        <v>26</v>
      </c>
      <c r="G91" s="14">
        <f>IF($B$5&gt;0,1259+106+848*($B$5-1),0)</f>
        <v>2213</v>
      </c>
      <c r="H91" s="14">
        <f>G91*$L$8</f>
        <v>18367.900000000001</v>
      </c>
      <c r="I91" s="14">
        <f>E91+H91</f>
        <v>36959.9</v>
      </c>
      <c r="J91" s="14">
        <f>IF($B$5&gt;0,15000+6000*($B$5-1),0)</f>
        <v>21000</v>
      </c>
      <c r="K91" s="14">
        <f>I91+J91</f>
        <v>57959.9</v>
      </c>
      <c r="L91" s="5" t="str">
        <f>A91</f>
        <v>馬來西亞</v>
      </c>
      <c r="M91" s="1"/>
      <c r="N91" s="12"/>
    </row>
    <row r="92" spans="1:14">
      <c r="A92" s="53" t="s">
        <v>207</v>
      </c>
      <c r="B92" s="28" t="s">
        <v>71</v>
      </c>
      <c r="C92" s="5" t="s">
        <v>19</v>
      </c>
      <c r="D92" s="14">
        <f>IF($B$5&gt;0,130+59*($B$5-1),0)</f>
        <v>189</v>
      </c>
      <c r="E92" s="14">
        <f>D92*$J$5</f>
        <v>6048</v>
      </c>
      <c r="F92" s="5" t="s">
        <v>19</v>
      </c>
      <c r="G92" s="14">
        <f>IF($B$5&gt;0,275+0*($B$5-1),0)</f>
        <v>275</v>
      </c>
      <c r="H92" s="14">
        <f>G92*$J$5</f>
        <v>8800</v>
      </c>
      <c r="I92" s="14">
        <f>E92+H92</f>
        <v>14848</v>
      </c>
      <c r="J92" s="14">
        <f>IF($B$5&gt;0,20000+6000*($B$5-1),0)</f>
        <v>26000</v>
      </c>
      <c r="K92" s="14">
        <f>I92+J92</f>
        <v>40848</v>
      </c>
      <c r="L92" s="5" t="str">
        <f>A92</f>
        <v>菲律賓</v>
      </c>
      <c r="M92" s="1"/>
      <c r="N92" s="12"/>
    </row>
    <row r="93" spans="1:14">
      <c r="A93" s="53" t="s">
        <v>112</v>
      </c>
      <c r="B93" s="28" t="s">
        <v>71</v>
      </c>
      <c r="C93" s="5" t="s">
        <v>19</v>
      </c>
      <c r="D93" s="14">
        <f>IF($B$5&gt;0,180*$B$5,0)</f>
        <v>360</v>
      </c>
      <c r="E93" s="14">
        <f>D93*$J$5</f>
        <v>11520</v>
      </c>
      <c r="F93" s="5" t="s">
        <v>19</v>
      </c>
      <c r="G93" s="14">
        <f>IF($B$5&gt;0,500+350*($B$5-1),0)</f>
        <v>850</v>
      </c>
      <c r="H93" s="14">
        <f>G93*$J$5</f>
        <v>27200</v>
      </c>
      <c r="I93" s="14">
        <f>E93+H93</f>
        <v>38720</v>
      </c>
      <c r="J93" s="14">
        <f>IF($B$5&gt;0,25000+6000*($B$5-1),0)</f>
        <v>31000</v>
      </c>
      <c r="K93" s="14">
        <f>I93+J93</f>
        <v>69720</v>
      </c>
      <c r="L93" s="5" t="str">
        <f>A93</f>
        <v>印尼</v>
      </c>
      <c r="M93" s="1"/>
      <c r="N93" s="12"/>
    </row>
    <row r="94" spans="1:14">
      <c r="A94" s="5" t="s">
        <v>51</v>
      </c>
      <c r="B94" s="28" t="s">
        <v>71</v>
      </c>
      <c r="C94" s="5" t="s">
        <v>24</v>
      </c>
      <c r="D94" s="14">
        <f>IF($B$5&gt;0,1000000+730000*($B$5-1),0)</f>
        <v>1730000</v>
      </c>
      <c r="E94" s="14">
        <f>D94*$L$7</f>
        <v>2422</v>
      </c>
      <c r="F94" s="5" t="s">
        <v>19</v>
      </c>
      <c r="G94" s="14">
        <f>IF($B$5&gt;0,305+250*($B$5-1),0)</f>
        <v>555</v>
      </c>
      <c r="H94" s="14">
        <f>G94*$J$5</f>
        <v>17760</v>
      </c>
      <c r="I94" s="14">
        <f t="shared" si="39"/>
        <v>20182</v>
      </c>
      <c r="J94" s="14">
        <f>IF($B$5&gt;0,25000+6000*($B$5-1),0)</f>
        <v>31000</v>
      </c>
      <c r="K94" s="14">
        <f t="shared" si="40"/>
        <v>51182</v>
      </c>
      <c r="L94" s="5" t="str">
        <f t="shared" si="38"/>
        <v>越南</v>
      </c>
      <c r="M94" s="1"/>
      <c r="N94" s="12"/>
    </row>
    <row r="95" spans="1:14">
      <c r="A95" s="5" t="s">
        <v>53</v>
      </c>
      <c r="B95" s="28" t="s">
        <v>71</v>
      </c>
      <c r="C95" s="5" t="s">
        <v>25</v>
      </c>
      <c r="D95" s="14">
        <f>IF($B$5&gt;0,9000+9000*($B$5-1),0)</f>
        <v>18000</v>
      </c>
      <c r="E95" s="14">
        <f>D95*$J$9</f>
        <v>19800</v>
      </c>
      <c r="F95" s="5" t="s">
        <v>25</v>
      </c>
      <c r="G95" s="14">
        <f>IF($B$5&gt;0,13500+10000*($B$5-1),0)</f>
        <v>23500</v>
      </c>
      <c r="H95" s="14">
        <f>G95*$J$9</f>
        <v>25850.000000000004</v>
      </c>
      <c r="I95" s="14">
        <f t="shared" si="39"/>
        <v>45650</v>
      </c>
      <c r="J95" s="14">
        <f>IF($B$5&gt;0,25000+6000*($B$5-1),0)</f>
        <v>31000</v>
      </c>
      <c r="K95" s="14">
        <f t="shared" si="40"/>
        <v>76650</v>
      </c>
      <c r="L95" s="5" t="str">
        <f t="shared" si="38"/>
        <v>泰國</v>
      </c>
      <c r="M95" s="1"/>
      <c r="N95" s="12"/>
    </row>
    <row r="96" spans="1:14">
      <c r="A96" s="53" t="s">
        <v>160</v>
      </c>
      <c r="B96" s="28" t="s">
        <v>71</v>
      </c>
      <c r="C96" s="5" t="s">
        <v>166</v>
      </c>
      <c r="D96" s="14">
        <f>IF($B$5&gt;0,2000+1000*($B$5-1),0)</f>
        <v>3000</v>
      </c>
      <c r="E96" s="14">
        <f>D96*$J$10</f>
        <v>12600</v>
      </c>
      <c r="F96" s="5" t="s">
        <v>18</v>
      </c>
      <c r="G96" s="14">
        <f>IF($B$5&gt;0,2500+1250*($B$5-1),0)</f>
        <v>3750</v>
      </c>
      <c r="H96" s="14">
        <f>G96*$L$5</f>
        <v>17250</v>
      </c>
      <c r="I96" s="14">
        <f t="shared" ref="I96:I97" si="44">E96+H96</f>
        <v>29850</v>
      </c>
      <c r="J96" s="14">
        <f>IF($B$5&gt;0,20000+6000*($B$5-1),0)</f>
        <v>26000</v>
      </c>
      <c r="K96" s="14">
        <f t="shared" ref="K96:K97" si="45">I96+J96</f>
        <v>55850</v>
      </c>
      <c r="L96" s="5" t="str">
        <f t="shared" si="38"/>
        <v>香港</v>
      </c>
      <c r="M96" s="1"/>
      <c r="N96" s="12"/>
    </row>
    <row r="97" spans="1:14" ht="17.25">
      <c r="A97" s="53" t="s">
        <v>161</v>
      </c>
      <c r="B97" s="28" t="s">
        <v>71</v>
      </c>
      <c r="C97" s="5" t="s">
        <v>19</v>
      </c>
      <c r="D97" s="14">
        <f>IF($B$5&gt;0,130+130*($B$5-1),0)</f>
        <v>260</v>
      </c>
      <c r="E97" s="14">
        <f>D97*$J$5</f>
        <v>8320</v>
      </c>
      <c r="F97" s="5" t="s">
        <v>19</v>
      </c>
      <c r="G97" s="14">
        <f>IF($B$5&gt;0,550+550*($B$5-1),0)</f>
        <v>1100</v>
      </c>
      <c r="H97" s="14">
        <f>G97*$J$5</f>
        <v>35200</v>
      </c>
      <c r="I97" s="14">
        <f t="shared" si="44"/>
        <v>43520</v>
      </c>
      <c r="J97" s="14">
        <f>IF($B$5&gt;0,20000+20000*($B$5-1),0)</f>
        <v>40000</v>
      </c>
      <c r="K97" s="14">
        <f t="shared" si="45"/>
        <v>83520</v>
      </c>
      <c r="L97" s="5" t="str">
        <f t="shared" ref="L97" si="46">A97</f>
        <v>澳門</v>
      </c>
      <c r="M97" s="104" t="s">
        <v>214</v>
      </c>
      <c r="N97" s="12"/>
    </row>
    <row r="98" spans="1:14">
      <c r="A98" s="53" t="s">
        <v>208</v>
      </c>
      <c r="B98" s="28" t="s">
        <v>71</v>
      </c>
      <c r="C98" s="5" t="s">
        <v>19</v>
      </c>
      <c r="D98" s="14">
        <f>IF($B$5&gt;0,150+150*($B$5-1),0)</f>
        <v>300</v>
      </c>
      <c r="E98" s="14">
        <f>D98*$J$5</f>
        <v>9600</v>
      </c>
      <c r="F98" s="5" t="s">
        <v>19</v>
      </c>
      <c r="G98" s="14">
        <f>IF($B$5&gt;0,IF($B$5&lt;=3,300,300+($B$5-3)*50),0)</f>
        <v>300</v>
      </c>
      <c r="H98" s="14">
        <f>G98*$J$5</f>
        <v>9600</v>
      </c>
      <c r="I98" s="14">
        <f t="shared" ref="I98" si="47">E98+H98</f>
        <v>19200</v>
      </c>
      <c r="J98" s="14">
        <f>IF($B$5&gt;0,15000+6000*($B$5-1),0)</f>
        <v>21000</v>
      </c>
      <c r="K98" s="14">
        <f t="shared" ref="K98" si="48">I98+J98</f>
        <v>40200</v>
      </c>
      <c r="L98" s="5" t="str">
        <f t="shared" ref="L98" si="49">A98</f>
        <v>印度</v>
      </c>
      <c r="M98" s="1"/>
      <c r="N98" s="12"/>
    </row>
    <row r="99" spans="1:14" ht="18.75">
      <c r="A99" s="16"/>
      <c r="B99" s="16"/>
      <c r="C99" s="16"/>
      <c r="D99" s="17" t="s">
        <v>56</v>
      </c>
      <c r="E99" s="18">
        <f>SUM(E81:E98)</f>
        <v>233538.845</v>
      </c>
      <c r="F99" s="16"/>
      <c r="G99" s="17" t="s">
        <v>56</v>
      </c>
      <c r="H99" s="19">
        <f>SUM(H81:H98)</f>
        <v>347795.9</v>
      </c>
      <c r="I99" s="20">
        <f>SUM(I81:I98)</f>
        <v>581334.745</v>
      </c>
      <c r="J99" s="21">
        <f>SUM(J81:J98)</f>
        <v>473000</v>
      </c>
      <c r="K99" s="22">
        <f>SUM(K81:K98)</f>
        <v>1054334.7450000001</v>
      </c>
      <c r="L99" s="5"/>
      <c r="M99" s="1"/>
      <c r="N99" s="12"/>
    </row>
    <row r="100" spans="1:14">
      <c r="A100" s="2"/>
      <c r="B100" s="2"/>
      <c r="C100" s="2"/>
      <c r="D100" s="2"/>
      <c r="E100" s="2"/>
      <c r="F100" s="2"/>
      <c r="G100" s="2"/>
      <c r="H100" s="2"/>
      <c r="I100" s="2"/>
      <c r="J100" s="2"/>
      <c r="K100" s="2"/>
      <c r="L100" s="2"/>
      <c r="M100" s="1"/>
      <c r="N100" s="12"/>
    </row>
    <row r="101" spans="1:14">
      <c r="A101" t="s">
        <v>88</v>
      </c>
      <c r="B101" s="2"/>
      <c r="C101" s="2"/>
      <c r="D101" s="2"/>
      <c r="E101" s="2"/>
      <c r="F101" s="2"/>
      <c r="G101" s="2"/>
      <c r="H101" s="2"/>
      <c r="I101" s="2"/>
      <c r="J101" s="2"/>
      <c r="K101" s="2"/>
      <c r="L101" s="2"/>
      <c r="M101" s="1"/>
      <c r="N101" s="12"/>
    </row>
    <row r="102" spans="1:14" s="44" customFormat="1">
      <c r="A102" s="103" t="s">
        <v>179</v>
      </c>
      <c r="B102" s="49"/>
      <c r="C102" s="49"/>
      <c r="D102" s="49"/>
      <c r="E102" s="49"/>
      <c r="F102" s="49"/>
      <c r="G102" s="49"/>
      <c r="H102" s="49"/>
      <c r="I102" s="49"/>
      <c r="J102" s="49"/>
      <c r="K102" s="49"/>
      <c r="L102" s="49"/>
      <c r="M102" s="42"/>
      <c r="N102" s="43"/>
    </row>
    <row r="103" spans="1:14" ht="32.25" customHeight="1">
      <c r="A103" s="142" t="s">
        <v>16</v>
      </c>
      <c r="B103" s="144" t="s">
        <v>13</v>
      </c>
      <c r="C103" s="146" t="s">
        <v>29</v>
      </c>
      <c r="D103" s="147"/>
      <c r="E103" s="148"/>
      <c r="F103" s="146" t="s">
        <v>30</v>
      </c>
      <c r="G103" s="147"/>
      <c r="H103" s="148"/>
      <c r="I103" s="99" t="s">
        <v>188</v>
      </c>
      <c r="J103" s="138" t="s">
        <v>189</v>
      </c>
      <c r="K103" s="138" t="s">
        <v>190</v>
      </c>
      <c r="L103" s="140" t="s">
        <v>16</v>
      </c>
      <c r="M103" s="13"/>
      <c r="N103" s="12"/>
    </row>
    <row r="104" spans="1:14">
      <c r="A104" s="143"/>
      <c r="B104" s="145"/>
      <c r="C104" s="75" t="s">
        <v>31</v>
      </c>
      <c r="D104" s="75" t="s">
        <v>32</v>
      </c>
      <c r="E104" s="75" t="s">
        <v>33</v>
      </c>
      <c r="F104" s="75" t="s">
        <v>31</v>
      </c>
      <c r="G104" s="75" t="s">
        <v>32</v>
      </c>
      <c r="H104" s="75" t="s">
        <v>33</v>
      </c>
      <c r="I104" s="75" t="s">
        <v>33</v>
      </c>
      <c r="J104" s="139"/>
      <c r="K104" s="139"/>
      <c r="L104" s="141"/>
      <c r="M104" s="1"/>
      <c r="N104" s="12"/>
    </row>
    <row r="105" spans="1:14">
      <c r="A105" s="5" t="s">
        <v>34</v>
      </c>
      <c r="B105" s="28" t="s">
        <v>70</v>
      </c>
      <c r="C105" s="5" t="s">
        <v>17</v>
      </c>
      <c r="D105" s="14">
        <f>IF($B$5&gt;0,2700*$B$5,0)</f>
        <v>5400</v>
      </c>
      <c r="E105" s="14">
        <f>D105</f>
        <v>5400</v>
      </c>
      <c r="F105" s="5" t="s">
        <v>17</v>
      </c>
      <c r="G105" s="14">
        <v>0</v>
      </c>
      <c r="H105" s="14">
        <v>0</v>
      </c>
      <c r="I105" s="14">
        <f>E105+H105</f>
        <v>5400</v>
      </c>
      <c r="J105" s="14">
        <f>IF($B$5&gt;0,6000*$B$5,0)</f>
        <v>12000</v>
      </c>
      <c r="K105" s="14">
        <f>I105+J105</f>
        <v>17400</v>
      </c>
      <c r="L105" s="5" t="str">
        <f t="shared" ref="L105:L120" si="50">A105</f>
        <v>台灣</v>
      </c>
      <c r="M105" s="1"/>
      <c r="N105" s="12"/>
    </row>
    <row r="106" spans="1:14">
      <c r="A106" s="5" t="s">
        <v>37</v>
      </c>
      <c r="B106" s="28" t="s">
        <v>70</v>
      </c>
      <c r="C106" s="5" t="s">
        <v>18</v>
      </c>
      <c r="D106" s="14">
        <f>IF($B$5&gt;0,270*$B$5,0)</f>
        <v>540</v>
      </c>
      <c r="E106" s="14">
        <f>D106*$L$5</f>
        <v>2484</v>
      </c>
      <c r="F106" s="5" t="s">
        <v>18</v>
      </c>
      <c r="G106" s="14">
        <f>IF($B$5&gt;0,1000*$B$5,0)</f>
        <v>2000</v>
      </c>
      <c r="H106" s="14">
        <f>G106*$L$5</f>
        <v>9200</v>
      </c>
      <c r="I106" s="14">
        <f>E106+H106</f>
        <v>11684</v>
      </c>
      <c r="J106" s="14">
        <f>IF($B$5&gt;0,15000*$B$5,0)</f>
        <v>30000</v>
      </c>
      <c r="K106" s="14">
        <f>I106+J106</f>
        <v>41684</v>
      </c>
      <c r="L106" s="5" t="str">
        <f t="shared" si="50"/>
        <v>大陸</v>
      </c>
      <c r="M106" s="1"/>
      <c r="N106" s="12"/>
    </row>
    <row r="107" spans="1:14">
      <c r="A107" s="5" t="s">
        <v>40</v>
      </c>
      <c r="B107" s="28" t="s">
        <v>70</v>
      </c>
      <c r="C107" s="5" t="s">
        <v>19</v>
      </c>
      <c r="D107" s="14">
        <f>IF($B$5&gt;0,(350+200)*$B$5,0)</f>
        <v>1100</v>
      </c>
      <c r="E107" s="14">
        <f>D107*$J$5</f>
        <v>35200</v>
      </c>
      <c r="F107" s="5" t="s">
        <v>19</v>
      </c>
      <c r="G107" s="14">
        <f>IF($B$5&gt;0,375*$B$5,0)</f>
        <v>750</v>
      </c>
      <c r="H107" s="14">
        <f>G107*$J$5</f>
        <v>24000</v>
      </c>
      <c r="I107" s="14">
        <f t="shared" ref="I107:I119" si="51">E107+H107</f>
        <v>59200</v>
      </c>
      <c r="J107" s="14">
        <f>IF($B$5&gt;0,20000*$B$5,0)</f>
        <v>40000</v>
      </c>
      <c r="K107" s="14">
        <f t="shared" ref="K107:K119" si="52">I107+J107</f>
        <v>99200</v>
      </c>
      <c r="L107" s="5" t="str">
        <f t="shared" si="50"/>
        <v>美國</v>
      </c>
      <c r="M107" s="1"/>
      <c r="N107" s="12"/>
    </row>
    <row r="108" spans="1:14">
      <c r="A108" s="26" t="s">
        <v>0</v>
      </c>
      <c r="B108" s="28" t="s">
        <v>70</v>
      </c>
      <c r="C108" s="5" t="s">
        <v>20</v>
      </c>
      <c r="D108" s="14">
        <f>IF($B$5&gt;0,850*$B$5,0)</f>
        <v>1700</v>
      </c>
      <c r="E108" s="14">
        <f>D108*$J$6</f>
        <v>63750</v>
      </c>
      <c r="F108" s="5" t="s">
        <v>20</v>
      </c>
      <c r="G108" s="14">
        <f>IF($B$5&gt;0,90*$B$5,0)</f>
        <v>180</v>
      </c>
      <c r="H108" s="14">
        <f>G108*$J$6</f>
        <v>6750</v>
      </c>
      <c r="I108" s="14">
        <f t="shared" si="51"/>
        <v>70500</v>
      </c>
      <c r="J108" s="14">
        <f>IF($B$5&gt;0,20000*$B$5,0)</f>
        <v>40000</v>
      </c>
      <c r="K108" s="14">
        <f t="shared" si="52"/>
        <v>110500</v>
      </c>
      <c r="L108" s="5" t="str">
        <f t="shared" si="50"/>
        <v>歐盟</v>
      </c>
      <c r="M108" s="1"/>
      <c r="N108" s="12"/>
    </row>
    <row r="109" spans="1:14">
      <c r="A109" s="26" t="s">
        <v>167</v>
      </c>
      <c r="B109" s="28" t="s">
        <v>70</v>
      </c>
      <c r="C109" s="5" t="s">
        <v>168</v>
      </c>
      <c r="D109" s="14">
        <f>IF($B$5&gt;0,170*$B$5,0)</f>
        <v>340</v>
      </c>
      <c r="E109" s="14">
        <f>D109*$J$11</f>
        <v>14790</v>
      </c>
      <c r="F109" s="5" t="s">
        <v>20</v>
      </c>
      <c r="G109" s="14">
        <f>IF($B$5&gt;0,90*$B$5,0)</f>
        <v>180</v>
      </c>
      <c r="H109" s="14">
        <f>G109*$J$6</f>
        <v>6750</v>
      </c>
      <c r="I109" s="14">
        <f t="shared" ref="I109" si="53">E109+H109</f>
        <v>21540</v>
      </c>
      <c r="J109" s="14">
        <f>IF($B$5&gt;0,20000*$B$5,0)</f>
        <v>40000</v>
      </c>
      <c r="K109" s="14">
        <f t="shared" ref="K109" si="54">I109+J109</f>
        <v>61540</v>
      </c>
      <c r="L109" s="5" t="str">
        <f t="shared" ref="L109" si="55">A109</f>
        <v>英國</v>
      </c>
      <c r="M109" s="1"/>
      <c r="N109" s="12"/>
    </row>
    <row r="110" spans="1:14">
      <c r="A110" s="5" t="s">
        <v>44</v>
      </c>
      <c r="B110" s="28" t="s">
        <v>70</v>
      </c>
      <c r="C110" s="5" t="s">
        <v>21</v>
      </c>
      <c r="D110" s="14">
        <f>IF($B$5&gt;0,12000*$B$5,0)</f>
        <v>24000</v>
      </c>
      <c r="E110" s="14">
        <f>D110*$J$7</f>
        <v>5040</v>
      </c>
      <c r="F110" s="5" t="s">
        <v>21</v>
      </c>
      <c r="G110" s="14">
        <f>IF($B$5&gt;0,63000*$B$5,0)</f>
        <v>126000</v>
      </c>
      <c r="H110" s="14">
        <f>G110*$J$7</f>
        <v>26460</v>
      </c>
      <c r="I110" s="14">
        <f t="shared" si="51"/>
        <v>31500</v>
      </c>
      <c r="J110" s="14">
        <f>IF($B$5&gt;0,25000*$B$5,0)</f>
        <v>50000</v>
      </c>
      <c r="K110" s="14">
        <f t="shared" si="52"/>
        <v>81500</v>
      </c>
      <c r="L110" s="5" t="str">
        <f t="shared" si="50"/>
        <v>日本</v>
      </c>
      <c r="M110" s="1"/>
      <c r="N110" s="12"/>
    </row>
    <row r="111" spans="1:14">
      <c r="A111" s="5" t="s">
        <v>47</v>
      </c>
      <c r="B111" s="28" t="s">
        <v>70</v>
      </c>
      <c r="C111" s="5" t="s">
        <v>22</v>
      </c>
      <c r="D111" s="14">
        <f>IF($B$5&gt;0,52000*$B$5,0)</f>
        <v>104000</v>
      </c>
      <c r="E111" s="14">
        <f>D111*$J$8</f>
        <v>2600</v>
      </c>
      <c r="F111" s="5" t="s">
        <v>19</v>
      </c>
      <c r="G111" s="14">
        <f>IF($B$5&gt;0,600*$B$5,0)</f>
        <v>1200</v>
      </c>
      <c r="H111" s="14">
        <f>G111*$J$5</f>
        <v>38400</v>
      </c>
      <c r="I111" s="14">
        <f t="shared" si="51"/>
        <v>41000</v>
      </c>
      <c r="J111" s="14">
        <f>IF($B$5&gt;0,20000*$B$5,0)</f>
        <v>40000</v>
      </c>
      <c r="K111" s="14">
        <f t="shared" si="52"/>
        <v>81000</v>
      </c>
      <c r="L111" s="5" t="str">
        <f t="shared" si="50"/>
        <v>韓國</v>
      </c>
      <c r="M111" s="1"/>
      <c r="N111" s="12"/>
    </row>
    <row r="112" spans="1:14">
      <c r="A112" s="26" t="s">
        <v>27</v>
      </c>
      <c r="B112" s="28" t="s">
        <v>70</v>
      </c>
      <c r="C112" s="5" t="s">
        <v>28</v>
      </c>
      <c r="D112" s="14">
        <f>IF($B$5&gt;0,478.15*$B$5,0)</f>
        <v>956.3</v>
      </c>
      <c r="E112" s="14">
        <f>D112*$L$9</f>
        <v>22473.05</v>
      </c>
      <c r="F112" s="5" t="s">
        <v>28</v>
      </c>
      <c r="G112" s="14">
        <f>IF($B$5&gt;0,950*$B$5,0)</f>
        <v>1900</v>
      </c>
      <c r="H112" s="14">
        <f>G112*$L$9</f>
        <v>44650</v>
      </c>
      <c r="I112" s="14">
        <f>E112+H112</f>
        <v>67123.05</v>
      </c>
      <c r="J112" s="14">
        <f>IF($B$5&gt;0,15000*$B$5,0)</f>
        <v>30000</v>
      </c>
      <c r="K112" s="14">
        <f>I112+J112</f>
        <v>97123.05</v>
      </c>
      <c r="L112" s="27" t="str">
        <f>A112</f>
        <v>加拿大</v>
      </c>
      <c r="M112" s="15"/>
      <c r="N112" s="12"/>
    </row>
    <row r="113" spans="1:14">
      <c r="A113" s="26" t="s">
        <v>66</v>
      </c>
      <c r="B113" s="28" t="s">
        <v>70</v>
      </c>
      <c r="C113" s="5" t="s">
        <v>67</v>
      </c>
      <c r="D113" s="14">
        <f>IF($B$5&gt;0,400*$B$5,0)</f>
        <v>800</v>
      </c>
      <c r="E113" s="14">
        <f>D113*$L$10</f>
        <v>17360</v>
      </c>
      <c r="F113" s="5" t="s">
        <v>67</v>
      </c>
      <c r="G113" s="14">
        <f>IF($B$5&gt;0,895*$B$5,0)</f>
        <v>1790</v>
      </c>
      <c r="H113" s="14">
        <f>G113*$L$10</f>
        <v>38843</v>
      </c>
      <c r="I113" s="14">
        <f>E113+H113</f>
        <v>56203</v>
      </c>
      <c r="J113" s="14">
        <f>IF($B$5&gt;0,20000*$B$5,0)</f>
        <v>40000</v>
      </c>
      <c r="K113" s="14">
        <f>I113+J113</f>
        <v>96203</v>
      </c>
      <c r="L113" s="27" t="str">
        <f>A113</f>
        <v>澳洲</v>
      </c>
      <c r="M113" s="15"/>
      <c r="N113" s="12"/>
    </row>
    <row r="114" spans="1:14">
      <c r="A114" s="5" t="s">
        <v>49</v>
      </c>
      <c r="B114" s="28" t="s">
        <v>70</v>
      </c>
      <c r="C114" s="5" t="s">
        <v>23</v>
      </c>
      <c r="D114" s="14">
        <f>IF($B$5&gt;0,380*$B$5,0)</f>
        <v>760</v>
      </c>
      <c r="E114" s="14">
        <f>D114*$L$6</f>
        <v>19000</v>
      </c>
      <c r="F114" s="5" t="s">
        <v>23</v>
      </c>
      <c r="G114" s="14">
        <f>IF($B$5&gt;0,500*$B$5,0)</f>
        <v>1000</v>
      </c>
      <c r="H114" s="14">
        <f>G114*$L$6</f>
        <v>25000</v>
      </c>
      <c r="I114" s="14">
        <f t="shared" si="51"/>
        <v>44000</v>
      </c>
      <c r="J114" s="14">
        <f>IF($B$5&gt;0,25000*$B$5,0)</f>
        <v>50000</v>
      </c>
      <c r="K114" s="14">
        <f t="shared" si="52"/>
        <v>94000</v>
      </c>
      <c r="L114" s="5" t="str">
        <f t="shared" si="50"/>
        <v>新加坡</v>
      </c>
      <c r="M114" s="1"/>
      <c r="N114" s="12"/>
    </row>
    <row r="115" spans="1:14">
      <c r="A115" s="5" t="s">
        <v>54</v>
      </c>
      <c r="B115" s="28" t="s">
        <v>70</v>
      </c>
      <c r="C115" s="5" t="s">
        <v>26</v>
      </c>
      <c r="D115" s="14">
        <f>IF($B$5&gt;0,(1120+20)*$B$5,0)</f>
        <v>2280</v>
      </c>
      <c r="E115" s="14">
        <f>D115*$L$8</f>
        <v>18924</v>
      </c>
      <c r="F115" s="5" t="s">
        <v>26</v>
      </c>
      <c r="G115" s="14">
        <f>IF($B$5&gt;0,(1259+106)*$B$5,0)</f>
        <v>2730</v>
      </c>
      <c r="H115" s="14">
        <f>G115*$L$8</f>
        <v>22659.000000000004</v>
      </c>
      <c r="I115" s="14">
        <f>E115+H115</f>
        <v>41583</v>
      </c>
      <c r="J115" s="14">
        <f>IF($B$5&gt;0,15000*$B$5,0)</f>
        <v>30000</v>
      </c>
      <c r="K115" s="14">
        <f>I115+J115</f>
        <v>71583</v>
      </c>
      <c r="L115" s="5" t="str">
        <f>A115</f>
        <v>馬來西亞</v>
      </c>
      <c r="M115" s="1"/>
      <c r="N115" s="12"/>
    </row>
    <row r="116" spans="1:14">
      <c r="A116" s="53" t="s">
        <v>207</v>
      </c>
      <c r="B116" s="28" t="s">
        <v>70</v>
      </c>
      <c r="C116" s="5" t="s">
        <v>19</v>
      </c>
      <c r="D116" s="14">
        <f>IF($B$5&gt;0,130*$B$5,0)</f>
        <v>260</v>
      </c>
      <c r="E116" s="14">
        <f>D116*$J$5</f>
        <v>8320</v>
      </c>
      <c r="F116" s="5" t="s">
        <v>19</v>
      </c>
      <c r="G116" s="14">
        <f>IF($B$5&gt;0,275*$B$5,0)</f>
        <v>550</v>
      </c>
      <c r="H116" s="14">
        <f>G116*$J$5</f>
        <v>17600</v>
      </c>
      <c r="I116" s="14">
        <f>E116+H116</f>
        <v>25920</v>
      </c>
      <c r="J116" s="14">
        <f>IF($B$5&gt;0,20000*$B$5,0)</f>
        <v>40000</v>
      </c>
      <c r="K116" s="14">
        <f>I116+J116</f>
        <v>65920</v>
      </c>
      <c r="L116" s="5" t="str">
        <f>A116</f>
        <v>菲律賓</v>
      </c>
      <c r="M116" s="1"/>
      <c r="N116" s="12"/>
    </row>
    <row r="117" spans="1:14">
      <c r="A117" s="53" t="s">
        <v>112</v>
      </c>
      <c r="B117" s="28" t="s">
        <v>70</v>
      </c>
      <c r="C117" s="5" t="s">
        <v>19</v>
      </c>
      <c r="D117" s="14">
        <f>IF($B$5&gt;0,180*$B$5,0)</f>
        <v>360</v>
      </c>
      <c r="E117" s="14">
        <f>D117*$J$5</f>
        <v>11520</v>
      </c>
      <c r="F117" s="5" t="s">
        <v>19</v>
      </c>
      <c r="G117" s="14">
        <f>IF($B$5&gt;0,500*$B$5,0)</f>
        <v>1000</v>
      </c>
      <c r="H117" s="14">
        <f>G117*$J$5</f>
        <v>32000</v>
      </c>
      <c r="I117" s="14">
        <f>E117+H117</f>
        <v>43520</v>
      </c>
      <c r="J117" s="14">
        <f>IF($B$5&gt;0,25000*$B$5,0)</f>
        <v>50000</v>
      </c>
      <c r="K117" s="14">
        <f>I117+J117</f>
        <v>93520</v>
      </c>
      <c r="L117" s="5" t="str">
        <f>A117</f>
        <v>印尼</v>
      </c>
      <c r="M117" s="1"/>
      <c r="N117" s="12"/>
    </row>
    <row r="118" spans="1:14">
      <c r="A118" s="5" t="s">
        <v>51</v>
      </c>
      <c r="B118" s="28" t="s">
        <v>70</v>
      </c>
      <c r="C118" s="5" t="s">
        <v>24</v>
      </c>
      <c r="D118" s="14">
        <f>IF($B$5&gt;0,1000000*$B$5,0)</f>
        <v>2000000</v>
      </c>
      <c r="E118" s="14">
        <f>D118*$L$7</f>
        <v>2800</v>
      </c>
      <c r="F118" s="5" t="s">
        <v>19</v>
      </c>
      <c r="G118" s="14">
        <f>IF($B$5&gt;0,305*$B$5,0)</f>
        <v>610</v>
      </c>
      <c r="H118" s="14">
        <f>G118*$J$5</f>
        <v>19520</v>
      </c>
      <c r="I118" s="14">
        <f t="shared" si="51"/>
        <v>22320</v>
      </c>
      <c r="J118" s="14">
        <f>IF($B$5&gt;0,25000*$B$5,0)</f>
        <v>50000</v>
      </c>
      <c r="K118" s="14">
        <f t="shared" si="52"/>
        <v>72320</v>
      </c>
      <c r="L118" s="5" t="str">
        <f t="shared" si="50"/>
        <v>越南</v>
      </c>
      <c r="M118" s="1"/>
      <c r="N118" s="12"/>
    </row>
    <row r="119" spans="1:14">
      <c r="A119" s="5" t="s">
        <v>53</v>
      </c>
      <c r="B119" s="28" t="s">
        <v>70</v>
      </c>
      <c r="C119" s="5" t="s">
        <v>25</v>
      </c>
      <c r="D119" s="14">
        <f>IF($B$5&gt;0,9000*$B$5,0)</f>
        <v>18000</v>
      </c>
      <c r="E119" s="14">
        <f>D119*$J$9</f>
        <v>19800</v>
      </c>
      <c r="F119" s="5" t="s">
        <v>25</v>
      </c>
      <c r="G119" s="14">
        <f>IF($B$5&gt;0,13500*$B$5,0)</f>
        <v>27000</v>
      </c>
      <c r="H119" s="14">
        <f>G119*$J$9</f>
        <v>29700.000000000004</v>
      </c>
      <c r="I119" s="14">
        <f t="shared" si="51"/>
        <v>49500</v>
      </c>
      <c r="J119" s="14">
        <f>IF($B$5&gt;0,25000*$B$5,0)</f>
        <v>50000</v>
      </c>
      <c r="K119" s="14">
        <f t="shared" si="52"/>
        <v>99500</v>
      </c>
      <c r="L119" s="5" t="str">
        <f t="shared" si="50"/>
        <v>泰國</v>
      </c>
      <c r="M119" s="1"/>
      <c r="N119" s="12"/>
    </row>
    <row r="120" spans="1:14">
      <c r="A120" s="53" t="s">
        <v>160</v>
      </c>
      <c r="B120" s="28" t="s">
        <v>70</v>
      </c>
      <c r="C120" s="5" t="s">
        <v>166</v>
      </c>
      <c r="D120" s="14">
        <f>IF($B$5&gt;0,2000*$B$5,0)</f>
        <v>4000</v>
      </c>
      <c r="E120" s="14">
        <f>D120*$J$10</f>
        <v>16800</v>
      </c>
      <c r="F120" s="5" t="s">
        <v>18</v>
      </c>
      <c r="G120" s="14">
        <f>IF($B$5&gt;0,2500*$B$5,0)</f>
        <v>5000</v>
      </c>
      <c r="H120" s="14">
        <f>G120*$L$5</f>
        <v>23000</v>
      </c>
      <c r="I120" s="14">
        <f t="shared" ref="I120:I122" si="56">E120+H120</f>
        <v>39800</v>
      </c>
      <c r="J120" s="14">
        <f>IF($B$5&gt;0,20000*$B$5,0)</f>
        <v>40000</v>
      </c>
      <c r="K120" s="14">
        <f t="shared" ref="K120:K122" si="57">I120+J120</f>
        <v>79800</v>
      </c>
      <c r="L120" s="5" t="str">
        <f t="shared" si="50"/>
        <v>香港</v>
      </c>
      <c r="M120" s="1"/>
      <c r="N120" s="12"/>
    </row>
    <row r="121" spans="1:14" ht="17.25">
      <c r="A121" s="53" t="s">
        <v>161</v>
      </c>
      <c r="B121" s="28" t="s">
        <v>70</v>
      </c>
      <c r="C121" s="5" t="s">
        <v>19</v>
      </c>
      <c r="D121" s="14">
        <f>IF($B$5&gt;0,130*$B$5,0)</f>
        <v>260</v>
      </c>
      <c r="E121" s="14">
        <f>D121*$J$5</f>
        <v>8320</v>
      </c>
      <c r="F121" s="5" t="s">
        <v>19</v>
      </c>
      <c r="G121" s="14">
        <f>IF($B$5&gt;0,550*$B$5,0)</f>
        <v>1100</v>
      </c>
      <c r="H121" s="14">
        <f>G121*$J$5</f>
        <v>35200</v>
      </c>
      <c r="I121" s="14">
        <f t="shared" si="56"/>
        <v>43520</v>
      </c>
      <c r="J121" s="14">
        <f>IF($B$5&gt;0,20000*$B$5,0)</f>
        <v>40000</v>
      </c>
      <c r="K121" s="14">
        <f t="shared" si="57"/>
        <v>83520</v>
      </c>
      <c r="L121" s="5" t="str">
        <f t="shared" ref="L121:L122" si="58">A121</f>
        <v>澳門</v>
      </c>
      <c r="M121" s="104" t="s">
        <v>214</v>
      </c>
      <c r="N121" s="12"/>
    </row>
    <row r="122" spans="1:14">
      <c r="A122" s="53" t="s">
        <v>208</v>
      </c>
      <c r="B122" s="28" t="s">
        <v>71</v>
      </c>
      <c r="C122" s="5" t="s">
        <v>19</v>
      </c>
      <c r="D122" s="14">
        <f>IF($B$5&gt;0,150*$B$5,0)</f>
        <v>300</v>
      </c>
      <c r="E122" s="14">
        <f>D122*$J$5</f>
        <v>9600</v>
      </c>
      <c r="F122" s="5" t="s">
        <v>19</v>
      </c>
      <c r="G122" s="14">
        <f>IF($B$5&gt;0,300*$B$5,0)</f>
        <v>600</v>
      </c>
      <c r="H122" s="14">
        <f>G122*$J$5</f>
        <v>19200</v>
      </c>
      <c r="I122" s="14">
        <f t="shared" si="56"/>
        <v>28800</v>
      </c>
      <c r="J122" s="14">
        <f>IF($B$5&gt;0,15000*$B$5,0)</f>
        <v>30000</v>
      </c>
      <c r="K122" s="14">
        <f t="shared" si="57"/>
        <v>58800</v>
      </c>
      <c r="L122" s="5" t="str">
        <f t="shared" si="58"/>
        <v>印度</v>
      </c>
      <c r="M122" s="1"/>
      <c r="N122" s="12"/>
    </row>
    <row r="123" spans="1:14" ht="18.75">
      <c r="A123" s="16"/>
      <c r="B123" s="16"/>
      <c r="C123" s="16"/>
      <c r="D123" s="17" t="s">
        <v>56</v>
      </c>
      <c r="E123" s="18">
        <f>SUM(E105:E122)</f>
        <v>284181.05</v>
      </c>
      <c r="F123" s="16"/>
      <c r="G123" s="17" t="s">
        <v>56</v>
      </c>
      <c r="H123" s="19">
        <f>SUM(H105:H122)</f>
        <v>418932</v>
      </c>
      <c r="I123" s="20">
        <f>SUM(I105:I122)</f>
        <v>703113.05</v>
      </c>
      <c r="J123" s="21">
        <f>SUM(J105:J122)</f>
        <v>702000</v>
      </c>
      <c r="K123" s="22">
        <f>SUM(K105:K122)</f>
        <v>1405113.05</v>
      </c>
      <c r="L123" s="5"/>
      <c r="M123" s="1"/>
      <c r="N123" s="12"/>
    </row>
    <row r="128" spans="1:14" s="44" customFormat="1">
      <c r="A128" s="103" t="s">
        <v>180</v>
      </c>
      <c r="B128" s="49"/>
      <c r="C128" s="49"/>
      <c r="D128" s="49"/>
      <c r="E128" s="49"/>
      <c r="F128" s="49"/>
      <c r="G128" s="49"/>
      <c r="H128" s="49"/>
      <c r="I128" s="49"/>
      <c r="J128" s="49"/>
      <c r="K128" s="49"/>
      <c r="L128" s="49"/>
      <c r="M128" s="42"/>
      <c r="N128" s="43"/>
    </row>
    <row r="129" spans="1:21" ht="32.25" customHeight="1">
      <c r="A129" s="130" t="s">
        <v>16</v>
      </c>
      <c r="B129" s="125" t="s">
        <v>83</v>
      </c>
      <c r="C129" s="133" t="s">
        <v>191</v>
      </c>
      <c r="D129" s="134"/>
      <c r="E129" s="135"/>
      <c r="F129" s="133" t="s">
        <v>192</v>
      </c>
      <c r="G129" s="134"/>
      <c r="H129" s="135"/>
      <c r="I129" s="100" t="s">
        <v>193</v>
      </c>
      <c r="J129" s="136" t="s">
        <v>194</v>
      </c>
      <c r="K129" s="137" t="s">
        <v>195</v>
      </c>
      <c r="L129" s="125" t="s">
        <v>16</v>
      </c>
      <c r="M129" s="1"/>
      <c r="N129" s="12"/>
    </row>
    <row r="130" spans="1:21">
      <c r="A130" s="126"/>
      <c r="B130" s="126"/>
      <c r="C130" s="38" t="s">
        <v>31</v>
      </c>
      <c r="D130" s="38" t="s">
        <v>32</v>
      </c>
      <c r="E130" s="38" t="s">
        <v>33</v>
      </c>
      <c r="F130" s="38" t="s">
        <v>31</v>
      </c>
      <c r="G130" s="38" t="s">
        <v>32</v>
      </c>
      <c r="H130" s="38" t="s">
        <v>33</v>
      </c>
      <c r="I130" s="38" t="s">
        <v>33</v>
      </c>
      <c r="J130" s="126"/>
      <c r="K130" s="126"/>
      <c r="L130" s="126"/>
      <c r="M130" s="1"/>
      <c r="N130" s="12"/>
    </row>
    <row r="131" spans="1:21">
      <c r="A131" s="5" t="s">
        <v>34</v>
      </c>
      <c r="B131" s="16"/>
      <c r="C131" s="5" t="s">
        <v>17</v>
      </c>
      <c r="D131" s="14">
        <f t="shared" ref="D131:D148" si="59">IF($E$6=FALSE,0,IF(P15=FALSE,0,D155))</f>
        <v>5000</v>
      </c>
      <c r="E131" s="14">
        <f t="shared" ref="E131:E148" si="60">IF($E$6=FALSE,0,IF(P15=FALSE,0,E155))</f>
        <v>5000</v>
      </c>
      <c r="F131" s="5" t="s">
        <v>17</v>
      </c>
      <c r="G131" s="14">
        <f t="shared" ref="G131:G148" si="61">IF($E$7=FALSE,0,IF(P15=FALSE,0,G155))</f>
        <v>0</v>
      </c>
      <c r="H131" s="14">
        <f t="shared" ref="H131:H148" si="62">IF($E$7=FALSE,0,IF(P15=FALSE,0,H155))</f>
        <v>0</v>
      </c>
      <c r="I131" s="14">
        <f>E131+H131</f>
        <v>5000</v>
      </c>
      <c r="J131" s="14">
        <f t="shared" ref="J131:J148" si="63">IF($E$8=FALSE,0,IF(P15=FALSE,0,J155))</f>
        <v>0</v>
      </c>
      <c r="K131" s="14">
        <f>I131+J131</f>
        <v>5000</v>
      </c>
      <c r="L131" s="5" t="str">
        <f>A131</f>
        <v>台灣</v>
      </c>
      <c r="M131" s="1"/>
      <c r="N131" s="12"/>
      <c r="P131" s="37"/>
    </row>
    <row r="132" spans="1:21">
      <c r="A132" s="5" t="s">
        <v>37</v>
      </c>
      <c r="B132" s="16"/>
      <c r="C132" s="5" t="s">
        <v>18</v>
      </c>
      <c r="D132" s="14">
        <f t="shared" si="59"/>
        <v>0</v>
      </c>
      <c r="E132" s="14">
        <f t="shared" si="60"/>
        <v>0</v>
      </c>
      <c r="F132" s="5" t="s">
        <v>18</v>
      </c>
      <c r="G132" s="14">
        <f t="shared" si="61"/>
        <v>0</v>
      </c>
      <c r="H132" s="14">
        <f t="shared" si="62"/>
        <v>0</v>
      </c>
      <c r="I132" s="14">
        <f t="shared" ref="I132:I145" si="64">E132+H132</f>
        <v>0</v>
      </c>
      <c r="J132" s="14">
        <f t="shared" si="63"/>
        <v>3000</v>
      </c>
      <c r="K132" s="14">
        <f t="shared" ref="K132:K145" si="65">I132+J132</f>
        <v>3000</v>
      </c>
      <c r="L132" s="5" t="str">
        <f t="shared" ref="L132:L146" si="66">A132</f>
        <v>大陸</v>
      </c>
      <c r="M132" s="1"/>
      <c r="N132" s="12"/>
      <c r="P132" s="37"/>
    </row>
    <row r="133" spans="1:21">
      <c r="A133" s="5" t="s">
        <v>40</v>
      </c>
      <c r="B133" s="16"/>
      <c r="C133" s="5" t="s">
        <v>19</v>
      </c>
      <c r="D133" s="14">
        <f t="shared" si="59"/>
        <v>300</v>
      </c>
      <c r="E133" s="14">
        <f t="shared" si="60"/>
        <v>9600</v>
      </c>
      <c r="F133" s="5" t="s">
        <v>19</v>
      </c>
      <c r="G133" s="14">
        <f t="shared" si="61"/>
        <v>515</v>
      </c>
      <c r="H133" s="14">
        <f t="shared" si="62"/>
        <v>16480</v>
      </c>
      <c r="I133" s="14">
        <f t="shared" si="64"/>
        <v>26080</v>
      </c>
      <c r="J133" s="14">
        <f t="shared" si="63"/>
        <v>17000</v>
      </c>
      <c r="K133" s="14">
        <f t="shared" si="65"/>
        <v>43080</v>
      </c>
      <c r="L133" s="5" t="str">
        <f t="shared" si="66"/>
        <v>美國</v>
      </c>
      <c r="M133" s="1"/>
      <c r="N133" s="12"/>
      <c r="P133" s="37"/>
    </row>
    <row r="134" spans="1:21">
      <c r="A134" s="26" t="s">
        <v>0</v>
      </c>
      <c r="B134" s="16"/>
      <c r="C134" s="5" t="s">
        <v>20</v>
      </c>
      <c r="D134" s="14">
        <f t="shared" si="59"/>
        <v>0</v>
      </c>
      <c r="E134" s="14">
        <f t="shared" si="60"/>
        <v>0</v>
      </c>
      <c r="F134" s="5" t="s">
        <v>20</v>
      </c>
      <c r="G134" s="14">
        <f t="shared" si="61"/>
        <v>0</v>
      </c>
      <c r="H134" s="14">
        <f t="shared" si="62"/>
        <v>0</v>
      </c>
      <c r="I134" s="14">
        <f t="shared" si="64"/>
        <v>0</v>
      </c>
      <c r="J134" s="14">
        <f t="shared" si="63"/>
        <v>7000</v>
      </c>
      <c r="K134" s="14">
        <f t="shared" si="65"/>
        <v>7000</v>
      </c>
      <c r="L134" s="5" t="str">
        <f t="shared" si="66"/>
        <v>歐盟</v>
      </c>
      <c r="M134" s="1"/>
      <c r="N134" s="12"/>
      <c r="P134" s="37"/>
    </row>
    <row r="135" spans="1:21">
      <c r="A135" s="26" t="s">
        <v>167</v>
      </c>
      <c r="B135" s="16"/>
      <c r="C135" s="5" t="s">
        <v>168</v>
      </c>
      <c r="D135" s="14">
        <f t="shared" si="59"/>
        <v>0</v>
      </c>
      <c r="E135" s="14">
        <f t="shared" si="60"/>
        <v>0</v>
      </c>
      <c r="F135" s="5" t="s">
        <v>20</v>
      </c>
      <c r="G135" s="14">
        <f t="shared" si="61"/>
        <v>0</v>
      </c>
      <c r="H135" s="14">
        <f t="shared" si="62"/>
        <v>0</v>
      </c>
      <c r="I135" s="14">
        <f t="shared" ref="I135" si="67">E135+H135</f>
        <v>0</v>
      </c>
      <c r="J135" s="14">
        <f t="shared" si="63"/>
        <v>7000</v>
      </c>
      <c r="K135" s="14">
        <f t="shared" ref="K135" si="68">I135+J135</f>
        <v>7000</v>
      </c>
      <c r="L135" s="5" t="str">
        <f t="shared" ref="L135" si="69">A135</f>
        <v>英國</v>
      </c>
      <c r="M135" s="1"/>
      <c r="N135" s="12"/>
      <c r="P135" s="37"/>
    </row>
    <row r="136" spans="1:21">
      <c r="A136" s="5" t="s">
        <v>44</v>
      </c>
      <c r="B136" s="16"/>
      <c r="C136" s="5" t="s">
        <v>21</v>
      </c>
      <c r="D136" s="14">
        <f t="shared" si="59"/>
        <v>65800</v>
      </c>
      <c r="E136" s="14">
        <f t="shared" si="60"/>
        <v>13818</v>
      </c>
      <c r="F136" s="5" t="s">
        <v>21</v>
      </c>
      <c r="G136" s="14">
        <f t="shared" si="61"/>
        <v>22000</v>
      </c>
      <c r="H136" s="14">
        <f t="shared" si="62"/>
        <v>4620</v>
      </c>
      <c r="I136" s="14">
        <f t="shared" si="64"/>
        <v>18438</v>
      </c>
      <c r="J136" s="14">
        <f t="shared" si="63"/>
        <v>7000</v>
      </c>
      <c r="K136" s="14">
        <f t="shared" si="65"/>
        <v>25438</v>
      </c>
      <c r="L136" s="5" t="str">
        <f t="shared" si="66"/>
        <v>日本</v>
      </c>
      <c r="M136" s="1"/>
      <c r="N136" s="12"/>
      <c r="P136" s="37"/>
    </row>
    <row r="137" spans="1:21">
      <c r="A137" s="5" t="s">
        <v>47</v>
      </c>
      <c r="B137" s="16"/>
      <c r="C137" s="5" t="s">
        <v>22</v>
      </c>
      <c r="D137" s="14">
        <f t="shared" si="59"/>
        <v>402000</v>
      </c>
      <c r="E137" s="14">
        <f t="shared" si="60"/>
        <v>10050</v>
      </c>
      <c r="F137" s="5" t="s">
        <v>19</v>
      </c>
      <c r="G137" s="14">
        <f t="shared" si="61"/>
        <v>460</v>
      </c>
      <c r="H137" s="14">
        <f t="shared" si="62"/>
        <v>14720</v>
      </c>
      <c r="I137" s="14">
        <f t="shared" si="64"/>
        <v>24770</v>
      </c>
      <c r="J137" s="14">
        <f t="shared" si="63"/>
        <v>7000</v>
      </c>
      <c r="K137" s="14">
        <f t="shared" si="65"/>
        <v>31770</v>
      </c>
      <c r="L137" s="5" t="str">
        <f t="shared" si="66"/>
        <v>韓國</v>
      </c>
      <c r="M137" s="1"/>
      <c r="N137" s="12"/>
      <c r="P137" s="37"/>
    </row>
    <row r="138" spans="1:21">
      <c r="A138" s="28" t="s">
        <v>27</v>
      </c>
      <c r="B138" s="16"/>
      <c r="C138" s="5" t="s">
        <v>28</v>
      </c>
      <c r="D138" s="14">
        <f t="shared" si="59"/>
        <v>0</v>
      </c>
      <c r="E138" s="14">
        <f t="shared" si="60"/>
        <v>0</v>
      </c>
      <c r="F138" s="5" t="s">
        <v>28</v>
      </c>
      <c r="G138" s="14">
        <f t="shared" si="61"/>
        <v>525</v>
      </c>
      <c r="H138" s="14">
        <f t="shared" si="62"/>
        <v>12337.5</v>
      </c>
      <c r="I138" s="14">
        <f>E138+H138</f>
        <v>12337.5</v>
      </c>
      <c r="J138" s="14">
        <f t="shared" si="63"/>
        <v>7000</v>
      </c>
      <c r="K138" s="14">
        <f>I138+J138</f>
        <v>19337.5</v>
      </c>
      <c r="L138" s="5" t="str">
        <f>A138</f>
        <v>加拿大</v>
      </c>
      <c r="M138" s="1"/>
      <c r="N138" s="12"/>
      <c r="P138" s="37"/>
      <c r="S138" s="127" t="s">
        <v>184</v>
      </c>
      <c r="T138" s="128"/>
      <c r="U138" s="129"/>
    </row>
    <row r="139" spans="1:21">
      <c r="A139" s="26" t="s">
        <v>66</v>
      </c>
      <c r="B139" s="16"/>
      <c r="C139" s="5" t="s">
        <v>67</v>
      </c>
      <c r="D139" s="14">
        <f t="shared" si="59"/>
        <v>0</v>
      </c>
      <c r="E139" s="14">
        <f t="shared" si="60"/>
        <v>0</v>
      </c>
      <c r="F139" s="5" t="s">
        <v>67</v>
      </c>
      <c r="G139" s="14">
        <f t="shared" si="61"/>
        <v>840</v>
      </c>
      <c r="H139" s="14">
        <f t="shared" si="62"/>
        <v>18228</v>
      </c>
      <c r="I139" s="14">
        <f>E139+H139</f>
        <v>18228</v>
      </c>
      <c r="J139" s="14">
        <f t="shared" si="63"/>
        <v>7000</v>
      </c>
      <c r="K139" s="14">
        <f>I139+J139</f>
        <v>25228</v>
      </c>
      <c r="L139" s="27" t="str">
        <f>A139</f>
        <v>澳洲</v>
      </c>
      <c r="M139" s="15"/>
      <c r="N139" s="12"/>
      <c r="P139" s="37"/>
      <c r="S139" s="40" t="s">
        <v>185</v>
      </c>
      <c r="T139" s="40" t="s">
        <v>186</v>
      </c>
      <c r="U139" s="40" t="s">
        <v>187</v>
      </c>
    </row>
    <row r="140" spans="1:21">
      <c r="A140" s="5" t="s">
        <v>49</v>
      </c>
      <c r="B140" s="16"/>
      <c r="C140" s="5" t="s">
        <v>23</v>
      </c>
      <c r="D140" s="14">
        <f t="shared" si="59"/>
        <v>0</v>
      </c>
      <c r="E140" s="14">
        <f t="shared" si="60"/>
        <v>0</v>
      </c>
      <c r="F140" s="5" t="s">
        <v>23</v>
      </c>
      <c r="G140" s="14">
        <f t="shared" si="61"/>
        <v>700</v>
      </c>
      <c r="H140" s="14">
        <f t="shared" si="62"/>
        <v>17500</v>
      </c>
      <c r="I140" s="14">
        <f t="shared" si="64"/>
        <v>17500</v>
      </c>
      <c r="J140" s="14">
        <f t="shared" si="63"/>
        <v>7000</v>
      </c>
      <c r="K140" s="14">
        <f t="shared" si="65"/>
        <v>24500</v>
      </c>
      <c r="L140" s="5" t="str">
        <f t="shared" si="66"/>
        <v>新加坡</v>
      </c>
      <c r="M140" s="1"/>
      <c r="N140" s="12"/>
      <c r="P140" s="37"/>
    </row>
    <row r="141" spans="1:21">
      <c r="A141" s="5" t="s">
        <v>54</v>
      </c>
      <c r="B141" s="16"/>
      <c r="C141" s="5" t="s">
        <v>26</v>
      </c>
      <c r="D141" s="14">
        <f t="shared" si="59"/>
        <v>50</v>
      </c>
      <c r="E141" s="14">
        <f t="shared" si="60"/>
        <v>415.00000000000006</v>
      </c>
      <c r="F141" s="5" t="s">
        <v>26</v>
      </c>
      <c r="G141" s="14">
        <f t="shared" si="61"/>
        <v>424</v>
      </c>
      <c r="H141" s="14">
        <f t="shared" si="62"/>
        <v>3519.2000000000003</v>
      </c>
      <c r="I141" s="14">
        <f>E141+H141</f>
        <v>3934.2000000000003</v>
      </c>
      <c r="J141" s="14">
        <f t="shared" si="63"/>
        <v>7000</v>
      </c>
      <c r="K141" s="14">
        <f>I141+J141</f>
        <v>10934.2</v>
      </c>
      <c r="L141" s="5" t="str">
        <f>A141</f>
        <v>馬來西亞</v>
      </c>
      <c r="M141" s="1"/>
      <c r="N141" s="12"/>
      <c r="P141" s="37"/>
    </row>
    <row r="142" spans="1:21">
      <c r="A142" s="53" t="s">
        <v>207</v>
      </c>
      <c r="B142" s="16"/>
      <c r="C142" s="5" t="s">
        <v>19</v>
      </c>
      <c r="D142" s="14">
        <f t="shared" si="59"/>
        <v>49</v>
      </c>
      <c r="E142" s="14">
        <f t="shared" si="60"/>
        <v>1568</v>
      </c>
      <c r="F142" s="5" t="s">
        <v>19</v>
      </c>
      <c r="G142" s="14">
        <f t="shared" si="61"/>
        <v>80</v>
      </c>
      <c r="H142" s="14">
        <f t="shared" si="62"/>
        <v>2560</v>
      </c>
      <c r="I142" s="14">
        <f>E142+H142</f>
        <v>4128</v>
      </c>
      <c r="J142" s="14">
        <f t="shared" si="63"/>
        <v>7000</v>
      </c>
      <c r="K142" s="14">
        <f>I142+J142</f>
        <v>11128</v>
      </c>
      <c r="L142" s="5" t="str">
        <f>A142</f>
        <v>菲律賓</v>
      </c>
      <c r="M142" s="1"/>
      <c r="N142" s="12"/>
      <c r="P142" s="37"/>
    </row>
    <row r="143" spans="1:21">
      <c r="A143" s="53" t="s">
        <v>112</v>
      </c>
      <c r="B143" s="16"/>
      <c r="C143" s="5" t="s">
        <v>19</v>
      </c>
      <c r="D143" s="14">
        <f t="shared" si="59"/>
        <v>0</v>
      </c>
      <c r="E143" s="14">
        <f t="shared" si="60"/>
        <v>0</v>
      </c>
      <c r="F143" s="5" t="s">
        <v>19</v>
      </c>
      <c r="G143" s="14">
        <f t="shared" si="61"/>
        <v>150</v>
      </c>
      <c r="H143" s="14">
        <f t="shared" si="62"/>
        <v>4800</v>
      </c>
      <c r="I143" s="14">
        <f>E143+H143</f>
        <v>4800</v>
      </c>
      <c r="J143" s="14">
        <f t="shared" si="63"/>
        <v>7000</v>
      </c>
      <c r="K143" s="14">
        <f t="shared" ref="K143" si="70">I143+J143</f>
        <v>11800</v>
      </c>
      <c r="L143" s="5" t="str">
        <f>A143</f>
        <v>印尼</v>
      </c>
      <c r="M143" s="1"/>
      <c r="N143" s="12"/>
      <c r="P143" s="37"/>
    </row>
    <row r="144" spans="1:21">
      <c r="A144" s="5" t="s">
        <v>51</v>
      </c>
      <c r="B144" s="16"/>
      <c r="C144" s="5" t="s">
        <v>24</v>
      </c>
      <c r="D144" s="14">
        <f t="shared" si="59"/>
        <v>460000</v>
      </c>
      <c r="E144" s="14">
        <f t="shared" si="60"/>
        <v>644</v>
      </c>
      <c r="F144" s="5" t="s">
        <v>19</v>
      </c>
      <c r="G144" s="14">
        <f t="shared" si="61"/>
        <v>177</v>
      </c>
      <c r="H144" s="14">
        <f t="shared" si="62"/>
        <v>5664</v>
      </c>
      <c r="I144" s="14">
        <f t="shared" si="64"/>
        <v>6308</v>
      </c>
      <c r="J144" s="14">
        <f t="shared" si="63"/>
        <v>7000</v>
      </c>
      <c r="K144" s="14">
        <f t="shared" si="65"/>
        <v>13308</v>
      </c>
      <c r="L144" s="5" t="str">
        <f t="shared" si="66"/>
        <v>越南</v>
      </c>
      <c r="M144" s="1"/>
      <c r="N144" s="12"/>
      <c r="P144" s="37"/>
    </row>
    <row r="145" spans="1:21">
      <c r="A145" s="5" t="s">
        <v>53</v>
      </c>
      <c r="B145" s="16"/>
      <c r="C145" s="5" t="s">
        <v>25</v>
      </c>
      <c r="D145" s="14">
        <f t="shared" si="59"/>
        <v>10800</v>
      </c>
      <c r="E145" s="14">
        <f t="shared" si="60"/>
        <v>11880.000000000002</v>
      </c>
      <c r="F145" s="5" t="s">
        <v>25</v>
      </c>
      <c r="G145" s="14">
        <f t="shared" si="61"/>
        <v>3500</v>
      </c>
      <c r="H145" s="14">
        <f t="shared" si="62"/>
        <v>3850.0000000000005</v>
      </c>
      <c r="I145" s="14">
        <f t="shared" si="64"/>
        <v>15730.000000000002</v>
      </c>
      <c r="J145" s="14">
        <f t="shared" si="63"/>
        <v>7000</v>
      </c>
      <c r="K145" s="14">
        <f t="shared" si="65"/>
        <v>22730</v>
      </c>
      <c r="L145" s="5" t="str">
        <f t="shared" si="66"/>
        <v>泰國</v>
      </c>
      <c r="M145" s="1"/>
      <c r="N145" s="12"/>
      <c r="P145" s="37"/>
    </row>
    <row r="146" spans="1:21">
      <c r="A146" s="53" t="s">
        <v>160</v>
      </c>
      <c r="B146" s="16"/>
      <c r="C146" s="5" t="s">
        <v>166</v>
      </c>
      <c r="D146" s="14">
        <f t="shared" si="59"/>
        <v>0</v>
      </c>
      <c r="E146" s="14">
        <f t="shared" si="60"/>
        <v>0</v>
      </c>
      <c r="F146" s="5" t="s">
        <v>18</v>
      </c>
      <c r="G146" s="14">
        <f t="shared" si="61"/>
        <v>1860</v>
      </c>
      <c r="H146" s="14">
        <f t="shared" si="62"/>
        <v>8556</v>
      </c>
      <c r="I146" s="14">
        <f t="shared" ref="I146:I147" si="71">E146+H146</f>
        <v>8556</v>
      </c>
      <c r="J146" s="14">
        <f t="shared" si="63"/>
        <v>7000</v>
      </c>
      <c r="K146" s="14">
        <f t="shared" ref="K146:K147" si="72">I146+J146</f>
        <v>15556</v>
      </c>
      <c r="L146" s="5" t="str">
        <f t="shared" si="66"/>
        <v>香港</v>
      </c>
      <c r="M146" s="1"/>
      <c r="N146" s="12"/>
      <c r="P146" s="37"/>
    </row>
    <row r="147" spans="1:21" ht="17.25">
      <c r="A147" s="53" t="s">
        <v>161</v>
      </c>
      <c r="B147" s="16"/>
      <c r="C147" s="5" t="s">
        <v>19</v>
      </c>
      <c r="D147" s="14">
        <f t="shared" si="59"/>
        <v>0</v>
      </c>
      <c r="E147" s="14">
        <f t="shared" si="60"/>
        <v>0</v>
      </c>
      <c r="F147" s="5" t="s">
        <v>19</v>
      </c>
      <c r="G147" s="14">
        <f t="shared" si="61"/>
        <v>0</v>
      </c>
      <c r="H147" s="14">
        <f t="shared" si="62"/>
        <v>0</v>
      </c>
      <c r="I147" s="14">
        <f t="shared" si="71"/>
        <v>0</v>
      </c>
      <c r="J147" s="14">
        <f t="shared" si="63"/>
        <v>10000</v>
      </c>
      <c r="K147" s="14">
        <f t="shared" si="72"/>
        <v>10000</v>
      </c>
      <c r="L147" s="5" t="str">
        <f t="shared" ref="L147" si="73">A147</f>
        <v>澳門</v>
      </c>
      <c r="M147" s="104" t="s">
        <v>214</v>
      </c>
      <c r="N147" s="12"/>
      <c r="P147" s="37"/>
    </row>
    <row r="148" spans="1:21">
      <c r="A148" s="53" t="s">
        <v>208</v>
      </c>
      <c r="B148" s="16"/>
      <c r="C148" s="5" t="s">
        <v>19</v>
      </c>
      <c r="D148" s="14">
        <f t="shared" si="59"/>
        <v>0</v>
      </c>
      <c r="E148" s="14">
        <f t="shared" si="60"/>
        <v>0</v>
      </c>
      <c r="F148" s="5" t="s">
        <v>19</v>
      </c>
      <c r="G148" s="14">
        <f t="shared" si="61"/>
        <v>400</v>
      </c>
      <c r="H148" s="14">
        <f t="shared" si="62"/>
        <v>12800</v>
      </c>
      <c r="I148" s="14">
        <f t="shared" ref="I148" si="74">E148+H148</f>
        <v>12800</v>
      </c>
      <c r="J148" s="14">
        <f t="shared" si="63"/>
        <v>7000</v>
      </c>
      <c r="K148" s="14">
        <f t="shared" ref="K148" si="75">I148+J148</f>
        <v>19800</v>
      </c>
      <c r="L148" s="5" t="str">
        <f t="shared" ref="L148" si="76">A148</f>
        <v>印度</v>
      </c>
      <c r="M148" s="1"/>
      <c r="N148" s="12"/>
      <c r="P148" s="37"/>
    </row>
    <row r="149" spans="1:21" ht="18.75">
      <c r="A149" s="16"/>
      <c r="B149" s="16"/>
      <c r="C149" s="16"/>
      <c r="D149" s="17" t="s">
        <v>56</v>
      </c>
      <c r="E149" s="18">
        <f>SUM(E131:E148)</f>
        <v>52975</v>
      </c>
      <c r="F149" s="16"/>
      <c r="G149" s="17" t="s">
        <v>56</v>
      </c>
      <c r="H149" s="19">
        <f>SUM(H131:H148)</f>
        <v>125634.7</v>
      </c>
      <c r="I149" s="20">
        <f>SUM(I131:I148)</f>
        <v>178609.7</v>
      </c>
      <c r="J149" s="21">
        <f>SUM(J131:J148)</f>
        <v>128000</v>
      </c>
      <c r="K149" s="22">
        <f>SUM(K131:K148)</f>
        <v>306609.7</v>
      </c>
      <c r="L149" s="5"/>
      <c r="M149" s="1"/>
      <c r="N149" s="12"/>
      <c r="S149" s="14">
        <f>E149</f>
        <v>52975</v>
      </c>
      <c r="T149" s="14">
        <f>H149</f>
        <v>125634.7</v>
      </c>
      <c r="U149" s="14">
        <f>J149</f>
        <v>128000</v>
      </c>
    </row>
    <row r="150" spans="1:21">
      <c r="A150" s="1"/>
      <c r="B150" s="23"/>
      <c r="C150" s="2"/>
      <c r="D150" s="2"/>
      <c r="E150" s="2"/>
      <c r="F150" s="2"/>
      <c r="G150" s="2"/>
      <c r="H150" s="2"/>
      <c r="I150" s="2"/>
      <c r="J150" s="2"/>
      <c r="K150" s="2"/>
      <c r="L150" s="2"/>
      <c r="M150" s="1"/>
      <c r="N150" s="12"/>
    </row>
    <row r="151" spans="1:21">
      <c r="A151" t="s">
        <v>85</v>
      </c>
      <c r="B151" s="23"/>
      <c r="C151" s="2"/>
      <c r="D151" s="2"/>
      <c r="E151" s="2"/>
      <c r="F151" s="2"/>
      <c r="G151" s="2"/>
      <c r="H151" s="2"/>
      <c r="I151" s="2"/>
      <c r="J151" s="2"/>
      <c r="K151" s="2"/>
      <c r="L151" s="2"/>
      <c r="M151" s="1"/>
      <c r="N151" s="12"/>
    </row>
    <row r="152" spans="1:21" s="44" customFormat="1">
      <c r="A152" s="103" t="s">
        <v>180</v>
      </c>
      <c r="B152" s="49"/>
      <c r="C152" s="49"/>
      <c r="D152" s="49"/>
      <c r="E152" s="49"/>
      <c r="F152" s="49"/>
      <c r="G152" s="49"/>
      <c r="H152" s="49"/>
      <c r="I152" s="49"/>
      <c r="J152" s="49"/>
      <c r="K152" s="49"/>
      <c r="L152" s="49"/>
      <c r="M152" s="42"/>
      <c r="N152" s="43"/>
    </row>
    <row r="153" spans="1:21" ht="32.25" customHeight="1">
      <c r="A153" s="130" t="s">
        <v>16</v>
      </c>
      <c r="B153" s="125" t="s">
        <v>84</v>
      </c>
      <c r="C153" s="133" t="s">
        <v>191</v>
      </c>
      <c r="D153" s="134"/>
      <c r="E153" s="135"/>
      <c r="F153" s="133" t="s">
        <v>192</v>
      </c>
      <c r="G153" s="134"/>
      <c r="H153" s="135"/>
      <c r="I153" s="100" t="s">
        <v>193</v>
      </c>
      <c r="J153" s="136" t="s">
        <v>194</v>
      </c>
      <c r="K153" s="137" t="s">
        <v>195</v>
      </c>
      <c r="L153" s="125" t="s">
        <v>16</v>
      </c>
      <c r="M153" s="1"/>
      <c r="N153" s="12"/>
      <c r="S153" s="127" t="s">
        <v>101</v>
      </c>
      <c r="T153" s="128"/>
      <c r="U153" s="129"/>
    </row>
    <row r="154" spans="1:21">
      <c r="A154" s="126"/>
      <c r="B154" s="126"/>
      <c r="C154" s="38" t="s">
        <v>31</v>
      </c>
      <c r="D154" s="38" t="s">
        <v>32</v>
      </c>
      <c r="E154" s="38" t="s">
        <v>33</v>
      </c>
      <c r="F154" s="38" t="s">
        <v>31</v>
      </c>
      <c r="G154" s="38" t="s">
        <v>32</v>
      </c>
      <c r="H154" s="38" t="s">
        <v>33</v>
      </c>
      <c r="I154" s="38" t="s">
        <v>33</v>
      </c>
      <c r="J154" s="126"/>
      <c r="K154" s="126"/>
      <c r="L154" s="126"/>
      <c r="M154" s="1"/>
      <c r="N154" s="12"/>
      <c r="S154" s="40" t="s">
        <v>98</v>
      </c>
      <c r="T154" s="40" t="s">
        <v>99</v>
      </c>
      <c r="U154" s="40" t="s">
        <v>100</v>
      </c>
    </row>
    <row r="155" spans="1:21">
      <c r="A155" s="5" t="s">
        <v>34</v>
      </c>
      <c r="B155" s="29" t="str">
        <f>IF(選項!$K$2=1,"一案多類","一案一類")</f>
        <v>一案多類</v>
      </c>
      <c r="C155" s="5" t="s">
        <v>17</v>
      </c>
      <c r="D155" s="14">
        <f t="shared" ref="D155:D172" si="77">IF(B155="一案多類",D180,D205)</f>
        <v>5000</v>
      </c>
      <c r="E155" s="14">
        <f t="shared" ref="E155:E172" si="78">IF(B155="一案多類",E180,E205)</f>
        <v>5000</v>
      </c>
      <c r="F155" s="5" t="s">
        <v>17</v>
      </c>
      <c r="G155" s="14">
        <f t="shared" ref="G155:G172" si="79">IF(B155="一案多類",G180,G205)</f>
        <v>0</v>
      </c>
      <c r="H155" s="14">
        <f t="shared" ref="H155:H172" si="80">IF(B155="一案多類",H180,H205)</f>
        <v>0</v>
      </c>
      <c r="I155" s="14">
        <f>E155+H155</f>
        <v>5000</v>
      </c>
      <c r="J155" s="14">
        <f t="shared" ref="J155:J172" si="81">IF(B155="一案多類",J180,J205)</f>
        <v>0</v>
      </c>
      <c r="K155" s="14">
        <f>I155+J155</f>
        <v>5000</v>
      </c>
      <c r="L155" s="5" t="str">
        <f>A155</f>
        <v>台灣</v>
      </c>
      <c r="M155" s="1"/>
      <c r="N155" s="12"/>
      <c r="S155" s="14">
        <f>E155</f>
        <v>5000</v>
      </c>
      <c r="T155" s="14">
        <f>H155</f>
        <v>0</v>
      </c>
      <c r="U155" s="14">
        <f>J155</f>
        <v>0</v>
      </c>
    </row>
    <row r="156" spans="1:21">
      <c r="A156" s="5" t="s">
        <v>37</v>
      </c>
      <c r="B156" s="29" t="str">
        <f>IF(選項!$K$2=1,"一案多類","一案一類")</f>
        <v>一案多類</v>
      </c>
      <c r="C156" s="5" t="s">
        <v>18</v>
      </c>
      <c r="D156" s="14">
        <f t="shared" si="77"/>
        <v>0</v>
      </c>
      <c r="E156" s="14">
        <f t="shared" si="78"/>
        <v>0</v>
      </c>
      <c r="F156" s="5" t="s">
        <v>18</v>
      </c>
      <c r="G156" s="14">
        <f t="shared" si="79"/>
        <v>0</v>
      </c>
      <c r="H156" s="14">
        <f t="shared" si="80"/>
        <v>0</v>
      </c>
      <c r="I156" s="14">
        <f t="shared" ref="I156:I169" si="82">E156+H156</f>
        <v>0</v>
      </c>
      <c r="J156" s="14">
        <f t="shared" si="81"/>
        <v>3000</v>
      </c>
      <c r="K156" s="14">
        <f t="shared" ref="K156:K169" si="83">I156+J156</f>
        <v>3000</v>
      </c>
      <c r="L156" s="5" t="str">
        <f t="shared" ref="L156:L170" si="84">A156</f>
        <v>大陸</v>
      </c>
      <c r="M156" s="1"/>
      <c r="N156" s="12"/>
    </row>
    <row r="157" spans="1:21">
      <c r="A157" s="5" t="s">
        <v>40</v>
      </c>
      <c r="B157" s="29" t="str">
        <f>IF(選項!$K$2=1,"一案多類","一案一類")</f>
        <v>一案多類</v>
      </c>
      <c r="C157" s="5" t="s">
        <v>19</v>
      </c>
      <c r="D157" s="14">
        <f t="shared" si="77"/>
        <v>300</v>
      </c>
      <c r="E157" s="14">
        <f t="shared" si="78"/>
        <v>9600</v>
      </c>
      <c r="F157" s="5" t="s">
        <v>19</v>
      </c>
      <c r="G157" s="14">
        <f t="shared" si="79"/>
        <v>515</v>
      </c>
      <c r="H157" s="14">
        <f t="shared" si="80"/>
        <v>16480</v>
      </c>
      <c r="I157" s="14">
        <f t="shared" si="82"/>
        <v>26080</v>
      </c>
      <c r="J157" s="14">
        <f t="shared" si="81"/>
        <v>17000</v>
      </c>
      <c r="K157" s="14">
        <f t="shared" si="83"/>
        <v>43080</v>
      </c>
      <c r="L157" s="5" t="str">
        <f t="shared" si="84"/>
        <v>美國</v>
      </c>
      <c r="M157" s="1"/>
      <c r="N157" s="12"/>
    </row>
    <row r="158" spans="1:21">
      <c r="A158" s="26" t="s">
        <v>0</v>
      </c>
      <c r="B158" s="29" t="str">
        <f>IF(選項!$K$2=1,"一案多類","一案一類")</f>
        <v>一案多類</v>
      </c>
      <c r="C158" s="5" t="s">
        <v>20</v>
      </c>
      <c r="D158" s="14">
        <f t="shared" si="77"/>
        <v>0</v>
      </c>
      <c r="E158" s="14">
        <f t="shared" si="78"/>
        <v>0</v>
      </c>
      <c r="F158" s="5" t="s">
        <v>20</v>
      </c>
      <c r="G158" s="14">
        <f t="shared" si="79"/>
        <v>0</v>
      </c>
      <c r="H158" s="14">
        <f t="shared" si="80"/>
        <v>0</v>
      </c>
      <c r="I158" s="14">
        <f t="shared" si="82"/>
        <v>0</v>
      </c>
      <c r="J158" s="14">
        <f t="shared" si="81"/>
        <v>7000</v>
      </c>
      <c r="K158" s="14">
        <f t="shared" si="83"/>
        <v>7000</v>
      </c>
      <c r="L158" s="5" t="str">
        <f t="shared" si="84"/>
        <v>歐盟</v>
      </c>
      <c r="M158" s="1"/>
      <c r="N158" s="12"/>
    </row>
    <row r="159" spans="1:21">
      <c r="A159" s="26" t="s">
        <v>167</v>
      </c>
      <c r="B159" s="29" t="str">
        <f>IF(選項!$K$2=1,"一案多類","一案一類")</f>
        <v>一案多類</v>
      </c>
      <c r="C159" s="5" t="s">
        <v>168</v>
      </c>
      <c r="D159" s="14">
        <f t="shared" si="77"/>
        <v>0</v>
      </c>
      <c r="E159" s="14">
        <f t="shared" si="78"/>
        <v>0</v>
      </c>
      <c r="F159" s="5" t="s">
        <v>20</v>
      </c>
      <c r="G159" s="14">
        <f t="shared" si="79"/>
        <v>0</v>
      </c>
      <c r="H159" s="14">
        <f t="shared" si="80"/>
        <v>0</v>
      </c>
      <c r="I159" s="14">
        <f t="shared" ref="I159" si="85">E159+H159</f>
        <v>0</v>
      </c>
      <c r="J159" s="14">
        <f t="shared" si="81"/>
        <v>7000</v>
      </c>
      <c r="K159" s="14">
        <f t="shared" ref="K159" si="86">I159+J159</f>
        <v>7000</v>
      </c>
      <c r="L159" s="5" t="str">
        <f t="shared" ref="L159" si="87">A159</f>
        <v>英國</v>
      </c>
      <c r="M159" s="1"/>
      <c r="N159" s="12"/>
    </row>
    <row r="160" spans="1:21">
      <c r="A160" s="5" t="s">
        <v>44</v>
      </c>
      <c r="B160" s="29" t="str">
        <f>IF(選項!$K$2=1,"一案多類","一案一類")</f>
        <v>一案多類</v>
      </c>
      <c r="C160" s="5" t="s">
        <v>21</v>
      </c>
      <c r="D160" s="14">
        <f t="shared" si="77"/>
        <v>65800</v>
      </c>
      <c r="E160" s="14">
        <f t="shared" si="78"/>
        <v>13818</v>
      </c>
      <c r="F160" s="5" t="s">
        <v>21</v>
      </c>
      <c r="G160" s="14">
        <f t="shared" si="79"/>
        <v>22000</v>
      </c>
      <c r="H160" s="14">
        <f t="shared" si="80"/>
        <v>4620</v>
      </c>
      <c r="I160" s="14">
        <f t="shared" si="82"/>
        <v>18438</v>
      </c>
      <c r="J160" s="14">
        <f t="shared" si="81"/>
        <v>7000</v>
      </c>
      <c r="K160" s="14">
        <f t="shared" si="83"/>
        <v>25438</v>
      </c>
      <c r="L160" s="5" t="str">
        <f t="shared" si="84"/>
        <v>日本</v>
      </c>
      <c r="M160" s="1"/>
      <c r="N160" s="12"/>
    </row>
    <row r="161" spans="1:14">
      <c r="A161" s="5" t="s">
        <v>47</v>
      </c>
      <c r="B161" s="29" t="str">
        <f>IF(選項!$K$2=1,"一案多類","一案一類")</f>
        <v>一案多類</v>
      </c>
      <c r="C161" s="5" t="s">
        <v>22</v>
      </c>
      <c r="D161" s="14">
        <f t="shared" si="77"/>
        <v>402000</v>
      </c>
      <c r="E161" s="14">
        <f t="shared" si="78"/>
        <v>10050</v>
      </c>
      <c r="F161" s="5" t="s">
        <v>19</v>
      </c>
      <c r="G161" s="14">
        <f t="shared" si="79"/>
        <v>460</v>
      </c>
      <c r="H161" s="14">
        <f t="shared" si="80"/>
        <v>14720</v>
      </c>
      <c r="I161" s="14">
        <f t="shared" si="82"/>
        <v>24770</v>
      </c>
      <c r="J161" s="14">
        <f t="shared" si="81"/>
        <v>7000</v>
      </c>
      <c r="K161" s="14">
        <f t="shared" si="83"/>
        <v>31770</v>
      </c>
      <c r="L161" s="5" t="str">
        <f t="shared" si="84"/>
        <v>韓國</v>
      </c>
      <c r="M161" s="1"/>
      <c r="N161" s="12"/>
    </row>
    <row r="162" spans="1:14">
      <c r="A162" s="28" t="s">
        <v>27</v>
      </c>
      <c r="B162" s="29" t="str">
        <f>IF(選項!$K$2=1,"一案多類","一案一類")</f>
        <v>一案多類</v>
      </c>
      <c r="C162" s="5" t="s">
        <v>28</v>
      </c>
      <c r="D162" s="14">
        <f t="shared" si="77"/>
        <v>0</v>
      </c>
      <c r="E162" s="14">
        <f t="shared" si="78"/>
        <v>0</v>
      </c>
      <c r="F162" s="5" t="s">
        <v>28</v>
      </c>
      <c r="G162" s="14">
        <f t="shared" si="79"/>
        <v>525</v>
      </c>
      <c r="H162" s="14">
        <f t="shared" si="80"/>
        <v>12337.5</v>
      </c>
      <c r="I162" s="14">
        <f>E162+H162</f>
        <v>12337.5</v>
      </c>
      <c r="J162" s="14">
        <f t="shared" si="81"/>
        <v>7000</v>
      </c>
      <c r="K162" s="14">
        <f>I162+J162</f>
        <v>19337.5</v>
      </c>
      <c r="L162" s="5" t="str">
        <f>A162</f>
        <v>加拿大</v>
      </c>
      <c r="M162" s="1"/>
      <c r="N162" s="12"/>
    </row>
    <row r="163" spans="1:14">
      <c r="A163" s="26" t="s">
        <v>66</v>
      </c>
      <c r="B163" s="29" t="str">
        <f>IF(選項!$K$2=1,"一案多類","一案一類")</f>
        <v>一案多類</v>
      </c>
      <c r="C163" s="5" t="s">
        <v>67</v>
      </c>
      <c r="D163" s="14">
        <f t="shared" si="77"/>
        <v>0</v>
      </c>
      <c r="E163" s="14">
        <f t="shared" si="78"/>
        <v>0</v>
      </c>
      <c r="F163" s="5" t="s">
        <v>67</v>
      </c>
      <c r="G163" s="14">
        <f t="shared" si="79"/>
        <v>840</v>
      </c>
      <c r="H163" s="14">
        <f t="shared" si="80"/>
        <v>18228</v>
      </c>
      <c r="I163" s="14">
        <f>E163+H163</f>
        <v>18228</v>
      </c>
      <c r="J163" s="14">
        <f t="shared" si="81"/>
        <v>7000</v>
      </c>
      <c r="K163" s="14">
        <f>I163+J163</f>
        <v>25228</v>
      </c>
      <c r="L163" s="27" t="str">
        <f>A163</f>
        <v>澳洲</v>
      </c>
      <c r="M163" s="15"/>
      <c r="N163" s="12"/>
    </row>
    <row r="164" spans="1:14">
      <c r="A164" s="5" t="s">
        <v>49</v>
      </c>
      <c r="B164" s="29" t="str">
        <f>IF(選項!$K$2=1,"一案多類","一案一類")</f>
        <v>一案多類</v>
      </c>
      <c r="C164" s="5" t="s">
        <v>23</v>
      </c>
      <c r="D164" s="14">
        <f t="shared" si="77"/>
        <v>0</v>
      </c>
      <c r="E164" s="14">
        <f t="shared" si="78"/>
        <v>0</v>
      </c>
      <c r="F164" s="5" t="s">
        <v>23</v>
      </c>
      <c r="G164" s="14">
        <f t="shared" si="79"/>
        <v>700</v>
      </c>
      <c r="H164" s="14">
        <f t="shared" si="80"/>
        <v>17500</v>
      </c>
      <c r="I164" s="14">
        <f t="shared" si="82"/>
        <v>17500</v>
      </c>
      <c r="J164" s="14">
        <f t="shared" si="81"/>
        <v>7000</v>
      </c>
      <c r="K164" s="14">
        <f t="shared" si="83"/>
        <v>24500</v>
      </c>
      <c r="L164" s="5" t="str">
        <f t="shared" si="84"/>
        <v>新加坡</v>
      </c>
      <c r="M164" s="1"/>
      <c r="N164" s="12"/>
    </row>
    <row r="165" spans="1:14">
      <c r="A165" s="5" t="s">
        <v>54</v>
      </c>
      <c r="B165" s="29" t="str">
        <f>IF(選項!$K$2=1,"一案多類","一案一類")</f>
        <v>一案多類</v>
      </c>
      <c r="C165" s="5" t="s">
        <v>26</v>
      </c>
      <c r="D165" s="14">
        <f t="shared" si="77"/>
        <v>50</v>
      </c>
      <c r="E165" s="14">
        <f t="shared" si="78"/>
        <v>415.00000000000006</v>
      </c>
      <c r="F165" s="5" t="s">
        <v>26</v>
      </c>
      <c r="G165" s="14">
        <f t="shared" si="79"/>
        <v>424</v>
      </c>
      <c r="H165" s="14">
        <f t="shared" si="80"/>
        <v>3519.2000000000003</v>
      </c>
      <c r="I165" s="14">
        <f>E165+H165</f>
        <v>3934.2000000000003</v>
      </c>
      <c r="J165" s="14">
        <f t="shared" si="81"/>
        <v>7000</v>
      </c>
      <c r="K165" s="14">
        <f>I165+J165</f>
        <v>10934.2</v>
      </c>
      <c r="L165" s="5" t="str">
        <f>A165</f>
        <v>馬來西亞</v>
      </c>
      <c r="M165" s="1"/>
      <c r="N165" s="12"/>
    </row>
    <row r="166" spans="1:14">
      <c r="A166" s="53" t="s">
        <v>207</v>
      </c>
      <c r="B166" s="29" t="str">
        <f>IF(選項!$K$2=1,"一案多類","一案一類")</f>
        <v>一案多類</v>
      </c>
      <c r="C166" s="5" t="s">
        <v>19</v>
      </c>
      <c r="D166" s="14">
        <f t="shared" si="77"/>
        <v>49</v>
      </c>
      <c r="E166" s="14">
        <f t="shared" si="78"/>
        <v>1568</v>
      </c>
      <c r="F166" s="5" t="s">
        <v>19</v>
      </c>
      <c r="G166" s="14">
        <f t="shared" si="79"/>
        <v>80</v>
      </c>
      <c r="H166" s="14">
        <f t="shared" si="80"/>
        <v>2560</v>
      </c>
      <c r="I166" s="14">
        <f>E166+H166</f>
        <v>4128</v>
      </c>
      <c r="J166" s="14">
        <f t="shared" si="81"/>
        <v>7000</v>
      </c>
      <c r="K166" s="14">
        <f>I166+J166</f>
        <v>11128</v>
      </c>
      <c r="L166" s="5" t="str">
        <f>A166</f>
        <v>菲律賓</v>
      </c>
      <c r="M166" s="1"/>
      <c r="N166" s="12"/>
    </row>
    <row r="167" spans="1:14">
      <c r="A167" s="53" t="s">
        <v>112</v>
      </c>
      <c r="B167" s="29" t="str">
        <f>IF(選項!$K$2=1,"一案多類","一案一類")</f>
        <v>一案多類</v>
      </c>
      <c r="C167" s="5" t="s">
        <v>19</v>
      </c>
      <c r="D167" s="14">
        <f t="shared" si="77"/>
        <v>0</v>
      </c>
      <c r="E167" s="14">
        <f t="shared" si="78"/>
        <v>0</v>
      </c>
      <c r="F167" s="5" t="s">
        <v>19</v>
      </c>
      <c r="G167" s="14">
        <f t="shared" si="79"/>
        <v>150</v>
      </c>
      <c r="H167" s="14">
        <f t="shared" si="80"/>
        <v>4800</v>
      </c>
      <c r="I167" s="14">
        <f>E167+H167</f>
        <v>4800</v>
      </c>
      <c r="J167" s="14">
        <f t="shared" si="81"/>
        <v>7000</v>
      </c>
      <c r="K167" s="14">
        <f t="shared" ref="K167" si="88">I167+J167</f>
        <v>11800</v>
      </c>
      <c r="L167" s="5" t="str">
        <f>A167</f>
        <v>印尼</v>
      </c>
      <c r="M167" s="1"/>
      <c r="N167" s="12"/>
    </row>
    <row r="168" spans="1:14">
      <c r="A168" s="5" t="s">
        <v>51</v>
      </c>
      <c r="B168" s="29" t="str">
        <f>IF(選項!$K$2=1,"一案多類","一案一類")</f>
        <v>一案多類</v>
      </c>
      <c r="C168" s="5" t="s">
        <v>24</v>
      </c>
      <c r="D168" s="14">
        <f t="shared" si="77"/>
        <v>460000</v>
      </c>
      <c r="E168" s="14">
        <f t="shared" si="78"/>
        <v>644</v>
      </c>
      <c r="F168" s="5" t="s">
        <v>19</v>
      </c>
      <c r="G168" s="14">
        <f t="shared" si="79"/>
        <v>177</v>
      </c>
      <c r="H168" s="14">
        <f t="shared" si="80"/>
        <v>5664</v>
      </c>
      <c r="I168" s="14">
        <f t="shared" si="82"/>
        <v>6308</v>
      </c>
      <c r="J168" s="14">
        <f t="shared" si="81"/>
        <v>7000</v>
      </c>
      <c r="K168" s="14">
        <f t="shared" si="83"/>
        <v>13308</v>
      </c>
      <c r="L168" s="5" t="str">
        <f t="shared" si="84"/>
        <v>越南</v>
      </c>
      <c r="M168" s="1"/>
      <c r="N168" s="12"/>
    </row>
    <row r="169" spans="1:14">
      <c r="A169" s="5" t="s">
        <v>53</v>
      </c>
      <c r="B169" s="29" t="str">
        <f>IF(選項!$K$2=1,"一案多類","一案一類")</f>
        <v>一案多類</v>
      </c>
      <c r="C169" s="5" t="s">
        <v>25</v>
      </c>
      <c r="D169" s="14">
        <f t="shared" si="77"/>
        <v>10800</v>
      </c>
      <c r="E169" s="14">
        <f t="shared" si="78"/>
        <v>11880.000000000002</v>
      </c>
      <c r="F169" s="5" t="s">
        <v>25</v>
      </c>
      <c r="G169" s="14">
        <f t="shared" si="79"/>
        <v>3500</v>
      </c>
      <c r="H169" s="14">
        <f t="shared" si="80"/>
        <v>3850.0000000000005</v>
      </c>
      <c r="I169" s="14">
        <f t="shared" si="82"/>
        <v>15730.000000000002</v>
      </c>
      <c r="J169" s="14">
        <f t="shared" si="81"/>
        <v>7000</v>
      </c>
      <c r="K169" s="14">
        <f t="shared" si="83"/>
        <v>22730</v>
      </c>
      <c r="L169" s="5" t="str">
        <f t="shared" si="84"/>
        <v>泰國</v>
      </c>
      <c r="M169" s="1"/>
      <c r="N169" s="12"/>
    </row>
    <row r="170" spans="1:14">
      <c r="A170" s="53" t="s">
        <v>160</v>
      </c>
      <c r="B170" s="29" t="str">
        <f>IF(選項!$K$2=1,"一案多類","一案一類")</f>
        <v>一案多類</v>
      </c>
      <c r="C170" s="5" t="s">
        <v>166</v>
      </c>
      <c r="D170" s="14">
        <f t="shared" si="77"/>
        <v>0</v>
      </c>
      <c r="E170" s="14">
        <f t="shared" si="78"/>
        <v>0</v>
      </c>
      <c r="F170" s="5" t="s">
        <v>18</v>
      </c>
      <c r="G170" s="14">
        <f t="shared" si="79"/>
        <v>1860</v>
      </c>
      <c r="H170" s="14">
        <f t="shared" si="80"/>
        <v>8556</v>
      </c>
      <c r="I170" s="14">
        <f t="shared" ref="I170:I171" si="89">E170+H170</f>
        <v>8556</v>
      </c>
      <c r="J170" s="14">
        <f t="shared" si="81"/>
        <v>7000</v>
      </c>
      <c r="K170" s="14">
        <f t="shared" ref="K170:K171" si="90">I170+J170</f>
        <v>15556</v>
      </c>
      <c r="L170" s="5" t="str">
        <f t="shared" si="84"/>
        <v>香港</v>
      </c>
      <c r="M170" s="1"/>
      <c r="N170" s="12"/>
    </row>
    <row r="171" spans="1:14" ht="17.25">
      <c r="A171" s="53" t="s">
        <v>161</v>
      </c>
      <c r="B171" s="29" t="str">
        <f>IF(選項!$K$2=1,"一案多類","一案一類")</f>
        <v>一案多類</v>
      </c>
      <c r="C171" s="5" t="s">
        <v>19</v>
      </c>
      <c r="D171" s="14">
        <f t="shared" si="77"/>
        <v>0</v>
      </c>
      <c r="E171" s="14">
        <f t="shared" si="78"/>
        <v>0</v>
      </c>
      <c r="F171" s="5" t="s">
        <v>19</v>
      </c>
      <c r="G171" s="14">
        <f t="shared" si="79"/>
        <v>0</v>
      </c>
      <c r="H171" s="14">
        <f t="shared" si="80"/>
        <v>0</v>
      </c>
      <c r="I171" s="14">
        <f t="shared" si="89"/>
        <v>0</v>
      </c>
      <c r="J171" s="14">
        <f t="shared" si="81"/>
        <v>10000</v>
      </c>
      <c r="K171" s="14">
        <f t="shared" si="90"/>
        <v>10000</v>
      </c>
      <c r="L171" s="5" t="str">
        <f t="shared" ref="L171" si="91">A171</f>
        <v>澳門</v>
      </c>
      <c r="M171" s="104" t="s">
        <v>214</v>
      </c>
      <c r="N171" s="12"/>
    </row>
    <row r="172" spans="1:14">
      <c r="A172" s="53" t="s">
        <v>208</v>
      </c>
      <c r="B172" s="29" t="str">
        <f>IF(選項!$K$2=1,"一案多類","一案一類")</f>
        <v>一案多類</v>
      </c>
      <c r="C172" s="5" t="s">
        <v>19</v>
      </c>
      <c r="D172" s="14">
        <f t="shared" si="77"/>
        <v>0</v>
      </c>
      <c r="E172" s="14">
        <f t="shared" si="78"/>
        <v>0</v>
      </c>
      <c r="F172" s="5" t="s">
        <v>19</v>
      </c>
      <c r="G172" s="14">
        <f t="shared" si="79"/>
        <v>400</v>
      </c>
      <c r="H172" s="14">
        <f t="shared" si="80"/>
        <v>12800</v>
      </c>
      <c r="I172" s="14">
        <f t="shared" ref="I172" si="92">E172+H172</f>
        <v>12800</v>
      </c>
      <c r="J172" s="14">
        <f t="shared" si="81"/>
        <v>7000</v>
      </c>
      <c r="K172" s="14">
        <f t="shared" ref="K172" si="93">I172+J172</f>
        <v>19800</v>
      </c>
      <c r="L172" s="5" t="str">
        <f t="shared" ref="L172" si="94">A172</f>
        <v>印度</v>
      </c>
      <c r="M172" s="1"/>
      <c r="N172" s="12"/>
    </row>
    <row r="173" spans="1:14" ht="18.75">
      <c r="A173" s="16"/>
      <c r="B173" s="16"/>
      <c r="C173" s="16"/>
      <c r="D173" s="17" t="s">
        <v>56</v>
      </c>
      <c r="E173" s="18">
        <f>SUM(E155:E172)</f>
        <v>52975</v>
      </c>
      <c r="F173" s="16"/>
      <c r="G173" s="17" t="s">
        <v>56</v>
      </c>
      <c r="H173" s="19">
        <f>SUM(H155:H172)</f>
        <v>125634.7</v>
      </c>
      <c r="I173" s="20">
        <f>SUM(I155:I172)</f>
        <v>178609.7</v>
      </c>
      <c r="J173" s="21">
        <f>SUM(J155:J172)</f>
        <v>128000</v>
      </c>
      <c r="K173" s="22">
        <f>SUM(K155:K172)</f>
        <v>306609.7</v>
      </c>
      <c r="L173" s="5"/>
      <c r="M173" s="1"/>
      <c r="N173" s="12"/>
    </row>
    <row r="174" spans="1:14">
      <c r="A174" s="1"/>
      <c r="B174" s="23"/>
      <c r="C174" s="2"/>
      <c r="D174" s="2"/>
      <c r="E174" s="2"/>
      <c r="F174" s="2"/>
      <c r="G174" s="2"/>
      <c r="H174" s="2"/>
      <c r="I174" s="2"/>
      <c r="J174" s="2"/>
      <c r="K174" s="2"/>
      <c r="L174" s="2"/>
      <c r="M174" s="1"/>
      <c r="N174" s="12"/>
    </row>
    <row r="175" spans="1:14">
      <c r="A175" s="1"/>
      <c r="B175" s="23"/>
      <c r="C175" s="2"/>
      <c r="D175" s="2"/>
      <c r="E175" s="2"/>
      <c r="F175" s="2"/>
      <c r="G175" s="2"/>
      <c r="H175" s="2"/>
      <c r="I175" s="2"/>
      <c r="J175" s="2"/>
      <c r="K175" s="2"/>
      <c r="L175" s="2"/>
      <c r="M175" s="1"/>
      <c r="N175" s="12"/>
    </row>
    <row r="176" spans="1:14">
      <c r="A176" t="s">
        <v>89</v>
      </c>
      <c r="B176" s="23"/>
      <c r="C176" s="2"/>
      <c r="D176" s="2"/>
      <c r="E176" s="2"/>
      <c r="F176" s="2"/>
      <c r="G176" s="2"/>
      <c r="H176" s="2"/>
      <c r="I176" s="2"/>
      <c r="J176" s="2"/>
      <c r="K176" s="2"/>
      <c r="L176" s="2"/>
      <c r="M176" s="1"/>
      <c r="N176" s="12"/>
    </row>
    <row r="177" spans="1:14" s="44" customFormat="1">
      <c r="A177" s="103" t="s">
        <v>180</v>
      </c>
      <c r="B177" s="49"/>
      <c r="C177" s="49"/>
      <c r="D177" s="49"/>
      <c r="E177" s="49"/>
      <c r="F177" s="49"/>
      <c r="G177" s="49"/>
      <c r="H177" s="49"/>
      <c r="I177" s="49"/>
      <c r="J177" s="49"/>
      <c r="K177" s="49"/>
      <c r="L177" s="49"/>
      <c r="M177" s="42"/>
      <c r="N177" s="43"/>
    </row>
    <row r="178" spans="1:14" ht="32.25" customHeight="1">
      <c r="A178" s="130" t="s">
        <v>16</v>
      </c>
      <c r="B178" s="131" t="s">
        <v>13</v>
      </c>
      <c r="C178" s="133" t="s">
        <v>191</v>
      </c>
      <c r="D178" s="134"/>
      <c r="E178" s="135"/>
      <c r="F178" s="133" t="s">
        <v>192</v>
      </c>
      <c r="G178" s="134"/>
      <c r="H178" s="135"/>
      <c r="I178" s="100" t="s">
        <v>193</v>
      </c>
      <c r="J178" s="136" t="s">
        <v>194</v>
      </c>
      <c r="K178" s="137" t="s">
        <v>195</v>
      </c>
      <c r="L178" s="125" t="s">
        <v>16</v>
      </c>
      <c r="M178" s="1"/>
      <c r="N178" s="12"/>
    </row>
    <row r="179" spans="1:14">
      <c r="A179" s="126"/>
      <c r="B179" s="132"/>
      <c r="C179" s="38" t="s">
        <v>31</v>
      </c>
      <c r="D179" s="38" t="s">
        <v>32</v>
      </c>
      <c r="E179" s="38" t="s">
        <v>33</v>
      </c>
      <c r="F179" s="38" t="s">
        <v>31</v>
      </c>
      <c r="G179" s="38" t="s">
        <v>32</v>
      </c>
      <c r="H179" s="38" t="s">
        <v>33</v>
      </c>
      <c r="I179" s="38" t="s">
        <v>33</v>
      </c>
      <c r="J179" s="126"/>
      <c r="K179" s="126"/>
      <c r="L179" s="126"/>
      <c r="M179" s="1"/>
      <c r="N179" s="12"/>
    </row>
    <row r="180" spans="1:14">
      <c r="A180" s="5" t="s">
        <v>34</v>
      </c>
      <c r="B180" s="28" t="s">
        <v>71</v>
      </c>
      <c r="C180" s="5" t="s">
        <v>17</v>
      </c>
      <c r="D180" s="14">
        <f>IF($B$5&gt;0,2500*$B$5,0)</f>
        <v>5000</v>
      </c>
      <c r="E180" s="14">
        <f>D180</f>
        <v>5000</v>
      </c>
      <c r="F180" s="5" t="s">
        <v>17</v>
      </c>
      <c r="G180" s="14">
        <v>0</v>
      </c>
      <c r="H180" s="14">
        <v>0</v>
      </c>
      <c r="I180" s="14">
        <f>E180+H180</f>
        <v>5000</v>
      </c>
      <c r="J180" s="14">
        <v>0</v>
      </c>
      <c r="K180" s="14">
        <f>I180+J180</f>
        <v>5000</v>
      </c>
      <c r="L180" s="5" t="str">
        <f>A180</f>
        <v>台灣</v>
      </c>
      <c r="M180" s="1"/>
      <c r="N180" s="12"/>
    </row>
    <row r="181" spans="1:14">
      <c r="A181" s="5" t="s">
        <v>37</v>
      </c>
      <c r="B181" s="28" t="s">
        <v>71</v>
      </c>
      <c r="C181" s="5" t="s">
        <v>18</v>
      </c>
      <c r="D181" s="14">
        <v>0</v>
      </c>
      <c r="E181" s="14">
        <v>0</v>
      </c>
      <c r="F181" s="5" t="s">
        <v>18</v>
      </c>
      <c r="G181" s="14">
        <v>0</v>
      </c>
      <c r="H181" s="14">
        <v>0</v>
      </c>
      <c r="I181" s="14">
        <f t="shared" ref="I181:I196" si="95">E181+H181</f>
        <v>0</v>
      </c>
      <c r="J181" s="14">
        <f>IF($B$5&gt;0,3000,0)</f>
        <v>3000</v>
      </c>
      <c r="K181" s="14">
        <f t="shared" ref="K181:K194" si="96">I181+J181</f>
        <v>3000</v>
      </c>
      <c r="L181" s="5" t="str">
        <f t="shared" ref="L181:L195" si="97">A181</f>
        <v>大陸</v>
      </c>
      <c r="M181" s="1"/>
      <c r="N181" s="12"/>
    </row>
    <row r="182" spans="1:14">
      <c r="A182" s="5" t="s">
        <v>40</v>
      </c>
      <c r="B182" s="28" t="s">
        <v>71</v>
      </c>
      <c r="C182" s="5" t="s">
        <v>19</v>
      </c>
      <c r="D182" s="14">
        <f>IF($B$5&gt;0,150*$B$5,0)</f>
        <v>300</v>
      </c>
      <c r="E182" s="14">
        <f>D182*$J$5</f>
        <v>9600</v>
      </c>
      <c r="F182" s="5" t="s">
        <v>19</v>
      </c>
      <c r="G182" s="14">
        <f>IF($B$5&gt;0,100+275+140,0)</f>
        <v>515</v>
      </c>
      <c r="H182" s="14">
        <f>G182*$J$5</f>
        <v>16480</v>
      </c>
      <c r="I182" s="14">
        <f t="shared" si="95"/>
        <v>26080</v>
      </c>
      <c r="J182" s="14">
        <f>IF($B$5&gt;0,10000+5000+2000*($B$5-1),0)</f>
        <v>17000</v>
      </c>
      <c r="K182" s="14">
        <f t="shared" si="96"/>
        <v>43080</v>
      </c>
      <c r="L182" s="5" t="str">
        <f t="shared" si="97"/>
        <v>美國</v>
      </c>
      <c r="M182" s="1"/>
      <c r="N182" s="12"/>
    </row>
    <row r="183" spans="1:14">
      <c r="A183" s="26" t="s">
        <v>0</v>
      </c>
      <c r="B183" s="28" t="s">
        <v>71</v>
      </c>
      <c r="C183" s="5" t="s">
        <v>20</v>
      </c>
      <c r="D183" s="14">
        <v>0</v>
      </c>
      <c r="E183" s="14">
        <v>0</v>
      </c>
      <c r="F183" s="5" t="s">
        <v>20</v>
      </c>
      <c r="G183" s="14">
        <v>0</v>
      </c>
      <c r="H183" s="14">
        <v>0</v>
      </c>
      <c r="I183" s="14">
        <f t="shared" si="95"/>
        <v>0</v>
      </c>
      <c r="J183" s="14">
        <f>IF($B$5&gt;0,5000+2000*($B$5-1),0)</f>
        <v>7000</v>
      </c>
      <c r="K183" s="14">
        <f t="shared" si="96"/>
        <v>7000</v>
      </c>
      <c r="L183" s="5" t="str">
        <f t="shared" si="97"/>
        <v>歐盟</v>
      </c>
      <c r="M183" s="1"/>
      <c r="N183" s="12"/>
    </row>
    <row r="184" spans="1:14">
      <c r="A184" s="26" t="s">
        <v>167</v>
      </c>
      <c r="B184" s="28" t="s">
        <v>71</v>
      </c>
      <c r="C184" s="5" t="s">
        <v>168</v>
      </c>
      <c r="D184" s="14">
        <v>0</v>
      </c>
      <c r="E184" s="14">
        <v>0</v>
      </c>
      <c r="F184" s="5" t="s">
        <v>20</v>
      </c>
      <c r="G184" s="14">
        <f>IF($B$5&gt;0,0,0)</f>
        <v>0</v>
      </c>
      <c r="H184" s="14">
        <f>G184*$J$6</f>
        <v>0</v>
      </c>
      <c r="I184" s="14">
        <f t="shared" ref="I184" si="98">E184+H184</f>
        <v>0</v>
      </c>
      <c r="J184" s="14">
        <f t="shared" ref="J184:J197" si="99">IF($B$5&gt;0,5000+2000*($B$5-1),0)</f>
        <v>7000</v>
      </c>
      <c r="K184" s="14">
        <f t="shared" ref="K184" si="100">I184+J184</f>
        <v>7000</v>
      </c>
      <c r="L184" s="5" t="str">
        <f t="shared" ref="L184" si="101">A184</f>
        <v>英國</v>
      </c>
      <c r="M184" s="1"/>
      <c r="N184" s="12"/>
    </row>
    <row r="185" spans="1:14">
      <c r="A185" s="5" t="s">
        <v>44</v>
      </c>
      <c r="B185" s="28" t="s">
        <v>71</v>
      </c>
      <c r="C185" s="5" t="s">
        <v>21</v>
      </c>
      <c r="D185" s="14">
        <f>IF($B$5&gt;0,32900*$B$5,0)</f>
        <v>65800</v>
      </c>
      <c r="E185" s="14">
        <f>D185*$J$7</f>
        <v>13818</v>
      </c>
      <c r="F185" s="5" t="s">
        <v>21</v>
      </c>
      <c r="G185" s="14">
        <f>IF($B$5&gt;0,22000,0)</f>
        <v>22000</v>
      </c>
      <c r="H185" s="14">
        <f>G185*$J$7</f>
        <v>4620</v>
      </c>
      <c r="I185" s="14">
        <f t="shared" si="95"/>
        <v>18438</v>
      </c>
      <c r="J185" s="14">
        <f t="shared" si="99"/>
        <v>7000</v>
      </c>
      <c r="K185" s="14">
        <f t="shared" si="96"/>
        <v>25438</v>
      </c>
      <c r="L185" s="5" t="str">
        <f t="shared" si="97"/>
        <v>日本</v>
      </c>
      <c r="M185" s="1"/>
      <c r="N185" s="12"/>
    </row>
    <row r="186" spans="1:14">
      <c r="A186" s="5" t="s">
        <v>47</v>
      </c>
      <c r="B186" s="28" t="s">
        <v>71</v>
      </c>
      <c r="C186" s="5" t="s">
        <v>22</v>
      </c>
      <c r="D186" s="14">
        <f>IF($B$5&gt;0,201000*$B$5,0)</f>
        <v>402000</v>
      </c>
      <c r="E186" s="14">
        <f>D186*$J$8</f>
        <v>10050</v>
      </c>
      <c r="F186" s="5" t="s">
        <v>19</v>
      </c>
      <c r="G186" s="14">
        <f>IF($B$5&gt;0,200+100+160*($B$5-1),0)</f>
        <v>460</v>
      </c>
      <c r="H186" s="14">
        <f>G186*$J$5</f>
        <v>14720</v>
      </c>
      <c r="I186" s="14">
        <f t="shared" si="95"/>
        <v>24770</v>
      </c>
      <c r="J186" s="14">
        <f t="shared" si="99"/>
        <v>7000</v>
      </c>
      <c r="K186" s="14">
        <f t="shared" si="96"/>
        <v>31770</v>
      </c>
      <c r="L186" s="5" t="str">
        <f t="shared" si="97"/>
        <v>韓國</v>
      </c>
      <c r="M186" s="1"/>
      <c r="N186" s="12"/>
    </row>
    <row r="187" spans="1:14">
      <c r="A187" s="28" t="s">
        <v>27</v>
      </c>
      <c r="B187" s="28" t="s">
        <v>71</v>
      </c>
      <c r="C187" s="5" t="s">
        <v>28</v>
      </c>
      <c r="D187" s="14">
        <v>0</v>
      </c>
      <c r="E187" s="14">
        <f>D187*$L$9</f>
        <v>0</v>
      </c>
      <c r="F187" s="5" t="s">
        <v>28</v>
      </c>
      <c r="G187" s="14">
        <f>IF($B$5&gt;0,525,0)</f>
        <v>525</v>
      </c>
      <c r="H187" s="14">
        <f>G187*$L$9</f>
        <v>12337.5</v>
      </c>
      <c r="I187" s="14">
        <f>E187+H187</f>
        <v>12337.5</v>
      </c>
      <c r="J187" s="14">
        <f t="shared" si="99"/>
        <v>7000</v>
      </c>
      <c r="K187" s="14">
        <f>I187+J187</f>
        <v>19337.5</v>
      </c>
      <c r="L187" s="5" t="str">
        <f>A187</f>
        <v>加拿大</v>
      </c>
      <c r="M187" s="1"/>
      <c r="N187" s="12"/>
    </row>
    <row r="188" spans="1:14">
      <c r="A188" s="26" t="s">
        <v>66</v>
      </c>
      <c r="B188" s="28" t="s">
        <v>71</v>
      </c>
      <c r="C188" s="5" t="s">
        <v>67</v>
      </c>
      <c r="D188" s="14">
        <v>0</v>
      </c>
      <c r="E188" s="14">
        <v>0</v>
      </c>
      <c r="F188" s="5" t="s">
        <v>67</v>
      </c>
      <c r="G188" s="14">
        <f>IF($B$5&gt;0,600+240*($B$5-1),0)</f>
        <v>840</v>
      </c>
      <c r="H188" s="14">
        <f>G188*$L$10</f>
        <v>18228</v>
      </c>
      <c r="I188" s="14">
        <f>E188+H188</f>
        <v>18228</v>
      </c>
      <c r="J188" s="14">
        <f t="shared" si="99"/>
        <v>7000</v>
      </c>
      <c r="K188" s="14">
        <f>I188+J188</f>
        <v>25228</v>
      </c>
      <c r="L188" s="27" t="str">
        <f>A188</f>
        <v>澳洲</v>
      </c>
      <c r="M188" s="15"/>
      <c r="N188" s="12"/>
    </row>
    <row r="189" spans="1:14">
      <c r="A189" s="5" t="s">
        <v>49</v>
      </c>
      <c r="B189" s="28" t="s">
        <v>71</v>
      </c>
      <c r="C189" s="5" t="s">
        <v>23</v>
      </c>
      <c r="D189" s="14">
        <v>0</v>
      </c>
      <c r="E189" s="14">
        <v>0</v>
      </c>
      <c r="F189" s="5" t="s">
        <v>23</v>
      </c>
      <c r="G189" s="14">
        <f>IF($B$5&gt;0,200+100*($B$5-1)+250+150*($B$5-1),0)</f>
        <v>700</v>
      </c>
      <c r="H189" s="14">
        <f>G189*$L$6</f>
        <v>17500</v>
      </c>
      <c r="I189" s="14">
        <f t="shared" si="95"/>
        <v>17500</v>
      </c>
      <c r="J189" s="14">
        <f t="shared" si="99"/>
        <v>7000</v>
      </c>
      <c r="K189" s="14">
        <f t="shared" si="96"/>
        <v>24500</v>
      </c>
      <c r="L189" s="5" t="str">
        <f t="shared" si="97"/>
        <v>新加坡</v>
      </c>
      <c r="M189" s="1"/>
      <c r="N189" s="12"/>
    </row>
    <row r="190" spans="1:14">
      <c r="A190" s="5" t="s">
        <v>54</v>
      </c>
      <c r="B190" s="28" t="s">
        <v>71</v>
      </c>
      <c r="C190" s="5" t="s">
        <v>26</v>
      </c>
      <c r="D190" s="14">
        <f>IF($B$5&gt;0,50,0)</f>
        <v>50</v>
      </c>
      <c r="E190" s="14">
        <f>D190*$L$8</f>
        <v>415.00000000000006</v>
      </c>
      <c r="F190" s="5" t="s">
        <v>26</v>
      </c>
      <c r="G190" s="14">
        <f>IF($B$5&gt;0,424,0)</f>
        <v>424</v>
      </c>
      <c r="H190" s="14">
        <f>G190*$L$8</f>
        <v>3519.2000000000003</v>
      </c>
      <c r="I190" s="14">
        <f>E190+H190</f>
        <v>3934.2000000000003</v>
      </c>
      <c r="J190" s="14">
        <f t="shared" si="99"/>
        <v>7000</v>
      </c>
      <c r="K190" s="14">
        <f>I190+J190</f>
        <v>10934.2</v>
      </c>
      <c r="L190" s="5" t="str">
        <f>A190</f>
        <v>馬來西亞</v>
      </c>
      <c r="M190" s="1"/>
      <c r="N190" s="12"/>
    </row>
    <row r="191" spans="1:14">
      <c r="A191" s="53" t="s">
        <v>207</v>
      </c>
      <c r="B191" s="28" t="s">
        <v>71</v>
      </c>
      <c r="C191" s="5" t="s">
        <v>19</v>
      </c>
      <c r="D191" s="14">
        <f>IF($B$5&gt;0,49,0)</f>
        <v>49</v>
      </c>
      <c r="E191" s="14">
        <f>D191*$J$5</f>
        <v>1568</v>
      </c>
      <c r="F191" s="5" t="s">
        <v>19</v>
      </c>
      <c r="G191" s="14">
        <f>IF($B$5&gt;0,80,0)</f>
        <v>80</v>
      </c>
      <c r="H191" s="14">
        <f>G191*$J$5</f>
        <v>2560</v>
      </c>
      <c r="I191" s="14">
        <f>E191+H191</f>
        <v>4128</v>
      </c>
      <c r="J191" s="14">
        <f t="shared" si="99"/>
        <v>7000</v>
      </c>
      <c r="K191" s="14">
        <f>I191+J191</f>
        <v>11128</v>
      </c>
      <c r="L191" s="5" t="str">
        <f>A191</f>
        <v>菲律賓</v>
      </c>
      <c r="M191" s="1"/>
      <c r="N191" s="12"/>
    </row>
    <row r="192" spans="1:14">
      <c r="A192" s="53" t="s">
        <v>112</v>
      </c>
      <c r="B192" s="28" t="s">
        <v>71</v>
      </c>
      <c r="C192" s="5" t="s">
        <v>19</v>
      </c>
      <c r="D192" s="14">
        <f>0*$B$5</f>
        <v>0</v>
      </c>
      <c r="E192" s="14">
        <f>D192*$J$5</f>
        <v>0</v>
      </c>
      <c r="F192" s="5" t="s">
        <v>19</v>
      </c>
      <c r="G192" s="14">
        <f>IF($B$5&gt;0,150,0)</f>
        <v>150</v>
      </c>
      <c r="H192" s="14">
        <f>G192*$J$5</f>
        <v>4800</v>
      </c>
      <c r="I192" s="14">
        <f>E192+H192</f>
        <v>4800</v>
      </c>
      <c r="J192" s="14">
        <f t="shared" si="99"/>
        <v>7000</v>
      </c>
      <c r="K192" s="14">
        <f>I192+J192</f>
        <v>11800</v>
      </c>
      <c r="L192" s="5" t="str">
        <f>A192</f>
        <v>印尼</v>
      </c>
      <c r="M192" s="1"/>
      <c r="N192" s="12"/>
    </row>
    <row r="193" spans="1:14">
      <c r="A193" s="5" t="s">
        <v>51</v>
      </c>
      <c r="B193" s="28" t="s">
        <v>71</v>
      </c>
      <c r="C193" s="5" t="s">
        <v>24</v>
      </c>
      <c r="D193" s="14">
        <f>IF($B$5&gt;0,360000+100000*($B$5-1),0)</f>
        <v>460000</v>
      </c>
      <c r="E193" s="14">
        <f>D193*$L$7</f>
        <v>644</v>
      </c>
      <c r="F193" s="5" t="s">
        <v>19</v>
      </c>
      <c r="G193" s="14">
        <f>IF($B$5&gt;0,145+32*($B$5-1),0)</f>
        <v>177</v>
      </c>
      <c r="H193" s="14">
        <f>G193*$J$5</f>
        <v>5664</v>
      </c>
      <c r="I193" s="14">
        <f t="shared" si="95"/>
        <v>6308</v>
      </c>
      <c r="J193" s="14">
        <f t="shared" si="99"/>
        <v>7000</v>
      </c>
      <c r="K193" s="14">
        <f t="shared" si="96"/>
        <v>13308</v>
      </c>
      <c r="L193" s="5" t="str">
        <f t="shared" si="97"/>
        <v>越南</v>
      </c>
      <c r="M193" s="1"/>
      <c r="N193" s="12"/>
    </row>
    <row r="194" spans="1:14">
      <c r="A194" s="5" t="s">
        <v>53</v>
      </c>
      <c r="B194" s="28" t="s">
        <v>71</v>
      </c>
      <c r="C194" s="5" t="s">
        <v>25</v>
      </c>
      <c r="D194" s="14">
        <f>IF($B$5&gt;0,5400+5400*($B$5-1),0)</f>
        <v>10800</v>
      </c>
      <c r="E194" s="14">
        <f>D194*$J$9</f>
        <v>11880.000000000002</v>
      </c>
      <c r="F194" s="5" t="s">
        <v>25</v>
      </c>
      <c r="G194" s="14">
        <f>IF($B$5&gt;0,3500,0)</f>
        <v>3500</v>
      </c>
      <c r="H194" s="14">
        <f>G194*$J$9</f>
        <v>3850.0000000000005</v>
      </c>
      <c r="I194" s="14">
        <f t="shared" si="95"/>
        <v>15730.000000000002</v>
      </c>
      <c r="J194" s="14">
        <f t="shared" si="99"/>
        <v>7000</v>
      </c>
      <c r="K194" s="14">
        <f t="shared" si="96"/>
        <v>22730</v>
      </c>
      <c r="L194" s="5" t="str">
        <f t="shared" si="97"/>
        <v>泰國</v>
      </c>
      <c r="M194" s="1"/>
      <c r="N194" s="12"/>
    </row>
    <row r="195" spans="1:14">
      <c r="A195" s="53" t="s">
        <v>160</v>
      </c>
      <c r="B195" s="28" t="s">
        <v>71</v>
      </c>
      <c r="C195" s="5" t="s">
        <v>166</v>
      </c>
      <c r="D195" s="14">
        <f>0*$B$5</f>
        <v>0</v>
      </c>
      <c r="E195" s="14">
        <f>D195*$J$10</f>
        <v>0</v>
      </c>
      <c r="F195" s="5" t="s">
        <v>18</v>
      </c>
      <c r="G195" s="14">
        <f>IF($B$5&gt;0,620+620+(310+310)*($B$5-1),0)</f>
        <v>1860</v>
      </c>
      <c r="H195" s="14">
        <f>G195*$L$5</f>
        <v>8556</v>
      </c>
      <c r="I195" s="14">
        <f t="shared" si="95"/>
        <v>8556</v>
      </c>
      <c r="J195" s="14">
        <f t="shared" si="99"/>
        <v>7000</v>
      </c>
      <c r="K195" s="14">
        <f t="shared" ref="K195:K196" si="102">I195+J195</f>
        <v>15556</v>
      </c>
      <c r="L195" s="5" t="str">
        <f t="shared" si="97"/>
        <v>香港</v>
      </c>
      <c r="M195" s="1"/>
      <c r="N195" s="12"/>
    </row>
    <row r="196" spans="1:14" ht="17.25">
      <c r="A196" s="53" t="s">
        <v>161</v>
      </c>
      <c r="B196" s="28" t="s">
        <v>71</v>
      </c>
      <c r="C196" s="5" t="s">
        <v>19</v>
      </c>
      <c r="D196" s="14">
        <f>0*$B$5</f>
        <v>0</v>
      </c>
      <c r="E196" s="14">
        <f>D196*$J$5</f>
        <v>0</v>
      </c>
      <c r="F196" s="5" t="s">
        <v>19</v>
      </c>
      <c r="G196" s="14">
        <f>0*$B$5</f>
        <v>0</v>
      </c>
      <c r="H196" s="14">
        <f>G196*$J$5</f>
        <v>0</v>
      </c>
      <c r="I196" s="14">
        <f t="shared" si="95"/>
        <v>0</v>
      </c>
      <c r="J196" s="14">
        <f>IF($B$5&gt;0,5000+5000*($B$5-1),0)</f>
        <v>10000</v>
      </c>
      <c r="K196" s="14">
        <f t="shared" si="102"/>
        <v>10000</v>
      </c>
      <c r="L196" s="5" t="str">
        <f t="shared" ref="L196" si="103">A196</f>
        <v>澳門</v>
      </c>
      <c r="M196" s="104" t="s">
        <v>214</v>
      </c>
      <c r="N196" s="12"/>
    </row>
    <row r="197" spans="1:14">
      <c r="A197" s="53" t="s">
        <v>208</v>
      </c>
      <c r="B197" s="28" t="s">
        <v>71</v>
      </c>
      <c r="C197" s="5" t="s">
        <v>19</v>
      </c>
      <c r="D197" s="14">
        <f>0*$B$5</f>
        <v>0</v>
      </c>
      <c r="E197" s="14">
        <f>D197*$J$5</f>
        <v>0</v>
      </c>
      <c r="F197" s="5" t="s">
        <v>19</v>
      </c>
      <c r="G197" s="14">
        <f>IF($B$5&gt;0,200+200,0)</f>
        <v>400</v>
      </c>
      <c r="H197" s="14">
        <f>G197*$J$5</f>
        <v>12800</v>
      </c>
      <c r="I197" s="14">
        <f t="shared" ref="I197" si="104">E197+H197</f>
        <v>12800</v>
      </c>
      <c r="J197" s="14">
        <f t="shared" si="99"/>
        <v>7000</v>
      </c>
      <c r="K197" s="14">
        <f t="shared" ref="K197" si="105">I197+J197</f>
        <v>19800</v>
      </c>
      <c r="L197" s="5" t="str">
        <f t="shared" ref="L197" si="106">A197</f>
        <v>印度</v>
      </c>
      <c r="M197" s="1"/>
      <c r="N197" s="12"/>
    </row>
    <row r="198" spans="1:14" ht="18.75">
      <c r="A198" s="16"/>
      <c r="B198" s="16"/>
      <c r="C198" s="16"/>
      <c r="D198" s="17" t="s">
        <v>56</v>
      </c>
      <c r="E198" s="18">
        <f>SUM(E180:E197)</f>
        <v>52975</v>
      </c>
      <c r="F198" s="16"/>
      <c r="G198" s="17" t="s">
        <v>56</v>
      </c>
      <c r="H198" s="19">
        <f>SUM(H180:H197)</f>
        <v>125634.7</v>
      </c>
      <c r="I198" s="20">
        <f>SUM(I180:I197)</f>
        <v>178609.7</v>
      </c>
      <c r="J198" s="21">
        <f>SUM(J180:J197)</f>
        <v>128000</v>
      </c>
      <c r="K198" s="22">
        <f>SUM(K180:K197)</f>
        <v>306609.7</v>
      </c>
      <c r="L198" s="5"/>
      <c r="M198" s="1"/>
      <c r="N198" s="12"/>
    </row>
    <row r="199" spans="1:14">
      <c r="A199" s="1"/>
      <c r="B199" s="23"/>
      <c r="C199" s="2"/>
      <c r="D199" s="2"/>
      <c r="E199" s="2"/>
      <c r="F199" s="2"/>
      <c r="G199" s="2"/>
      <c r="H199" s="2"/>
      <c r="I199" s="2"/>
      <c r="J199" s="2"/>
      <c r="K199" s="2"/>
      <c r="L199" s="2"/>
      <c r="M199" s="1"/>
      <c r="N199" s="12"/>
    </row>
    <row r="200" spans="1:14">
      <c r="A200" s="1"/>
      <c r="B200" s="23"/>
      <c r="C200" s="2"/>
      <c r="D200" s="2"/>
      <c r="E200" s="2"/>
      <c r="F200" s="2"/>
      <c r="G200" s="2"/>
      <c r="H200" s="2"/>
      <c r="I200" s="2"/>
      <c r="J200" s="2"/>
      <c r="K200" s="2"/>
      <c r="L200" s="2"/>
      <c r="M200" s="1"/>
      <c r="N200" s="12"/>
    </row>
    <row r="201" spans="1:14">
      <c r="A201" t="s">
        <v>90</v>
      </c>
      <c r="B201" s="23"/>
      <c r="C201" s="2"/>
      <c r="D201" s="2"/>
      <c r="E201" s="2"/>
      <c r="F201" s="2"/>
      <c r="G201" s="2"/>
      <c r="H201" s="2"/>
      <c r="I201" s="2"/>
      <c r="J201" s="2"/>
      <c r="K201" s="2"/>
      <c r="L201" s="2"/>
      <c r="M201" s="1"/>
      <c r="N201" s="12"/>
    </row>
    <row r="202" spans="1:14" s="44" customFormat="1">
      <c r="A202" s="103" t="s">
        <v>180</v>
      </c>
      <c r="B202" s="49"/>
      <c r="C202" s="49"/>
      <c r="D202" s="49"/>
      <c r="E202" s="49"/>
      <c r="F202" s="49"/>
      <c r="G202" s="49"/>
      <c r="H202" s="49"/>
      <c r="I202" s="49"/>
      <c r="J202" s="49"/>
      <c r="K202" s="49"/>
      <c r="L202" s="49"/>
      <c r="M202" s="42"/>
      <c r="N202" s="43"/>
    </row>
    <row r="203" spans="1:14" ht="32.25" customHeight="1">
      <c r="A203" s="130" t="s">
        <v>16</v>
      </c>
      <c r="B203" s="131" t="s">
        <v>13</v>
      </c>
      <c r="C203" s="133" t="s">
        <v>191</v>
      </c>
      <c r="D203" s="134"/>
      <c r="E203" s="135"/>
      <c r="F203" s="133" t="s">
        <v>192</v>
      </c>
      <c r="G203" s="134"/>
      <c r="H203" s="135"/>
      <c r="I203" s="100" t="s">
        <v>193</v>
      </c>
      <c r="J203" s="136" t="s">
        <v>194</v>
      </c>
      <c r="K203" s="137" t="s">
        <v>195</v>
      </c>
      <c r="L203" s="125" t="s">
        <v>16</v>
      </c>
      <c r="M203" s="1"/>
      <c r="N203" s="12"/>
    </row>
    <row r="204" spans="1:14">
      <c r="A204" s="126"/>
      <c r="B204" s="132"/>
      <c r="C204" s="38" t="s">
        <v>31</v>
      </c>
      <c r="D204" s="38" t="s">
        <v>32</v>
      </c>
      <c r="E204" s="38" t="s">
        <v>33</v>
      </c>
      <c r="F204" s="38" t="s">
        <v>31</v>
      </c>
      <c r="G204" s="38" t="s">
        <v>32</v>
      </c>
      <c r="H204" s="38" t="s">
        <v>33</v>
      </c>
      <c r="I204" s="38" t="s">
        <v>33</v>
      </c>
      <c r="J204" s="126"/>
      <c r="K204" s="126"/>
      <c r="L204" s="126"/>
      <c r="M204" s="1"/>
      <c r="N204" s="12"/>
    </row>
    <row r="205" spans="1:14">
      <c r="A205" s="5" t="s">
        <v>34</v>
      </c>
      <c r="B205" s="28" t="s">
        <v>70</v>
      </c>
      <c r="C205" s="5" t="s">
        <v>17</v>
      </c>
      <c r="D205" s="14">
        <f>IF($B$5&gt;0,2500*$B$5,0)</f>
        <v>5000</v>
      </c>
      <c r="E205" s="14">
        <f>D205</f>
        <v>5000</v>
      </c>
      <c r="F205" s="5" t="s">
        <v>17</v>
      </c>
      <c r="G205" s="14">
        <v>0</v>
      </c>
      <c r="H205" s="14">
        <v>0</v>
      </c>
      <c r="I205" s="14">
        <f>E205+H205</f>
        <v>5000</v>
      </c>
      <c r="J205" s="14">
        <v>0</v>
      </c>
      <c r="K205" s="14">
        <f>I205+J205</f>
        <v>5000</v>
      </c>
      <c r="L205" s="5" t="str">
        <f>A205</f>
        <v>台灣</v>
      </c>
      <c r="M205" s="1"/>
      <c r="N205" s="12"/>
    </row>
    <row r="206" spans="1:14">
      <c r="A206" s="5" t="s">
        <v>37</v>
      </c>
      <c r="B206" s="28" t="s">
        <v>70</v>
      </c>
      <c r="C206" s="5" t="s">
        <v>18</v>
      </c>
      <c r="D206" s="14">
        <v>0</v>
      </c>
      <c r="E206" s="14">
        <v>0</v>
      </c>
      <c r="F206" s="5" t="s">
        <v>18</v>
      </c>
      <c r="G206" s="14">
        <v>0</v>
      </c>
      <c r="H206" s="14">
        <v>0</v>
      </c>
      <c r="I206" s="14">
        <f t="shared" ref="I206:I219" si="107">E206+H206</f>
        <v>0</v>
      </c>
      <c r="J206" s="14">
        <f>IF($B$5&gt;0,3000*$B$5,0)</f>
        <v>6000</v>
      </c>
      <c r="K206" s="14">
        <f t="shared" ref="K206:K219" si="108">I206+J206</f>
        <v>6000</v>
      </c>
      <c r="L206" s="5" t="str">
        <f t="shared" ref="L206:L221" si="109">A206</f>
        <v>大陸</v>
      </c>
      <c r="M206" s="1"/>
      <c r="N206" s="12"/>
    </row>
    <row r="207" spans="1:14">
      <c r="A207" s="5" t="s">
        <v>40</v>
      </c>
      <c r="B207" s="28" t="s">
        <v>70</v>
      </c>
      <c r="C207" s="5" t="s">
        <v>19</v>
      </c>
      <c r="D207" s="14">
        <f>IF($B$5&gt;0,150*$B$5,0)</f>
        <v>300</v>
      </c>
      <c r="E207" s="14">
        <f>D207*$J$5</f>
        <v>9600</v>
      </c>
      <c r="F207" s="5" t="s">
        <v>19</v>
      </c>
      <c r="G207" s="14">
        <f>IF($B$5&gt;0,(100+275+140)*$B$5,0)</f>
        <v>1030</v>
      </c>
      <c r="H207" s="14">
        <f>G207*$J$5</f>
        <v>32960</v>
      </c>
      <c r="I207" s="14">
        <f t="shared" si="107"/>
        <v>42560</v>
      </c>
      <c r="J207" s="14">
        <f>IF($B$5&gt;0,(10000+5000)*$B$5,0)</f>
        <v>30000</v>
      </c>
      <c r="K207" s="14">
        <f t="shared" si="108"/>
        <v>72560</v>
      </c>
      <c r="L207" s="5" t="str">
        <f t="shared" si="109"/>
        <v>美國</v>
      </c>
      <c r="M207" s="1"/>
      <c r="N207" s="12"/>
    </row>
    <row r="208" spans="1:14">
      <c r="A208" s="26" t="s">
        <v>0</v>
      </c>
      <c r="B208" s="28" t="s">
        <v>70</v>
      </c>
      <c r="C208" s="5" t="s">
        <v>20</v>
      </c>
      <c r="D208" s="14">
        <v>0</v>
      </c>
      <c r="E208" s="14">
        <v>0</v>
      </c>
      <c r="F208" s="5" t="s">
        <v>20</v>
      </c>
      <c r="G208" s="14">
        <v>0</v>
      </c>
      <c r="H208" s="14">
        <v>0</v>
      </c>
      <c r="I208" s="14">
        <f t="shared" si="107"/>
        <v>0</v>
      </c>
      <c r="J208" s="14">
        <f>IF($B$5&gt;0,5000*$B$5,0)</f>
        <v>10000</v>
      </c>
      <c r="K208" s="14">
        <f t="shared" si="108"/>
        <v>10000</v>
      </c>
      <c r="L208" s="5" t="str">
        <f t="shared" si="109"/>
        <v>歐盟</v>
      </c>
      <c r="M208" s="1"/>
      <c r="N208" s="12"/>
    </row>
    <row r="209" spans="1:14">
      <c r="A209" s="26" t="s">
        <v>167</v>
      </c>
      <c r="B209" s="28" t="s">
        <v>70</v>
      </c>
      <c r="C209" s="5" t="s">
        <v>168</v>
      </c>
      <c r="D209" s="14">
        <v>0</v>
      </c>
      <c r="E209" s="14">
        <v>0</v>
      </c>
      <c r="F209" s="5" t="s">
        <v>20</v>
      </c>
      <c r="G209" s="14">
        <f>IF($B$5&gt;0,0*$B$5,0)</f>
        <v>0</v>
      </c>
      <c r="H209" s="14">
        <f>G209*$J$6</f>
        <v>0</v>
      </c>
      <c r="I209" s="14">
        <f t="shared" ref="I209" si="110">E209+H209</f>
        <v>0</v>
      </c>
      <c r="J209" s="14">
        <f t="shared" ref="J209:J222" si="111">IF($B$5&gt;0,5000*$B$5,0)</f>
        <v>10000</v>
      </c>
      <c r="K209" s="14">
        <f t="shared" ref="K209" si="112">I209+J209</f>
        <v>10000</v>
      </c>
      <c r="L209" s="5" t="str">
        <f t="shared" ref="L209" si="113">A209</f>
        <v>英國</v>
      </c>
      <c r="M209" s="1"/>
      <c r="N209" s="12"/>
    </row>
    <row r="210" spans="1:14">
      <c r="A210" s="5" t="s">
        <v>44</v>
      </c>
      <c r="B210" s="28" t="s">
        <v>70</v>
      </c>
      <c r="C210" s="5" t="s">
        <v>21</v>
      </c>
      <c r="D210" s="14">
        <f>IF($B$5&gt;0,32900*$B$5,0)</f>
        <v>65800</v>
      </c>
      <c r="E210" s="14">
        <f>D210*$J$7</f>
        <v>13818</v>
      </c>
      <c r="F210" s="5" t="s">
        <v>21</v>
      </c>
      <c r="G210" s="14">
        <f>IF($B$5&gt;0,22000*$B$5,0)</f>
        <v>44000</v>
      </c>
      <c r="H210" s="14">
        <f>G210*$J$7</f>
        <v>9240</v>
      </c>
      <c r="I210" s="14">
        <f t="shared" si="107"/>
        <v>23058</v>
      </c>
      <c r="J210" s="14">
        <f t="shared" si="111"/>
        <v>10000</v>
      </c>
      <c r="K210" s="14">
        <f t="shared" si="108"/>
        <v>33058</v>
      </c>
      <c r="L210" s="5" t="str">
        <f t="shared" si="109"/>
        <v>日本</v>
      </c>
      <c r="M210" s="1"/>
      <c r="N210" s="12"/>
    </row>
    <row r="211" spans="1:14">
      <c r="A211" s="5" t="s">
        <v>47</v>
      </c>
      <c r="B211" s="28" t="s">
        <v>70</v>
      </c>
      <c r="C211" s="5" t="s">
        <v>22</v>
      </c>
      <c r="D211" s="14">
        <f>IF($B$5&gt;0,201000*$B$5,0)</f>
        <v>402000</v>
      </c>
      <c r="E211" s="14">
        <f>D211*$J$8</f>
        <v>10050</v>
      </c>
      <c r="F211" s="5" t="s">
        <v>19</v>
      </c>
      <c r="G211" s="14">
        <f>IF($B$5&gt;0,(200+100)*$B$5,0)</f>
        <v>600</v>
      </c>
      <c r="H211" s="14">
        <f>G211*$J$5</f>
        <v>19200</v>
      </c>
      <c r="I211" s="14">
        <f t="shared" si="107"/>
        <v>29250</v>
      </c>
      <c r="J211" s="14">
        <f t="shared" si="111"/>
        <v>10000</v>
      </c>
      <c r="K211" s="14">
        <f t="shared" si="108"/>
        <v>39250</v>
      </c>
      <c r="L211" s="5" t="str">
        <f t="shared" si="109"/>
        <v>韓國</v>
      </c>
      <c r="M211" s="1"/>
      <c r="N211" s="12"/>
    </row>
    <row r="212" spans="1:14">
      <c r="A212" s="28" t="s">
        <v>27</v>
      </c>
      <c r="B212" s="28" t="s">
        <v>70</v>
      </c>
      <c r="C212" s="5" t="s">
        <v>28</v>
      </c>
      <c r="D212" s="14">
        <v>0</v>
      </c>
      <c r="E212" s="14">
        <f>D212*$L$9</f>
        <v>0</v>
      </c>
      <c r="F212" s="5" t="s">
        <v>28</v>
      </c>
      <c r="G212" s="14">
        <f>IF($B$5&gt;0,1150*$B$5,0)</f>
        <v>2300</v>
      </c>
      <c r="H212" s="14">
        <f>G212*$L$9</f>
        <v>54050</v>
      </c>
      <c r="I212" s="14">
        <f>E212+H212</f>
        <v>54050</v>
      </c>
      <c r="J212" s="14">
        <f t="shared" si="111"/>
        <v>10000</v>
      </c>
      <c r="K212" s="14">
        <f>I212+J212</f>
        <v>64050</v>
      </c>
      <c r="L212" s="5" t="str">
        <f>A212</f>
        <v>加拿大</v>
      </c>
      <c r="M212" s="1"/>
      <c r="N212" s="12"/>
    </row>
    <row r="213" spans="1:14">
      <c r="A213" s="26" t="s">
        <v>66</v>
      </c>
      <c r="B213" s="28" t="s">
        <v>70</v>
      </c>
      <c r="C213" s="5" t="s">
        <v>67</v>
      </c>
      <c r="D213" s="14">
        <v>0</v>
      </c>
      <c r="E213" s="14">
        <v>0</v>
      </c>
      <c r="F213" s="5" t="s">
        <v>67</v>
      </c>
      <c r="G213" s="14">
        <f>IF($B$5&gt;0,600*$B$5,0)</f>
        <v>1200</v>
      </c>
      <c r="H213" s="14">
        <f>G213*$L$10</f>
        <v>26040</v>
      </c>
      <c r="I213" s="14">
        <f>E213+H213</f>
        <v>26040</v>
      </c>
      <c r="J213" s="14">
        <f t="shared" si="111"/>
        <v>10000</v>
      </c>
      <c r="K213" s="14">
        <f>I213+J213</f>
        <v>36040</v>
      </c>
      <c r="L213" s="27" t="str">
        <f>A213</f>
        <v>澳洲</v>
      </c>
      <c r="M213" s="15"/>
      <c r="N213" s="12"/>
    </row>
    <row r="214" spans="1:14">
      <c r="A214" s="5" t="s">
        <v>49</v>
      </c>
      <c r="B214" s="28" t="s">
        <v>70</v>
      </c>
      <c r="C214" s="5" t="s">
        <v>23</v>
      </c>
      <c r="D214" s="14">
        <v>0</v>
      </c>
      <c r="E214" s="14">
        <v>0</v>
      </c>
      <c r="F214" s="5" t="s">
        <v>23</v>
      </c>
      <c r="G214" s="14">
        <f>IF($B$5&gt;0,(200+250)*$B$5,0)</f>
        <v>900</v>
      </c>
      <c r="H214" s="14">
        <f>G214*$L$6</f>
        <v>22500</v>
      </c>
      <c r="I214" s="14">
        <f t="shared" si="107"/>
        <v>22500</v>
      </c>
      <c r="J214" s="14">
        <f t="shared" si="111"/>
        <v>10000</v>
      </c>
      <c r="K214" s="14">
        <f t="shared" si="108"/>
        <v>32500</v>
      </c>
      <c r="L214" s="5" t="str">
        <f t="shared" si="109"/>
        <v>新加坡</v>
      </c>
      <c r="M214" s="1"/>
      <c r="N214" s="12"/>
    </row>
    <row r="215" spans="1:14">
      <c r="A215" s="5" t="s">
        <v>54</v>
      </c>
      <c r="B215" s="28" t="s">
        <v>70</v>
      </c>
      <c r="C215" s="5" t="s">
        <v>26</v>
      </c>
      <c r="D215" s="14">
        <f>IF($B$5&gt;0,50*$B$5,0)</f>
        <v>100</v>
      </c>
      <c r="E215" s="14">
        <f>D215*$L$8</f>
        <v>830.00000000000011</v>
      </c>
      <c r="F215" s="5" t="s">
        <v>26</v>
      </c>
      <c r="G215" s="14">
        <f>IF($B$5&gt;0,424*$B$5,0)</f>
        <v>848</v>
      </c>
      <c r="H215" s="14">
        <f>G215*$L$8</f>
        <v>7038.4000000000005</v>
      </c>
      <c r="I215" s="14">
        <f>E215+H215</f>
        <v>7868.4000000000005</v>
      </c>
      <c r="J215" s="14">
        <f t="shared" si="111"/>
        <v>10000</v>
      </c>
      <c r="K215" s="14">
        <f>I215+J215</f>
        <v>17868.400000000001</v>
      </c>
      <c r="L215" s="5" t="str">
        <f>A215</f>
        <v>馬來西亞</v>
      </c>
      <c r="M215" s="1"/>
      <c r="N215" s="12"/>
    </row>
    <row r="216" spans="1:14">
      <c r="A216" s="53" t="s">
        <v>207</v>
      </c>
      <c r="B216" s="28" t="s">
        <v>70</v>
      </c>
      <c r="C216" s="5" t="s">
        <v>19</v>
      </c>
      <c r="D216" s="14">
        <f>IF($B$5&gt;0,0*$B$5,0)</f>
        <v>0</v>
      </c>
      <c r="E216" s="14">
        <f>D216*$J$5</f>
        <v>0</v>
      </c>
      <c r="F216" s="5" t="s">
        <v>19</v>
      </c>
      <c r="G216" s="14">
        <f>IF($B$5&gt;0,80*$B$5,0)</f>
        <v>160</v>
      </c>
      <c r="H216" s="14">
        <f>G216*$J$5</f>
        <v>5120</v>
      </c>
      <c r="I216" s="14">
        <f>E216+H216</f>
        <v>5120</v>
      </c>
      <c r="J216" s="14">
        <f t="shared" si="111"/>
        <v>10000</v>
      </c>
      <c r="K216" s="14">
        <f>I216+J216</f>
        <v>15120</v>
      </c>
      <c r="L216" s="5" t="str">
        <f>A216</f>
        <v>菲律賓</v>
      </c>
      <c r="M216" s="1"/>
      <c r="N216" s="12"/>
    </row>
    <row r="217" spans="1:14">
      <c r="A217" s="53" t="s">
        <v>112</v>
      </c>
      <c r="B217" s="28" t="s">
        <v>70</v>
      </c>
      <c r="C217" s="5" t="s">
        <v>19</v>
      </c>
      <c r="D217" s="14">
        <f>0*$B$5</f>
        <v>0</v>
      </c>
      <c r="E217" s="14">
        <f>D217*$J$5</f>
        <v>0</v>
      </c>
      <c r="F217" s="5" t="s">
        <v>19</v>
      </c>
      <c r="G217" s="14">
        <f>IF($B$5&gt;0,150*$B$5,0)</f>
        <v>300</v>
      </c>
      <c r="H217" s="14">
        <f>G217*$J$5</f>
        <v>9600</v>
      </c>
      <c r="I217" s="14">
        <f>E217+H217</f>
        <v>9600</v>
      </c>
      <c r="J217" s="14">
        <f t="shared" si="111"/>
        <v>10000</v>
      </c>
      <c r="K217" s="14">
        <f>I217+J217</f>
        <v>19600</v>
      </c>
      <c r="L217" s="5" t="str">
        <f>A217</f>
        <v>印尼</v>
      </c>
      <c r="M217" s="1"/>
      <c r="N217" s="12"/>
    </row>
    <row r="218" spans="1:14">
      <c r="A218" s="5" t="s">
        <v>51</v>
      </c>
      <c r="B218" s="28" t="s">
        <v>70</v>
      </c>
      <c r="C218" s="5" t="s">
        <v>24</v>
      </c>
      <c r="D218" s="14">
        <f>IF($B$5&gt;0,360000*$B$5,0)</f>
        <v>720000</v>
      </c>
      <c r="E218" s="14">
        <f>D218*$L$7</f>
        <v>1008</v>
      </c>
      <c r="F218" s="5" t="s">
        <v>19</v>
      </c>
      <c r="G218" s="14">
        <f>IF($B$5&gt;0,145*$B$5,0)</f>
        <v>290</v>
      </c>
      <c r="H218" s="14">
        <f>G218*$J$5</f>
        <v>9280</v>
      </c>
      <c r="I218" s="14">
        <f t="shared" si="107"/>
        <v>10288</v>
      </c>
      <c r="J218" s="14">
        <f t="shared" si="111"/>
        <v>10000</v>
      </c>
      <c r="K218" s="14">
        <f t="shared" si="108"/>
        <v>20288</v>
      </c>
      <c r="L218" s="5" t="str">
        <f t="shared" si="109"/>
        <v>越南</v>
      </c>
      <c r="M218" s="1"/>
      <c r="N218" s="12"/>
    </row>
    <row r="219" spans="1:14">
      <c r="A219" s="5" t="s">
        <v>53</v>
      </c>
      <c r="B219" s="28" t="s">
        <v>70</v>
      </c>
      <c r="C219" s="5" t="s">
        <v>25</v>
      </c>
      <c r="D219" s="14">
        <f>IF($B$5&gt;0,5400*$B$5,0)</f>
        <v>10800</v>
      </c>
      <c r="E219" s="14">
        <f>D219*$J$9</f>
        <v>11880.000000000002</v>
      </c>
      <c r="F219" s="5" t="s">
        <v>25</v>
      </c>
      <c r="G219" s="14">
        <f>IF($B$5&gt;0,3500*$B$5,0)</f>
        <v>7000</v>
      </c>
      <c r="H219" s="14">
        <f>G219*$J$9</f>
        <v>7700.0000000000009</v>
      </c>
      <c r="I219" s="14">
        <f t="shared" si="107"/>
        <v>19580.000000000004</v>
      </c>
      <c r="J219" s="14">
        <f t="shared" si="111"/>
        <v>10000</v>
      </c>
      <c r="K219" s="14">
        <f t="shared" si="108"/>
        <v>29580.000000000004</v>
      </c>
      <c r="L219" s="5" t="str">
        <f t="shared" si="109"/>
        <v>泰國</v>
      </c>
      <c r="M219" s="1"/>
      <c r="N219" s="12"/>
    </row>
    <row r="220" spans="1:14">
      <c r="A220" s="53" t="s">
        <v>160</v>
      </c>
      <c r="B220" s="28" t="s">
        <v>70</v>
      </c>
      <c r="C220" s="5" t="s">
        <v>166</v>
      </c>
      <c r="D220" s="14">
        <f>0*$B$5</f>
        <v>0</v>
      </c>
      <c r="E220" s="14">
        <f>D220*$J$10</f>
        <v>0</v>
      </c>
      <c r="F220" s="5" t="s">
        <v>18</v>
      </c>
      <c r="G220" s="14">
        <f>IF($B$5&gt;0,(620+620)*$B$5,0)</f>
        <v>2480</v>
      </c>
      <c r="H220" s="14">
        <f>G220*$L$5</f>
        <v>11408</v>
      </c>
      <c r="I220" s="14">
        <f t="shared" ref="I220:I221" si="114">E220+H220</f>
        <v>11408</v>
      </c>
      <c r="J220" s="14">
        <f t="shared" si="111"/>
        <v>10000</v>
      </c>
      <c r="K220" s="14">
        <f t="shared" ref="K220:K221" si="115">I220+J220</f>
        <v>21408</v>
      </c>
      <c r="L220" s="5" t="str">
        <f t="shared" si="109"/>
        <v>香港</v>
      </c>
      <c r="M220" s="1"/>
      <c r="N220" s="12"/>
    </row>
    <row r="221" spans="1:14" ht="17.25">
      <c r="A221" s="53" t="s">
        <v>161</v>
      </c>
      <c r="B221" s="28" t="s">
        <v>70</v>
      </c>
      <c r="C221" s="5" t="s">
        <v>19</v>
      </c>
      <c r="D221" s="14">
        <f>0*$B$5</f>
        <v>0</v>
      </c>
      <c r="E221" s="14">
        <f>D221*$J$5</f>
        <v>0</v>
      </c>
      <c r="F221" s="5" t="s">
        <v>19</v>
      </c>
      <c r="G221" s="14">
        <f>0*$B$5</f>
        <v>0</v>
      </c>
      <c r="H221" s="14">
        <f>G221*$J$5</f>
        <v>0</v>
      </c>
      <c r="I221" s="14">
        <f t="shared" si="114"/>
        <v>0</v>
      </c>
      <c r="J221" s="14">
        <f t="shared" si="111"/>
        <v>10000</v>
      </c>
      <c r="K221" s="14">
        <f t="shared" si="115"/>
        <v>10000</v>
      </c>
      <c r="L221" s="5" t="str">
        <f t="shared" si="109"/>
        <v>澳門</v>
      </c>
      <c r="M221" s="104" t="s">
        <v>214</v>
      </c>
      <c r="N221" s="12"/>
    </row>
    <row r="222" spans="1:14">
      <c r="A222" s="53" t="s">
        <v>208</v>
      </c>
      <c r="B222" s="28" t="s">
        <v>70</v>
      </c>
      <c r="C222" s="5" t="s">
        <v>19</v>
      </c>
      <c r="D222" s="14">
        <f>0*$B$5</f>
        <v>0</v>
      </c>
      <c r="E222" s="14">
        <f>D222*$J$5</f>
        <v>0</v>
      </c>
      <c r="F222" s="5" t="s">
        <v>19</v>
      </c>
      <c r="G222" s="14">
        <f>IF($B$5&gt;0,(200+200)*$B$5,0)</f>
        <v>800</v>
      </c>
      <c r="H222" s="14">
        <f>G222*$J$5</f>
        <v>25600</v>
      </c>
      <c r="I222" s="14">
        <f t="shared" ref="I222" si="116">E222+H222</f>
        <v>25600</v>
      </c>
      <c r="J222" s="14">
        <f t="shared" si="111"/>
        <v>10000</v>
      </c>
      <c r="K222" s="14">
        <f t="shared" ref="K222" si="117">I222+J222</f>
        <v>35600</v>
      </c>
      <c r="L222" s="5" t="str">
        <f t="shared" ref="L222" si="118">A222</f>
        <v>印度</v>
      </c>
      <c r="M222" s="1"/>
      <c r="N222" s="12"/>
    </row>
    <row r="223" spans="1:14" ht="18.75">
      <c r="A223" s="16"/>
      <c r="B223" s="16"/>
      <c r="C223" s="16"/>
      <c r="D223" s="17" t="s">
        <v>56</v>
      </c>
      <c r="E223" s="18">
        <f>SUM(E205:E222)</f>
        <v>52186</v>
      </c>
      <c r="F223" s="16"/>
      <c r="G223" s="17" t="s">
        <v>56</v>
      </c>
      <c r="H223" s="19">
        <f>SUM(H205:H222)</f>
        <v>239736.4</v>
      </c>
      <c r="I223" s="20">
        <f>SUM(I205:I222)</f>
        <v>291922.40000000002</v>
      </c>
      <c r="J223" s="21">
        <f>SUM(J205:J222)</f>
        <v>186000</v>
      </c>
      <c r="K223" s="22">
        <f>SUM(K205:K222)</f>
        <v>477922.4</v>
      </c>
      <c r="L223" s="5"/>
      <c r="M223" s="1"/>
      <c r="N223" s="12"/>
    </row>
    <row r="224" spans="1:14">
      <c r="A224" s="1"/>
      <c r="B224" s="23"/>
      <c r="C224" s="2"/>
      <c r="D224" s="2"/>
      <c r="E224" s="2"/>
      <c r="F224" s="2"/>
      <c r="G224" s="2"/>
      <c r="H224" s="2"/>
      <c r="I224" s="2"/>
      <c r="J224" s="2"/>
      <c r="K224" s="2"/>
      <c r="L224" s="2"/>
      <c r="M224" s="1"/>
      <c r="N224" s="12"/>
    </row>
    <row r="225" spans="1:16">
      <c r="A225" s="1"/>
      <c r="B225" s="23"/>
      <c r="C225" s="2"/>
      <c r="D225" s="2"/>
      <c r="E225" s="2"/>
      <c r="F225" s="2"/>
      <c r="G225" s="2"/>
      <c r="H225" s="2"/>
      <c r="I225" s="2"/>
      <c r="J225" s="2"/>
      <c r="K225" s="2"/>
      <c r="L225" s="2"/>
      <c r="M225" s="1"/>
      <c r="N225" s="12"/>
    </row>
    <row r="226" spans="1:16">
      <c r="A226" s="1"/>
      <c r="B226" s="23"/>
      <c r="C226" s="2"/>
      <c r="D226" s="2"/>
      <c r="E226" s="2"/>
      <c r="F226" s="2"/>
      <c r="G226" s="2"/>
      <c r="H226" s="2"/>
      <c r="I226" s="2"/>
      <c r="J226" s="2"/>
      <c r="K226" s="2"/>
      <c r="L226" s="2"/>
      <c r="M226" s="1"/>
      <c r="N226" s="12"/>
    </row>
    <row r="227" spans="1:16">
      <c r="A227" s="1"/>
      <c r="B227" s="23"/>
      <c r="C227" s="2"/>
      <c r="D227" s="2"/>
      <c r="E227" s="2"/>
      <c r="F227" s="2"/>
      <c r="G227" s="2"/>
      <c r="H227" s="2"/>
      <c r="I227" s="2"/>
      <c r="J227" s="2"/>
      <c r="K227" s="2"/>
      <c r="L227" s="2"/>
      <c r="M227" s="1"/>
      <c r="N227" s="12"/>
    </row>
    <row r="228" spans="1:16">
      <c r="A228" s="1"/>
      <c r="B228" s="23"/>
      <c r="C228" s="2"/>
      <c r="D228" s="2"/>
      <c r="E228" s="2"/>
      <c r="F228" s="2"/>
      <c r="G228" s="2"/>
      <c r="H228" s="2"/>
      <c r="I228" s="2"/>
      <c r="J228" s="2"/>
      <c r="K228" s="2"/>
      <c r="L228" s="2"/>
      <c r="M228" s="1"/>
      <c r="N228" s="12"/>
    </row>
    <row r="229" spans="1:16">
      <c r="A229" s="1"/>
      <c r="B229" s="23"/>
      <c r="C229" s="2"/>
      <c r="D229" s="2"/>
      <c r="E229" s="2"/>
      <c r="F229" s="2"/>
      <c r="G229" s="2"/>
      <c r="H229" s="2"/>
      <c r="I229" s="2"/>
      <c r="J229" s="2"/>
      <c r="K229" s="2"/>
      <c r="L229" s="2"/>
      <c r="M229" s="1"/>
      <c r="N229" s="12"/>
    </row>
    <row r="230" spans="1:16">
      <c r="A230" s="24"/>
      <c r="B230" s="1"/>
      <c r="C230" s="1"/>
      <c r="D230" s="1"/>
      <c r="E230" s="1"/>
      <c r="F230" s="1"/>
      <c r="G230" s="1"/>
      <c r="H230" s="1"/>
      <c r="I230" s="1"/>
      <c r="J230" s="1"/>
      <c r="K230" s="1"/>
      <c r="L230" s="1"/>
      <c r="M230" s="1"/>
      <c r="N230" s="12"/>
    </row>
    <row r="231" spans="1:16" s="44" customFormat="1">
      <c r="A231" s="54" t="s">
        <v>109</v>
      </c>
      <c r="B231" s="54"/>
      <c r="C231" s="54"/>
      <c r="D231" s="54"/>
      <c r="E231" s="54"/>
      <c r="F231" s="54"/>
      <c r="G231" s="54"/>
      <c r="H231" s="54"/>
      <c r="I231" s="54"/>
      <c r="J231" s="54"/>
      <c r="K231" s="54"/>
      <c r="L231" s="54"/>
      <c r="M231" s="42"/>
      <c r="N231" s="43"/>
    </row>
    <row r="232" spans="1:16" ht="32.25" customHeight="1">
      <c r="A232" s="158" t="s">
        <v>16</v>
      </c>
      <c r="B232" s="144" t="s">
        <v>91</v>
      </c>
      <c r="C232" s="159" t="s">
        <v>196</v>
      </c>
      <c r="D232" s="147"/>
      <c r="E232" s="148"/>
      <c r="F232" s="159" t="s">
        <v>197</v>
      </c>
      <c r="G232" s="147"/>
      <c r="H232" s="148"/>
      <c r="I232" s="99" t="s">
        <v>198</v>
      </c>
      <c r="J232" s="138" t="s">
        <v>199</v>
      </c>
      <c r="K232" s="138" t="s">
        <v>200</v>
      </c>
      <c r="L232" s="140" t="s">
        <v>16</v>
      </c>
      <c r="M232" s="13"/>
      <c r="N232" s="12"/>
    </row>
    <row r="233" spans="1:16">
      <c r="A233" s="145"/>
      <c r="B233" s="145"/>
      <c r="C233" s="75" t="s">
        <v>31</v>
      </c>
      <c r="D233" s="75" t="s">
        <v>32</v>
      </c>
      <c r="E233" s="75" t="s">
        <v>33</v>
      </c>
      <c r="F233" s="75" t="s">
        <v>31</v>
      </c>
      <c r="G233" s="75" t="s">
        <v>32</v>
      </c>
      <c r="H233" s="75" t="s">
        <v>33</v>
      </c>
      <c r="I233" s="75" t="s">
        <v>33</v>
      </c>
      <c r="J233" s="139"/>
      <c r="K233" s="139"/>
      <c r="L233" s="141"/>
      <c r="M233" s="1"/>
      <c r="N233" s="12"/>
    </row>
    <row r="234" spans="1:16">
      <c r="A234" s="5" t="s">
        <v>34</v>
      </c>
      <c r="B234" s="16"/>
      <c r="C234" s="5" t="s">
        <v>17</v>
      </c>
      <c r="D234" s="14">
        <v>0</v>
      </c>
      <c r="E234" s="14">
        <v>0</v>
      </c>
      <c r="F234" s="5" t="s">
        <v>17</v>
      </c>
      <c r="G234" s="14">
        <v>0</v>
      </c>
      <c r="H234" s="14">
        <v>0</v>
      </c>
      <c r="I234" s="14">
        <f>E234+H234</f>
        <v>0</v>
      </c>
      <c r="J234" s="14">
        <f>IF($B$5&gt;0,IF($E$8=FALSE,0,IF(P15=FALSE,0,3000*$B$5)),0)</f>
        <v>6000</v>
      </c>
      <c r="K234" s="14">
        <f>I234+J234</f>
        <v>6000</v>
      </c>
      <c r="L234" s="5" t="str">
        <f t="shared" ref="L234:L248" si="119">A234</f>
        <v>台灣</v>
      </c>
      <c r="M234" s="1"/>
      <c r="N234" s="12"/>
      <c r="P234" s="37" t="b">
        <v>1</v>
      </c>
    </row>
    <row r="235" spans="1:16">
      <c r="A235" s="5" t="s">
        <v>37</v>
      </c>
      <c r="B235" s="16"/>
      <c r="C235" s="5" t="s">
        <v>18</v>
      </c>
      <c r="D235" s="14">
        <v>0</v>
      </c>
      <c r="E235" s="14">
        <v>0</v>
      </c>
      <c r="F235" s="5" t="s">
        <v>18</v>
      </c>
      <c r="G235" s="14">
        <f>IF($B$5&gt;0,IF($E$7=FALSE,0,IF(P16=FALSE,0,200*$B$5)),0)</f>
        <v>400</v>
      </c>
      <c r="H235" s="14">
        <f>IF($E$7=FALSE,0,IF(P235=FALSE,0,G235*L5))</f>
        <v>1839.9999999999998</v>
      </c>
      <c r="I235" s="14">
        <f t="shared" ref="I235:I248" si="120">E235+H235</f>
        <v>1839.9999999999998</v>
      </c>
      <c r="J235" s="14">
        <f>IF($B$5&gt;0,IF($E$8=FALSE,0,IF(P16=FALSE,0,3000*$B$5)),0)</f>
        <v>6000</v>
      </c>
      <c r="K235" s="14">
        <f t="shared" ref="K235:K248" si="121">I235+J235</f>
        <v>7840</v>
      </c>
      <c r="L235" s="5" t="str">
        <f t="shared" si="119"/>
        <v>大陸</v>
      </c>
      <c r="M235" s="1"/>
      <c r="N235" s="12"/>
      <c r="P235" s="37" t="b">
        <v>1</v>
      </c>
    </row>
    <row r="236" spans="1:16">
      <c r="A236" s="5" t="s">
        <v>40</v>
      </c>
      <c r="B236" s="16"/>
      <c r="C236" s="5" t="s">
        <v>19</v>
      </c>
      <c r="D236" s="14">
        <v>0</v>
      </c>
      <c r="E236" s="14">
        <v>0</v>
      </c>
      <c r="F236" s="5" t="s">
        <v>19</v>
      </c>
      <c r="G236" s="14">
        <f>IF($B$5&gt;0,IF($E$7=FALSE,0,IF(P17=FALSE,0,850*$B$5)),0)</f>
        <v>1700</v>
      </c>
      <c r="H236" s="14">
        <f>IF($E$7=FALSE,0,IF(P236=FALSE,0,G236*J5))</f>
        <v>54400</v>
      </c>
      <c r="I236" s="14">
        <f t="shared" si="120"/>
        <v>54400</v>
      </c>
      <c r="J236" s="14">
        <f>IF($B$5&gt;0,IF($E$8=FALSE,0,IF(P17=FALSE,0,5000*$B$5)),0)</f>
        <v>10000</v>
      </c>
      <c r="K236" s="14">
        <f t="shared" si="121"/>
        <v>64400</v>
      </c>
      <c r="L236" s="5" t="str">
        <f t="shared" si="119"/>
        <v>美國</v>
      </c>
      <c r="M236" s="1"/>
      <c r="N236" s="12"/>
      <c r="P236" s="37" t="b">
        <v>1</v>
      </c>
    </row>
    <row r="237" spans="1:16">
      <c r="A237" s="26" t="s">
        <v>0</v>
      </c>
      <c r="B237" s="16"/>
      <c r="C237" s="5" t="s">
        <v>20</v>
      </c>
      <c r="D237" s="14">
        <v>0</v>
      </c>
      <c r="E237" s="14">
        <v>0</v>
      </c>
      <c r="F237" s="5" t="s">
        <v>20</v>
      </c>
      <c r="G237" s="14">
        <f>IF($B$5&gt;0,IF($E$7=FALSE,0,IF(P18=FALSE,0,300+30*($B$5-1))),0)</f>
        <v>330</v>
      </c>
      <c r="H237" s="14">
        <f>IF($E$7=FALSE,0,IF(P237=FALSE,0,G237*J6))</f>
        <v>12375</v>
      </c>
      <c r="I237" s="14">
        <f t="shared" si="120"/>
        <v>12375</v>
      </c>
      <c r="J237" s="14">
        <f>IF($B$5&gt;0,IF($E$8=FALSE,0,IF(P18=FALSE,0,5000*$B$5)),0)</f>
        <v>10000</v>
      </c>
      <c r="K237" s="14">
        <f t="shared" si="121"/>
        <v>22375</v>
      </c>
      <c r="L237" s="5" t="str">
        <f t="shared" si="119"/>
        <v>歐盟</v>
      </c>
      <c r="M237" s="1"/>
      <c r="N237" s="12"/>
      <c r="P237" s="37" t="b">
        <v>1</v>
      </c>
    </row>
    <row r="238" spans="1:16">
      <c r="A238" s="26" t="s">
        <v>167</v>
      </c>
      <c r="B238" s="16"/>
      <c r="C238" s="5" t="s">
        <v>168</v>
      </c>
      <c r="D238" s="14"/>
      <c r="E238" s="14"/>
      <c r="F238" s="5" t="s">
        <v>20</v>
      </c>
      <c r="G238" s="14"/>
      <c r="H238" s="14"/>
      <c r="I238" s="14"/>
      <c r="J238" s="14"/>
      <c r="K238" s="14"/>
      <c r="L238" s="5" t="str">
        <f t="shared" si="119"/>
        <v>英國</v>
      </c>
      <c r="M238" s="1"/>
      <c r="N238" s="12"/>
      <c r="P238" s="37"/>
    </row>
    <row r="239" spans="1:16">
      <c r="A239" s="5" t="s">
        <v>44</v>
      </c>
      <c r="B239" s="16"/>
      <c r="C239" s="5" t="s">
        <v>21</v>
      </c>
      <c r="D239" s="14">
        <v>0</v>
      </c>
      <c r="E239" s="14">
        <v>0</v>
      </c>
      <c r="F239" s="5" t="s">
        <v>21</v>
      </c>
      <c r="G239" s="14">
        <f>IF($B$5&gt;0,IF($E$7=FALSE,0,IF(P20=FALSE,0,IF($B$5&gt;0,45000+15000*($B$5-1)))),0)</f>
        <v>60000</v>
      </c>
      <c r="H239" s="14">
        <f>IF($E$7=FALSE,0,IF(P239=FALSE,0,G239*J7))</f>
        <v>12600</v>
      </c>
      <c r="I239" s="14">
        <f t="shared" si="120"/>
        <v>12600</v>
      </c>
      <c r="J239" s="14">
        <f t="shared" ref="J239:J248" si="122">IF($B$5&gt;0,IF($E$8=FALSE,0,IF(P20=FALSE,0,5000*$B$5)),0)</f>
        <v>10000</v>
      </c>
      <c r="K239" s="14">
        <f t="shared" si="121"/>
        <v>22600</v>
      </c>
      <c r="L239" s="5" t="str">
        <f t="shared" si="119"/>
        <v>日本</v>
      </c>
      <c r="M239" s="1"/>
      <c r="N239" s="12"/>
      <c r="P239" s="37" t="b">
        <v>1</v>
      </c>
    </row>
    <row r="240" spans="1:16">
      <c r="A240" s="5" t="s">
        <v>47</v>
      </c>
      <c r="B240" s="16"/>
      <c r="C240" s="5" t="s">
        <v>22</v>
      </c>
      <c r="D240" s="14">
        <v>0</v>
      </c>
      <c r="E240" s="14">
        <v>0</v>
      </c>
      <c r="F240" s="5" t="s">
        <v>19</v>
      </c>
      <c r="G240" s="14">
        <f>IF($B$5&gt;0,IF($E$7=FALSE,0,IF(P21=FALSE,0,600*$B$5)),0)</f>
        <v>1200</v>
      </c>
      <c r="H240" s="14">
        <f>IF($E$7=FALSE,0,IF(P240=FALSE,0,G240*J5))</f>
        <v>38400</v>
      </c>
      <c r="I240" s="14">
        <f t="shared" si="120"/>
        <v>38400</v>
      </c>
      <c r="J240" s="14">
        <f t="shared" si="122"/>
        <v>10000</v>
      </c>
      <c r="K240" s="14">
        <f t="shared" si="121"/>
        <v>48400</v>
      </c>
      <c r="L240" s="5" t="str">
        <f t="shared" si="119"/>
        <v>韓國</v>
      </c>
      <c r="M240" s="1"/>
      <c r="N240" s="12"/>
      <c r="P240" s="37" t="b">
        <v>1</v>
      </c>
    </row>
    <row r="241" spans="1:16">
      <c r="A241" s="26" t="s">
        <v>27</v>
      </c>
      <c r="B241" s="16"/>
      <c r="C241" s="5" t="s">
        <v>28</v>
      </c>
      <c r="D241" s="14">
        <v>0</v>
      </c>
      <c r="E241" s="14">
        <v>0</v>
      </c>
      <c r="F241" s="5" t="s">
        <v>28</v>
      </c>
      <c r="G241" s="14">
        <f>IF($B$5&gt;0,IF($E$7=FALSE,0,IF(P22=FALSE,0,700*$B$5)),0)</f>
        <v>1400</v>
      </c>
      <c r="H241" s="14">
        <f>IF($E$7=FALSE,0,IF(P241=FALSE,0,G241*L9))</f>
        <v>32900</v>
      </c>
      <c r="I241" s="14">
        <f>E241+H241</f>
        <v>32900</v>
      </c>
      <c r="J241" s="14">
        <f t="shared" si="122"/>
        <v>10000</v>
      </c>
      <c r="K241" s="14">
        <f>I241+J241</f>
        <v>42900</v>
      </c>
      <c r="L241" s="27" t="str">
        <f>A241</f>
        <v>加拿大</v>
      </c>
      <c r="M241" s="15"/>
      <c r="N241" s="12"/>
      <c r="P241" s="37" t="b">
        <v>1</v>
      </c>
    </row>
    <row r="242" spans="1:16">
      <c r="A242" s="26" t="s">
        <v>66</v>
      </c>
      <c r="B242" s="16"/>
      <c r="C242" s="5" t="s">
        <v>67</v>
      </c>
      <c r="D242" s="14">
        <v>0</v>
      </c>
      <c r="E242" s="14">
        <v>0</v>
      </c>
      <c r="F242" s="5" t="s">
        <v>67</v>
      </c>
      <c r="G242" s="14">
        <f>IF($B$5&gt;0,IF($E$7=FALSE,0,IF(P23=FALSE,0,1600)),0)</f>
        <v>1600</v>
      </c>
      <c r="H242" s="14">
        <f>IF($E$7=FALSE,0,IF(P242=FALSE,0,G242*L10))</f>
        <v>34720</v>
      </c>
      <c r="I242" s="14">
        <f>E242+H242</f>
        <v>34720</v>
      </c>
      <c r="J242" s="14">
        <f t="shared" si="122"/>
        <v>10000</v>
      </c>
      <c r="K242" s="14">
        <f>I242+J242</f>
        <v>44720</v>
      </c>
      <c r="L242" s="27" t="str">
        <f t="shared" ref="L242" si="123">A242</f>
        <v>澳洲</v>
      </c>
      <c r="M242" s="15"/>
      <c r="N242" s="12"/>
      <c r="P242" s="37" t="b">
        <v>1</v>
      </c>
    </row>
    <row r="243" spans="1:16">
      <c r="A243" s="5" t="s">
        <v>49</v>
      </c>
      <c r="B243" s="16"/>
      <c r="C243" s="5" t="s">
        <v>23</v>
      </c>
      <c r="D243" s="14">
        <v>0</v>
      </c>
      <c r="E243" s="14">
        <v>0</v>
      </c>
      <c r="F243" s="5" t="s">
        <v>23</v>
      </c>
      <c r="G243" s="14">
        <f>IF($B$5&gt;0,IF($E$7=FALSE,0,IF(P24=FALSE,0,2*150*$B$5)),0)</f>
        <v>600</v>
      </c>
      <c r="H243" s="14">
        <f>IF($E$7=FALSE,0,IF(P243=FALSE,0,G243*L6))</f>
        <v>15000</v>
      </c>
      <c r="I243" s="14">
        <f t="shared" si="120"/>
        <v>15000</v>
      </c>
      <c r="J243" s="14">
        <f t="shared" si="122"/>
        <v>10000</v>
      </c>
      <c r="K243" s="14">
        <f t="shared" si="121"/>
        <v>25000</v>
      </c>
      <c r="L243" s="5" t="str">
        <f t="shared" si="119"/>
        <v>新加坡</v>
      </c>
      <c r="M243" s="1"/>
      <c r="N243" s="12"/>
      <c r="P243" s="37" t="b">
        <v>1</v>
      </c>
    </row>
    <row r="244" spans="1:16">
      <c r="A244" s="5" t="s">
        <v>54</v>
      </c>
      <c r="B244" s="16"/>
      <c r="C244" s="5" t="s">
        <v>26</v>
      </c>
      <c r="D244" s="14">
        <f>IF($B$5&gt;0,IF($E$6=FALSE,0,IF(P25=FALSE,0,250)),0)</f>
        <v>250</v>
      </c>
      <c r="E244" s="14">
        <f>IF($E$6=FALSE,0,IF(P244=FALSE,0,D244*L8))</f>
        <v>2075</v>
      </c>
      <c r="F244" s="5" t="s">
        <v>26</v>
      </c>
      <c r="G244" s="14">
        <f>IF($B$5&gt;0,IF($E$7=FALSE,0,IF(P25=FALSE,0,1000*$B$5)),0)</f>
        <v>2000</v>
      </c>
      <c r="H244" s="14">
        <f>IF($E$7=FALSE,0,IF(P244=FALSE,0,G244*L8))</f>
        <v>16600</v>
      </c>
      <c r="I244" s="14">
        <f>E244+H244</f>
        <v>18675</v>
      </c>
      <c r="J244" s="14">
        <f t="shared" si="122"/>
        <v>10000</v>
      </c>
      <c r="K244" s="14">
        <f>I244+J244</f>
        <v>28675</v>
      </c>
      <c r="L244" s="5" t="str">
        <f>A244</f>
        <v>馬來西亞</v>
      </c>
      <c r="M244" s="1"/>
      <c r="N244" s="12"/>
      <c r="P244" s="37" t="b">
        <v>1</v>
      </c>
    </row>
    <row r="245" spans="1:16">
      <c r="A245" s="53" t="s">
        <v>207</v>
      </c>
      <c r="B245" s="16"/>
      <c r="C245" s="5" t="s">
        <v>19</v>
      </c>
      <c r="D245" s="14">
        <f>IF($B$5&gt;0,IF($E$6=FALSE,0,IF(P26=FALSE,0,250)),0)</f>
        <v>250</v>
      </c>
      <c r="E245" s="14">
        <f>IF($E$6=FALSE,0,IF(P245=FALSE,0,D245*L9))</f>
        <v>5875</v>
      </c>
      <c r="F245" s="5" t="s">
        <v>19</v>
      </c>
      <c r="G245" s="14">
        <f>IF($B$5&gt;0,IF($E$7=FALSE,0,IF(P26=FALSE,0,1000*$B$5)),0)</f>
        <v>2000</v>
      </c>
      <c r="H245" s="14">
        <f>IF($E$7=FALSE,0,IF(P245=FALSE,0,G245*L9))</f>
        <v>47000</v>
      </c>
      <c r="I245" s="14">
        <f>E245+H245</f>
        <v>52875</v>
      </c>
      <c r="J245" s="14">
        <f t="shared" si="122"/>
        <v>10000</v>
      </c>
      <c r="K245" s="14">
        <f>I245+J245</f>
        <v>62875</v>
      </c>
      <c r="L245" s="5" t="str">
        <f>A245</f>
        <v>菲律賓</v>
      </c>
      <c r="M245" s="1"/>
      <c r="N245" s="12"/>
      <c r="P245" s="37" t="b">
        <v>1</v>
      </c>
    </row>
    <row r="246" spans="1:16">
      <c r="A246" s="53" t="s">
        <v>112</v>
      </c>
      <c r="B246" s="16"/>
      <c r="C246" s="5" t="s">
        <v>19</v>
      </c>
      <c r="D246" s="14">
        <v>0</v>
      </c>
      <c r="E246" s="14">
        <v>0</v>
      </c>
      <c r="F246" s="5" t="s">
        <v>19</v>
      </c>
      <c r="G246" s="14">
        <f>IF($B$5&gt;0,IF($E$7=FALSE,0,IF(P27=FALSE,0,250*$B$5)),0)</f>
        <v>500</v>
      </c>
      <c r="H246" s="14">
        <f>IF($E$7=FALSE,0,IF(P246=FALSE,0,G246*J5))</f>
        <v>16000</v>
      </c>
      <c r="I246" s="14">
        <f t="shared" ref="I246" si="124">E246+H246</f>
        <v>16000</v>
      </c>
      <c r="J246" s="14">
        <f t="shared" si="122"/>
        <v>10000</v>
      </c>
      <c r="K246" s="14">
        <f t="shared" ref="K246" si="125">I246+J246</f>
        <v>26000</v>
      </c>
      <c r="L246" s="5" t="str">
        <f>A246</f>
        <v>印尼</v>
      </c>
      <c r="M246" s="1"/>
      <c r="N246" s="12"/>
      <c r="P246" s="37" t="b">
        <v>1</v>
      </c>
    </row>
    <row r="247" spans="1:16">
      <c r="A247" s="5" t="s">
        <v>51</v>
      </c>
      <c r="B247" s="16"/>
      <c r="C247" s="5" t="s">
        <v>24</v>
      </c>
      <c r="D247" s="14">
        <v>0</v>
      </c>
      <c r="E247" s="14">
        <v>0</v>
      </c>
      <c r="F247" s="5" t="s">
        <v>19</v>
      </c>
      <c r="G247" s="14">
        <f>IF($B$5&gt;0,IF($E$7=FALSE,0,IF(P28=FALSE,0,150*$B$5)),0)</f>
        <v>300</v>
      </c>
      <c r="H247" s="14">
        <f>IF($E$7=FALSE,0,IF(P247=FALSE,0,G247*J5))</f>
        <v>9600</v>
      </c>
      <c r="I247" s="14">
        <f t="shared" si="120"/>
        <v>9600</v>
      </c>
      <c r="J247" s="14">
        <f t="shared" si="122"/>
        <v>10000</v>
      </c>
      <c r="K247" s="14">
        <f t="shared" si="121"/>
        <v>19600</v>
      </c>
      <c r="L247" s="5" t="str">
        <f t="shared" si="119"/>
        <v>越南</v>
      </c>
      <c r="M247" s="1"/>
      <c r="N247" s="12"/>
      <c r="P247" s="37" t="b">
        <v>1</v>
      </c>
    </row>
    <row r="248" spans="1:16">
      <c r="A248" s="5" t="s">
        <v>53</v>
      </c>
      <c r="B248" s="16"/>
      <c r="C248" s="5" t="s">
        <v>25</v>
      </c>
      <c r="D248" s="14">
        <f>IF($B$5&gt;0,IF($E$6=FALSE,0,IF(P29=FALSE,0,1000)),0)</f>
        <v>1000</v>
      </c>
      <c r="E248" s="14">
        <f>IF($E$6=FALSE,0,IF(P248=FALSE,0,D248*J9))</f>
        <v>1100</v>
      </c>
      <c r="F248" s="5" t="s">
        <v>25</v>
      </c>
      <c r="G248" s="14">
        <f>IF($B$5&gt;0,IF($E$7=FALSE,0,IF(P29=FALSE,0,6000*$B$5)),0)</f>
        <v>12000</v>
      </c>
      <c r="H248" s="14">
        <f>IF($E$7=FALSE,0,IF(P248=FALSE,0,G248*J9))</f>
        <v>13200.000000000002</v>
      </c>
      <c r="I248" s="14">
        <f t="shared" si="120"/>
        <v>14300.000000000002</v>
      </c>
      <c r="J248" s="14">
        <f t="shared" si="122"/>
        <v>10000</v>
      </c>
      <c r="K248" s="14">
        <f t="shared" si="121"/>
        <v>24300</v>
      </c>
      <c r="L248" s="5" t="str">
        <f t="shared" si="119"/>
        <v>泰國</v>
      </c>
      <c r="M248" s="1"/>
      <c r="N248" s="12"/>
      <c r="P248" s="37" t="b">
        <v>1</v>
      </c>
    </row>
    <row r="249" spans="1:16">
      <c r="A249" s="53" t="s">
        <v>160</v>
      </c>
      <c r="B249" s="16"/>
      <c r="C249" s="5" t="s">
        <v>166</v>
      </c>
      <c r="D249" s="14"/>
      <c r="E249" s="14"/>
      <c r="F249" s="5" t="s">
        <v>166</v>
      </c>
      <c r="G249" s="14"/>
      <c r="H249" s="14"/>
      <c r="I249" s="14"/>
      <c r="J249" s="14"/>
      <c r="K249" s="14"/>
      <c r="L249" s="5" t="str">
        <f t="shared" ref="L249:L250" si="126">A249</f>
        <v>香港</v>
      </c>
      <c r="M249" s="1"/>
      <c r="N249" s="12"/>
      <c r="P249" s="37"/>
    </row>
    <row r="250" spans="1:16">
      <c r="A250" s="53" t="s">
        <v>161</v>
      </c>
      <c r="B250" s="16"/>
      <c r="C250" s="5" t="s">
        <v>19</v>
      </c>
      <c r="D250" s="14"/>
      <c r="E250" s="14"/>
      <c r="F250" s="5" t="s">
        <v>19</v>
      </c>
      <c r="G250" s="14"/>
      <c r="H250" s="14"/>
      <c r="I250" s="14"/>
      <c r="J250" s="14"/>
      <c r="K250" s="14"/>
      <c r="L250" s="5" t="str">
        <f t="shared" si="126"/>
        <v>澳門</v>
      </c>
      <c r="M250" s="1"/>
      <c r="N250" s="12"/>
      <c r="P250" s="37"/>
    </row>
    <row r="251" spans="1:16" ht="18.75">
      <c r="A251" s="16"/>
      <c r="B251" s="16"/>
      <c r="C251" s="16"/>
      <c r="D251" s="17" t="s">
        <v>56</v>
      </c>
      <c r="E251" s="18">
        <f>SUM(E234:E250)</f>
        <v>9050</v>
      </c>
      <c r="F251" s="16"/>
      <c r="G251" s="17" t="s">
        <v>56</v>
      </c>
      <c r="H251" s="19">
        <f>SUM(H234:H250)</f>
        <v>304635</v>
      </c>
      <c r="I251" s="20">
        <f>SUM(I234:I250)</f>
        <v>313685</v>
      </c>
      <c r="J251" s="21">
        <f>SUM(J234:J250)</f>
        <v>132000</v>
      </c>
      <c r="K251" s="22">
        <f>SUM(K234:K250)</f>
        <v>445685</v>
      </c>
      <c r="L251" s="5"/>
      <c r="M251" s="1"/>
      <c r="N251" s="12"/>
    </row>
    <row r="252" spans="1:16">
      <c r="A252" s="35" t="s">
        <v>77</v>
      </c>
      <c r="B252" s="2"/>
      <c r="C252" s="2"/>
      <c r="D252" s="2"/>
      <c r="E252" s="2"/>
      <c r="F252" s="2"/>
      <c r="G252" s="2"/>
      <c r="H252" s="2"/>
      <c r="I252" s="2"/>
      <c r="J252" s="2"/>
      <c r="K252" s="2"/>
      <c r="L252" s="2"/>
      <c r="M252" s="1"/>
      <c r="N252" s="12"/>
    </row>
    <row r="253" spans="1:16">
      <c r="A253" s="36" t="s">
        <v>93</v>
      </c>
      <c r="B253" s="2"/>
      <c r="C253" s="2"/>
      <c r="D253" s="2"/>
      <c r="E253" s="2"/>
      <c r="F253" s="2"/>
      <c r="G253" s="2"/>
      <c r="H253" s="2"/>
      <c r="I253" s="2"/>
      <c r="J253" s="2"/>
      <c r="K253" s="2"/>
      <c r="L253" s="2"/>
      <c r="M253" s="1"/>
      <c r="N253" s="12"/>
    </row>
    <row r="254" spans="1:16">
      <c r="A254" s="36" t="s">
        <v>92</v>
      </c>
      <c r="B254" s="2"/>
      <c r="C254" s="2"/>
      <c r="D254" s="2"/>
      <c r="E254" s="2"/>
      <c r="F254" s="2"/>
      <c r="G254" s="2"/>
      <c r="H254" s="2"/>
      <c r="I254" s="2"/>
      <c r="J254" s="2"/>
      <c r="K254" s="2"/>
      <c r="L254" s="2"/>
      <c r="M254" s="1"/>
      <c r="N254" s="12"/>
    </row>
    <row r="255" spans="1:16">
      <c r="A255" s="1"/>
      <c r="B255" s="1"/>
      <c r="C255" s="1"/>
      <c r="D255" s="1"/>
      <c r="E255" s="1"/>
      <c r="F255" s="1"/>
      <c r="G255" s="1"/>
      <c r="H255" s="1"/>
      <c r="I255" s="1"/>
      <c r="J255" s="1"/>
      <c r="K255" s="1"/>
      <c r="L255" s="1"/>
      <c r="M255" s="1"/>
      <c r="N255" s="12"/>
    </row>
    <row r="256" spans="1:16">
      <c r="A256" s="1"/>
      <c r="B256" s="1"/>
      <c r="C256" s="1"/>
      <c r="D256" s="1"/>
      <c r="E256" s="1"/>
      <c r="F256" s="1"/>
      <c r="G256" s="1"/>
      <c r="H256" s="1"/>
      <c r="I256" s="1"/>
      <c r="J256" s="1"/>
      <c r="K256" s="1"/>
      <c r="L256" s="1"/>
      <c r="M256" s="1"/>
      <c r="N256" s="12"/>
    </row>
    <row r="257" spans="1:14">
      <c r="A257" s="1"/>
      <c r="B257" s="1"/>
      <c r="C257" s="1"/>
      <c r="D257" s="1"/>
      <c r="E257" s="1"/>
      <c r="F257" s="1"/>
      <c r="G257" s="1"/>
      <c r="H257" s="1"/>
      <c r="I257" s="1"/>
      <c r="J257" s="1"/>
      <c r="K257" s="1"/>
      <c r="L257" s="1"/>
      <c r="M257" s="1"/>
      <c r="N257" s="12"/>
    </row>
    <row r="258" spans="1:14">
      <c r="A258" s="1"/>
      <c r="B258" s="1"/>
      <c r="C258" s="1"/>
      <c r="D258" s="1"/>
      <c r="E258" s="1"/>
      <c r="F258" s="1"/>
      <c r="G258" s="1"/>
      <c r="H258" s="1"/>
      <c r="I258" s="1"/>
      <c r="J258" s="1"/>
      <c r="K258" s="1"/>
      <c r="L258" s="1"/>
      <c r="M258" s="1"/>
      <c r="N258" s="12"/>
    </row>
    <row r="259" spans="1:14">
      <c r="A259" s="1"/>
      <c r="B259" s="1"/>
      <c r="C259" s="1"/>
      <c r="D259" s="1"/>
      <c r="E259" s="1"/>
      <c r="F259" s="1"/>
      <c r="G259" s="1"/>
      <c r="H259" s="1"/>
      <c r="I259" s="1"/>
      <c r="J259" s="1"/>
      <c r="K259" s="1"/>
      <c r="L259" s="1"/>
      <c r="M259" s="1"/>
      <c r="N259" s="12"/>
    </row>
    <row r="260" spans="1:14">
      <c r="A260" s="1"/>
      <c r="B260" s="1"/>
      <c r="C260" s="1"/>
      <c r="D260" s="1"/>
      <c r="E260" s="1"/>
      <c r="F260" s="1"/>
      <c r="G260" s="1"/>
      <c r="H260" s="1"/>
      <c r="I260" s="1"/>
      <c r="J260" s="1"/>
      <c r="K260" s="1"/>
      <c r="L260" s="1"/>
      <c r="M260" s="1"/>
      <c r="N260" s="12"/>
    </row>
    <row r="261" spans="1:14">
      <c r="A261" s="1"/>
      <c r="B261" s="1"/>
      <c r="C261" s="1"/>
      <c r="D261" s="1"/>
      <c r="E261" s="1"/>
      <c r="F261" s="1"/>
      <c r="G261" s="1"/>
      <c r="H261" s="1"/>
      <c r="I261" s="1"/>
      <c r="J261" s="1"/>
      <c r="K261" s="1"/>
      <c r="L261" s="1"/>
      <c r="M261" s="1"/>
      <c r="N261" s="12"/>
    </row>
    <row r="262" spans="1:14">
      <c r="A262" s="1"/>
      <c r="B262" s="1"/>
      <c r="C262" s="1"/>
      <c r="D262" s="1"/>
      <c r="E262" s="1"/>
      <c r="F262" s="1"/>
      <c r="G262" s="1"/>
      <c r="H262" s="1"/>
      <c r="I262" s="1"/>
      <c r="J262" s="1"/>
      <c r="K262" s="1"/>
      <c r="L262" s="1"/>
      <c r="M262" s="1"/>
      <c r="N262" s="12"/>
    </row>
    <row r="263" spans="1:14">
      <c r="A263" s="1"/>
      <c r="B263" s="1"/>
      <c r="C263" s="1"/>
      <c r="D263" s="1"/>
      <c r="E263" s="1"/>
      <c r="F263" s="1"/>
      <c r="G263" s="1"/>
      <c r="H263" s="1"/>
      <c r="I263" s="1"/>
      <c r="J263" s="1"/>
      <c r="K263" s="1"/>
      <c r="L263" s="1"/>
      <c r="M263" s="1"/>
      <c r="N263" s="12"/>
    </row>
    <row r="264" spans="1:14">
      <c r="A264" s="1"/>
      <c r="B264" s="1"/>
      <c r="C264" s="1"/>
      <c r="D264" s="1"/>
      <c r="E264" s="1"/>
      <c r="F264" s="1"/>
      <c r="G264" s="1"/>
      <c r="H264" s="1"/>
      <c r="I264" s="1"/>
      <c r="J264" s="1"/>
      <c r="K264" s="1"/>
      <c r="L264" s="1"/>
      <c r="M264" s="1"/>
      <c r="N264" s="12"/>
    </row>
    <row r="265" spans="1:14">
      <c r="A265" s="1"/>
      <c r="B265" s="1"/>
      <c r="C265" s="1"/>
      <c r="D265" s="1"/>
      <c r="E265" s="1"/>
      <c r="F265" s="1"/>
      <c r="G265" s="1"/>
      <c r="H265" s="1"/>
      <c r="I265" s="1"/>
      <c r="J265" s="1"/>
      <c r="K265" s="1"/>
      <c r="L265" s="1"/>
      <c r="M265" s="1"/>
      <c r="N265" s="12"/>
    </row>
    <row r="266" spans="1:14">
      <c r="A266" s="1"/>
      <c r="B266" s="1"/>
      <c r="C266" s="1"/>
      <c r="D266" s="1"/>
      <c r="E266" s="1"/>
      <c r="F266" s="1"/>
      <c r="G266" s="1"/>
      <c r="H266" s="1"/>
      <c r="I266" s="1"/>
      <c r="J266" s="1"/>
      <c r="K266" s="1"/>
      <c r="L266" s="1"/>
      <c r="M266" s="1"/>
      <c r="N266" s="12"/>
    </row>
    <row r="267" spans="1:14">
      <c r="A267" s="1"/>
      <c r="B267" s="1"/>
      <c r="C267" s="1"/>
      <c r="D267" s="1"/>
      <c r="E267" s="1"/>
      <c r="F267" s="1"/>
      <c r="G267" s="1"/>
      <c r="H267" s="1"/>
      <c r="I267" s="1"/>
      <c r="J267" s="1"/>
      <c r="K267" s="1"/>
      <c r="L267" s="1"/>
      <c r="M267" s="1"/>
      <c r="N267" s="12"/>
    </row>
    <row r="268" spans="1:14">
      <c r="A268" s="1"/>
      <c r="B268" s="1"/>
      <c r="C268" s="1"/>
      <c r="D268" s="1"/>
      <c r="E268" s="1"/>
      <c r="F268" s="1"/>
      <c r="G268" s="1"/>
      <c r="H268" s="1"/>
      <c r="I268" s="1"/>
      <c r="J268" s="1"/>
      <c r="K268" s="1"/>
      <c r="L268" s="1"/>
      <c r="M268" s="1"/>
      <c r="N268" s="12"/>
    </row>
    <row r="269" spans="1:14">
      <c r="A269" s="1"/>
      <c r="B269" s="1"/>
      <c r="C269" s="1"/>
      <c r="D269" s="1"/>
      <c r="E269" s="1"/>
      <c r="F269" s="1"/>
      <c r="G269" s="1"/>
      <c r="H269" s="1"/>
      <c r="I269" s="1"/>
      <c r="J269" s="1"/>
      <c r="K269" s="1"/>
      <c r="L269" s="1"/>
      <c r="M269" s="1"/>
      <c r="N269" s="12"/>
    </row>
    <row r="270" spans="1:14">
      <c r="A270" s="1"/>
      <c r="B270" s="1"/>
      <c r="C270" s="1"/>
      <c r="D270" s="1"/>
      <c r="E270" s="1"/>
      <c r="F270" s="1"/>
      <c r="G270" s="1"/>
      <c r="H270" s="1"/>
      <c r="I270" s="1"/>
      <c r="J270" s="1"/>
      <c r="K270" s="1"/>
      <c r="L270" s="1"/>
      <c r="M270" s="1"/>
      <c r="N270" s="12"/>
    </row>
    <row r="271" spans="1:14">
      <c r="A271" s="1"/>
      <c r="B271" s="1"/>
      <c r="C271" s="1"/>
      <c r="D271" s="1"/>
      <c r="E271" s="1"/>
      <c r="F271" s="1"/>
      <c r="G271" s="1"/>
      <c r="H271" s="1"/>
      <c r="I271" s="1"/>
      <c r="J271" s="1"/>
      <c r="K271" s="1"/>
      <c r="L271" s="1"/>
      <c r="M271" s="1"/>
      <c r="N271" s="12"/>
    </row>
    <row r="272" spans="1:14">
      <c r="A272" s="1"/>
      <c r="B272" s="1"/>
      <c r="C272" s="1"/>
      <c r="D272" s="1"/>
      <c r="E272" s="1"/>
      <c r="F272" s="1"/>
      <c r="G272" s="1"/>
      <c r="H272" s="1"/>
      <c r="I272" s="1"/>
      <c r="J272" s="1"/>
      <c r="K272" s="1"/>
      <c r="L272" s="1"/>
      <c r="M272" s="1"/>
      <c r="N272" s="12"/>
    </row>
    <row r="273" spans="1:14">
      <c r="A273" s="1"/>
      <c r="B273" s="1"/>
      <c r="C273" s="1"/>
      <c r="D273" s="1"/>
      <c r="E273" s="1"/>
      <c r="F273" s="1"/>
      <c r="G273" s="1"/>
      <c r="H273" s="1"/>
      <c r="I273" s="1"/>
      <c r="J273" s="1"/>
      <c r="K273" s="1"/>
      <c r="L273" s="1"/>
      <c r="M273" s="1"/>
      <c r="N273" s="12"/>
    </row>
    <row r="274" spans="1:14">
      <c r="A274" s="1"/>
      <c r="B274" s="1"/>
      <c r="C274" s="1"/>
      <c r="D274" s="1"/>
      <c r="E274" s="1"/>
      <c r="F274" s="1"/>
      <c r="G274" s="1"/>
      <c r="H274" s="1"/>
      <c r="I274" s="1"/>
      <c r="J274" s="1"/>
      <c r="K274" s="1"/>
      <c r="L274" s="1"/>
      <c r="M274" s="1"/>
      <c r="N274" s="12"/>
    </row>
    <row r="275" spans="1:14">
      <c r="A275" s="1"/>
      <c r="B275" s="1"/>
      <c r="C275" s="1"/>
      <c r="D275" s="1"/>
      <c r="E275" s="1"/>
      <c r="F275" s="1"/>
      <c r="G275" s="1"/>
      <c r="H275" s="1"/>
      <c r="I275" s="1"/>
      <c r="J275" s="1"/>
      <c r="K275" s="1"/>
      <c r="L275" s="1"/>
      <c r="M275" s="1"/>
      <c r="N275" s="12"/>
    </row>
    <row r="276" spans="1:14">
      <c r="A276" s="1"/>
      <c r="B276" s="1"/>
      <c r="C276" s="1"/>
      <c r="D276" s="1"/>
      <c r="E276" s="1"/>
      <c r="F276" s="1"/>
      <c r="G276" s="1"/>
      <c r="H276" s="1"/>
      <c r="I276" s="1"/>
      <c r="J276" s="1"/>
      <c r="K276" s="1"/>
      <c r="L276" s="1"/>
      <c r="M276" s="1"/>
      <c r="N276" s="12"/>
    </row>
    <row r="277" spans="1:14">
      <c r="A277" s="1"/>
      <c r="B277" s="1"/>
      <c r="C277" s="1"/>
      <c r="D277" s="1"/>
      <c r="E277" s="1"/>
      <c r="F277" s="1"/>
      <c r="G277" s="1"/>
      <c r="H277" s="1"/>
      <c r="I277" s="1"/>
      <c r="J277" s="1"/>
      <c r="K277" s="1"/>
      <c r="L277" s="1"/>
      <c r="M277" s="1"/>
      <c r="N277" s="12"/>
    </row>
    <row r="278" spans="1:14">
      <c r="A278" s="1"/>
      <c r="B278" s="1"/>
      <c r="C278" s="1"/>
      <c r="D278" s="1"/>
      <c r="E278" s="1"/>
      <c r="F278" s="1"/>
      <c r="G278" s="1"/>
      <c r="H278" s="1"/>
      <c r="I278" s="1"/>
      <c r="J278" s="1"/>
      <c r="K278" s="1"/>
      <c r="L278" s="1"/>
      <c r="M278" s="1"/>
      <c r="N278" s="12"/>
    </row>
    <row r="279" spans="1:14">
      <c r="A279" s="1"/>
      <c r="B279" s="1"/>
      <c r="C279" s="1"/>
      <c r="D279" s="1"/>
      <c r="E279" s="1"/>
      <c r="F279" s="1"/>
      <c r="G279" s="1"/>
      <c r="H279" s="1"/>
      <c r="I279" s="1"/>
      <c r="J279" s="1"/>
      <c r="K279" s="1"/>
      <c r="L279" s="1"/>
      <c r="M279" s="1"/>
      <c r="N279" s="12"/>
    </row>
    <row r="280" spans="1:14">
      <c r="A280" s="1"/>
      <c r="B280" s="1"/>
      <c r="C280" s="1"/>
      <c r="D280" s="1"/>
      <c r="E280" s="1"/>
      <c r="F280" s="1"/>
      <c r="G280" s="1"/>
      <c r="H280" s="1"/>
      <c r="I280" s="1"/>
      <c r="J280" s="1"/>
      <c r="K280" s="1"/>
      <c r="L280" s="1"/>
      <c r="M280" s="1"/>
      <c r="N280" s="12"/>
    </row>
    <row r="281" spans="1:14">
      <c r="A281" s="1"/>
      <c r="B281" s="1"/>
      <c r="C281" s="1"/>
      <c r="D281" s="1"/>
      <c r="E281" s="1"/>
      <c r="F281" s="1"/>
      <c r="G281" s="1"/>
      <c r="H281" s="1"/>
      <c r="I281" s="1"/>
      <c r="J281" s="1"/>
      <c r="K281" s="1"/>
      <c r="L281" s="1"/>
      <c r="M281" s="1"/>
      <c r="N281" s="12"/>
    </row>
    <row r="282" spans="1:14">
      <c r="A282" s="1"/>
      <c r="B282" s="1"/>
      <c r="C282" s="1"/>
      <c r="D282" s="1"/>
      <c r="E282" s="1"/>
      <c r="F282" s="1"/>
      <c r="G282" s="1"/>
      <c r="H282" s="1"/>
      <c r="I282" s="1"/>
      <c r="J282" s="1"/>
      <c r="K282" s="1"/>
      <c r="L282" s="1"/>
      <c r="M282" s="1"/>
      <c r="N282" s="12"/>
    </row>
    <row r="283" spans="1:14">
      <c r="A283" s="1"/>
      <c r="B283" s="1"/>
      <c r="C283" s="1"/>
      <c r="D283" s="1"/>
      <c r="E283" s="1"/>
      <c r="F283" s="1"/>
      <c r="G283" s="1"/>
      <c r="H283" s="1"/>
      <c r="I283" s="1"/>
      <c r="J283" s="1"/>
      <c r="K283" s="1"/>
      <c r="L283" s="1"/>
      <c r="M283" s="1"/>
      <c r="N283" s="12"/>
    </row>
    <row r="284" spans="1:14">
      <c r="A284" s="1"/>
      <c r="B284" s="1"/>
      <c r="C284" s="1"/>
      <c r="D284" s="1"/>
      <c r="E284" s="1"/>
      <c r="F284" s="1"/>
      <c r="G284" s="1"/>
      <c r="H284" s="1"/>
      <c r="I284" s="1"/>
      <c r="J284" s="1"/>
      <c r="K284" s="1"/>
      <c r="L284" s="1"/>
      <c r="M284" s="1"/>
      <c r="N284" s="12"/>
    </row>
    <row r="285" spans="1:14">
      <c r="A285" s="1"/>
      <c r="B285" s="1"/>
      <c r="C285" s="1"/>
      <c r="D285" s="1"/>
      <c r="E285" s="1"/>
      <c r="F285" s="1"/>
      <c r="G285" s="1"/>
      <c r="H285" s="1"/>
      <c r="I285" s="1"/>
      <c r="J285" s="1"/>
      <c r="K285" s="1"/>
      <c r="L285" s="1"/>
      <c r="M285" s="1"/>
      <c r="N285" s="12"/>
    </row>
    <row r="286" spans="1:14">
      <c r="A286" s="1"/>
      <c r="B286" s="1"/>
      <c r="C286" s="1"/>
      <c r="D286" s="1"/>
      <c r="E286" s="1"/>
      <c r="F286" s="1"/>
      <c r="G286" s="1"/>
      <c r="H286" s="1"/>
      <c r="I286" s="1"/>
      <c r="J286" s="1"/>
      <c r="K286" s="1"/>
      <c r="L286" s="1"/>
      <c r="M286" s="1"/>
      <c r="N286" s="12"/>
    </row>
    <row r="287" spans="1:14">
      <c r="A287" s="1"/>
      <c r="B287" s="1"/>
      <c r="C287" s="1"/>
      <c r="D287" s="1"/>
      <c r="E287" s="1"/>
      <c r="F287" s="1"/>
      <c r="G287" s="1"/>
      <c r="H287" s="1"/>
      <c r="I287" s="1"/>
      <c r="J287" s="1"/>
      <c r="K287" s="1"/>
      <c r="L287" s="1"/>
      <c r="M287" s="1"/>
      <c r="N287" s="12"/>
    </row>
    <row r="288" spans="1:14">
      <c r="A288" s="1"/>
      <c r="B288" s="1"/>
      <c r="C288" s="1"/>
      <c r="D288" s="1"/>
      <c r="E288" s="1"/>
      <c r="F288" s="1"/>
      <c r="G288" s="1"/>
      <c r="H288" s="1"/>
      <c r="I288" s="1"/>
      <c r="J288" s="1"/>
      <c r="K288" s="1"/>
      <c r="L288" s="1"/>
      <c r="M288" s="1"/>
      <c r="N288" s="12"/>
    </row>
    <row r="289" spans="1:14">
      <c r="A289" s="1"/>
      <c r="B289" s="1"/>
      <c r="C289" s="1"/>
      <c r="D289" s="1"/>
      <c r="E289" s="1"/>
      <c r="F289" s="1"/>
      <c r="G289" s="1"/>
      <c r="H289" s="1"/>
      <c r="I289" s="1"/>
      <c r="J289" s="1"/>
      <c r="K289" s="1"/>
      <c r="L289" s="1"/>
      <c r="M289" s="1"/>
      <c r="N289" s="12"/>
    </row>
    <row r="290" spans="1:14">
      <c r="A290" s="1"/>
      <c r="B290" s="1"/>
      <c r="C290" s="1"/>
      <c r="D290" s="1"/>
      <c r="E290" s="1"/>
      <c r="F290" s="1"/>
      <c r="G290" s="1"/>
      <c r="H290" s="1"/>
      <c r="I290" s="1"/>
      <c r="J290" s="1"/>
      <c r="K290" s="1"/>
      <c r="L290" s="1"/>
      <c r="M290" s="1"/>
      <c r="N290" s="12"/>
    </row>
    <row r="291" spans="1:14">
      <c r="A291" s="1"/>
      <c r="B291" s="1"/>
      <c r="C291" s="1"/>
      <c r="D291" s="1"/>
      <c r="E291" s="1"/>
      <c r="F291" s="1"/>
      <c r="G291" s="1"/>
      <c r="H291" s="1"/>
      <c r="I291" s="1"/>
      <c r="J291" s="1"/>
      <c r="K291" s="1"/>
      <c r="L291" s="1"/>
      <c r="M291" s="1"/>
      <c r="N291" s="12"/>
    </row>
    <row r="292" spans="1:14">
      <c r="A292" s="1"/>
      <c r="B292" s="1"/>
      <c r="C292" s="1"/>
      <c r="D292" s="1"/>
      <c r="E292" s="1"/>
      <c r="F292" s="1"/>
      <c r="G292" s="1"/>
      <c r="H292" s="1"/>
      <c r="I292" s="1"/>
      <c r="J292" s="1"/>
      <c r="K292" s="1"/>
      <c r="L292" s="1"/>
      <c r="M292" s="1"/>
      <c r="N292" s="12"/>
    </row>
    <row r="293" spans="1:14">
      <c r="A293" s="1"/>
      <c r="B293" s="1"/>
      <c r="C293" s="1"/>
      <c r="D293" s="1"/>
      <c r="E293" s="1"/>
      <c r="F293" s="1"/>
      <c r="G293" s="1"/>
      <c r="H293" s="1"/>
      <c r="I293" s="1"/>
      <c r="J293" s="1"/>
      <c r="K293" s="1"/>
      <c r="L293" s="1"/>
      <c r="M293" s="1"/>
      <c r="N293" s="12"/>
    </row>
    <row r="294" spans="1:14">
      <c r="A294" s="1"/>
      <c r="B294" s="1"/>
      <c r="C294" s="1"/>
      <c r="D294" s="1"/>
      <c r="E294" s="1"/>
      <c r="F294" s="1"/>
      <c r="G294" s="1"/>
      <c r="H294" s="1"/>
      <c r="I294" s="1"/>
      <c r="J294" s="1"/>
      <c r="K294" s="1"/>
      <c r="L294" s="1"/>
      <c r="M294" s="1"/>
      <c r="N294" s="12"/>
    </row>
    <row r="295" spans="1:14">
      <c r="A295" s="1"/>
      <c r="B295" s="1"/>
      <c r="C295" s="1"/>
      <c r="D295" s="1"/>
      <c r="E295" s="1"/>
      <c r="F295" s="1"/>
      <c r="G295" s="1"/>
      <c r="H295" s="1"/>
      <c r="I295" s="1"/>
      <c r="J295" s="1"/>
      <c r="K295" s="1"/>
      <c r="L295" s="1"/>
      <c r="M295" s="1"/>
      <c r="N295" s="12"/>
    </row>
    <row r="296" spans="1:14">
      <c r="A296" s="1"/>
      <c r="B296" s="1"/>
      <c r="C296" s="1"/>
      <c r="D296" s="1"/>
      <c r="E296" s="1"/>
      <c r="F296" s="1"/>
      <c r="G296" s="1"/>
      <c r="H296" s="1"/>
      <c r="I296" s="1"/>
      <c r="J296" s="1"/>
      <c r="K296" s="1"/>
      <c r="L296" s="1"/>
      <c r="M296" s="1"/>
      <c r="N296" s="12"/>
    </row>
    <row r="297" spans="1:14">
      <c r="A297" s="1"/>
      <c r="B297" s="1"/>
      <c r="C297" s="1"/>
      <c r="D297" s="1"/>
      <c r="E297" s="1"/>
      <c r="F297" s="1"/>
      <c r="G297" s="1"/>
      <c r="H297" s="1"/>
      <c r="I297" s="1"/>
      <c r="J297" s="1"/>
      <c r="K297" s="1"/>
      <c r="L297" s="1"/>
      <c r="M297" s="1"/>
      <c r="N297" s="12"/>
    </row>
    <row r="298" spans="1:14">
      <c r="A298" s="1"/>
      <c r="B298" s="1"/>
      <c r="C298" s="1"/>
      <c r="D298" s="1"/>
      <c r="E298" s="1"/>
      <c r="F298" s="1"/>
      <c r="G298" s="1"/>
      <c r="H298" s="1"/>
      <c r="I298" s="1"/>
      <c r="J298" s="1"/>
      <c r="K298" s="1"/>
      <c r="L298" s="1"/>
      <c r="M298" s="1"/>
      <c r="N298" s="12"/>
    </row>
    <row r="299" spans="1:14">
      <c r="A299" s="1"/>
      <c r="B299" s="1"/>
      <c r="C299" s="1"/>
      <c r="D299" s="1"/>
      <c r="E299" s="1"/>
      <c r="F299" s="1"/>
      <c r="G299" s="1"/>
      <c r="H299" s="1"/>
      <c r="I299" s="1"/>
      <c r="J299" s="1"/>
      <c r="K299" s="1"/>
      <c r="L299" s="1"/>
      <c r="M299" s="1"/>
      <c r="N299" s="12"/>
    </row>
    <row r="300" spans="1:14">
      <c r="A300" s="1"/>
      <c r="B300" s="1"/>
      <c r="C300" s="1"/>
      <c r="D300" s="1"/>
      <c r="E300" s="1"/>
      <c r="F300" s="1"/>
      <c r="G300" s="1"/>
      <c r="H300" s="1"/>
      <c r="I300" s="1"/>
      <c r="J300" s="1"/>
      <c r="K300" s="1"/>
      <c r="L300" s="1"/>
      <c r="M300" s="1"/>
      <c r="N300" s="12"/>
    </row>
    <row r="301" spans="1:14">
      <c r="A301" s="1"/>
      <c r="B301" s="1"/>
      <c r="C301" s="1"/>
      <c r="D301" s="1"/>
      <c r="E301" s="1"/>
      <c r="F301" s="1"/>
      <c r="G301" s="1"/>
      <c r="H301" s="1"/>
      <c r="I301" s="1"/>
      <c r="J301" s="1"/>
      <c r="K301" s="1"/>
      <c r="L301" s="1"/>
      <c r="M301" s="1"/>
      <c r="N301" s="12"/>
    </row>
    <row r="302" spans="1:14">
      <c r="A302" s="1"/>
      <c r="B302" s="1"/>
      <c r="C302" s="1"/>
      <c r="D302" s="1"/>
      <c r="E302" s="1"/>
      <c r="F302" s="1"/>
      <c r="G302" s="1"/>
      <c r="H302" s="1"/>
      <c r="I302" s="1"/>
      <c r="J302" s="1"/>
      <c r="K302" s="1"/>
      <c r="L302" s="1"/>
      <c r="M302" s="1"/>
      <c r="N302" s="12"/>
    </row>
    <row r="303" spans="1:14">
      <c r="A303" s="1"/>
      <c r="B303" s="1"/>
      <c r="C303" s="1"/>
      <c r="D303" s="1"/>
      <c r="E303" s="1"/>
      <c r="F303" s="1"/>
      <c r="G303" s="1"/>
      <c r="H303" s="1"/>
      <c r="I303" s="1"/>
      <c r="J303" s="1"/>
      <c r="K303" s="1"/>
      <c r="L303" s="1"/>
      <c r="M303" s="1"/>
      <c r="N303" s="12"/>
    </row>
    <row r="304" spans="1:14">
      <c r="A304" s="1"/>
      <c r="B304" s="1"/>
      <c r="C304" s="1"/>
      <c r="D304" s="1"/>
      <c r="E304" s="1"/>
      <c r="F304" s="1"/>
      <c r="G304" s="1"/>
      <c r="H304" s="1"/>
      <c r="I304" s="1"/>
      <c r="J304" s="1"/>
      <c r="K304" s="1"/>
      <c r="L304" s="1"/>
      <c r="M304" s="1"/>
      <c r="N304" s="12"/>
    </row>
    <row r="305" spans="1:14">
      <c r="A305" s="1"/>
      <c r="B305" s="1"/>
      <c r="C305" s="1"/>
      <c r="D305" s="1"/>
      <c r="E305" s="1"/>
      <c r="F305" s="1"/>
      <c r="G305" s="1"/>
      <c r="H305" s="1"/>
      <c r="I305" s="1"/>
      <c r="J305" s="1"/>
      <c r="K305" s="1"/>
      <c r="L305" s="1"/>
      <c r="M305" s="1"/>
      <c r="N305" s="12"/>
    </row>
    <row r="306" spans="1:14">
      <c r="A306" s="1"/>
      <c r="B306" s="1"/>
      <c r="C306" s="1"/>
      <c r="D306" s="1"/>
      <c r="E306" s="1"/>
      <c r="F306" s="1"/>
      <c r="G306" s="1"/>
      <c r="H306" s="1"/>
      <c r="I306" s="1"/>
      <c r="J306" s="1"/>
      <c r="K306" s="1"/>
      <c r="L306" s="1"/>
      <c r="M306" s="1"/>
      <c r="N306" s="12"/>
    </row>
    <row r="307" spans="1:14">
      <c r="A307" s="1"/>
      <c r="B307" s="1"/>
      <c r="C307" s="1"/>
      <c r="D307" s="1"/>
      <c r="E307" s="1"/>
      <c r="F307" s="1"/>
      <c r="G307" s="1"/>
      <c r="H307" s="1"/>
      <c r="I307" s="1"/>
      <c r="J307" s="1"/>
      <c r="K307" s="1"/>
      <c r="L307" s="1"/>
      <c r="M307" s="1"/>
      <c r="N307" s="12"/>
    </row>
    <row r="308" spans="1:14">
      <c r="A308" s="1"/>
      <c r="B308" s="1"/>
      <c r="C308" s="1"/>
      <c r="D308" s="1"/>
      <c r="E308" s="1"/>
      <c r="F308" s="1"/>
      <c r="G308" s="1"/>
      <c r="H308" s="1"/>
      <c r="I308" s="1"/>
      <c r="J308" s="1"/>
      <c r="K308" s="1"/>
      <c r="L308" s="1"/>
      <c r="M308" s="1"/>
      <c r="N308" s="12"/>
    </row>
    <row r="309" spans="1:14">
      <c r="A309" s="1"/>
      <c r="B309" s="1"/>
      <c r="C309" s="1"/>
      <c r="D309" s="1"/>
      <c r="E309" s="1"/>
      <c r="F309" s="1"/>
      <c r="G309" s="1"/>
      <c r="H309" s="1"/>
      <c r="I309" s="1"/>
      <c r="J309" s="1"/>
      <c r="K309" s="1"/>
      <c r="L309" s="1"/>
      <c r="M309" s="1"/>
      <c r="N309" s="12"/>
    </row>
    <row r="310" spans="1:14">
      <c r="A310" s="1"/>
      <c r="B310" s="1"/>
      <c r="C310" s="1"/>
      <c r="D310" s="1"/>
      <c r="E310" s="1"/>
      <c r="F310" s="1"/>
      <c r="G310" s="1"/>
      <c r="H310" s="1"/>
      <c r="I310" s="1"/>
      <c r="J310" s="1"/>
      <c r="K310" s="1"/>
      <c r="L310" s="1"/>
      <c r="M310" s="1"/>
      <c r="N310" s="12"/>
    </row>
    <row r="311" spans="1:14">
      <c r="A311" s="1"/>
      <c r="B311" s="1"/>
      <c r="C311" s="1"/>
      <c r="D311" s="1"/>
      <c r="E311" s="1"/>
      <c r="F311" s="1"/>
      <c r="G311" s="1"/>
      <c r="H311" s="1"/>
      <c r="I311" s="1"/>
      <c r="J311" s="1"/>
      <c r="K311" s="1"/>
      <c r="L311" s="1"/>
      <c r="M311" s="1"/>
      <c r="N311" s="12"/>
    </row>
    <row r="312" spans="1:14">
      <c r="A312" s="1"/>
      <c r="B312" s="1"/>
      <c r="C312" s="1"/>
      <c r="D312" s="1"/>
      <c r="E312" s="1"/>
      <c r="F312" s="1"/>
      <c r="G312" s="1"/>
      <c r="H312" s="1"/>
      <c r="I312" s="1"/>
      <c r="J312" s="1"/>
      <c r="K312" s="1"/>
      <c r="L312" s="1"/>
      <c r="M312" s="1"/>
      <c r="N312" s="12"/>
    </row>
    <row r="313" spans="1:14">
      <c r="A313" s="1"/>
      <c r="B313" s="1"/>
      <c r="C313" s="1"/>
      <c r="D313" s="1"/>
      <c r="E313" s="1"/>
      <c r="F313" s="1"/>
      <c r="G313" s="1"/>
      <c r="H313" s="1"/>
      <c r="I313" s="1"/>
      <c r="J313" s="1"/>
      <c r="K313" s="1"/>
      <c r="L313" s="1"/>
      <c r="M313" s="1"/>
      <c r="N313" s="12"/>
    </row>
    <row r="314" spans="1:14">
      <c r="A314" s="1"/>
      <c r="B314" s="1"/>
      <c r="C314" s="1"/>
      <c r="D314" s="1"/>
      <c r="E314" s="1"/>
      <c r="F314" s="1"/>
      <c r="G314" s="1"/>
      <c r="H314" s="1"/>
      <c r="I314" s="1"/>
      <c r="J314" s="1"/>
      <c r="K314" s="1"/>
      <c r="L314" s="1"/>
      <c r="M314" s="1"/>
      <c r="N314" s="12"/>
    </row>
    <row r="315" spans="1:14">
      <c r="A315" s="1"/>
      <c r="B315" s="1"/>
      <c r="C315" s="1"/>
      <c r="D315" s="1"/>
      <c r="E315" s="1"/>
      <c r="F315" s="1"/>
      <c r="G315" s="1"/>
      <c r="H315" s="1"/>
      <c r="I315" s="1"/>
      <c r="J315" s="1"/>
      <c r="K315" s="1"/>
      <c r="L315" s="1"/>
      <c r="M315" s="1"/>
      <c r="N315" s="12"/>
    </row>
    <row r="316" spans="1:14">
      <c r="A316" s="1"/>
      <c r="B316" s="1"/>
      <c r="C316" s="1"/>
      <c r="D316" s="1"/>
      <c r="E316" s="1"/>
      <c r="F316" s="1"/>
      <c r="G316" s="1"/>
      <c r="H316" s="1"/>
      <c r="I316" s="1"/>
      <c r="J316" s="1"/>
      <c r="K316" s="1"/>
      <c r="L316" s="1"/>
      <c r="M316" s="1"/>
      <c r="N316" s="12"/>
    </row>
    <row r="317" spans="1:14">
      <c r="A317" s="1"/>
      <c r="B317" s="1"/>
      <c r="C317" s="1"/>
      <c r="D317" s="1"/>
      <c r="E317" s="1"/>
      <c r="F317" s="1"/>
      <c r="G317" s="1"/>
      <c r="H317" s="1"/>
      <c r="I317" s="1"/>
      <c r="J317" s="1"/>
      <c r="K317" s="1"/>
      <c r="L317" s="1"/>
      <c r="M317" s="1"/>
      <c r="N317" s="12"/>
    </row>
    <row r="318" spans="1:14">
      <c r="A318" s="1"/>
      <c r="B318" s="1"/>
      <c r="C318" s="1"/>
      <c r="D318" s="1"/>
      <c r="E318" s="1"/>
      <c r="F318" s="1"/>
      <c r="G318" s="1"/>
      <c r="H318" s="1"/>
      <c r="I318" s="1"/>
      <c r="J318" s="1"/>
      <c r="K318" s="1"/>
      <c r="L318" s="1"/>
      <c r="M318" s="1"/>
      <c r="N318" s="12"/>
    </row>
    <row r="319" spans="1:14">
      <c r="A319" s="1"/>
      <c r="B319" s="1"/>
      <c r="C319" s="1"/>
      <c r="D319" s="1"/>
      <c r="E319" s="1"/>
      <c r="F319" s="1"/>
      <c r="G319" s="1"/>
      <c r="H319" s="1"/>
      <c r="I319" s="1"/>
      <c r="J319" s="1"/>
      <c r="K319" s="1"/>
      <c r="L319" s="1"/>
      <c r="M319" s="1"/>
      <c r="N319" s="12"/>
    </row>
    <row r="320" spans="1:14">
      <c r="A320" s="1"/>
      <c r="B320" s="1"/>
      <c r="C320" s="1"/>
      <c r="D320" s="1"/>
      <c r="E320" s="1"/>
      <c r="F320" s="1"/>
      <c r="G320" s="1"/>
      <c r="H320" s="1"/>
      <c r="I320" s="1"/>
      <c r="J320" s="1"/>
      <c r="K320" s="1"/>
      <c r="L320" s="1"/>
      <c r="M320" s="1"/>
      <c r="N320" s="12"/>
    </row>
    <row r="321" spans="1:14">
      <c r="A321" s="1"/>
      <c r="B321" s="1"/>
      <c r="C321" s="1"/>
      <c r="D321" s="1"/>
      <c r="E321" s="1"/>
      <c r="F321" s="1"/>
      <c r="G321" s="1"/>
      <c r="H321" s="1"/>
      <c r="I321" s="1"/>
      <c r="J321" s="1"/>
      <c r="K321" s="1"/>
      <c r="L321" s="1"/>
      <c r="M321" s="1"/>
      <c r="N321" s="12"/>
    </row>
    <row r="322" spans="1:14">
      <c r="A322" s="1"/>
      <c r="B322" s="1"/>
      <c r="C322" s="1"/>
      <c r="D322" s="1"/>
      <c r="E322" s="1"/>
      <c r="F322" s="1"/>
      <c r="G322" s="1"/>
      <c r="H322" s="1"/>
      <c r="I322" s="1"/>
      <c r="J322" s="1"/>
      <c r="K322" s="1"/>
      <c r="L322" s="1"/>
      <c r="M322" s="1"/>
      <c r="N322" s="12"/>
    </row>
    <row r="323" spans="1:14">
      <c r="A323" s="1"/>
      <c r="B323" s="1"/>
      <c r="C323" s="1"/>
      <c r="D323" s="1"/>
      <c r="E323" s="1"/>
      <c r="F323" s="1"/>
      <c r="G323" s="1"/>
      <c r="H323" s="1"/>
      <c r="I323" s="1"/>
      <c r="J323" s="1"/>
      <c r="K323" s="1"/>
      <c r="L323" s="1"/>
      <c r="M323" s="1"/>
      <c r="N323" s="12"/>
    </row>
    <row r="324" spans="1:14">
      <c r="A324" s="1"/>
      <c r="B324" s="1"/>
      <c r="C324" s="1"/>
      <c r="D324" s="1"/>
      <c r="E324" s="1"/>
      <c r="F324" s="1"/>
      <c r="G324" s="1"/>
      <c r="H324" s="1"/>
      <c r="I324" s="1"/>
      <c r="J324" s="1"/>
      <c r="K324" s="1"/>
      <c r="L324" s="1"/>
      <c r="M324" s="1"/>
      <c r="N324" s="12"/>
    </row>
    <row r="325" spans="1:14">
      <c r="A325" s="1"/>
      <c r="B325" s="1"/>
      <c r="C325" s="1"/>
      <c r="D325" s="1"/>
      <c r="E325" s="1"/>
      <c r="F325" s="1"/>
      <c r="G325" s="1"/>
      <c r="H325" s="1"/>
      <c r="I325" s="1"/>
      <c r="J325" s="1"/>
      <c r="K325" s="1"/>
      <c r="L325" s="1"/>
      <c r="M325" s="1"/>
      <c r="N325" s="12"/>
    </row>
    <row r="326" spans="1:14">
      <c r="A326" s="1"/>
      <c r="B326" s="1"/>
      <c r="C326" s="1"/>
      <c r="D326" s="1"/>
      <c r="E326" s="1"/>
      <c r="F326" s="1"/>
      <c r="G326" s="1"/>
      <c r="H326" s="1"/>
      <c r="I326" s="1"/>
      <c r="J326" s="1"/>
      <c r="K326" s="1"/>
      <c r="L326" s="1"/>
      <c r="M326" s="1"/>
      <c r="N326" s="12"/>
    </row>
    <row r="327" spans="1:14">
      <c r="A327" s="1"/>
      <c r="B327" s="1"/>
      <c r="C327" s="1"/>
      <c r="D327" s="1"/>
      <c r="E327" s="1"/>
      <c r="F327" s="1"/>
      <c r="G327" s="1"/>
      <c r="H327" s="1"/>
      <c r="I327" s="1"/>
      <c r="J327" s="1"/>
      <c r="K327" s="1"/>
      <c r="L327" s="1"/>
      <c r="M327" s="1"/>
      <c r="N327" s="12"/>
    </row>
    <row r="328" spans="1:14">
      <c r="A328" s="1"/>
      <c r="B328" s="1"/>
      <c r="C328" s="1"/>
      <c r="D328" s="1"/>
      <c r="E328" s="1"/>
      <c r="F328" s="1"/>
      <c r="G328" s="1"/>
      <c r="H328" s="1"/>
      <c r="I328" s="1"/>
      <c r="J328" s="1"/>
      <c r="K328" s="1"/>
      <c r="L328" s="1"/>
      <c r="M328" s="1"/>
      <c r="N328" s="12"/>
    </row>
    <row r="329" spans="1:14">
      <c r="A329" s="1"/>
      <c r="B329" s="1"/>
      <c r="C329" s="1"/>
      <c r="D329" s="1"/>
      <c r="E329" s="1"/>
      <c r="F329" s="1"/>
      <c r="G329" s="1"/>
      <c r="H329" s="1"/>
      <c r="I329" s="1"/>
      <c r="J329" s="1"/>
      <c r="K329" s="1"/>
      <c r="L329" s="1"/>
      <c r="M329" s="1"/>
      <c r="N329" s="12"/>
    </row>
    <row r="330" spans="1:14">
      <c r="A330" s="1"/>
      <c r="B330" s="1"/>
      <c r="C330" s="1"/>
      <c r="D330" s="1"/>
      <c r="E330" s="1"/>
      <c r="F330" s="1"/>
      <c r="G330" s="1"/>
      <c r="H330" s="1"/>
      <c r="I330" s="1"/>
      <c r="J330" s="1"/>
      <c r="K330" s="1"/>
      <c r="L330" s="1"/>
      <c r="M330" s="1"/>
      <c r="N330" s="12"/>
    </row>
    <row r="331" spans="1:14">
      <c r="A331" s="1"/>
      <c r="B331" s="1"/>
      <c r="C331" s="1"/>
      <c r="D331" s="1"/>
      <c r="E331" s="1"/>
      <c r="F331" s="1"/>
      <c r="G331" s="1"/>
      <c r="H331" s="1"/>
      <c r="I331" s="1"/>
      <c r="J331" s="1"/>
      <c r="K331" s="1"/>
      <c r="L331" s="1"/>
      <c r="M331" s="1"/>
      <c r="N331" s="12"/>
    </row>
    <row r="332" spans="1:14">
      <c r="A332" s="1"/>
      <c r="B332" s="1"/>
      <c r="C332" s="1"/>
      <c r="D332" s="1"/>
      <c r="E332" s="1"/>
      <c r="F332" s="1"/>
      <c r="G332" s="1"/>
      <c r="H332" s="1"/>
      <c r="I332" s="1"/>
      <c r="J332" s="1"/>
      <c r="K332" s="1"/>
      <c r="L332" s="1"/>
      <c r="M332" s="1"/>
      <c r="N332" s="12"/>
    </row>
    <row r="333" spans="1:14">
      <c r="A333" s="1"/>
      <c r="B333" s="1"/>
      <c r="C333" s="1"/>
      <c r="D333" s="1"/>
      <c r="E333" s="1"/>
      <c r="F333" s="1"/>
      <c r="G333" s="1"/>
      <c r="H333" s="1"/>
      <c r="I333" s="1"/>
      <c r="J333" s="1"/>
      <c r="K333" s="1"/>
      <c r="L333" s="1"/>
      <c r="M333" s="1"/>
      <c r="N333" s="12"/>
    </row>
    <row r="334" spans="1:14">
      <c r="A334" s="1"/>
      <c r="B334" s="1"/>
      <c r="C334" s="1"/>
      <c r="D334" s="1"/>
      <c r="E334" s="1"/>
      <c r="F334" s="1"/>
      <c r="G334" s="1"/>
      <c r="H334" s="1"/>
      <c r="I334" s="1"/>
      <c r="J334" s="1"/>
      <c r="K334" s="1"/>
      <c r="L334" s="1"/>
      <c r="M334" s="1"/>
      <c r="N334" s="12"/>
    </row>
    <row r="335" spans="1:14">
      <c r="A335" s="1"/>
      <c r="B335" s="1"/>
      <c r="C335" s="1"/>
      <c r="D335" s="1"/>
      <c r="E335" s="1"/>
      <c r="F335" s="1"/>
      <c r="G335" s="1"/>
      <c r="H335" s="1"/>
      <c r="I335" s="1"/>
      <c r="J335" s="1"/>
      <c r="K335" s="1"/>
      <c r="L335" s="1"/>
      <c r="M335" s="1"/>
      <c r="N335" s="12"/>
    </row>
    <row r="336" spans="1:14">
      <c r="A336" s="1"/>
      <c r="B336" s="1"/>
      <c r="C336" s="1"/>
      <c r="D336" s="1"/>
      <c r="E336" s="1"/>
      <c r="F336" s="1"/>
      <c r="G336" s="1"/>
      <c r="H336" s="1"/>
      <c r="I336" s="1"/>
      <c r="J336" s="1"/>
      <c r="K336" s="1"/>
      <c r="L336" s="1"/>
      <c r="M336" s="1"/>
      <c r="N336" s="12"/>
    </row>
    <row r="337" spans="1:14">
      <c r="A337" s="1"/>
      <c r="B337" s="1"/>
      <c r="C337" s="1"/>
      <c r="D337" s="1"/>
      <c r="E337" s="1"/>
      <c r="F337" s="1"/>
      <c r="G337" s="1"/>
      <c r="H337" s="1"/>
      <c r="I337" s="1"/>
      <c r="J337" s="1"/>
      <c r="K337" s="1"/>
      <c r="L337" s="1"/>
      <c r="M337" s="1"/>
      <c r="N337" s="12"/>
    </row>
    <row r="338" spans="1:14">
      <c r="A338" s="1"/>
      <c r="B338" s="1"/>
      <c r="C338" s="1"/>
      <c r="D338" s="1"/>
      <c r="E338" s="1"/>
      <c r="F338" s="1"/>
      <c r="G338" s="1"/>
      <c r="H338" s="1"/>
      <c r="I338" s="1"/>
      <c r="J338" s="1"/>
      <c r="K338" s="1"/>
      <c r="L338" s="1"/>
      <c r="M338" s="1"/>
      <c r="N338" s="12"/>
    </row>
    <row r="339" spans="1:14">
      <c r="A339" s="1"/>
      <c r="B339" s="1"/>
      <c r="C339" s="1"/>
      <c r="D339" s="1"/>
      <c r="E339" s="1"/>
      <c r="F339" s="1"/>
      <c r="G339" s="1"/>
      <c r="H339" s="1"/>
      <c r="I339" s="1"/>
      <c r="J339" s="1"/>
      <c r="K339" s="1"/>
      <c r="L339" s="1"/>
      <c r="M339" s="1"/>
      <c r="N339" s="12"/>
    </row>
    <row r="340" spans="1:14">
      <c r="A340" s="1"/>
      <c r="B340" s="1"/>
      <c r="C340" s="1"/>
      <c r="D340" s="1"/>
      <c r="E340" s="1"/>
      <c r="F340" s="1"/>
      <c r="G340" s="1"/>
      <c r="H340" s="1"/>
      <c r="I340" s="1"/>
      <c r="J340" s="1"/>
      <c r="K340" s="1"/>
      <c r="L340" s="1"/>
      <c r="M340" s="1"/>
      <c r="N340" s="12"/>
    </row>
    <row r="341" spans="1:14">
      <c r="A341" s="1"/>
      <c r="B341" s="1"/>
      <c r="C341" s="1"/>
      <c r="D341" s="1"/>
      <c r="E341" s="1"/>
      <c r="F341" s="1"/>
      <c r="G341" s="1"/>
      <c r="H341" s="1"/>
      <c r="I341" s="1"/>
      <c r="J341" s="1"/>
      <c r="K341" s="1"/>
      <c r="L341" s="1"/>
      <c r="M341" s="1"/>
      <c r="N341" s="12"/>
    </row>
    <row r="342" spans="1:14">
      <c r="A342" s="1"/>
      <c r="B342" s="1"/>
      <c r="C342" s="1"/>
      <c r="D342" s="1"/>
      <c r="E342" s="1"/>
      <c r="F342" s="1"/>
      <c r="G342" s="1"/>
      <c r="H342" s="1"/>
      <c r="I342" s="1"/>
      <c r="J342" s="1"/>
      <c r="K342" s="1"/>
      <c r="L342" s="1"/>
      <c r="M342" s="1"/>
      <c r="N342" s="12"/>
    </row>
    <row r="343" spans="1:14">
      <c r="A343" s="1"/>
      <c r="B343" s="1"/>
      <c r="C343" s="1"/>
      <c r="D343" s="1"/>
      <c r="E343" s="1"/>
      <c r="F343" s="1"/>
      <c r="G343" s="1"/>
      <c r="H343" s="1"/>
      <c r="I343" s="1"/>
      <c r="J343" s="1"/>
      <c r="K343" s="1"/>
      <c r="L343" s="1"/>
      <c r="M343" s="1"/>
      <c r="N343" s="12"/>
    </row>
    <row r="344" spans="1:14">
      <c r="A344" s="1"/>
      <c r="B344" s="1"/>
      <c r="C344" s="1"/>
      <c r="D344" s="1"/>
      <c r="E344" s="1"/>
      <c r="F344" s="1"/>
      <c r="G344" s="1"/>
      <c r="H344" s="1"/>
      <c r="I344" s="1"/>
      <c r="J344" s="1"/>
      <c r="K344" s="1"/>
      <c r="L344" s="1"/>
      <c r="M344" s="1"/>
      <c r="N344" s="12"/>
    </row>
    <row r="345" spans="1:14">
      <c r="A345" s="1"/>
      <c r="B345" s="1"/>
      <c r="C345" s="1"/>
      <c r="D345" s="1"/>
      <c r="E345" s="1"/>
      <c r="F345" s="1"/>
      <c r="G345" s="1"/>
      <c r="H345" s="1"/>
      <c r="I345" s="1"/>
      <c r="J345" s="1"/>
      <c r="K345" s="1"/>
      <c r="L345" s="1"/>
      <c r="M345" s="1"/>
      <c r="N345" s="12"/>
    </row>
    <row r="346" spans="1:14">
      <c r="A346" s="1"/>
      <c r="B346" s="1"/>
      <c r="C346" s="1"/>
      <c r="D346" s="1"/>
      <c r="E346" s="1"/>
      <c r="F346" s="1"/>
      <c r="G346" s="1"/>
      <c r="H346" s="1"/>
      <c r="I346" s="1"/>
      <c r="J346" s="1"/>
      <c r="K346" s="1"/>
      <c r="L346" s="1"/>
      <c r="M346" s="1"/>
      <c r="N346" s="12"/>
    </row>
    <row r="347" spans="1:14">
      <c r="A347" s="1"/>
      <c r="B347" s="1"/>
      <c r="C347" s="1"/>
      <c r="D347" s="1"/>
      <c r="E347" s="1"/>
      <c r="F347" s="1"/>
      <c r="G347" s="1"/>
      <c r="H347" s="1"/>
      <c r="I347" s="1"/>
      <c r="J347" s="1"/>
      <c r="K347" s="1"/>
      <c r="L347" s="1"/>
      <c r="M347" s="1"/>
      <c r="N347" s="12"/>
    </row>
    <row r="348" spans="1:14">
      <c r="A348" s="1"/>
      <c r="B348" s="1"/>
      <c r="C348" s="1"/>
      <c r="D348" s="1"/>
      <c r="E348" s="1"/>
      <c r="F348" s="1"/>
      <c r="G348" s="1"/>
      <c r="H348" s="1"/>
      <c r="I348" s="1"/>
      <c r="J348" s="1"/>
      <c r="K348" s="1"/>
      <c r="L348" s="1"/>
      <c r="M348" s="1"/>
      <c r="N348" s="12"/>
    </row>
    <row r="349" spans="1:14">
      <c r="A349" s="1"/>
      <c r="B349" s="1"/>
      <c r="C349" s="1"/>
      <c r="D349" s="1"/>
      <c r="E349" s="1"/>
      <c r="F349" s="1"/>
      <c r="G349" s="1"/>
      <c r="H349" s="1"/>
      <c r="I349" s="1"/>
      <c r="J349" s="1"/>
      <c r="K349" s="1"/>
      <c r="L349" s="1"/>
      <c r="M349" s="1"/>
      <c r="N349" s="12"/>
    </row>
    <row r="350" spans="1:14">
      <c r="A350" s="1"/>
      <c r="B350" s="1"/>
      <c r="C350" s="1"/>
      <c r="D350" s="1"/>
      <c r="E350" s="1"/>
      <c r="F350" s="1"/>
      <c r="G350" s="1"/>
      <c r="H350" s="1"/>
      <c r="I350" s="1"/>
      <c r="J350" s="1"/>
      <c r="K350" s="1"/>
      <c r="L350" s="1"/>
      <c r="M350" s="1"/>
      <c r="N350" s="12"/>
    </row>
    <row r="351" spans="1:14">
      <c r="A351" s="1"/>
      <c r="B351" s="1"/>
      <c r="C351" s="1"/>
      <c r="D351" s="1"/>
      <c r="E351" s="1"/>
      <c r="F351" s="1"/>
      <c r="G351" s="1"/>
      <c r="H351" s="1"/>
      <c r="I351" s="1"/>
      <c r="J351" s="1"/>
      <c r="K351" s="1"/>
      <c r="L351" s="1"/>
      <c r="M351" s="1"/>
      <c r="N351" s="12"/>
    </row>
    <row r="352" spans="1:14">
      <c r="A352" s="1"/>
      <c r="B352" s="1"/>
      <c r="C352" s="1"/>
      <c r="D352" s="1"/>
      <c r="E352" s="1"/>
      <c r="F352" s="1"/>
      <c r="G352" s="1"/>
      <c r="H352" s="1"/>
      <c r="I352" s="1"/>
      <c r="J352" s="1"/>
      <c r="K352" s="1"/>
      <c r="L352" s="1"/>
      <c r="M352" s="1"/>
      <c r="N352" s="12"/>
    </row>
    <row r="353" spans="1:14">
      <c r="A353" s="1"/>
      <c r="B353" s="1"/>
      <c r="C353" s="1"/>
      <c r="D353" s="1"/>
      <c r="E353" s="1"/>
      <c r="F353" s="1"/>
      <c r="G353" s="1"/>
      <c r="H353" s="1"/>
      <c r="I353" s="1"/>
      <c r="J353" s="1"/>
      <c r="K353" s="1"/>
      <c r="L353" s="1"/>
      <c r="M353" s="1"/>
      <c r="N353" s="12"/>
    </row>
    <row r="354" spans="1:14">
      <c r="A354" s="1"/>
      <c r="B354" s="1"/>
      <c r="C354" s="1"/>
      <c r="D354" s="1"/>
      <c r="E354" s="1"/>
      <c r="F354" s="1"/>
      <c r="G354" s="1"/>
      <c r="H354" s="1"/>
      <c r="I354" s="1"/>
      <c r="J354" s="1"/>
      <c r="K354" s="1"/>
      <c r="L354" s="1"/>
      <c r="M354" s="1"/>
      <c r="N354" s="12"/>
    </row>
    <row r="355" spans="1:14">
      <c r="A355" s="1"/>
      <c r="B355" s="1"/>
      <c r="C355" s="1"/>
      <c r="D355" s="1"/>
      <c r="E355" s="1"/>
      <c r="F355" s="1"/>
      <c r="G355" s="1"/>
      <c r="H355" s="1"/>
      <c r="I355" s="1"/>
      <c r="J355" s="1"/>
      <c r="K355" s="1"/>
      <c r="L355" s="1"/>
      <c r="M355" s="1"/>
      <c r="N355" s="12"/>
    </row>
    <row r="356" spans="1:14">
      <c r="A356" s="1"/>
      <c r="B356" s="1"/>
      <c r="C356" s="1"/>
      <c r="D356" s="1"/>
      <c r="E356" s="1"/>
      <c r="F356" s="1"/>
      <c r="G356" s="1"/>
      <c r="H356" s="1"/>
      <c r="I356" s="1"/>
      <c r="J356" s="1"/>
      <c r="K356" s="1"/>
      <c r="L356" s="1"/>
      <c r="M356" s="1"/>
      <c r="N356" s="12"/>
    </row>
    <row r="357" spans="1:14">
      <c r="A357" s="1"/>
      <c r="B357" s="1"/>
      <c r="C357" s="1"/>
      <c r="D357" s="1"/>
      <c r="E357" s="1"/>
      <c r="F357" s="1"/>
      <c r="G357" s="1"/>
      <c r="H357" s="1"/>
      <c r="I357" s="1"/>
      <c r="J357" s="1"/>
      <c r="K357" s="1"/>
      <c r="L357" s="1"/>
      <c r="M357" s="1"/>
      <c r="N357" s="12"/>
    </row>
    <row r="358" spans="1:14">
      <c r="A358" s="1"/>
      <c r="B358" s="1"/>
      <c r="C358" s="1"/>
      <c r="D358" s="1"/>
      <c r="E358" s="1"/>
      <c r="F358" s="1"/>
      <c r="G358" s="1"/>
      <c r="H358" s="1"/>
      <c r="I358" s="1"/>
      <c r="J358" s="1"/>
      <c r="K358" s="1"/>
      <c r="L358" s="1"/>
      <c r="M358" s="1"/>
      <c r="N358" s="12"/>
    </row>
    <row r="359" spans="1:14">
      <c r="A359" s="1"/>
      <c r="B359" s="1"/>
      <c r="C359" s="1"/>
      <c r="D359" s="1"/>
      <c r="E359" s="1"/>
      <c r="F359" s="1"/>
      <c r="G359" s="1"/>
      <c r="H359" s="1"/>
      <c r="I359" s="1"/>
      <c r="J359" s="1"/>
      <c r="K359" s="1"/>
      <c r="L359" s="1"/>
      <c r="M359" s="1"/>
      <c r="N359" s="12"/>
    </row>
    <row r="360" spans="1:14">
      <c r="A360" s="1"/>
      <c r="B360" s="1"/>
      <c r="C360" s="1"/>
      <c r="D360" s="1"/>
      <c r="E360" s="1"/>
      <c r="F360" s="1"/>
      <c r="G360" s="1"/>
      <c r="H360" s="1"/>
      <c r="I360" s="1"/>
      <c r="J360" s="1"/>
      <c r="K360" s="1"/>
      <c r="L360" s="1"/>
      <c r="M360" s="1"/>
      <c r="N360" s="12"/>
    </row>
    <row r="361" spans="1:14">
      <c r="A361" s="1"/>
      <c r="B361" s="1"/>
      <c r="C361" s="1"/>
      <c r="D361" s="1"/>
      <c r="E361" s="1"/>
      <c r="F361" s="1"/>
      <c r="G361" s="1"/>
      <c r="H361" s="1"/>
      <c r="I361" s="1"/>
      <c r="J361" s="1"/>
      <c r="K361" s="1"/>
      <c r="L361" s="1"/>
      <c r="M361" s="1"/>
      <c r="N361" s="12"/>
    </row>
    <row r="362" spans="1:14">
      <c r="A362" s="1"/>
      <c r="B362" s="1"/>
      <c r="C362" s="1"/>
      <c r="D362" s="1"/>
      <c r="E362" s="1"/>
      <c r="F362" s="1"/>
      <c r="G362" s="1"/>
      <c r="H362" s="1"/>
      <c r="I362" s="1"/>
      <c r="J362" s="1"/>
      <c r="K362" s="1"/>
      <c r="L362" s="1"/>
      <c r="M362" s="1"/>
      <c r="N362" s="12"/>
    </row>
    <row r="363" spans="1:14">
      <c r="A363" s="1"/>
      <c r="B363" s="1"/>
      <c r="C363" s="1"/>
      <c r="D363" s="1"/>
      <c r="E363" s="1"/>
      <c r="F363" s="1"/>
      <c r="G363" s="1"/>
      <c r="H363" s="1"/>
      <c r="I363" s="1"/>
      <c r="J363" s="1"/>
      <c r="K363" s="1"/>
      <c r="L363" s="1"/>
      <c r="M363" s="1"/>
      <c r="N363" s="12"/>
    </row>
    <row r="364" spans="1:14">
      <c r="A364" s="1"/>
      <c r="B364" s="1"/>
      <c r="C364" s="1"/>
      <c r="D364" s="1"/>
      <c r="E364" s="1"/>
      <c r="F364" s="1"/>
      <c r="G364" s="1"/>
      <c r="H364" s="1"/>
      <c r="I364" s="1"/>
      <c r="J364" s="1"/>
      <c r="K364" s="1"/>
      <c r="L364" s="1"/>
      <c r="M364" s="1"/>
      <c r="N364" s="12"/>
    </row>
    <row r="365" spans="1:14">
      <c r="A365" s="1"/>
      <c r="B365" s="1"/>
      <c r="C365" s="1"/>
      <c r="D365" s="1"/>
      <c r="E365" s="1"/>
      <c r="F365" s="1"/>
      <c r="G365" s="1"/>
      <c r="H365" s="1"/>
      <c r="I365" s="1"/>
      <c r="J365" s="1"/>
      <c r="K365" s="1"/>
      <c r="L365" s="1"/>
      <c r="M365" s="1"/>
      <c r="N365" s="12"/>
    </row>
    <row r="366" spans="1:14">
      <c r="A366" s="1"/>
      <c r="B366" s="1"/>
      <c r="C366" s="1"/>
      <c r="D366" s="1"/>
      <c r="E366" s="1"/>
      <c r="F366" s="1"/>
      <c r="G366" s="1"/>
      <c r="H366" s="1"/>
      <c r="I366" s="1"/>
      <c r="J366" s="1"/>
      <c r="K366" s="1"/>
      <c r="L366" s="1"/>
      <c r="M366" s="1"/>
      <c r="N366" s="12"/>
    </row>
    <row r="367" spans="1:14">
      <c r="A367" s="1"/>
      <c r="B367" s="1"/>
      <c r="C367" s="1"/>
      <c r="D367" s="1"/>
      <c r="E367" s="1"/>
      <c r="F367" s="1"/>
      <c r="G367" s="1"/>
      <c r="H367" s="1"/>
      <c r="I367" s="1"/>
      <c r="J367" s="1"/>
      <c r="K367" s="1"/>
      <c r="L367" s="1"/>
      <c r="M367" s="1"/>
      <c r="N367" s="12"/>
    </row>
    <row r="368" spans="1:14">
      <c r="A368" s="1"/>
      <c r="B368" s="1"/>
      <c r="C368" s="1"/>
      <c r="D368" s="1"/>
      <c r="E368" s="1"/>
      <c r="F368" s="1"/>
      <c r="G368" s="1"/>
      <c r="H368" s="1"/>
      <c r="I368" s="1"/>
      <c r="J368" s="1"/>
      <c r="K368" s="1"/>
      <c r="L368" s="1"/>
      <c r="M368" s="1"/>
      <c r="N368" s="12"/>
    </row>
    <row r="369" spans="1:14">
      <c r="A369" s="1"/>
      <c r="B369" s="1"/>
      <c r="C369" s="1"/>
      <c r="D369" s="1"/>
      <c r="E369" s="1"/>
      <c r="F369" s="1"/>
      <c r="G369" s="1"/>
      <c r="H369" s="1"/>
      <c r="I369" s="1"/>
      <c r="J369" s="1"/>
      <c r="K369" s="1"/>
      <c r="L369" s="1"/>
      <c r="M369" s="1"/>
      <c r="N369" s="12"/>
    </row>
    <row r="370" spans="1:14">
      <c r="A370" s="1"/>
      <c r="B370" s="1"/>
      <c r="C370" s="1"/>
      <c r="D370" s="1"/>
      <c r="E370" s="1"/>
      <c r="F370" s="1"/>
      <c r="G370" s="1"/>
      <c r="H370" s="1"/>
      <c r="I370" s="1"/>
      <c r="J370" s="1"/>
      <c r="K370" s="1"/>
      <c r="L370" s="1"/>
      <c r="M370" s="1"/>
      <c r="N370" s="12"/>
    </row>
    <row r="371" spans="1:14">
      <c r="A371" s="1"/>
      <c r="B371" s="1"/>
      <c r="C371" s="1"/>
      <c r="D371" s="1"/>
      <c r="E371" s="1"/>
      <c r="F371" s="1"/>
      <c r="G371" s="1"/>
      <c r="H371" s="1"/>
      <c r="I371" s="1"/>
      <c r="J371" s="1"/>
      <c r="K371" s="1"/>
      <c r="L371" s="1"/>
      <c r="M371" s="1"/>
      <c r="N371" s="12"/>
    </row>
    <row r="372" spans="1:14">
      <c r="A372" s="1"/>
      <c r="B372" s="1"/>
      <c r="C372" s="1"/>
      <c r="D372" s="1"/>
      <c r="E372" s="1"/>
      <c r="F372" s="1"/>
      <c r="G372" s="1"/>
      <c r="H372" s="1"/>
      <c r="I372" s="1"/>
      <c r="J372" s="1"/>
      <c r="K372" s="1"/>
      <c r="L372" s="1"/>
      <c r="M372" s="1"/>
      <c r="N372" s="12"/>
    </row>
    <row r="373" spans="1:14">
      <c r="A373" s="1"/>
      <c r="B373" s="1"/>
      <c r="C373" s="1"/>
      <c r="D373" s="1"/>
      <c r="E373" s="1"/>
      <c r="F373" s="1"/>
      <c r="G373" s="1"/>
      <c r="H373" s="1"/>
      <c r="I373" s="1"/>
      <c r="J373" s="1"/>
      <c r="K373" s="1"/>
      <c r="L373" s="1"/>
      <c r="M373" s="1"/>
      <c r="N373" s="12"/>
    </row>
    <row r="374" spans="1:14">
      <c r="A374" s="1"/>
      <c r="B374" s="1"/>
      <c r="C374" s="1"/>
      <c r="D374" s="1"/>
      <c r="E374" s="1"/>
      <c r="F374" s="1"/>
      <c r="G374" s="1"/>
      <c r="H374" s="1"/>
      <c r="I374" s="1"/>
      <c r="J374" s="1"/>
      <c r="K374" s="1"/>
      <c r="L374" s="1"/>
      <c r="M374" s="1"/>
      <c r="N374" s="12"/>
    </row>
    <row r="375" spans="1:14">
      <c r="A375" s="1"/>
      <c r="B375" s="1"/>
      <c r="C375" s="1"/>
      <c r="D375" s="1"/>
      <c r="E375" s="1"/>
      <c r="F375" s="1"/>
      <c r="G375" s="1"/>
      <c r="H375" s="1"/>
      <c r="I375" s="1"/>
      <c r="J375" s="1"/>
      <c r="K375" s="1"/>
      <c r="L375" s="1"/>
      <c r="M375" s="1"/>
      <c r="N375" s="12"/>
    </row>
    <row r="376" spans="1:14">
      <c r="A376" s="1"/>
      <c r="B376" s="1"/>
      <c r="C376" s="1"/>
      <c r="D376" s="1"/>
      <c r="E376" s="1"/>
      <c r="F376" s="1"/>
      <c r="G376" s="1"/>
      <c r="H376" s="1"/>
      <c r="I376" s="1"/>
      <c r="J376" s="1"/>
      <c r="K376" s="1"/>
      <c r="L376" s="1"/>
      <c r="M376" s="1"/>
      <c r="N376" s="12"/>
    </row>
    <row r="377" spans="1:14">
      <c r="A377" s="1"/>
      <c r="B377" s="1"/>
      <c r="C377" s="1"/>
      <c r="D377" s="1"/>
      <c r="E377" s="1"/>
      <c r="F377" s="1"/>
      <c r="G377" s="1"/>
      <c r="H377" s="1"/>
      <c r="I377" s="1"/>
      <c r="J377" s="1"/>
      <c r="K377" s="1"/>
      <c r="L377" s="1"/>
      <c r="M377" s="1"/>
      <c r="N377" s="12"/>
    </row>
    <row r="378" spans="1:14">
      <c r="A378" s="1"/>
      <c r="B378" s="1"/>
      <c r="C378" s="1"/>
      <c r="D378" s="1"/>
      <c r="E378" s="1"/>
      <c r="F378" s="1"/>
      <c r="G378" s="1"/>
      <c r="H378" s="1"/>
      <c r="I378" s="1"/>
      <c r="J378" s="1"/>
      <c r="K378" s="1"/>
      <c r="L378" s="1"/>
      <c r="M378" s="1"/>
      <c r="N378" s="12"/>
    </row>
    <row r="379" spans="1:14">
      <c r="A379" s="1"/>
      <c r="B379" s="1"/>
      <c r="C379" s="1"/>
      <c r="D379" s="1"/>
      <c r="E379" s="1"/>
      <c r="F379" s="1"/>
      <c r="G379" s="1"/>
      <c r="H379" s="1"/>
      <c r="I379" s="1"/>
      <c r="J379" s="1"/>
      <c r="K379" s="1"/>
      <c r="L379" s="1"/>
      <c r="M379" s="1"/>
      <c r="N379" s="12"/>
    </row>
    <row r="380" spans="1:14">
      <c r="A380" s="1"/>
      <c r="B380" s="1"/>
      <c r="C380" s="1"/>
      <c r="D380" s="1"/>
      <c r="E380" s="1"/>
      <c r="F380" s="1"/>
      <c r="G380" s="1"/>
      <c r="H380" s="1"/>
      <c r="I380" s="1"/>
      <c r="J380" s="1"/>
      <c r="K380" s="1"/>
      <c r="L380" s="1"/>
      <c r="M380" s="1"/>
      <c r="N380" s="12"/>
    </row>
    <row r="381" spans="1:14">
      <c r="A381" s="1"/>
      <c r="B381" s="1"/>
      <c r="C381" s="1"/>
      <c r="D381" s="1"/>
      <c r="E381" s="1"/>
      <c r="F381" s="1"/>
      <c r="G381" s="1"/>
      <c r="H381" s="1"/>
      <c r="I381" s="1"/>
      <c r="J381" s="1"/>
      <c r="K381" s="1"/>
      <c r="L381" s="1"/>
      <c r="M381" s="1"/>
      <c r="N381" s="12"/>
    </row>
    <row r="382" spans="1:14">
      <c r="A382" s="1"/>
      <c r="B382" s="1"/>
      <c r="C382" s="1"/>
      <c r="D382" s="1"/>
      <c r="E382" s="1"/>
      <c r="F382" s="1"/>
      <c r="G382" s="1"/>
      <c r="H382" s="1"/>
      <c r="I382" s="1"/>
      <c r="J382" s="1"/>
      <c r="K382" s="1"/>
      <c r="L382" s="1"/>
      <c r="M382" s="1"/>
      <c r="N382" s="12"/>
    </row>
    <row r="383" spans="1:14">
      <c r="A383" s="1"/>
      <c r="B383" s="1"/>
      <c r="C383" s="1"/>
      <c r="D383" s="1"/>
      <c r="E383" s="1"/>
      <c r="F383" s="1"/>
      <c r="G383" s="1"/>
      <c r="H383" s="1"/>
      <c r="I383" s="1"/>
      <c r="J383" s="1"/>
      <c r="K383" s="1"/>
      <c r="L383" s="1"/>
      <c r="M383" s="1"/>
      <c r="N383" s="12"/>
    </row>
    <row r="384" spans="1:14">
      <c r="A384" s="1"/>
      <c r="B384" s="1"/>
      <c r="C384" s="1"/>
      <c r="D384" s="1"/>
      <c r="E384" s="1"/>
      <c r="F384" s="1"/>
      <c r="G384" s="1"/>
      <c r="H384" s="1"/>
      <c r="I384" s="1"/>
      <c r="J384" s="1"/>
      <c r="K384" s="1"/>
      <c r="L384" s="1"/>
      <c r="M384" s="1"/>
      <c r="N384" s="12"/>
    </row>
    <row r="385" spans="1:14">
      <c r="A385" s="1"/>
      <c r="B385" s="1"/>
      <c r="C385" s="1"/>
      <c r="D385" s="1"/>
      <c r="E385" s="1"/>
      <c r="F385" s="1"/>
      <c r="G385" s="1"/>
      <c r="H385" s="1"/>
      <c r="I385" s="1"/>
      <c r="J385" s="1"/>
      <c r="K385" s="1"/>
      <c r="L385" s="1"/>
      <c r="M385" s="1"/>
      <c r="N385" s="12"/>
    </row>
    <row r="386" spans="1:14">
      <c r="A386" s="1"/>
      <c r="B386" s="1"/>
      <c r="C386" s="1"/>
      <c r="D386" s="1"/>
      <c r="E386" s="1"/>
      <c r="F386" s="1"/>
      <c r="G386" s="1"/>
      <c r="H386" s="1"/>
      <c r="I386" s="1"/>
      <c r="J386" s="1"/>
      <c r="K386" s="1"/>
      <c r="L386" s="1"/>
      <c r="M386" s="1"/>
      <c r="N386" s="12"/>
    </row>
    <row r="387" spans="1:14">
      <c r="A387" s="1"/>
      <c r="B387" s="1"/>
      <c r="C387" s="1"/>
      <c r="D387" s="1"/>
      <c r="E387" s="1"/>
      <c r="F387" s="1"/>
      <c r="G387" s="1"/>
      <c r="H387" s="1"/>
      <c r="I387" s="1"/>
      <c r="J387" s="1"/>
      <c r="K387" s="1"/>
      <c r="L387" s="1"/>
      <c r="M387" s="1"/>
      <c r="N387" s="12"/>
    </row>
    <row r="388" spans="1:14">
      <c r="A388" s="1"/>
      <c r="B388" s="1"/>
      <c r="C388" s="1"/>
      <c r="D388" s="1"/>
      <c r="E388" s="1"/>
      <c r="F388" s="1"/>
      <c r="G388" s="1"/>
      <c r="H388" s="1"/>
      <c r="I388" s="1"/>
      <c r="J388" s="1"/>
      <c r="K388" s="1"/>
      <c r="L388" s="1"/>
      <c r="M388" s="1"/>
      <c r="N388" s="12"/>
    </row>
    <row r="389" spans="1:14">
      <c r="A389" s="1"/>
      <c r="B389" s="1"/>
      <c r="C389" s="1"/>
      <c r="D389" s="1"/>
      <c r="E389" s="1"/>
      <c r="F389" s="1"/>
      <c r="G389" s="1"/>
      <c r="H389" s="1"/>
      <c r="I389" s="1"/>
      <c r="J389" s="1"/>
      <c r="K389" s="1"/>
      <c r="L389" s="1"/>
      <c r="M389" s="1"/>
      <c r="N389" s="12"/>
    </row>
    <row r="390" spans="1:14">
      <c r="A390" s="1"/>
      <c r="B390" s="1"/>
      <c r="C390" s="1"/>
      <c r="D390" s="1"/>
      <c r="E390" s="1"/>
      <c r="F390" s="1"/>
      <c r="G390" s="1"/>
      <c r="H390" s="1"/>
      <c r="I390" s="1"/>
      <c r="J390" s="1"/>
      <c r="K390" s="1"/>
      <c r="L390" s="1"/>
      <c r="M390" s="1"/>
      <c r="N390" s="12"/>
    </row>
    <row r="391" spans="1:14">
      <c r="A391" s="1"/>
      <c r="B391" s="1"/>
      <c r="C391" s="1"/>
      <c r="D391" s="1"/>
      <c r="E391" s="1"/>
      <c r="F391" s="1"/>
      <c r="G391" s="1"/>
      <c r="H391" s="1"/>
      <c r="I391" s="1"/>
      <c r="J391" s="1"/>
      <c r="K391" s="1"/>
      <c r="L391" s="1"/>
      <c r="M391" s="1"/>
      <c r="N391" s="12"/>
    </row>
    <row r="392" spans="1:14">
      <c r="A392" s="1"/>
      <c r="B392" s="1"/>
      <c r="C392" s="1"/>
      <c r="D392" s="1"/>
      <c r="E392" s="1"/>
      <c r="F392" s="1"/>
      <c r="G392" s="1"/>
      <c r="H392" s="1"/>
      <c r="I392" s="1"/>
      <c r="J392" s="1"/>
      <c r="K392" s="1"/>
      <c r="L392" s="1"/>
      <c r="M392" s="1"/>
      <c r="N392" s="12"/>
    </row>
    <row r="393" spans="1:14">
      <c r="A393" s="1"/>
      <c r="B393" s="1"/>
      <c r="C393" s="1"/>
      <c r="D393" s="1"/>
      <c r="E393" s="1"/>
      <c r="F393" s="1"/>
      <c r="G393" s="1"/>
      <c r="H393" s="1"/>
      <c r="I393" s="1"/>
      <c r="J393" s="1"/>
      <c r="K393" s="1"/>
      <c r="L393" s="1"/>
      <c r="M393" s="1"/>
      <c r="N393" s="12"/>
    </row>
    <row r="394" spans="1:14">
      <c r="A394" s="1"/>
      <c r="B394" s="1"/>
      <c r="C394" s="1"/>
      <c r="D394" s="1"/>
      <c r="E394" s="1"/>
      <c r="F394" s="1"/>
      <c r="G394" s="1"/>
      <c r="H394" s="1"/>
      <c r="I394" s="1"/>
      <c r="J394" s="1"/>
      <c r="K394" s="1"/>
      <c r="L394" s="1"/>
      <c r="M394" s="1"/>
      <c r="N394" s="12"/>
    </row>
    <row r="395" spans="1:14">
      <c r="A395" s="1"/>
      <c r="B395" s="1"/>
      <c r="C395" s="1"/>
      <c r="D395" s="1"/>
      <c r="E395" s="1"/>
      <c r="F395" s="1"/>
      <c r="G395" s="1"/>
      <c r="H395" s="1"/>
      <c r="I395" s="1"/>
      <c r="J395" s="1"/>
      <c r="K395" s="1"/>
      <c r="L395" s="1"/>
      <c r="M395" s="1"/>
      <c r="N395" s="12"/>
    </row>
    <row r="396" spans="1:14">
      <c r="A396" s="1"/>
      <c r="B396" s="1"/>
      <c r="C396" s="1"/>
      <c r="D396" s="1"/>
      <c r="E396" s="1"/>
      <c r="F396" s="1"/>
      <c r="G396" s="1"/>
      <c r="H396" s="1"/>
      <c r="I396" s="1"/>
      <c r="J396" s="1"/>
      <c r="K396" s="1"/>
      <c r="L396" s="1"/>
      <c r="M396" s="1"/>
      <c r="N396" s="12"/>
    </row>
    <row r="397" spans="1:14">
      <c r="A397" s="1"/>
      <c r="B397" s="1"/>
      <c r="C397" s="1"/>
      <c r="D397" s="1"/>
      <c r="E397" s="1"/>
      <c r="F397" s="1"/>
      <c r="G397" s="1"/>
      <c r="H397" s="1"/>
      <c r="I397" s="1"/>
      <c r="J397" s="1"/>
      <c r="K397" s="1"/>
      <c r="L397" s="1"/>
      <c r="M397" s="1"/>
      <c r="N397" s="12"/>
    </row>
    <row r="398" spans="1:14">
      <c r="A398" s="1"/>
      <c r="B398" s="1"/>
      <c r="C398" s="1"/>
      <c r="D398" s="1"/>
      <c r="E398" s="1"/>
      <c r="F398" s="1"/>
      <c r="G398" s="1"/>
      <c r="H398" s="1"/>
      <c r="I398" s="1"/>
      <c r="J398" s="1"/>
      <c r="K398" s="1"/>
      <c r="L398" s="1"/>
      <c r="M398" s="1"/>
      <c r="N398" s="12"/>
    </row>
    <row r="399" spans="1:14">
      <c r="A399" s="1"/>
      <c r="B399" s="1"/>
      <c r="C399" s="1"/>
      <c r="D399" s="1"/>
      <c r="E399" s="1"/>
      <c r="F399" s="1"/>
      <c r="G399" s="1"/>
      <c r="H399" s="1"/>
      <c r="I399" s="1"/>
      <c r="J399" s="1"/>
      <c r="K399" s="1"/>
      <c r="L399" s="1"/>
      <c r="M399" s="1"/>
      <c r="N399" s="12"/>
    </row>
    <row r="400" spans="1:14">
      <c r="A400" s="1"/>
      <c r="B400" s="1"/>
      <c r="C400" s="1"/>
      <c r="D400" s="1"/>
      <c r="E400" s="1"/>
      <c r="F400" s="1"/>
      <c r="G400" s="1"/>
      <c r="H400" s="1"/>
      <c r="I400" s="1"/>
      <c r="J400" s="1"/>
      <c r="K400" s="1"/>
      <c r="L400" s="1"/>
      <c r="M400" s="1"/>
      <c r="N400" s="12"/>
    </row>
    <row r="401" spans="1:14">
      <c r="A401" s="1"/>
      <c r="B401" s="1"/>
      <c r="C401" s="1"/>
      <c r="D401" s="1"/>
      <c r="E401" s="1"/>
      <c r="F401" s="1"/>
      <c r="G401" s="1"/>
      <c r="H401" s="1"/>
      <c r="I401" s="1"/>
      <c r="J401" s="1"/>
      <c r="K401" s="1"/>
      <c r="L401" s="1"/>
      <c r="M401" s="1"/>
      <c r="N401" s="12"/>
    </row>
    <row r="402" spans="1:14">
      <c r="A402" s="1"/>
      <c r="B402" s="1"/>
      <c r="C402" s="1"/>
      <c r="D402" s="1"/>
      <c r="E402" s="1"/>
      <c r="F402" s="1"/>
      <c r="G402" s="1"/>
      <c r="H402" s="1"/>
      <c r="I402" s="1"/>
      <c r="J402" s="1"/>
      <c r="K402" s="1"/>
      <c r="L402" s="1"/>
      <c r="M402" s="1"/>
      <c r="N402" s="12"/>
    </row>
    <row r="403" spans="1:14">
      <c r="A403" s="1"/>
      <c r="B403" s="1"/>
      <c r="C403" s="1"/>
      <c r="D403" s="1"/>
      <c r="E403" s="1"/>
      <c r="F403" s="1"/>
      <c r="G403" s="1"/>
      <c r="H403" s="1"/>
      <c r="I403" s="1"/>
      <c r="J403" s="1"/>
      <c r="K403" s="1"/>
      <c r="L403" s="1"/>
      <c r="M403" s="1"/>
      <c r="N403" s="12"/>
    </row>
    <row r="404" spans="1:14">
      <c r="A404" s="1"/>
      <c r="B404" s="1"/>
      <c r="C404" s="1"/>
      <c r="D404" s="1"/>
      <c r="E404" s="1"/>
      <c r="F404" s="1"/>
      <c r="G404" s="1"/>
      <c r="H404" s="1"/>
      <c r="I404" s="1"/>
      <c r="J404" s="1"/>
      <c r="K404" s="1"/>
      <c r="L404" s="1"/>
      <c r="M404" s="1"/>
      <c r="N404" s="12"/>
    </row>
    <row r="405" spans="1:14">
      <c r="A405" s="1"/>
      <c r="B405" s="1"/>
      <c r="C405" s="1"/>
      <c r="D405" s="1"/>
      <c r="E405" s="1"/>
      <c r="F405" s="1"/>
      <c r="G405" s="1"/>
      <c r="H405" s="1"/>
      <c r="I405" s="1"/>
      <c r="J405" s="1"/>
      <c r="K405" s="1"/>
      <c r="L405" s="1"/>
      <c r="M405" s="1"/>
      <c r="N405" s="12"/>
    </row>
    <row r="406" spans="1:14">
      <c r="A406" s="1"/>
      <c r="B406" s="1"/>
      <c r="C406" s="1"/>
      <c r="D406" s="1"/>
      <c r="E406" s="1"/>
      <c r="F406" s="1"/>
      <c r="G406" s="1"/>
      <c r="H406" s="1"/>
      <c r="I406" s="1"/>
      <c r="J406" s="1"/>
      <c r="K406" s="1"/>
      <c r="L406" s="1"/>
      <c r="M406" s="1"/>
      <c r="N406" s="12"/>
    </row>
    <row r="407" spans="1:14">
      <c r="A407" s="1"/>
      <c r="B407" s="1"/>
      <c r="C407" s="1"/>
      <c r="D407" s="1"/>
      <c r="E407" s="1"/>
      <c r="F407" s="1"/>
      <c r="G407" s="1"/>
      <c r="H407" s="1"/>
      <c r="I407" s="1"/>
      <c r="J407" s="1"/>
      <c r="K407" s="1"/>
      <c r="L407" s="1"/>
      <c r="M407" s="1"/>
      <c r="N407" s="12"/>
    </row>
    <row r="408" spans="1:14">
      <c r="A408" s="1"/>
      <c r="B408" s="1"/>
      <c r="C408" s="1"/>
      <c r="D408" s="1"/>
      <c r="E408" s="1"/>
      <c r="F408" s="1"/>
      <c r="G408" s="1"/>
      <c r="H408" s="1"/>
      <c r="I408" s="1"/>
      <c r="J408" s="1"/>
      <c r="K408" s="1"/>
      <c r="L408" s="1"/>
      <c r="M408" s="1"/>
      <c r="N408" s="12"/>
    </row>
    <row r="409" spans="1:14">
      <c r="A409" s="1"/>
      <c r="B409" s="1"/>
      <c r="C409" s="1"/>
      <c r="D409" s="1"/>
      <c r="E409" s="1"/>
      <c r="F409" s="1"/>
      <c r="G409" s="1"/>
      <c r="H409" s="1"/>
      <c r="I409" s="1"/>
      <c r="J409" s="1"/>
      <c r="K409" s="1"/>
      <c r="L409" s="1"/>
      <c r="M409" s="1"/>
      <c r="N409" s="12"/>
    </row>
    <row r="410" spans="1:14">
      <c r="A410" s="1"/>
      <c r="B410" s="1"/>
      <c r="C410" s="1"/>
      <c r="D410" s="1"/>
      <c r="E410" s="1"/>
      <c r="F410" s="1"/>
      <c r="G410" s="1"/>
      <c r="H410" s="1"/>
      <c r="I410" s="1"/>
      <c r="J410" s="1"/>
      <c r="K410" s="1"/>
      <c r="L410" s="1"/>
      <c r="M410" s="1"/>
      <c r="N410" s="12"/>
    </row>
    <row r="411" spans="1:14">
      <c r="A411" s="1"/>
      <c r="B411" s="1"/>
      <c r="C411" s="1"/>
      <c r="D411" s="1"/>
      <c r="E411" s="1"/>
      <c r="F411" s="1"/>
      <c r="G411" s="1"/>
      <c r="H411" s="1"/>
      <c r="I411" s="1"/>
      <c r="J411" s="1"/>
      <c r="K411" s="1"/>
      <c r="L411" s="1"/>
      <c r="M411" s="1"/>
      <c r="N411" s="12"/>
    </row>
    <row r="412" spans="1:14">
      <c r="A412" s="1"/>
      <c r="B412" s="1"/>
      <c r="C412" s="1"/>
      <c r="D412" s="1"/>
      <c r="E412" s="1"/>
      <c r="F412" s="1"/>
      <c r="G412" s="1"/>
      <c r="H412" s="1"/>
      <c r="I412" s="1"/>
      <c r="J412" s="1"/>
      <c r="K412" s="1"/>
      <c r="L412" s="1"/>
      <c r="M412" s="1"/>
      <c r="N412" s="12"/>
    </row>
    <row r="413" spans="1:14">
      <c r="A413" s="1"/>
      <c r="B413" s="1"/>
      <c r="C413" s="1"/>
      <c r="D413" s="1"/>
      <c r="E413" s="1"/>
      <c r="F413" s="1"/>
      <c r="G413" s="1"/>
      <c r="H413" s="1"/>
      <c r="I413" s="1"/>
      <c r="J413" s="1"/>
      <c r="K413" s="1"/>
      <c r="L413" s="1"/>
      <c r="M413" s="1"/>
      <c r="N413" s="12"/>
    </row>
    <row r="414" spans="1:14">
      <c r="A414" s="1"/>
      <c r="B414" s="1"/>
      <c r="C414" s="1"/>
      <c r="D414" s="1"/>
      <c r="E414" s="1"/>
      <c r="F414" s="1"/>
      <c r="G414" s="1"/>
      <c r="H414" s="1"/>
      <c r="I414" s="1"/>
      <c r="J414" s="1"/>
      <c r="K414" s="1"/>
      <c r="L414" s="1"/>
      <c r="M414" s="1"/>
      <c r="N414" s="12"/>
    </row>
    <row r="415" spans="1:14">
      <c r="A415" s="1"/>
      <c r="B415" s="1"/>
      <c r="C415" s="1"/>
      <c r="D415" s="1"/>
      <c r="E415" s="1"/>
      <c r="F415" s="1"/>
      <c r="G415" s="1"/>
      <c r="H415" s="1"/>
      <c r="I415" s="1"/>
      <c r="J415" s="1"/>
      <c r="K415" s="1"/>
      <c r="L415" s="1"/>
      <c r="M415" s="1"/>
      <c r="N415" s="12"/>
    </row>
    <row r="416" spans="1:14">
      <c r="A416" s="1"/>
      <c r="B416" s="1"/>
      <c r="C416" s="1"/>
      <c r="D416" s="1"/>
      <c r="E416" s="1"/>
      <c r="F416" s="1"/>
      <c r="G416" s="1"/>
      <c r="H416" s="1"/>
      <c r="I416" s="1"/>
      <c r="J416" s="1"/>
      <c r="K416" s="1"/>
      <c r="L416" s="1"/>
      <c r="M416" s="1"/>
      <c r="N416" s="12"/>
    </row>
    <row r="417" spans="1:14">
      <c r="A417" s="1"/>
      <c r="B417" s="1"/>
      <c r="C417" s="1"/>
      <c r="D417" s="1"/>
      <c r="E417" s="1"/>
      <c r="F417" s="1"/>
      <c r="G417" s="1"/>
      <c r="H417" s="1"/>
      <c r="I417" s="1"/>
      <c r="J417" s="1"/>
      <c r="K417" s="1"/>
      <c r="L417" s="1"/>
      <c r="M417" s="1"/>
      <c r="N417" s="12"/>
    </row>
    <row r="418" spans="1:14">
      <c r="A418" s="1"/>
      <c r="B418" s="1"/>
      <c r="C418" s="1"/>
      <c r="D418" s="1"/>
      <c r="E418" s="1"/>
      <c r="F418" s="1"/>
      <c r="G418" s="1"/>
      <c r="H418" s="1"/>
      <c r="I418" s="1"/>
      <c r="J418" s="1"/>
      <c r="K418" s="1"/>
      <c r="L418" s="1"/>
      <c r="M418" s="1"/>
      <c r="N418" s="12"/>
    </row>
    <row r="419" spans="1:14">
      <c r="A419" s="1"/>
      <c r="B419" s="1"/>
      <c r="C419" s="1"/>
      <c r="D419" s="1"/>
      <c r="E419" s="1"/>
      <c r="F419" s="1"/>
      <c r="G419" s="1"/>
      <c r="H419" s="1"/>
      <c r="I419" s="1"/>
      <c r="J419" s="1"/>
      <c r="K419" s="1"/>
      <c r="L419" s="1"/>
      <c r="M419" s="1"/>
      <c r="N419" s="12"/>
    </row>
    <row r="420" spans="1:14">
      <c r="A420" s="1"/>
      <c r="B420" s="1"/>
      <c r="C420" s="1"/>
      <c r="D420" s="1"/>
      <c r="E420" s="1"/>
      <c r="F420" s="1"/>
      <c r="G420" s="1"/>
      <c r="H420" s="1"/>
      <c r="I420" s="1"/>
      <c r="J420" s="1"/>
      <c r="K420" s="1"/>
      <c r="L420" s="1"/>
      <c r="M420" s="1"/>
      <c r="N420" s="12"/>
    </row>
    <row r="421" spans="1:14">
      <c r="A421" s="1"/>
      <c r="B421" s="1"/>
      <c r="C421" s="1"/>
      <c r="D421" s="1"/>
      <c r="E421" s="1"/>
      <c r="F421" s="1"/>
      <c r="G421" s="1"/>
      <c r="H421" s="1"/>
      <c r="I421" s="1"/>
      <c r="J421" s="1"/>
      <c r="K421" s="1"/>
      <c r="L421" s="1"/>
      <c r="M421" s="1"/>
      <c r="N421" s="12"/>
    </row>
    <row r="422" spans="1:14">
      <c r="A422" s="1"/>
      <c r="B422" s="1"/>
      <c r="C422" s="1"/>
      <c r="D422" s="1"/>
      <c r="E422" s="1"/>
      <c r="F422" s="1"/>
      <c r="G422" s="1"/>
      <c r="H422" s="1"/>
      <c r="I422" s="1"/>
      <c r="J422" s="1"/>
      <c r="K422" s="1"/>
      <c r="L422" s="1"/>
      <c r="M422" s="1"/>
      <c r="N422" s="12"/>
    </row>
    <row r="423" spans="1:14">
      <c r="A423" s="1"/>
      <c r="B423" s="1"/>
      <c r="C423" s="1"/>
      <c r="D423" s="1"/>
      <c r="E423" s="1"/>
      <c r="F423" s="1"/>
      <c r="G423" s="1"/>
      <c r="H423" s="1"/>
      <c r="I423" s="1"/>
      <c r="J423" s="1"/>
      <c r="K423" s="1"/>
      <c r="L423" s="1"/>
      <c r="M423" s="1"/>
      <c r="N423" s="12"/>
    </row>
    <row r="424" spans="1:14">
      <c r="A424" s="1"/>
      <c r="B424" s="1"/>
      <c r="C424" s="1"/>
      <c r="D424" s="1"/>
      <c r="E424" s="1"/>
      <c r="F424" s="1"/>
      <c r="G424" s="1"/>
      <c r="H424" s="1"/>
      <c r="I424" s="1"/>
      <c r="J424" s="1"/>
      <c r="K424" s="1"/>
      <c r="L424" s="1"/>
      <c r="M424" s="1"/>
      <c r="N424" s="12"/>
    </row>
    <row r="425" spans="1:14">
      <c r="A425" s="1"/>
      <c r="B425" s="1"/>
      <c r="C425" s="1"/>
      <c r="D425" s="1"/>
      <c r="E425" s="1"/>
      <c r="F425" s="1"/>
      <c r="G425" s="1"/>
      <c r="H425" s="1"/>
      <c r="I425" s="1"/>
      <c r="J425" s="1"/>
      <c r="K425" s="1"/>
      <c r="L425" s="1"/>
      <c r="M425" s="1"/>
      <c r="N425" s="12"/>
    </row>
    <row r="426" spans="1:14">
      <c r="A426" s="1"/>
      <c r="B426" s="1"/>
      <c r="C426" s="1"/>
      <c r="D426" s="1"/>
      <c r="E426" s="1"/>
      <c r="F426" s="1"/>
      <c r="G426" s="1"/>
      <c r="H426" s="1"/>
      <c r="I426" s="1"/>
      <c r="J426" s="1"/>
      <c r="K426" s="1"/>
      <c r="L426" s="1"/>
      <c r="M426" s="1"/>
      <c r="N426" s="12"/>
    </row>
    <row r="427" spans="1:14">
      <c r="A427" s="1"/>
      <c r="B427" s="1"/>
      <c r="C427" s="1"/>
      <c r="D427" s="1"/>
      <c r="E427" s="1"/>
      <c r="F427" s="1"/>
      <c r="G427" s="1"/>
      <c r="H427" s="1"/>
      <c r="I427" s="1"/>
      <c r="J427" s="1"/>
      <c r="K427" s="1"/>
      <c r="L427" s="1"/>
      <c r="M427" s="1"/>
      <c r="N427" s="12"/>
    </row>
    <row r="428" spans="1:14">
      <c r="A428" s="1"/>
      <c r="B428" s="1"/>
      <c r="C428" s="1"/>
      <c r="D428" s="1"/>
      <c r="E428" s="1"/>
      <c r="F428" s="1"/>
      <c r="G428" s="1"/>
      <c r="H428" s="1"/>
      <c r="I428" s="1"/>
      <c r="J428" s="1"/>
      <c r="K428" s="1"/>
      <c r="L428" s="1"/>
      <c r="M428" s="1"/>
      <c r="N428" s="12"/>
    </row>
    <row r="429" spans="1:14">
      <c r="A429" s="1"/>
      <c r="B429" s="1"/>
      <c r="C429" s="1"/>
      <c r="D429" s="1"/>
      <c r="E429" s="1"/>
      <c r="F429" s="1"/>
      <c r="G429" s="1"/>
      <c r="H429" s="1"/>
      <c r="I429" s="1"/>
      <c r="J429" s="1"/>
      <c r="K429" s="1"/>
      <c r="L429" s="1"/>
      <c r="M429" s="1"/>
      <c r="N429" s="12"/>
    </row>
    <row r="430" spans="1:14">
      <c r="A430" s="1"/>
      <c r="B430" s="1"/>
      <c r="C430" s="1"/>
      <c r="D430" s="1"/>
      <c r="E430" s="1"/>
      <c r="F430" s="1"/>
      <c r="G430" s="1"/>
      <c r="H430" s="1"/>
      <c r="I430" s="1"/>
      <c r="J430" s="1"/>
      <c r="K430" s="1"/>
      <c r="L430" s="1"/>
      <c r="M430" s="1"/>
      <c r="N430" s="12"/>
    </row>
    <row r="431" spans="1:14">
      <c r="A431" s="1"/>
      <c r="B431" s="1"/>
      <c r="C431" s="1"/>
      <c r="D431" s="1"/>
      <c r="E431" s="1"/>
      <c r="F431" s="1"/>
      <c r="G431" s="1"/>
      <c r="H431" s="1"/>
      <c r="I431" s="1"/>
      <c r="J431" s="1"/>
      <c r="K431" s="1"/>
      <c r="L431" s="1"/>
      <c r="M431" s="1"/>
      <c r="N431" s="12"/>
    </row>
    <row r="432" spans="1:14">
      <c r="A432" s="1"/>
      <c r="B432" s="1"/>
      <c r="C432" s="1"/>
      <c r="D432" s="1"/>
      <c r="E432" s="1"/>
      <c r="F432" s="1"/>
      <c r="G432" s="1"/>
      <c r="H432" s="1"/>
      <c r="I432" s="1"/>
      <c r="J432" s="1"/>
      <c r="K432" s="1"/>
      <c r="L432" s="1"/>
      <c r="M432" s="1"/>
      <c r="N432" s="12"/>
    </row>
    <row r="433" spans="1:14">
      <c r="A433" s="1"/>
      <c r="B433" s="1"/>
      <c r="C433" s="1"/>
      <c r="D433" s="1"/>
      <c r="E433" s="1"/>
      <c r="F433" s="1"/>
      <c r="G433" s="1"/>
      <c r="H433" s="1"/>
      <c r="I433" s="1"/>
      <c r="J433" s="1"/>
      <c r="K433" s="1"/>
      <c r="L433" s="1"/>
      <c r="M433" s="1"/>
      <c r="N433" s="12"/>
    </row>
    <row r="434" spans="1:14">
      <c r="A434" s="1"/>
      <c r="B434" s="1"/>
      <c r="C434" s="1"/>
      <c r="D434" s="1"/>
      <c r="E434" s="1"/>
      <c r="F434" s="1"/>
      <c r="G434" s="1"/>
      <c r="H434" s="1"/>
      <c r="I434" s="1"/>
      <c r="J434" s="1"/>
      <c r="K434" s="1"/>
      <c r="L434" s="1"/>
      <c r="M434" s="1"/>
      <c r="N434" s="12"/>
    </row>
    <row r="435" spans="1:14">
      <c r="A435" s="1"/>
      <c r="B435" s="1"/>
      <c r="C435" s="1"/>
      <c r="D435" s="1"/>
      <c r="E435" s="1"/>
      <c r="F435" s="1"/>
      <c r="G435" s="1"/>
      <c r="H435" s="1"/>
      <c r="I435" s="1"/>
      <c r="J435" s="1"/>
      <c r="K435" s="1"/>
      <c r="L435" s="1"/>
      <c r="M435" s="1"/>
      <c r="N435" s="12"/>
    </row>
    <row r="436" spans="1:14">
      <c r="A436" s="1"/>
      <c r="B436" s="1"/>
      <c r="C436" s="1"/>
      <c r="D436" s="1"/>
      <c r="E436" s="1"/>
      <c r="F436" s="1"/>
      <c r="G436" s="1"/>
      <c r="H436" s="1"/>
      <c r="I436" s="1"/>
      <c r="J436" s="1"/>
      <c r="K436" s="1"/>
      <c r="L436" s="1"/>
      <c r="M436" s="1"/>
      <c r="N436" s="12"/>
    </row>
    <row r="437" spans="1:14">
      <c r="A437" s="1"/>
      <c r="B437" s="1"/>
      <c r="C437" s="1"/>
      <c r="D437" s="1"/>
      <c r="E437" s="1"/>
      <c r="F437" s="1"/>
      <c r="G437" s="1"/>
      <c r="H437" s="1"/>
      <c r="I437" s="1"/>
      <c r="J437" s="1"/>
      <c r="K437" s="1"/>
      <c r="L437" s="1"/>
      <c r="M437" s="1"/>
      <c r="N437" s="12"/>
    </row>
    <row r="438" spans="1:14">
      <c r="A438" s="1"/>
      <c r="B438" s="1"/>
      <c r="C438" s="1"/>
      <c r="D438" s="1"/>
      <c r="E438" s="1"/>
      <c r="F438" s="1"/>
      <c r="G438" s="1"/>
      <c r="H438" s="1"/>
      <c r="I438" s="1"/>
      <c r="J438" s="1"/>
      <c r="K438" s="1"/>
      <c r="L438" s="1"/>
      <c r="M438" s="1"/>
      <c r="N438" s="12"/>
    </row>
    <row r="439" spans="1:14">
      <c r="A439" s="1"/>
      <c r="B439" s="1"/>
      <c r="C439" s="1"/>
      <c r="D439" s="1"/>
      <c r="E439" s="1"/>
      <c r="F439" s="1"/>
      <c r="G439" s="1"/>
      <c r="H439" s="1"/>
      <c r="I439" s="1"/>
      <c r="J439" s="1"/>
      <c r="K439" s="1"/>
      <c r="L439" s="1"/>
      <c r="M439" s="1"/>
      <c r="N439" s="12"/>
    </row>
    <row r="440" spans="1:14">
      <c r="A440" s="1"/>
      <c r="B440" s="1"/>
      <c r="C440" s="1"/>
      <c r="D440" s="1"/>
      <c r="E440" s="1"/>
      <c r="F440" s="1"/>
      <c r="G440" s="1"/>
      <c r="H440" s="1"/>
      <c r="I440" s="1"/>
      <c r="J440" s="1"/>
      <c r="K440" s="1"/>
      <c r="L440" s="1"/>
      <c r="M440" s="1"/>
      <c r="N440" s="12"/>
    </row>
    <row r="441" spans="1:14">
      <c r="A441" s="1"/>
      <c r="B441" s="1"/>
      <c r="C441" s="1"/>
      <c r="D441" s="1"/>
      <c r="E441" s="1"/>
      <c r="F441" s="1"/>
      <c r="G441" s="1"/>
      <c r="H441" s="1"/>
      <c r="I441" s="1"/>
      <c r="J441" s="1"/>
      <c r="K441" s="1"/>
      <c r="L441" s="1"/>
      <c r="M441" s="1"/>
      <c r="N441" s="12"/>
    </row>
    <row r="442" spans="1:14">
      <c r="A442" s="1"/>
      <c r="B442" s="1"/>
      <c r="C442" s="1"/>
      <c r="D442" s="1"/>
      <c r="E442" s="1"/>
      <c r="F442" s="1"/>
      <c r="G442" s="1"/>
      <c r="H442" s="1"/>
      <c r="I442" s="1"/>
      <c r="J442" s="1"/>
      <c r="K442" s="1"/>
      <c r="L442" s="1"/>
      <c r="M442" s="1"/>
      <c r="N442" s="12"/>
    </row>
    <row r="443" spans="1:14">
      <c r="A443" s="1"/>
      <c r="B443" s="1"/>
      <c r="C443" s="1"/>
      <c r="D443" s="1"/>
      <c r="E443" s="1"/>
      <c r="F443" s="1"/>
      <c r="G443" s="1"/>
      <c r="H443" s="1"/>
      <c r="I443" s="1"/>
      <c r="J443" s="1"/>
      <c r="K443" s="1"/>
      <c r="L443" s="1"/>
      <c r="M443" s="1"/>
      <c r="N443" s="12"/>
    </row>
    <row r="444" spans="1:14">
      <c r="A444" s="1"/>
      <c r="B444" s="1"/>
      <c r="C444" s="1"/>
      <c r="D444" s="1"/>
      <c r="E444" s="1"/>
      <c r="F444" s="1"/>
      <c r="G444" s="1"/>
      <c r="H444" s="1"/>
      <c r="I444" s="1"/>
      <c r="J444" s="1"/>
      <c r="K444" s="1"/>
      <c r="L444" s="1"/>
      <c r="M444" s="1"/>
      <c r="N444" s="12"/>
    </row>
    <row r="445" spans="1:14">
      <c r="A445" s="1"/>
      <c r="B445" s="1"/>
      <c r="C445" s="1"/>
      <c r="D445" s="1"/>
      <c r="E445" s="1"/>
      <c r="F445" s="1"/>
      <c r="G445" s="1"/>
      <c r="H445" s="1"/>
      <c r="I445" s="1"/>
      <c r="J445" s="1"/>
      <c r="K445" s="1"/>
      <c r="L445" s="1"/>
      <c r="M445" s="1"/>
      <c r="N445" s="12"/>
    </row>
    <row r="446" spans="1:14">
      <c r="A446" s="1"/>
      <c r="B446" s="1"/>
      <c r="C446" s="1"/>
      <c r="D446" s="1"/>
      <c r="E446" s="1"/>
      <c r="F446" s="1"/>
      <c r="G446" s="1"/>
      <c r="H446" s="1"/>
      <c r="I446" s="1"/>
      <c r="J446" s="1"/>
      <c r="K446" s="1"/>
      <c r="L446" s="1"/>
      <c r="M446" s="1"/>
      <c r="N446" s="12"/>
    </row>
    <row r="447" spans="1:14">
      <c r="A447" s="1"/>
      <c r="B447" s="1"/>
      <c r="C447" s="1"/>
      <c r="D447" s="1"/>
      <c r="E447" s="1"/>
      <c r="F447" s="1"/>
      <c r="G447" s="1"/>
      <c r="H447" s="1"/>
      <c r="I447" s="1"/>
      <c r="J447" s="1"/>
      <c r="K447" s="1"/>
      <c r="L447" s="1"/>
      <c r="M447" s="1"/>
      <c r="N447" s="12"/>
    </row>
    <row r="448" spans="1:14">
      <c r="A448" s="1"/>
      <c r="B448" s="1"/>
      <c r="C448" s="1"/>
      <c r="D448" s="1"/>
      <c r="E448" s="1"/>
      <c r="F448" s="1"/>
      <c r="G448" s="1"/>
      <c r="H448" s="1"/>
      <c r="I448" s="1"/>
      <c r="J448" s="1"/>
      <c r="K448" s="1"/>
      <c r="L448" s="1"/>
      <c r="M448" s="1"/>
      <c r="N448" s="12"/>
    </row>
    <row r="449" spans="1:14">
      <c r="A449" s="1"/>
      <c r="B449" s="1"/>
      <c r="C449" s="1"/>
      <c r="D449" s="1"/>
      <c r="E449" s="1"/>
      <c r="F449" s="1"/>
      <c r="G449" s="1"/>
      <c r="H449" s="1"/>
      <c r="I449" s="1"/>
      <c r="J449" s="1"/>
      <c r="K449" s="1"/>
      <c r="L449" s="1"/>
      <c r="M449" s="1"/>
      <c r="N449" s="12"/>
    </row>
    <row r="450" spans="1:14">
      <c r="A450" s="1"/>
      <c r="B450" s="1"/>
      <c r="C450" s="1"/>
      <c r="D450" s="1"/>
      <c r="E450" s="1"/>
      <c r="F450" s="1"/>
      <c r="G450" s="1"/>
      <c r="H450" s="1"/>
      <c r="I450" s="1"/>
      <c r="J450" s="1"/>
      <c r="K450" s="1"/>
      <c r="L450" s="1"/>
      <c r="M450" s="1"/>
      <c r="N450" s="12"/>
    </row>
    <row r="451" spans="1:14">
      <c r="A451" s="1"/>
      <c r="B451" s="1"/>
      <c r="C451" s="1"/>
      <c r="D451" s="1"/>
      <c r="E451" s="1"/>
      <c r="F451" s="1"/>
      <c r="G451" s="1"/>
      <c r="H451" s="1"/>
      <c r="I451" s="1"/>
      <c r="J451" s="1"/>
      <c r="K451" s="1"/>
      <c r="L451" s="1"/>
      <c r="M451" s="1"/>
      <c r="N451" s="12"/>
    </row>
    <row r="452" spans="1:14">
      <c r="A452" s="1"/>
      <c r="B452" s="1"/>
      <c r="C452" s="1"/>
      <c r="D452" s="1"/>
      <c r="E452" s="1"/>
      <c r="F452" s="1"/>
      <c r="G452" s="1"/>
      <c r="H452" s="1"/>
      <c r="I452" s="1"/>
      <c r="J452" s="1"/>
      <c r="K452" s="1"/>
      <c r="L452" s="1"/>
      <c r="M452" s="1"/>
      <c r="N452" s="12"/>
    </row>
    <row r="453" spans="1:14">
      <c r="A453" s="1"/>
      <c r="B453" s="1"/>
      <c r="C453" s="1"/>
      <c r="D453" s="1"/>
      <c r="E453" s="1"/>
      <c r="F453" s="1"/>
      <c r="G453" s="1"/>
      <c r="H453" s="1"/>
      <c r="I453" s="1"/>
      <c r="J453" s="1"/>
      <c r="K453" s="1"/>
      <c r="L453" s="1"/>
      <c r="M453" s="1"/>
      <c r="N453" s="12"/>
    </row>
    <row r="454" spans="1:14">
      <c r="A454" s="1"/>
      <c r="B454" s="1"/>
      <c r="C454" s="1"/>
      <c r="D454" s="1"/>
      <c r="E454" s="1"/>
      <c r="F454" s="1"/>
      <c r="G454" s="1"/>
      <c r="H454" s="1"/>
      <c r="I454" s="1"/>
      <c r="J454" s="1"/>
      <c r="K454" s="1"/>
      <c r="L454" s="1"/>
      <c r="M454" s="1"/>
      <c r="N454" s="12"/>
    </row>
    <row r="455" spans="1:14">
      <c r="A455" s="1"/>
      <c r="B455" s="1"/>
      <c r="C455" s="1"/>
      <c r="D455" s="1"/>
      <c r="E455" s="1"/>
      <c r="F455" s="1"/>
      <c r="G455" s="1"/>
      <c r="H455" s="1"/>
      <c r="I455" s="1"/>
      <c r="J455" s="1"/>
      <c r="K455" s="1"/>
      <c r="L455" s="1"/>
      <c r="M455" s="1"/>
      <c r="N455" s="12"/>
    </row>
    <row r="456" spans="1:14">
      <c r="A456" s="1"/>
      <c r="B456" s="1"/>
      <c r="C456" s="1"/>
      <c r="D456" s="1"/>
      <c r="E456" s="1"/>
      <c r="F456" s="1"/>
      <c r="G456" s="1"/>
      <c r="H456" s="1"/>
      <c r="I456" s="1"/>
      <c r="J456" s="1"/>
      <c r="K456" s="1"/>
      <c r="L456" s="1"/>
      <c r="M456" s="1"/>
      <c r="N456" s="12"/>
    </row>
    <row r="457" spans="1:14">
      <c r="A457" s="1"/>
      <c r="B457" s="1"/>
      <c r="C457" s="1"/>
      <c r="D457" s="1"/>
      <c r="E457" s="1"/>
      <c r="F457" s="1"/>
      <c r="G457" s="1"/>
      <c r="H457" s="1"/>
      <c r="I457" s="1"/>
      <c r="J457" s="1"/>
      <c r="K457" s="1"/>
      <c r="L457" s="1"/>
      <c r="M457" s="1"/>
      <c r="N457" s="12"/>
    </row>
    <row r="458" spans="1:14">
      <c r="A458" s="1"/>
      <c r="B458" s="1"/>
      <c r="C458" s="1"/>
      <c r="D458" s="1"/>
      <c r="E458" s="1"/>
      <c r="F458" s="1"/>
      <c r="G458" s="1"/>
      <c r="H458" s="1"/>
      <c r="I458" s="1"/>
      <c r="J458" s="1"/>
      <c r="K458" s="1"/>
      <c r="L458" s="1"/>
      <c r="M458" s="1"/>
      <c r="N458" s="12"/>
    </row>
    <row r="459" spans="1:14">
      <c r="A459" s="1"/>
      <c r="B459" s="1"/>
      <c r="C459" s="1"/>
      <c r="D459" s="1"/>
      <c r="E459" s="1"/>
      <c r="F459" s="1"/>
      <c r="G459" s="1"/>
      <c r="H459" s="1"/>
      <c r="I459" s="1"/>
      <c r="J459" s="1"/>
      <c r="K459" s="1"/>
      <c r="L459" s="1"/>
      <c r="M459" s="1"/>
      <c r="N459" s="12"/>
    </row>
    <row r="460" spans="1:14">
      <c r="A460" s="1"/>
      <c r="B460" s="1"/>
      <c r="C460" s="1"/>
      <c r="D460" s="1"/>
      <c r="E460" s="1"/>
      <c r="F460" s="1"/>
      <c r="G460" s="1"/>
      <c r="H460" s="1"/>
      <c r="I460" s="1"/>
      <c r="J460" s="1"/>
      <c r="K460" s="1"/>
      <c r="L460" s="1"/>
      <c r="M460" s="1"/>
      <c r="N460" s="12"/>
    </row>
    <row r="461" spans="1:14">
      <c r="A461" s="1"/>
      <c r="B461" s="1"/>
      <c r="C461" s="1"/>
      <c r="D461" s="1"/>
      <c r="E461" s="1"/>
      <c r="F461" s="1"/>
      <c r="G461" s="1"/>
      <c r="H461" s="1"/>
      <c r="I461" s="1"/>
      <c r="J461" s="1"/>
      <c r="K461" s="1"/>
      <c r="L461" s="1"/>
      <c r="M461" s="1"/>
      <c r="N461" s="12"/>
    </row>
    <row r="462" spans="1:14">
      <c r="A462" s="1"/>
      <c r="B462" s="1"/>
      <c r="C462" s="1"/>
      <c r="D462" s="1"/>
      <c r="E462" s="1"/>
      <c r="F462" s="1"/>
      <c r="G462" s="1"/>
      <c r="H462" s="1"/>
      <c r="I462" s="1"/>
      <c r="J462" s="1"/>
      <c r="K462" s="1"/>
      <c r="L462" s="1"/>
      <c r="M462" s="1"/>
      <c r="N462" s="12"/>
    </row>
    <row r="463" spans="1:14">
      <c r="A463" s="1"/>
      <c r="B463" s="1"/>
      <c r="C463" s="1"/>
      <c r="D463" s="1"/>
      <c r="E463" s="1"/>
      <c r="F463" s="1"/>
      <c r="G463" s="1"/>
      <c r="H463" s="1"/>
      <c r="I463" s="1"/>
      <c r="J463" s="1"/>
      <c r="K463" s="1"/>
      <c r="L463" s="1"/>
      <c r="M463" s="1"/>
      <c r="N463" s="12"/>
    </row>
    <row r="464" spans="1:14">
      <c r="A464" s="1"/>
      <c r="B464" s="1"/>
      <c r="C464" s="1"/>
      <c r="D464" s="1"/>
      <c r="E464" s="1"/>
      <c r="F464" s="1"/>
      <c r="G464" s="1"/>
      <c r="H464" s="1"/>
      <c r="I464" s="1"/>
      <c r="J464" s="1"/>
      <c r="K464" s="1"/>
      <c r="L464" s="1"/>
      <c r="M464" s="1"/>
      <c r="N464" s="12"/>
    </row>
    <row r="465" spans="1:14">
      <c r="A465" s="1"/>
      <c r="B465" s="1"/>
      <c r="C465" s="1"/>
      <c r="D465" s="1"/>
      <c r="E465" s="1"/>
      <c r="F465" s="1"/>
      <c r="G465" s="1"/>
      <c r="H465" s="1"/>
      <c r="I465" s="1"/>
      <c r="J465" s="1"/>
      <c r="K465" s="1"/>
      <c r="L465" s="1"/>
      <c r="M465" s="1"/>
      <c r="N465" s="12"/>
    </row>
    <row r="466" spans="1:14">
      <c r="A466" s="1"/>
      <c r="B466" s="1"/>
      <c r="C466" s="1"/>
      <c r="D466" s="1"/>
      <c r="E466" s="1"/>
      <c r="F466" s="1"/>
      <c r="G466" s="1"/>
      <c r="H466" s="1"/>
      <c r="I466" s="1"/>
      <c r="J466" s="1"/>
      <c r="K466" s="1"/>
      <c r="L466" s="1"/>
      <c r="M466" s="1"/>
      <c r="N466" s="12"/>
    </row>
    <row r="467" spans="1:14">
      <c r="A467" s="1"/>
      <c r="B467" s="1"/>
      <c r="C467" s="1"/>
      <c r="D467" s="1"/>
      <c r="E467" s="1"/>
      <c r="F467" s="1"/>
      <c r="G467" s="1"/>
      <c r="H467" s="1"/>
      <c r="I467" s="1"/>
      <c r="J467" s="1"/>
      <c r="K467" s="1"/>
      <c r="L467" s="1"/>
      <c r="M467" s="1"/>
      <c r="N467" s="12"/>
    </row>
    <row r="468" spans="1:14">
      <c r="A468" s="1"/>
      <c r="B468" s="1"/>
      <c r="C468" s="1"/>
      <c r="D468" s="1"/>
      <c r="E468" s="1"/>
      <c r="F468" s="1"/>
      <c r="G468" s="1"/>
      <c r="H468" s="1"/>
      <c r="I468" s="1"/>
      <c r="J468" s="1"/>
      <c r="K468" s="1"/>
      <c r="L468" s="1"/>
      <c r="M468" s="1"/>
      <c r="N468" s="12"/>
    </row>
    <row r="469" spans="1:14">
      <c r="A469" s="1"/>
      <c r="B469" s="1"/>
      <c r="C469" s="1"/>
      <c r="D469" s="1"/>
      <c r="E469" s="1"/>
      <c r="F469" s="1"/>
      <c r="G469" s="1"/>
      <c r="H469" s="1"/>
      <c r="I469" s="1"/>
      <c r="J469" s="1"/>
      <c r="K469" s="1"/>
      <c r="L469" s="1"/>
      <c r="M469" s="1"/>
      <c r="N469" s="12"/>
    </row>
    <row r="470" spans="1:14">
      <c r="A470" s="1"/>
      <c r="B470" s="1"/>
      <c r="C470" s="1"/>
      <c r="D470" s="1"/>
      <c r="E470" s="1"/>
      <c r="F470" s="1"/>
      <c r="G470" s="1"/>
      <c r="H470" s="1"/>
      <c r="I470" s="1"/>
      <c r="J470" s="1"/>
      <c r="K470" s="1"/>
      <c r="L470" s="1"/>
      <c r="M470" s="1"/>
      <c r="N470" s="12"/>
    </row>
    <row r="471" spans="1:14">
      <c r="A471" s="1"/>
      <c r="B471" s="1"/>
      <c r="C471" s="1"/>
      <c r="D471" s="1"/>
      <c r="E471" s="1"/>
      <c r="F471" s="1"/>
      <c r="G471" s="1"/>
      <c r="H471" s="1"/>
      <c r="I471" s="1"/>
      <c r="J471" s="1"/>
      <c r="K471" s="1"/>
      <c r="L471" s="1"/>
      <c r="M471" s="1"/>
      <c r="N471" s="12"/>
    </row>
    <row r="472" spans="1:14">
      <c r="A472" s="1"/>
      <c r="B472" s="1"/>
      <c r="C472" s="1"/>
      <c r="D472" s="1"/>
      <c r="E472" s="1"/>
      <c r="F472" s="1"/>
      <c r="G472" s="1"/>
      <c r="H472" s="1"/>
      <c r="I472" s="1"/>
      <c r="J472" s="1"/>
      <c r="K472" s="1"/>
      <c r="L472" s="1"/>
      <c r="M472" s="1"/>
      <c r="N472" s="12"/>
    </row>
    <row r="473" spans="1:14">
      <c r="A473" s="1"/>
      <c r="B473" s="1"/>
      <c r="C473" s="1"/>
      <c r="D473" s="1"/>
      <c r="E473" s="1"/>
      <c r="F473" s="1"/>
      <c r="G473" s="1"/>
      <c r="H473" s="1"/>
      <c r="I473" s="1"/>
      <c r="J473" s="1"/>
      <c r="K473" s="1"/>
      <c r="L473" s="1"/>
      <c r="M473" s="1"/>
      <c r="N473" s="12"/>
    </row>
    <row r="474" spans="1:14">
      <c r="A474" s="1"/>
      <c r="B474" s="1"/>
      <c r="C474" s="1"/>
      <c r="D474" s="1"/>
      <c r="E474" s="1"/>
      <c r="F474" s="1"/>
      <c r="G474" s="1"/>
      <c r="H474" s="1"/>
      <c r="I474" s="1"/>
      <c r="J474" s="1"/>
      <c r="K474" s="1"/>
      <c r="L474" s="1"/>
      <c r="M474" s="1"/>
      <c r="N474" s="12"/>
    </row>
    <row r="475" spans="1:14">
      <c r="A475" s="1"/>
      <c r="B475" s="1"/>
      <c r="C475" s="1"/>
      <c r="D475" s="1"/>
      <c r="E475" s="1"/>
      <c r="F475" s="1"/>
      <c r="G475" s="1"/>
      <c r="H475" s="1"/>
      <c r="I475" s="1"/>
      <c r="J475" s="1"/>
      <c r="K475" s="1"/>
      <c r="L475" s="1"/>
      <c r="M475" s="1"/>
      <c r="N475" s="12"/>
    </row>
    <row r="476" spans="1:14">
      <c r="A476" s="1"/>
      <c r="B476" s="1"/>
      <c r="C476" s="1"/>
      <c r="D476" s="1"/>
      <c r="E476" s="1"/>
      <c r="F476" s="1"/>
      <c r="G476" s="1"/>
      <c r="H476" s="1"/>
      <c r="I476" s="1"/>
      <c r="J476" s="1"/>
      <c r="K476" s="1"/>
      <c r="L476" s="1"/>
      <c r="M476" s="1"/>
      <c r="N476" s="12"/>
    </row>
    <row r="477" spans="1:14">
      <c r="A477" s="1"/>
      <c r="B477" s="1"/>
      <c r="C477" s="1"/>
      <c r="D477" s="1"/>
      <c r="E477" s="1"/>
      <c r="F477" s="1"/>
      <c r="G477" s="1"/>
      <c r="H477" s="1"/>
      <c r="I477" s="1"/>
      <c r="J477" s="1"/>
      <c r="K477" s="1"/>
      <c r="L477" s="1"/>
      <c r="M477" s="1"/>
      <c r="N477" s="12"/>
    </row>
    <row r="478" spans="1:14">
      <c r="A478" s="1"/>
      <c r="B478" s="1"/>
      <c r="C478" s="1"/>
      <c r="D478" s="1"/>
      <c r="E478" s="1"/>
      <c r="F478" s="1"/>
      <c r="G478" s="1"/>
      <c r="H478" s="1"/>
      <c r="I478" s="1"/>
      <c r="J478" s="1"/>
      <c r="K478" s="1"/>
      <c r="L478" s="1"/>
      <c r="M478" s="1"/>
      <c r="N478" s="12"/>
    </row>
    <row r="479" spans="1:14">
      <c r="A479" s="1"/>
      <c r="B479" s="1"/>
      <c r="C479" s="1"/>
      <c r="D479" s="1"/>
      <c r="E479" s="1"/>
      <c r="F479" s="1"/>
      <c r="G479" s="1"/>
      <c r="H479" s="1"/>
      <c r="I479" s="1"/>
      <c r="J479" s="1"/>
      <c r="K479" s="1"/>
      <c r="L479" s="1"/>
      <c r="M479" s="1"/>
      <c r="N479" s="12"/>
    </row>
    <row r="480" spans="1:14">
      <c r="A480" s="1"/>
      <c r="B480" s="1"/>
      <c r="C480" s="1"/>
      <c r="D480" s="1"/>
      <c r="E480" s="1"/>
      <c r="F480" s="1"/>
      <c r="G480" s="1"/>
      <c r="H480" s="1"/>
      <c r="I480" s="1"/>
      <c r="J480" s="1"/>
      <c r="K480" s="1"/>
      <c r="L480" s="1"/>
      <c r="M480" s="1"/>
      <c r="N480" s="12"/>
    </row>
    <row r="481" spans="1:14">
      <c r="A481" s="1"/>
      <c r="B481" s="1"/>
      <c r="C481" s="1"/>
      <c r="D481" s="1"/>
      <c r="E481" s="1"/>
      <c r="F481" s="1"/>
      <c r="G481" s="1"/>
      <c r="H481" s="1"/>
      <c r="I481" s="1"/>
      <c r="J481" s="1"/>
      <c r="K481" s="1"/>
      <c r="L481" s="1"/>
      <c r="M481" s="1"/>
      <c r="N481" s="12"/>
    </row>
    <row r="482" spans="1:14">
      <c r="A482" s="1"/>
      <c r="B482" s="1"/>
      <c r="C482" s="1"/>
      <c r="D482" s="1"/>
      <c r="E482" s="1"/>
      <c r="F482" s="1"/>
      <c r="G482" s="1"/>
      <c r="H482" s="1"/>
      <c r="I482" s="1"/>
      <c r="J482" s="1"/>
      <c r="K482" s="1"/>
      <c r="L482" s="1"/>
      <c r="M482" s="1"/>
      <c r="N482" s="12"/>
    </row>
    <row r="483" spans="1:14">
      <c r="A483" s="1"/>
      <c r="B483" s="1"/>
      <c r="C483" s="1"/>
      <c r="D483" s="1"/>
      <c r="E483" s="1"/>
      <c r="F483" s="1"/>
      <c r="G483" s="1"/>
      <c r="H483" s="1"/>
      <c r="I483" s="1"/>
      <c r="J483" s="1"/>
      <c r="K483" s="1"/>
      <c r="L483" s="1"/>
      <c r="M483" s="1"/>
      <c r="N483" s="12"/>
    </row>
    <row r="484" spans="1:14">
      <c r="A484" s="1"/>
      <c r="B484" s="1"/>
      <c r="C484" s="1"/>
      <c r="D484" s="1"/>
      <c r="E484" s="1"/>
      <c r="F484" s="1"/>
      <c r="G484" s="1"/>
      <c r="H484" s="1"/>
      <c r="I484" s="1"/>
      <c r="J484" s="1"/>
      <c r="K484" s="1"/>
      <c r="L484" s="1"/>
      <c r="M484" s="1"/>
      <c r="N484" s="12"/>
    </row>
    <row r="485" spans="1:14">
      <c r="A485" s="1"/>
      <c r="B485" s="1"/>
      <c r="C485" s="1"/>
      <c r="D485" s="1"/>
      <c r="E485" s="1"/>
      <c r="F485" s="1"/>
      <c r="G485" s="1"/>
      <c r="H485" s="1"/>
      <c r="I485" s="1"/>
      <c r="J485" s="1"/>
      <c r="K485" s="1"/>
      <c r="L485" s="1"/>
      <c r="M485" s="1"/>
      <c r="N485" s="12"/>
    </row>
    <row r="486" spans="1:14">
      <c r="A486" s="1"/>
      <c r="B486" s="1"/>
      <c r="C486" s="1"/>
      <c r="D486" s="1"/>
      <c r="E486" s="1"/>
      <c r="F486" s="1"/>
      <c r="G486" s="1"/>
      <c r="H486" s="1"/>
      <c r="I486" s="1"/>
      <c r="J486" s="1"/>
      <c r="K486" s="1"/>
      <c r="L486" s="1"/>
      <c r="M486" s="1"/>
      <c r="N486" s="12"/>
    </row>
    <row r="487" spans="1:14">
      <c r="A487" s="1"/>
      <c r="B487" s="1"/>
      <c r="C487" s="1"/>
      <c r="D487" s="1"/>
      <c r="E487" s="1"/>
      <c r="F487" s="1"/>
      <c r="G487" s="1"/>
      <c r="H487" s="1"/>
      <c r="I487" s="1"/>
      <c r="J487" s="1"/>
      <c r="K487" s="1"/>
      <c r="L487" s="1"/>
      <c r="M487" s="1"/>
      <c r="N487" s="12"/>
    </row>
    <row r="488" spans="1:14">
      <c r="A488" s="1"/>
      <c r="B488" s="1"/>
      <c r="C488" s="1"/>
      <c r="D488" s="1"/>
      <c r="E488" s="1"/>
      <c r="F488" s="1"/>
      <c r="G488" s="1"/>
      <c r="H488" s="1"/>
      <c r="I488" s="1"/>
      <c r="J488" s="1"/>
      <c r="K488" s="1"/>
      <c r="L488" s="1"/>
      <c r="M488" s="1"/>
      <c r="N488" s="12"/>
    </row>
    <row r="489" spans="1:14">
      <c r="A489" s="1"/>
      <c r="B489" s="1"/>
      <c r="C489" s="1"/>
      <c r="D489" s="1"/>
      <c r="E489" s="1"/>
      <c r="F489" s="1"/>
      <c r="G489" s="1"/>
      <c r="H489" s="1"/>
      <c r="I489" s="1"/>
      <c r="J489" s="1"/>
      <c r="K489" s="1"/>
      <c r="L489" s="1"/>
      <c r="M489" s="1"/>
      <c r="N489" s="12"/>
    </row>
    <row r="490" spans="1:14">
      <c r="A490" s="1"/>
      <c r="B490" s="1"/>
      <c r="C490" s="1"/>
      <c r="D490" s="1"/>
      <c r="E490" s="1"/>
      <c r="F490" s="1"/>
      <c r="G490" s="1"/>
      <c r="H490" s="1"/>
      <c r="I490" s="1"/>
      <c r="J490" s="1"/>
      <c r="K490" s="1"/>
      <c r="L490" s="1"/>
      <c r="M490" s="1"/>
      <c r="N490" s="12"/>
    </row>
    <row r="491" spans="1:14">
      <c r="A491" s="1"/>
      <c r="B491" s="1"/>
      <c r="C491" s="1"/>
      <c r="D491" s="1"/>
      <c r="E491" s="1"/>
      <c r="F491" s="1"/>
      <c r="G491" s="1"/>
      <c r="H491" s="1"/>
      <c r="I491" s="1"/>
      <c r="J491" s="1"/>
      <c r="K491" s="1"/>
      <c r="L491" s="1"/>
      <c r="M491" s="1"/>
      <c r="N491" s="12"/>
    </row>
    <row r="492" spans="1:14">
      <c r="A492" s="1"/>
      <c r="B492" s="1"/>
      <c r="C492" s="1"/>
      <c r="D492" s="1"/>
      <c r="E492" s="1"/>
      <c r="F492" s="1"/>
      <c r="G492" s="1"/>
      <c r="H492" s="1"/>
      <c r="I492" s="1"/>
      <c r="J492" s="1"/>
      <c r="K492" s="1"/>
      <c r="L492" s="1"/>
      <c r="M492" s="1"/>
      <c r="N492" s="12"/>
    </row>
    <row r="493" spans="1:14">
      <c r="A493" s="1"/>
      <c r="B493" s="1"/>
      <c r="C493" s="1"/>
      <c r="D493" s="1"/>
      <c r="E493" s="1"/>
      <c r="F493" s="1"/>
      <c r="G493" s="1"/>
      <c r="H493" s="1"/>
      <c r="I493" s="1"/>
      <c r="J493" s="1"/>
      <c r="K493" s="1"/>
      <c r="L493" s="1"/>
      <c r="M493" s="1"/>
      <c r="N493" s="12"/>
    </row>
    <row r="494" spans="1:14">
      <c r="A494" s="1"/>
      <c r="B494" s="1"/>
      <c r="C494" s="1"/>
      <c r="D494" s="1"/>
      <c r="E494" s="1"/>
      <c r="F494" s="1"/>
      <c r="G494" s="1"/>
      <c r="H494" s="1"/>
      <c r="I494" s="1"/>
      <c r="J494" s="1"/>
      <c r="K494" s="1"/>
      <c r="L494" s="1"/>
      <c r="M494" s="1"/>
      <c r="N494" s="12"/>
    </row>
    <row r="495" spans="1:14">
      <c r="A495" s="1"/>
      <c r="B495" s="1"/>
      <c r="C495" s="1"/>
      <c r="D495" s="1"/>
      <c r="E495" s="1"/>
      <c r="F495" s="1"/>
      <c r="G495" s="1"/>
      <c r="H495" s="1"/>
      <c r="I495" s="1"/>
      <c r="J495" s="1"/>
      <c r="K495" s="1"/>
      <c r="L495" s="1"/>
      <c r="M495" s="1"/>
      <c r="N495" s="12"/>
    </row>
    <row r="496" spans="1:14">
      <c r="A496" s="1"/>
      <c r="B496" s="1"/>
      <c r="C496" s="1"/>
      <c r="D496" s="1"/>
      <c r="E496" s="1"/>
      <c r="F496" s="1"/>
      <c r="G496" s="1"/>
      <c r="H496" s="1"/>
      <c r="I496" s="1"/>
      <c r="J496" s="1"/>
      <c r="K496" s="1"/>
      <c r="L496" s="1"/>
      <c r="M496" s="1"/>
      <c r="N496" s="12"/>
    </row>
    <row r="497" spans="1:14">
      <c r="A497" s="1"/>
      <c r="B497" s="1"/>
      <c r="C497" s="1"/>
      <c r="D497" s="1"/>
      <c r="E497" s="1"/>
      <c r="F497" s="1"/>
      <c r="G497" s="1"/>
      <c r="H497" s="1"/>
      <c r="I497" s="1"/>
      <c r="J497" s="1"/>
      <c r="K497" s="1"/>
      <c r="L497" s="1"/>
      <c r="M497" s="1"/>
      <c r="N497" s="12"/>
    </row>
    <row r="498" spans="1:14">
      <c r="A498" s="1"/>
      <c r="B498" s="1"/>
      <c r="C498" s="1"/>
      <c r="D498" s="1"/>
      <c r="E498" s="1"/>
      <c r="F498" s="1"/>
      <c r="G498" s="1"/>
      <c r="H498" s="1"/>
      <c r="I498" s="1"/>
      <c r="J498" s="1"/>
      <c r="K498" s="1"/>
      <c r="L498" s="1"/>
      <c r="M498" s="1"/>
      <c r="N498" s="12"/>
    </row>
    <row r="499" spans="1:14">
      <c r="A499" s="1"/>
      <c r="B499" s="1"/>
      <c r="C499" s="1"/>
      <c r="D499" s="1"/>
      <c r="E499" s="1"/>
      <c r="F499" s="1"/>
      <c r="G499" s="1"/>
      <c r="H499" s="1"/>
      <c r="I499" s="1"/>
      <c r="J499" s="1"/>
      <c r="K499" s="1"/>
      <c r="L499" s="1"/>
      <c r="M499" s="1"/>
      <c r="N499" s="12"/>
    </row>
    <row r="500" spans="1:14">
      <c r="A500" s="1"/>
      <c r="B500" s="1"/>
      <c r="C500" s="1"/>
      <c r="D500" s="1"/>
      <c r="E500" s="1"/>
      <c r="F500" s="1"/>
      <c r="G500" s="1"/>
      <c r="H500" s="1"/>
      <c r="I500" s="1"/>
      <c r="J500" s="1"/>
      <c r="K500" s="1"/>
      <c r="L500" s="1"/>
      <c r="M500" s="1"/>
      <c r="N500" s="12"/>
    </row>
    <row r="501" spans="1:14">
      <c r="A501" s="1"/>
      <c r="B501" s="1"/>
      <c r="C501" s="1"/>
      <c r="D501" s="1"/>
      <c r="E501" s="1"/>
      <c r="F501" s="1"/>
      <c r="G501" s="1"/>
      <c r="H501" s="1"/>
      <c r="I501" s="1"/>
      <c r="J501" s="1"/>
      <c r="K501" s="1"/>
      <c r="L501" s="1"/>
      <c r="M501" s="1"/>
      <c r="N501" s="12"/>
    </row>
    <row r="502" spans="1:14">
      <c r="A502" s="1"/>
      <c r="B502" s="1"/>
      <c r="C502" s="1"/>
      <c r="D502" s="1"/>
      <c r="E502" s="1"/>
      <c r="F502" s="1"/>
      <c r="G502" s="1"/>
      <c r="H502" s="1"/>
      <c r="I502" s="1"/>
      <c r="J502" s="1"/>
      <c r="K502" s="1"/>
      <c r="L502" s="1"/>
      <c r="M502" s="1"/>
      <c r="N502" s="12"/>
    </row>
    <row r="503" spans="1:14">
      <c r="A503" s="1"/>
      <c r="B503" s="1"/>
      <c r="C503" s="1"/>
      <c r="D503" s="1"/>
      <c r="E503" s="1"/>
      <c r="F503" s="1"/>
      <c r="G503" s="1"/>
      <c r="H503" s="1"/>
      <c r="I503" s="1"/>
      <c r="J503" s="1"/>
      <c r="K503" s="1"/>
      <c r="L503" s="1"/>
      <c r="M503" s="1"/>
      <c r="N503" s="12"/>
    </row>
    <row r="504" spans="1:14">
      <c r="A504" s="1"/>
      <c r="B504" s="1"/>
      <c r="C504" s="1"/>
      <c r="D504" s="1"/>
      <c r="E504" s="1"/>
      <c r="F504" s="1"/>
      <c r="G504" s="1"/>
      <c r="H504" s="1"/>
      <c r="I504" s="1"/>
      <c r="J504" s="1"/>
      <c r="K504" s="1"/>
      <c r="L504" s="1"/>
      <c r="M504" s="1"/>
      <c r="N504" s="12"/>
    </row>
    <row r="505" spans="1:14">
      <c r="A505" s="1"/>
      <c r="B505" s="1"/>
      <c r="C505" s="1"/>
      <c r="D505" s="1"/>
      <c r="E505" s="1"/>
      <c r="F505" s="1"/>
      <c r="G505" s="1"/>
      <c r="H505" s="1"/>
      <c r="I505" s="1"/>
      <c r="J505" s="1"/>
      <c r="K505" s="1"/>
      <c r="L505" s="1"/>
      <c r="M505" s="1"/>
      <c r="N505" s="12"/>
    </row>
    <row r="506" spans="1:14">
      <c r="A506" s="1"/>
      <c r="B506" s="1"/>
      <c r="C506" s="1"/>
      <c r="D506" s="1"/>
      <c r="E506" s="1"/>
      <c r="F506" s="1"/>
      <c r="G506" s="1"/>
      <c r="H506" s="1"/>
      <c r="I506" s="1"/>
      <c r="J506" s="1"/>
      <c r="K506" s="1"/>
      <c r="L506" s="1"/>
      <c r="M506" s="1"/>
      <c r="N506" s="12"/>
    </row>
    <row r="507" spans="1:14">
      <c r="A507" s="1"/>
      <c r="B507" s="1"/>
      <c r="C507" s="1"/>
      <c r="D507" s="1"/>
      <c r="E507" s="1"/>
      <c r="F507" s="1"/>
      <c r="G507" s="1"/>
      <c r="H507" s="1"/>
      <c r="I507" s="1"/>
      <c r="J507" s="1"/>
      <c r="K507" s="1"/>
      <c r="L507" s="1"/>
      <c r="M507" s="1"/>
      <c r="N507" s="12"/>
    </row>
    <row r="508" spans="1:14">
      <c r="A508" s="1"/>
      <c r="B508" s="1"/>
      <c r="C508" s="1"/>
      <c r="D508" s="1"/>
      <c r="E508" s="1"/>
      <c r="F508" s="1"/>
      <c r="G508" s="1"/>
      <c r="H508" s="1"/>
      <c r="I508" s="1"/>
      <c r="J508" s="1"/>
      <c r="K508" s="1"/>
      <c r="L508" s="1"/>
      <c r="M508" s="1"/>
      <c r="N508" s="12"/>
    </row>
    <row r="509" spans="1:14">
      <c r="A509" s="1"/>
      <c r="B509" s="1"/>
      <c r="C509" s="1"/>
      <c r="D509" s="1"/>
      <c r="E509" s="1"/>
      <c r="F509" s="1"/>
      <c r="G509" s="1"/>
      <c r="H509" s="1"/>
      <c r="I509" s="1"/>
      <c r="J509" s="1"/>
      <c r="K509" s="1"/>
      <c r="L509" s="1"/>
      <c r="M509" s="1"/>
      <c r="N509" s="12"/>
    </row>
    <row r="510" spans="1:14">
      <c r="A510" s="1"/>
      <c r="B510" s="1"/>
      <c r="C510" s="1"/>
      <c r="D510" s="1"/>
      <c r="E510" s="1"/>
      <c r="F510" s="1"/>
      <c r="G510" s="1"/>
      <c r="H510" s="1"/>
      <c r="I510" s="1"/>
      <c r="J510" s="1"/>
      <c r="K510" s="1"/>
      <c r="L510" s="1"/>
      <c r="M510" s="1"/>
      <c r="N510" s="12"/>
    </row>
    <row r="511" spans="1:14">
      <c r="A511" s="1"/>
      <c r="B511" s="1"/>
      <c r="C511" s="1"/>
      <c r="D511" s="1"/>
      <c r="E511" s="1"/>
      <c r="F511" s="1"/>
      <c r="G511" s="1"/>
      <c r="H511" s="1"/>
      <c r="I511" s="1"/>
      <c r="J511" s="1"/>
      <c r="K511" s="1"/>
      <c r="L511" s="1"/>
      <c r="M511" s="1"/>
      <c r="N511" s="12"/>
    </row>
    <row r="512" spans="1:14">
      <c r="A512" s="1"/>
      <c r="B512" s="1"/>
      <c r="C512" s="1"/>
      <c r="D512" s="1"/>
      <c r="E512" s="1"/>
      <c r="F512" s="1"/>
      <c r="G512" s="1"/>
      <c r="H512" s="1"/>
      <c r="I512" s="1"/>
      <c r="J512" s="1"/>
      <c r="K512" s="1"/>
      <c r="L512" s="1"/>
      <c r="M512" s="1"/>
      <c r="N512" s="12"/>
    </row>
    <row r="513" spans="1:14">
      <c r="A513" s="1"/>
      <c r="B513" s="1"/>
      <c r="C513" s="1"/>
      <c r="D513" s="1"/>
      <c r="E513" s="1"/>
      <c r="F513" s="1"/>
      <c r="G513" s="1"/>
      <c r="H513" s="1"/>
      <c r="I513" s="1"/>
      <c r="J513" s="1"/>
      <c r="K513" s="1"/>
      <c r="L513" s="1"/>
      <c r="M513" s="1"/>
      <c r="N513" s="12"/>
    </row>
    <row r="514" spans="1:14">
      <c r="A514" s="1"/>
      <c r="B514" s="1"/>
      <c r="C514" s="1"/>
      <c r="D514" s="1"/>
      <c r="E514" s="1"/>
      <c r="F514" s="1"/>
      <c r="G514" s="1"/>
      <c r="H514" s="1"/>
      <c r="I514" s="1"/>
      <c r="J514" s="1"/>
      <c r="K514" s="1"/>
      <c r="L514" s="1"/>
      <c r="M514" s="1"/>
      <c r="N514" s="12"/>
    </row>
    <row r="515" spans="1:14">
      <c r="A515" s="1"/>
      <c r="B515" s="1"/>
      <c r="C515" s="1"/>
      <c r="D515" s="1"/>
      <c r="E515" s="1"/>
      <c r="F515" s="1"/>
      <c r="G515" s="1"/>
      <c r="H515" s="1"/>
      <c r="I515" s="1"/>
      <c r="J515" s="1"/>
      <c r="K515" s="1"/>
      <c r="L515" s="1"/>
      <c r="M515" s="1"/>
      <c r="N515" s="12"/>
    </row>
    <row r="516" spans="1:14">
      <c r="A516" s="1"/>
      <c r="B516" s="1"/>
      <c r="C516" s="1"/>
      <c r="D516" s="1"/>
      <c r="E516" s="1"/>
      <c r="F516" s="1"/>
      <c r="G516" s="1"/>
      <c r="H516" s="1"/>
      <c r="I516" s="1"/>
      <c r="J516" s="1"/>
      <c r="K516" s="1"/>
      <c r="L516" s="1"/>
      <c r="M516" s="1"/>
      <c r="N516" s="12"/>
    </row>
    <row r="517" spans="1:14">
      <c r="A517" s="1"/>
      <c r="B517" s="1"/>
      <c r="C517" s="1"/>
      <c r="D517" s="1"/>
      <c r="E517" s="1"/>
      <c r="F517" s="1"/>
      <c r="G517" s="1"/>
      <c r="H517" s="1"/>
      <c r="I517" s="1"/>
      <c r="J517" s="1"/>
      <c r="K517" s="1"/>
      <c r="L517" s="1"/>
      <c r="M517" s="1"/>
      <c r="N517" s="12"/>
    </row>
    <row r="518" spans="1:14">
      <c r="A518" s="1"/>
      <c r="B518" s="1"/>
      <c r="C518" s="1"/>
      <c r="D518" s="1"/>
      <c r="E518" s="1"/>
      <c r="F518" s="1"/>
      <c r="G518" s="1"/>
      <c r="H518" s="1"/>
      <c r="I518" s="1"/>
      <c r="J518" s="1"/>
      <c r="K518" s="1"/>
      <c r="L518" s="1"/>
      <c r="M518" s="1"/>
      <c r="N518" s="12"/>
    </row>
    <row r="519" spans="1:14">
      <c r="A519" s="1"/>
      <c r="B519" s="1"/>
      <c r="C519" s="1"/>
      <c r="D519" s="1"/>
      <c r="E519" s="1"/>
      <c r="F519" s="1"/>
      <c r="G519" s="1"/>
      <c r="H519" s="1"/>
      <c r="I519" s="1"/>
      <c r="J519" s="1"/>
      <c r="K519" s="1"/>
      <c r="L519" s="1"/>
      <c r="M519" s="1"/>
      <c r="N519" s="12"/>
    </row>
    <row r="520" spans="1:14">
      <c r="A520" s="1"/>
      <c r="B520" s="1"/>
      <c r="C520" s="1"/>
      <c r="D520" s="1"/>
      <c r="E520" s="1"/>
      <c r="F520" s="1"/>
      <c r="G520" s="1"/>
      <c r="H520" s="1"/>
      <c r="I520" s="1"/>
      <c r="J520" s="1"/>
      <c r="K520" s="1"/>
      <c r="L520" s="1"/>
      <c r="M520" s="1"/>
      <c r="N520" s="12"/>
    </row>
    <row r="521" spans="1:14">
      <c r="A521" s="1"/>
      <c r="B521" s="1"/>
      <c r="C521" s="1"/>
      <c r="D521" s="1"/>
      <c r="E521" s="1"/>
      <c r="F521" s="1"/>
      <c r="G521" s="1"/>
      <c r="H521" s="1"/>
      <c r="I521" s="1"/>
      <c r="J521" s="1"/>
      <c r="K521" s="1"/>
      <c r="L521" s="1"/>
      <c r="M521" s="1"/>
      <c r="N521" s="12"/>
    </row>
    <row r="522" spans="1:14">
      <c r="A522" s="1"/>
      <c r="B522" s="1"/>
      <c r="C522" s="1"/>
      <c r="D522" s="1"/>
      <c r="E522" s="1"/>
      <c r="F522" s="1"/>
      <c r="G522" s="1"/>
      <c r="H522" s="1"/>
      <c r="I522" s="1"/>
      <c r="J522" s="1"/>
      <c r="K522" s="1"/>
      <c r="L522" s="1"/>
      <c r="M522" s="1"/>
      <c r="N522" s="12"/>
    </row>
    <row r="523" spans="1:14">
      <c r="A523" s="1"/>
      <c r="B523" s="1"/>
      <c r="C523" s="1"/>
      <c r="D523" s="1"/>
      <c r="E523" s="1"/>
      <c r="F523" s="1"/>
      <c r="G523" s="1"/>
      <c r="H523" s="1"/>
      <c r="I523" s="1"/>
      <c r="J523" s="1"/>
      <c r="K523" s="1"/>
      <c r="L523" s="1"/>
      <c r="M523" s="1"/>
      <c r="N523" s="12"/>
    </row>
    <row r="524" spans="1:14">
      <c r="A524" s="1"/>
      <c r="B524" s="1"/>
      <c r="C524" s="1"/>
      <c r="D524" s="1"/>
      <c r="E524" s="1"/>
      <c r="F524" s="1"/>
      <c r="G524" s="1"/>
      <c r="H524" s="1"/>
      <c r="I524" s="1"/>
      <c r="J524" s="1"/>
      <c r="K524" s="1"/>
      <c r="L524" s="1"/>
      <c r="M524" s="1"/>
      <c r="N524" s="12"/>
    </row>
    <row r="525" spans="1:14">
      <c r="A525" s="1"/>
      <c r="B525" s="1"/>
      <c r="C525" s="1"/>
      <c r="D525" s="1"/>
      <c r="E525" s="1"/>
      <c r="F525" s="1"/>
      <c r="G525" s="1"/>
      <c r="H525" s="1"/>
      <c r="I525" s="1"/>
      <c r="J525" s="1"/>
      <c r="K525" s="1"/>
      <c r="L525" s="1"/>
      <c r="M525" s="1"/>
      <c r="N525" s="12"/>
    </row>
    <row r="526" spans="1:14">
      <c r="A526" s="1"/>
      <c r="B526" s="1"/>
      <c r="C526" s="1"/>
      <c r="D526" s="1"/>
      <c r="E526" s="1"/>
      <c r="F526" s="1"/>
      <c r="G526" s="1"/>
      <c r="H526" s="1"/>
      <c r="I526" s="1"/>
      <c r="J526" s="1"/>
      <c r="K526" s="1"/>
      <c r="L526" s="1"/>
      <c r="M526" s="1"/>
      <c r="N526" s="12"/>
    </row>
    <row r="527" spans="1:14">
      <c r="A527" s="1"/>
      <c r="B527" s="1"/>
      <c r="C527" s="1"/>
      <c r="D527" s="1"/>
      <c r="E527" s="1"/>
      <c r="F527" s="1"/>
      <c r="G527" s="1"/>
      <c r="H527" s="1"/>
      <c r="I527" s="1"/>
      <c r="J527" s="1"/>
      <c r="K527" s="1"/>
      <c r="L527" s="1"/>
      <c r="M527" s="1"/>
      <c r="N527" s="12"/>
    </row>
    <row r="528" spans="1:14">
      <c r="A528" s="1"/>
      <c r="B528" s="1"/>
      <c r="C528" s="1"/>
      <c r="D528" s="1"/>
      <c r="E528" s="1"/>
      <c r="F528" s="1"/>
      <c r="G528" s="1"/>
      <c r="H528" s="1"/>
      <c r="I528" s="1"/>
      <c r="J528" s="1"/>
      <c r="K528" s="1"/>
      <c r="L528" s="1"/>
      <c r="M528" s="1"/>
      <c r="N528" s="12"/>
    </row>
    <row r="529" spans="1:14">
      <c r="A529" s="1"/>
      <c r="B529" s="1"/>
      <c r="C529" s="1"/>
      <c r="D529" s="1"/>
      <c r="E529" s="1"/>
      <c r="F529" s="1"/>
      <c r="G529" s="1"/>
      <c r="H529" s="1"/>
      <c r="I529" s="1"/>
      <c r="J529" s="1"/>
      <c r="K529" s="1"/>
      <c r="L529" s="1"/>
      <c r="M529" s="1"/>
      <c r="N529" s="12"/>
    </row>
    <row r="530" spans="1:14">
      <c r="A530" s="1"/>
      <c r="B530" s="1"/>
      <c r="C530" s="1"/>
      <c r="D530" s="1"/>
      <c r="E530" s="1"/>
      <c r="F530" s="1"/>
      <c r="G530" s="1"/>
      <c r="H530" s="1"/>
      <c r="I530" s="1"/>
      <c r="J530" s="1"/>
      <c r="K530" s="1"/>
      <c r="L530" s="1"/>
      <c r="M530" s="1"/>
      <c r="N530" s="12"/>
    </row>
    <row r="531" spans="1:14">
      <c r="A531" s="1"/>
      <c r="B531" s="1"/>
      <c r="C531" s="1"/>
      <c r="D531" s="1"/>
      <c r="E531" s="1"/>
      <c r="F531" s="1"/>
      <c r="G531" s="1"/>
      <c r="H531" s="1"/>
      <c r="I531" s="1"/>
      <c r="J531" s="1"/>
      <c r="K531" s="1"/>
      <c r="L531" s="1"/>
      <c r="M531" s="1"/>
      <c r="N531" s="12"/>
    </row>
    <row r="532" spans="1:14">
      <c r="A532" s="1"/>
      <c r="B532" s="1"/>
      <c r="C532" s="1"/>
      <c r="D532" s="1"/>
      <c r="E532" s="1"/>
      <c r="F532" s="1"/>
      <c r="G532" s="1"/>
      <c r="H532" s="1"/>
      <c r="I532" s="1"/>
      <c r="J532" s="1"/>
      <c r="K532" s="1"/>
      <c r="L532" s="1"/>
      <c r="M532" s="1"/>
      <c r="N532" s="12"/>
    </row>
    <row r="533" spans="1:14">
      <c r="A533" s="1"/>
      <c r="B533" s="1"/>
      <c r="C533" s="1"/>
      <c r="D533" s="1"/>
      <c r="E533" s="1"/>
      <c r="F533" s="1"/>
      <c r="G533" s="1"/>
      <c r="H533" s="1"/>
      <c r="I533" s="1"/>
      <c r="J533" s="1"/>
      <c r="K533" s="1"/>
      <c r="L533" s="1"/>
      <c r="M533" s="1"/>
      <c r="N533" s="12"/>
    </row>
    <row r="534" spans="1:14">
      <c r="A534" s="1"/>
      <c r="B534" s="1"/>
      <c r="C534" s="1"/>
      <c r="D534" s="1"/>
      <c r="E534" s="1"/>
      <c r="F534" s="1"/>
      <c r="G534" s="1"/>
      <c r="H534" s="1"/>
      <c r="I534" s="1"/>
      <c r="J534" s="1"/>
      <c r="K534" s="1"/>
      <c r="L534" s="1"/>
      <c r="M534" s="1"/>
      <c r="N534" s="12"/>
    </row>
    <row r="535" spans="1:14">
      <c r="A535" s="1"/>
      <c r="B535" s="1"/>
      <c r="C535" s="1"/>
      <c r="D535" s="1"/>
      <c r="E535" s="1"/>
      <c r="F535" s="1"/>
      <c r="G535" s="1"/>
      <c r="H535" s="1"/>
      <c r="I535" s="1"/>
      <c r="J535" s="1"/>
      <c r="K535" s="1"/>
      <c r="L535" s="1"/>
      <c r="M535" s="1"/>
      <c r="N535" s="12"/>
    </row>
    <row r="536" spans="1:14">
      <c r="A536" s="1"/>
      <c r="B536" s="1"/>
      <c r="C536" s="1"/>
      <c r="D536" s="1"/>
      <c r="E536" s="1"/>
      <c r="F536" s="1"/>
      <c r="G536" s="1"/>
      <c r="H536" s="1"/>
      <c r="I536" s="1"/>
      <c r="J536" s="1"/>
      <c r="K536" s="1"/>
      <c r="L536" s="1"/>
      <c r="M536" s="1"/>
      <c r="N536" s="12"/>
    </row>
    <row r="537" spans="1:14">
      <c r="A537" s="1"/>
      <c r="B537" s="1"/>
      <c r="C537" s="1"/>
      <c r="D537" s="1"/>
      <c r="E537" s="1"/>
      <c r="F537" s="1"/>
      <c r="G537" s="1"/>
      <c r="H537" s="1"/>
      <c r="I537" s="1"/>
      <c r="J537" s="1"/>
      <c r="K537" s="1"/>
      <c r="L537" s="1"/>
      <c r="M537" s="1"/>
      <c r="N537" s="12"/>
    </row>
    <row r="538" spans="1:14">
      <c r="A538" s="1"/>
      <c r="B538" s="1"/>
      <c r="C538" s="1"/>
      <c r="D538" s="1"/>
      <c r="E538" s="1"/>
      <c r="F538" s="1"/>
      <c r="G538" s="1"/>
      <c r="H538" s="1"/>
      <c r="I538" s="1"/>
      <c r="J538" s="1"/>
      <c r="K538" s="1"/>
      <c r="L538" s="1"/>
      <c r="M538" s="1"/>
      <c r="N538" s="12"/>
    </row>
    <row r="539" spans="1:14">
      <c r="A539" s="1"/>
      <c r="B539" s="1"/>
      <c r="C539" s="1"/>
      <c r="D539" s="1"/>
      <c r="E539" s="1"/>
      <c r="F539" s="1"/>
      <c r="G539" s="1"/>
      <c r="H539" s="1"/>
      <c r="I539" s="1"/>
      <c r="J539" s="1"/>
      <c r="K539" s="1"/>
      <c r="L539" s="1"/>
      <c r="M539" s="1"/>
      <c r="N539" s="12"/>
    </row>
    <row r="540" spans="1:14">
      <c r="A540" s="1"/>
      <c r="B540" s="1"/>
      <c r="C540" s="1"/>
      <c r="D540" s="1"/>
      <c r="E540" s="1"/>
      <c r="F540" s="1"/>
      <c r="G540" s="1"/>
      <c r="H540" s="1"/>
      <c r="I540" s="1"/>
      <c r="J540" s="1"/>
      <c r="K540" s="1"/>
      <c r="L540" s="1"/>
      <c r="M540" s="1"/>
      <c r="N540" s="12"/>
    </row>
    <row r="541" spans="1:14">
      <c r="A541" s="1"/>
      <c r="B541" s="1"/>
      <c r="C541" s="1"/>
      <c r="D541" s="1"/>
      <c r="E541" s="1"/>
      <c r="F541" s="1"/>
      <c r="G541" s="1"/>
      <c r="H541" s="1"/>
      <c r="I541" s="1"/>
      <c r="J541" s="1"/>
      <c r="K541" s="1"/>
      <c r="L541" s="1"/>
      <c r="M541" s="1"/>
      <c r="N541" s="12"/>
    </row>
    <row r="542" spans="1:14">
      <c r="A542" s="1"/>
      <c r="B542" s="1"/>
      <c r="C542" s="1"/>
      <c r="D542" s="1"/>
      <c r="E542" s="1"/>
      <c r="F542" s="1"/>
      <c r="G542" s="1"/>
      <c r="H542" s="1"/>
      <c r="I542" s="1"/>
      <c r="J542" s="1"/>
      <c r="K542" s="1"/>
      <c r="L542" s="1"/>
      <c r="M542" s="1"/>
      <c r="N542" s="12"/>
    </row>
    <row r="543" spans="1:14">
      <c r="A543" s="1"/>
      <c r="B543" s="1"/>
      <c r="C543" s="1"/>
      <c r="D543" s="1"/>
      <c r="E543" s="1"/>
      <c r="F543" s="1"/>
      <c r="G543" s="1"/>
      <c r="H543" s="1"/>
      <c r="I543" s="1"/>
      <c r="J543" s="1"/>
      <c r="K543" s="1"/>
      <c r="L543" s="1"/>
      <c r="M543" s="1"/>
      <c r="N543" s="12"/>
    </row>
    <row r="544" spans="1:14">
      <c r="A544" s="1"/>
      <c r="B544" s="1"/>
      <c r="C544" s="1"/>
      <c r="D544" s="1"/>
      <c r="E544" s="1"/>
      <c r="F544" s="1"/>
      <c r="G544" s="1"/>
      <c r="H544" s="1"/>
      <c r="I544" s="1"/>
      <c r="J544" s="1"/>
      <c r="K544" s="1"/>
      <c r="L544" s="1"/>
      <c r="M544" s="1"/>
      <c r="N544" s="12"/>
    </row>
    <row r="545" spans="1:14">
      <c r="A545" s="1"/>
      <c r="B545" s="1"/>
      <c r="C545" s="1"/>
      <c r="D545" s="1"/>
      <c r="E545" s="1"/>
      <c r="F545" s="1"/>
      <c r="G545" s="1"/>
      <c r="H545" s="1"/>
      <c r="I545" s="1"/>
      <c r="J545" s="1"/>
      <c r="K545" s="1"/>
      <c r="L545" s="1"/>
      <c r="M545" s="1"/>
      <c r="N545" s="12"/>
    </row>
    <row r="546" spans="1:14">
      <c r="A546" s="1"/>
      <c r="B546" s="1"/>
      <c r="C546" s="1"/>
      <c r="D546" s="1"/>
      <c r="E546" s="1"/>
      <c r="F546" s="1"/>
      <c r="G546" s="1"/>
      <c r="H546" s="1"/>
      <c r="I546" s="1"/>
      <c r="J546" s="1"/>
      <c r="K546" s="1"/>
      <c r="L546" s="1"/>
      <c r="M546" s="1"/>
      <c r="N546" s="12"/>
    </row>
    <row r="547" spans="1:14">
      <c r="A547" s="1"/>
      <c r="B547" s="1"/>
      <c r="C547" s="1"/>
      <c r="D547" s="1"/>
      <c r="E547" s="1"/>
      <c r="F547" s="1"/>
      <c r="G547" s="1"/>
      <c r="H547" s="1"/>
      <c r="I547" s="1"/>
      <c r="J547" s="1"/>
      <c r="K547" s="1"/>
      <c r="L547" s="1"/>
      <c r="M547" s="1"/>
      <c r="N547" s="12"/>
    </row>
    <row r="548" spans="1:14">
      <c r="A548" s="1"/>
      <c r="B548" s="1"/>
      <c r="C548" s="1"/>
      <c r="D548" s="1"/>
      <c r="E548" s="1"/>
      <c r="F548" s="1"/>
      <c r="G548" s="1"/>
      <c r="H548" s="1"/>
      <c r="I548" s="1"/>
      <c r="J548" s="1"/>
      <c r="K548" s="1"/>
      <c r="L548" s="1"/>
      <c r="M548" s="1"/>
      <c r="N548" s="12"/>
    </row>
    <row r="549" spans="1:14">
      <c r="A549" s="1"/>
      <c r="B549" s="1"/>
      <c r="C549" s="1"/>
      <c r="D549" s="1"/>
      <c r="E549" s="1"/>
      <c r="F549" s="1"/>
      <c r="G549" s="1"/>
      <c r="H549" s="1"/>
      <c r="I549" s="1"/>
      <c r="J549" s="1"/>
      <c r="K549" s="1"/>
      <c r="L549" s="1"/>
      <c r="M549" s="1"/>
      <c r="N549" s="12"/>
    </row>
    <row r="550" spans="1:14">
      <c r="A550" s="1"/>
      <c r="B550" s="1"/>
      <c r="C550" s="1"/>
      <c r="D550" s="1"/>
      <c r="E550" s="1"/>
      <c r="F550" s="1"/>
      <c r="G550" s="1"/>
      <c r="H550" s="1"/>
      <c r="I550" s="1"/>
      <c r="J550" s="1"/>
      <c r="K550" s="1"/>
      <c r="L550" s="1"/>
      <c r="M550" s="1"/>
      <c r="N550" s="12"/>
    </row>
    <row r="551" spans="1:14">
      <c r="A551" s="1"/>
      <c r="B551" s="1"/>
      <c r="C551" s="1"/>
      <c r="D551" s="1"/>
      <c r="E551" s="1"/>
      <c r="F551" s="1"/>
      <c r="G551" s="1"/>
      <c r="H551" s="1"/>
      <c r="I551" s="1"/>
      <c r="J551" s="1"/>
      <c r="K551" s="1"/>
      <c r="L551" s="1"/>
      <c r="M551" s="1"/>
      <c r="N551" s="12"/>
    </row>
    <row r="552" spans="1:14">
      <c r="A552" s="1"/>
      <c r="B552" s="1"/>
      <c r="C552" s="1"/>
      <c r="D552" s="1"/>
      <c r="E552" s="1"/>
      <c r="F552" s="1"/>
      <c r="G552" s="1"/>
      <c r="H552" s="1"/>
      <c r="I552" s="1"/>
      <c r="J552" s="1"/>
      <c r="K552" s="1"/>
      <c r="L552" s="1"/>
      <c r="M552" s="1"/>
      <c r="N552" s="12"/>
    </row>
    <row r="553" spans="1:14">
      <c r="A553" s="1"/>
      <c r="B553" s="1"/>
      <c r="C553" s="1"/>
      <c r="D553" s="1"/>
      <c r="E553" s="1"/>
      <c r="F553" s="1"/>
      <c r="G553" s="1"/>
      <c r="H553" s="1"/>
      <c r="I553" s="1"/>
      <c r="J553" s="1"/>
      <c r="K553" s="1"/>
      <c r="L553" s="1"/>
      <c r="M553" s="1"/>
      <c r="N553" s="12"/>
    </row>
    <row r="554" spans="1:14">
      <c r="A554" s="1"/>
      <c r="B554" s="1"/>
      <c r="C554" s="1"/>
      <c r="D554" s="1"/>
      <c r="E554" s="1"/>
      <c r="F554" s="1"/>
      <c r="G554" s="1"/>
      <c r="H554" s="1"/>
      <c r="I554" s="1"/>
      <c r="J554" s="1"/>
      <c r="K554" s="1"/>
      <c r="L554" s="1"/>
      <c r="M554" s="1"/>
      <c r="N554" s="12"/>
    </row>
    <row r="555" spans="1:14">
      <c r="A555" s="1"/>
      <c r="B555" s="1"/>
      <c r="C555" s="1"/>
      <c r="D555" s="1"/>
      <c r="E555" s="1"/>
      <c r="F555" s="1"/>
      <c r="G555" s="1"/>
      <c r="H555" s="1"/>
      <c r="I555" s="1"/>
      <c r="J555" s="1"/>
      <c r="K555" s="1"/>
      <c r="L555" s="1"/>
      <c r="M555" s="1"/>
      <c r="N555" s="12"/>
    </row>
    <row r="556" spans="1:14">
      <c r="A556" s="1"/>
      <c r="B556" s="1"/>
      <c r="C556" s="1"/>
      <c r="D556" s="1"/>
      <c r="E556" s="1"/>
      <c r="F556" s="1"/>
      <c r="G556" s="1"/>
      <c r="H556" s="1"/>
      <c r="I556" s="1"/>
      <c r="J556" s="1"/>
      <c r="K556" s="1"/>
      <c r="L556" s="1"/>
      <c r="M556" s="1"/>
      <c r="N556" s="12"/>
    </row>
    <row r="557" spans="1:14">
      <c r="A557" s="1"/>
      <c r="B557" s="1"/>
      <c r="C557" s="1"/>
      <c r="D557" s="1"/>
      <c r="E557" s="1"/>
      <c r="F557" s="1"/>
      <c r="G557" s="1"/>
      <c r="H557" s="1"/>
      <c r="I557" s="1"/>
      <c r="J557" s="1"/>
      <c r="K557" s="1"/>
      <c r="L557" s="1"/>
      <c r="M557" s="1"/>
      <c r="N557" s="12"/>
    </row>
    <row r="558" spans="1:14">
      <c r="A558" s="1"/>
      <c r="B558" s="1"/>
      <c r="C558" s="1"/>
      <c r="D558" s="1"/>
      <c r="E558" s="1"/>
      <c r="F558" s="1"/>
      <c r="G558" s="1"/>
      <c r="H558" s="1"/>
      <c r="I558" s="1"/>
      <c r="J558" s="1"/>
      <c r="K558" s="1"/>
      <c r="L558" s="1"/>
      <c r="M558" s="1"/>
      <c r="N558" s="12"/>
    </row>
    <row r="559" spans="1:14">
      <c r="A559" s="1"/>
      <c r="B559" s="1"/>
      <c r="C559" s="1"/>
      <c r="D559" s="1"/>
      <c r="E559" s="1"/>
      <c r="F559" s="1"/>
      <c r="G559" s="1"/>
      <c r="H559" s="1"/>
      <c r="I559" s="1"/>
      <c r="J559" s="1"/>
      <c r="K559" s="1"/>
      <c r="L559" s="1"/>
      <c r="M559" s="1"/>
      <c r="N559" s="12"/>
    </row>
    <row r="560" spans="1:14">
      <c r="A560" s="1"/>
      <c r="B560" s="1"/>
      <c r="C560" s="1"/>
      <c r="D560" s="1"/>
      <c r="E560" s="1"/>
      <c r="F560" s="1"/>
      <c r="G560" s="1"/>
      <c r="H560" s="1"/>
      <c r="I560" s="1"/>
      <c r="J560" s="1"/>
      <c r="K560" s="1"/>
      <c r="L560" s="1"/>
      <c r="M560" s="1"/>
      <c r="N560" s="12"/>
    </row>
    <row r="561" spans="1:14">
      <c r="A561" s="1"/>
      <c r="B561" s="1"/>
      <c r="C561" s="1"/>
      <c r="D561" s="1"/>
      <c r="E561" s="1"/>
      <c r="F561" s="1"/>
      <c r="G561" s="1"/>
      <c r="H561" s="1"/>
      <c r="I561" s="1"/>
      <c r="J561" s="1"/>
      <c r="K561" s="1"/>
      <c r="L561" s="1"/>
      <c r="M561" s="1"/>
      <c r="N561" s="12"/>
    </row>
    <row r="562" spans="1:14">
      <c r="A562" s="1"/>
      <c r="B562" s="1"/>
      <c r="C562" s="1"/>
      <c r="D562" s="1"/>
      <c r="E562" s="1"/>
      <c r="F562" s="1"/>
      <c r="G562" s="1"/>
      <c r="H562" s="1"/>
      <c r="I562" s="1"/>
      <c r="J562" s="1"/>
      <c r="K562" s="1"/>
      <c r="L562" s="1"/>
      <c r="M562" s="1"/>
      <c r="N562" s="12"/>
    </row>
    <row r="563" spans="1:14">
      <c r="A563" s="1"/>
      <c r="B563" s="1"/>
      <c r="C563" s="1"/>
      <c r="D563" s="1"/>
      <c r="E563" s="1"/>
      <c r="F563" s="1"/>
      <c r="G563" s="1"/>
      <c r="H563" s="1"/>
      <c r="I563" s="1"/>
      <c r="J563" s="1"/>
      <c r="K563" s="1"/>
      <c r="L563" s="1"/>
      <c r="M563" s="1"/>
      <c r="N563" s="12"/>
    </row>
    <row r="564" spans="1:14">
      <c r="A564" s="1"/>
      <c r="B564" s="1"/>
      <c r="C564" s="1"/>
      <c r="D564" s="1"/>
      <c r="E564" s="1"/>
      <c r="F564" s="1"/>
      <c r="G564" s="1"/>
      <c r="H564" s="1"/>
      <c r="I564" s="1"/>
      <c r="J564" s="1"/>
      <c r="K564" s="1"/>
      <c r="L564" s="1"/>
      <c r="M564" s="1"/>
      <c r="N564" s="12"/>
    </row>
    <row r="565" spans="1:14">
      <c r="A565" s="1"/>
      <c r="B565" s="1"/>
      <c r="C565" s="1"/>
      <c r="D565" s="1"/>
      <c r="E565" s="1"/>
      <c r="F565" s="1"/>
      <c r="G565" s="1"/>
      <c r="H565" s="1"/>
      <c r="I565" s="1"/>
      <c r="J565" s="1"/>
      <c r="K565" s="1"/>
      <c r="L565" s="1"/>
      <c r="M565" s="1"/>
      <c r="N565" s="12"/>
    </row>
    <row r="566" spans="1:14">
      <c r="A566" s="1"/>
      <c r="B566" s="1"/>
      <c r="C566" s="1"/>
      <c r="D566" s="1"/>
      <c r="E566" s="1"/>
      <c r="F566" s="1"/>
      <c r="G566" s="1"/>
      <c r="H566" s="1"/>
      <c r="I566" s="1"/>
      <c r="J566" s="1"/>
      <c r="K566" s="1"/>
      <c r="L566" s="1"/>
      <c r="M566" s="1"/>
      <c r="N566" s="12"/>
    </row>
    <row r="567" spans="1:14">
      <c r="A567" s="1"/>
      <c r="B567" s="1"/>
      <c r="C567" s="1"/>
      <c r="D567" s="1"/>
      <c r="E567" s="1"/>
      <c r="F567" s="1"/>
      <c r="G567" s="1"/>
      <c r="H567" s="1"/>
      <c r="I567" s="1"/>
      <c r="J567" s="1"/>
      <c r="K567" s="1"/>
      <c r="L567" s="1"/>
      <c r="M567" s="1"/>
      <c r="N567" s="12"/>
    </row>
    <row r="568" spans="1:14">
      <c r="A568" s="1"/>
      <c r="B568" s="1"/>
      <c r="C568" s="1"/>
      <c r="D568" s="1"/>
      <c r="E568" s="1"/>
      <c r="F568" s="1"/>
      <c r="G568" s="1"/>
      <c r="H568" s="1"/>
      <c r="I568" s="1"/>
      <c r="J568" s="1"/>
      <c r="K568" s="1"/>
      <c r="L568" s="1"/>
      <c r="M568" s="1"/>
      <c r="N568" s="12"/>
    </row>
    <row r="569" spans="1:14">
      <c r="A569" s="1"/>
      <c r="B569" s="1"/>
      <c r="C569" s="1"/>
      <c r="D569" s="1"/>
      <c r="E569" s="1"/>
      <c r="F569" s="1"/>
      <c r="G569" s="1"/>
      <c r="H569" s="1"/>
      <c r="I569" s="1"/>
      <c r="J569" s="1"/>
      <c r="K569" s="1"/>
      <c r="L569" s="1"/>
      <c r="M569" s="1"/>
      <c r="N569" s="12"/>
    </row>
    <row r="570" spans="1:14">
      <c r="A570" s="1"/>
      <c r="B570" s="1"/>
      <c r="C570" s="1"/>
      <c r="D570" s="1"/>
      <c r="E570" s="1"/>
      <c r="F570" s="1"/>
      <c r="G570" s="1"/>
      <c r="H570" s="1"/>
      <c r="I570" s="1"/>
      <c r="J570" s="1"/>
      <c r="K570" s="1"/>
      <c r="L570" s="1"/>
      <c r="M570" s="1"/>
      <c r="N570" s="12"/>
    </row>
    <row r="571" spans="1:14">
      <c r="A571" s="1"/>
      <c r="B571" s="1"/>
      <c r="C571" s="1"/>
      <c r="D571" s="1"/>
      <c r="E571" s="1"/>
      <c r="F571" s="1"/>
      <c r="G571" s="1"/>
      <c r="H571" s="1"/>
      <c r="I571" s="1"/>
      <c r="J571" s="1"/>
      <c r="K571" s="1"/>
      <c r="L571" s="1"/>
      <c r="M571" s="1"/>
      <c r="N571" s="12"/>
    </row>
    <row r="572" spans="1:14">
      <c r="A572" s="1"/>
      <c r="B572" s="1"/>
      <c r="C572" s="1"/>
      <c r="D572" s="1"/>
      <c r="E572" s="1"/>
      <c r="F572" s="1"/>
      <c r="G572" s="1"/>
      <c r="H572" s="1"/>
      <c r="I572" s="1"/>
      <c r="J572" s="1"/>
      <c r="K572" s="1"/>
      <c r="L572" s="1"/>
      <c r="M572" s="1"/>
      <c r="N572" s="12"/>
    </row>
    <row r="573" spans="1:14">
      <c r="A573" s="1"/>
      <c r="B573" s="1"/>
      <c r="C573" s="1"/>
      <c r="D573" s="1"/>
      <c r="E573" s="1"/>
      <c r="F573" s="1"/>
      <c r="G573" s="1"/>
      <c r="H573" s="1"/>
      <c r="I573" s="1"/>
      <c r="J573" s="1"/>
      <c r="K573" s="1"/>
      <c r="L573" s="1"/>
      <c r="M573" s="1"/>
      <c r="N573" s="12"/>
    </row>
    <row r="574" spans="1:14">
      <c r="A574" s="1"/>
      <c r="B574" s="1"/>
      <c r="C574" s="1"/>
      <c r="D574" s="1"/>
      <c r="E574" s="1"/>
      <c r="F574" s="1"/>
      <c r="G574" s="1"/>
      <c r="H574" s="1"/>
      <c r="I574" s="1"/>
      <c r="J574" s="1"/>
      <c r="K574" s="1"/>
      <c r="L574" s="1"/>
      <c r="M574" s="1"/>
      <c r="N574" s="12"/>
    </row>
    <row r="575" spans="1:14">
      <c r="A575" s="1"/>
      <c r="B575" s="1"/>
      <c r="C575" s="1"/>
      <c r="D575" s="1"/>
      <c r="E575" s="1"/>
      <c r="F575" s="1"/>
      <c r="G575" s="1"/>
      <c r="H575" s="1"/>
      <c r="I575" s="1"/>
      <c r="J575" s="1"/>
      <c r="K575" s="1"/>
      <c r="L575" s="1"/>
      <c r="M575" s="1"/>
      <c r="N575" s="12"/>
    </row>
    <row r="576" spans="1:14">
      <c r="A576" s="1"/>
      <c r="B576" s="1"/>
      <c r="C576" s="1"/>
      <c r="D576" s="1"/>
      <c r="E576" s="1"/>
      <c r="F576" s="1"/>
      <c r="G576" s="1"/>
      <c r="H576" s="1"/>
      <c r="I576" s="1"/>
      <c r="J576" s="1"/>
      <c r="K576" s="1"/>
      <c r="L576" s="1"/>
      <c r="M576" s="1"/>
      <c r="N576" s="12"/>
    </row>
    <row r="577" spans="1:14">
      <c r="A577" s="1"/>
      <c r="B577" s="1"/>
      <c r="C577" s="1"/>
      <c r="D577" s="1"/>
      <c r="E577" s="1"/>
      <c r="F577" s="1"/>
      <c r="G577" s="1"/>
      <c r="H577" s="1"/>
      <c r="I577" s="1"/>
      <c r="J577" s="1"/>
      <c r="K577" s="1"/>
      <c r="L577" s="1"/>
      <c r="M577" s="1"/>
      <c r="N577" s="12"/>
    </row>
    <row r="578" spans="1:14">
      <c r="A578" s="1"/>
    </row>
  </sheetData>
  <mergeCells count="71">
    <mergeCell ref="A4:B4"/>
    <mergeCell ref="I4:L4"/>
    <mergeCell ref="A6:A7"/>
    <mergeCell ref="B6:B7"/>
    <mergeCell ref="A232:A233"/>
    <mergeCell ref="B232:B233"/>
    <mergeCell ref="C232:E232"/>
    <mergeCell ref="F232:H232"/>
    <mergeCell ref="J232:J233"/>
    <mergeCell ref="K232:K233"/>
    <mergeCell ref="D5:E5"/>
    <mergeCell ref="L232:L233"/>
    <mergeCell ref="A13:A14"/>
    <mergeCell ref="B13:B14"/>
    <mergeCell ref="C13:E13"/>
    <mergeCell ref="F13:H13"/>
    <mergeCell ref="J13:J14"/>
    <mergeCell ref="K13:K14"/>
    <mergeCell ref="L13:L14"/>
    <mergeCell ref="L55:L56"/>
    <mergeCell ref="A79:A80"/>
    <mergeCell ref="B79:B80"/>
    <mergeCell ref="C79:E79"/>
    <mergeCell ref="F79:H79"/>
    <mergeCell ref="J79:J80"/>
    <mergeCell ref="K79:K80"/>
    <mergeCell ref="L79:L80"/>
    <mergeCell ref="A55:A56"/>
    <mergeCell ref="B55:B56"/>
    <mergeCell ref="C55:E55"/>
    <mergeCell ref="F55:H55"/>
    <mergeCell ref="J55:J56"/>
    <mergeCell ref="K55:K56"/>
    <mergeCell ref="L103:L104"/>
    <mergeCell ref="A129:A130"/>
    <mergeCell ref="B129:B130"/>
    <mergeCell ref="C129:E129"/>
    <mergeCell ref="F129:H129"/>
    <mergeCell ref="J129:J130"/>
    <mergeCell ref="K129:K130"/>
    <mergeCell ref="L129:L130"/>
    <mergeCell ref="A103:A104"/>
    <mergeCell ref="B103:B104"/>
    <mergeCell ref="C103:E103"/>
    <mergeCell ref="F103:H103"/>
    <mergeCell ref="J103:J104"/>
    <mergeCell ref="K103:K104"/>
    <mergeCell ref="K178:K179"/>
    <mergeCell ref="L178:L179"/>
    <mergeCell ref="A153:A154"/>
    <mergeCell ref="B153:B154"/>
    <mergeCell ref="C153:E153"/>
    <mergeCell ref="F153:H153"/>
    <mergeCell ref="J153:J154"/>
    <mergeCell ref="K153:K154"/>
    <mergeCell ref="L203:L204"/>
    <mergeCell ref="S22:U22"/>
    <mergeCell ref="S138:U138"/>
    <mergeCell ref="S153:U153"/>
    <mergeCell ref="A203:A204"/>
    <mergeCell ref="B203:B204"/>
    <mergeCell ref="C203:E203"/>
    <mergeCell ref="F203:H203"/>
    <mergeCell ref="J203:J204"/>
    <mergeCell ref="K203:K204"/>
    <mergeCell ref="L153:L154"/>
    <mergeCell ref="A178:A179"/>
    <mergeCell ref="B178:B179"/>
    <mergeCell ref="C178:E178"/>
    <mergeCell ref="F178:H178"/>
    <mergeCell ref="J178:J179"/>
  </mergeCells>
  <phoneticPr fontId="1" type="noConversion"/>
  <dataValidations count="1">
    <dataValidation allowBlank="1" showInputMessage="1" showErrorMessage="1" promptTitle="類別總數：" prompt="填入要指定的商品/服務的類別總數。_x000a__x000a_" sqref="B5" xr:uid="{00000000-0002-0000-0100-000000000000}"/>
  </dataValidations>
  <pageMargins left="0.7" right="0.7" top="0.75" bottom="0.75" header="0.3" footer="0.3"/>
  <pageSetup paperSize="9" scale="62"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1</xdr:col>
                    <xdr:colOff>57150</xdr:colOff>
                    <xdr:row>5</xdr:row>
                    <xdr:rowOff>9525</xdr:rowOff>
                  </from>
                  <to>
                    <xdr:col>1</xdr:col>
                    <xdr:colOff>800100</xdr:colOff>
                    <xdr:row>5</xdr:row>
                    <xdr:rowOff>209550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57150</xdr:colOff>
                    <xdr:row>6</xdr:row>
                    <xdr:rowOff>9525</xdr:rowOff>
                  </from>
                  <to>
                    <xdr:col>1</xdr:col>
                    <xdr:colOff>800100</xdr:colOff>
                    <xdr:row>6</xdr:row>
                    <xdr:rowOff>209550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161925</xdr:colOff>
                    <xdr:row>14</xdr:row>
                    <xdr:rowOff>0</xdr:rowOff>
                  </from>
                  <to>
                    <xdr:col>1</xdr:col>
                    <xdr:colOff>733425</xdr:colOff>
                    <xdr:row>15</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161925</xdr:colOff>
                    <xdr:row>15</xdr:row>
                    <xdr:rowOff>0</xdr:rowOff>
                  </from>
                  <to>
                    <xdr:col>1</xdr:col>
                    <xdr:colOff>733425</xdr:colOff>
                    <xdr:row>16</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161925</xdr:colOff>
                    <xdr:row>16</xdr:row>
                    <xdr:rowOff>0</xdr:rowOff>
                  </from>
                  <to>
                    <xdr:col>1</xdr:col>
                    <xdr:colOff>733425</xdr:colOff>
                    <xdr:row>17</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161925</xdr:colOff>
                    <xdr:row>17</xdr:row>
                    <xdr:rowOff>0</xdr:rowOff>
                  </from>
                  <to>
                    <xdr:col>1</xdr:col>
                    <xdr:colOff>733425</xdr:colOff>
                    <xdr:row>18</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161925</xdr:colOff>
                    <xdr:row>19</xdr:row>
                    <xdr:rowOff>0</xdr:rowOff>
                  </from>
                  <to>
                    <xdr:col>1</xdr:col>
                    <xdr:colOff>733425</xdr:colOff>
                    <xdr:row>20</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161925</xdr:colOff>
                    <xdr:row>20</xdr:row>
                    <xdr:rowOff>0</xdr:rowOff>
                  </from>
                  <to>
                    <xdr:col>1</xdr:col>
                    <xdr:colOff>723900</xdr:colOff>
                    <xdr:row>21</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xdr:col>
                    <xdr:colOff>161925</xdr:colOff>
                    <xdr:row>23</xdr:row>
                    <xdr:rowOff>0</xdr:rowOff>
                  </from>
                  <to>
                    <xdr:col>1</xdr:col>
                    <xdr:colOff>723900</xdr:colOff>
                    <xdr:row>24</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xdr:col>
                    <xdr:colOff>161925</xdr:colOff>
                    <xdr:row>27</xdr:row>
                    <xdr:rowOff>0</xdr:rowOff>
                  </from>
                  <to>
                    <xdr:col>1</xdr:col>
                    <xdr:colOff>723900</xdr:colOff>
                    <xdr:row>28</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xdr:col>
                    <xdr:colOff>161925</xdr:colOff>
                    <xdr:row>28</xdr:row>
                    <xdr:rowOff>0</xdr:rowOff>
                  </from>
                  <to>
                    <xdr:col>1</xdr:col>
                    <xdr:colOff>723900</xdr:colOff>
                    <xdr:row>29</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xdr:col>
                    <xdr:colOff>161925</xdr:colOff>
                    <xdr:row>24</xdr:row>
                    <xdr:rowOff>0</xdr:rowOff>
                  </from>
                  <to>
                    <xdr:col>1</xdr:col>
                    <xdr:colOff>723900</xdr:colOff>
                    <xdr:row>25</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xdr:col>
                    <xdr:colOff>161925</xdr:colOff>
                    <xdr:row>21</xdr:row>
                    <xdr:rowOff>0</xdr:rowOff>
                  </from>
                  <to>
                    <xdr:col>1</xdr:col>
                    <xdr:colOff>723900</xdr:colOff>
                    <xdr:row>22</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xdr:col>
                    <xdr:colOff>161925</xdr:colOff>
                    <xdr:row>22</xdr:row>
                    <xdr:rowOff>0</xdr:rowOff>
                  </from>
                  <to>
                    <xdr:col>1</xdr:col>
                    <xdr:colOff>723900</xdr:colOff>
                    <xdr:row>23</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161925</xdr:colOff>
                    <xdr:row>130</xdr:row>
                    <xdr:rowOff>0</xdr:rowOff>
                  </from>
                  <to>
                    <xdr:col>1</xdr:col>
                    <xdr:colOff>733425</xdr:colOff>
                    <xdr:row>131</xdr:row>
                    <xdr:rowOff>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xdr:col>
                    <xdr:colOff>161925</xdr:colOff>
                    <xdr:row>131</xdr:row>
                    <xdr:rowOff>0</xdr:rowOff>
                  </from>
                  <to>
                    <xdr:col>1</xdr:col>
                    <xdr:colOff>733425</xdr:colOff>
                    <xdr:row>132</xdr:row>
                    <xdr:rowOff>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xdr:col>
                    <xdr:colOff>161925</xdr:colOff>
                    <xdr:row>132</xdr:row>
                    <xdr:rowOff>0</xdr:rowOff>
                  </from>
                  <to>
                    <xdr:col>1</xdr:col>
                    <xdr:colOff>733425</xdr:colOff>
                    <xdr:row>133</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xdr:col>
                    <xdr:colOff>161925</xdr:colOff>
                    <xdr:row>133</xdr:row>
                    <xdr:rowOff>0</xdr:rowOff>
                  </from>
                  <to>
                    <xdr:col>1</xdr:col>
                    <xdr:colOff>733425</xdr:colOff>
                    <xdr:row>134</xdr:row>
                    <xdr:rowOff>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xdr:col>
                    <xdr:colOff>161925</xdr:colOff>
                    <xdr:row>135</xdr:row>
                    <xdr:rowOff>0</xdr:rowOff>
                  </from>
                  <to>
                    <xdr:col>1</xdr:col>
                    <xdr:colOff>733425</xdr:colOff>
                    <xdr:row>136</xdr:row>
                    <xdr:rowOff>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xdr:col>
                    <xdr:colOff>161925</xdr:colOff>
                    <xdr:row>136</xdr:row>
                    <xdr:rowOff>0</xdr:rowOff>
                  </from>
                  <to>
                    <xdr:col>1</xdr:col>
                    <xdr:colOff>723900</xdr:colOff>
                    <xdr:row>137</xdr:row>
                    <xdr:rowOff>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xdr:col>
                    <xdr:colOff>161925</xdr:colOff>
                    <xdr:row>139</xdr:row>
                    <xdr:rowOff>0</xdr:rowOff>
                  </from>
                  <to>
                    <xdr:col>1</xdr:col>
                    <xdr:colOff>723900</xdr:colOff>
                    <xdr:row>140</xdr:row>
                    <xdr:rowOff>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1</xdr:col>
                    <xdr:colOff>161925</xdr:colOff>
                    <xdr:row>143</xdr:row>
                    <xdr:rowOff>0</xdr:rowOff>
                  </from>
                  <to>
                    <xdr:col>1</xdr:col>
                    <xdr:colOff>723900</xdr:colOff>
                    <xdr:row>144</xdr:row>
                    <xdr:rowOff>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1</xdr:col>
                    <xdr:colOff>161925</xdr:colOff>
                    <xdr:row>144</xdr:row>
                    <xdr:rowOff>0</xdr:rowOff>
                  </from>
                  <to>
                    <xdr:col>1</xdr:col>
                    <xdr:colOff>723900</xdr:colOff>
                    <xdr:row>145</xdr:row>
                    <xdr:rowOff>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1</xdr:col>
                    <xdr:colOff>161925</xdr:colOff>
                    <xdr:row>140</xdr:row>
                    <xdr:rowOff>0</xdr:rowOff>
                  </from>
                  <to>
                    <xdr:col>1</xdr:col>
                    <xdr:colOff>723900</xdr:colOff>
                    <xdr:row>141</xdr:row>
                    <xdr:rowOff>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1</xdr:col>
                    <xdr:colOff>161925</xdr:colOff>
                    <xdr:row>137</xdr:row>
                    <xdr:rowOff>0</xdr:rowOff>
                  </from>
                  <to>
                    <xdr:col>1</xdr:col>
                    <xdr:colOff>723900</xdr:colOff>
                    <xdr:row>138</xdr:row>
                    <xdr:rowOff>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1</xdr:col>
                    <xdr:colOff>161925</xdr:colOff>
                    <xdr:row>138</xdr:row>
                    <xdr:rowOff>0</xdr:rowOff>
                  </from>
                  <to>
                    <xdr:col>1</xdr:col>
                    <xdr:colOff>723900</xdr:colOff>
                    <xdr:row>139</xdr:row>
                    <xdr:rowOff>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1</xdr:col>
                    <xdr:colOff>133350</xdr:colOff>
                    <xdr:row>233</xdr:row>
                    <xdr:rowOff>0</xdr:rowOff>
                  </from>
                  <to>
                    <xdr:col>1</xdr:col>
                    <xdr:colOff>704850</xdr:colOff>
                    <xdr:row>234</xdr:row>
                    <xdr:rowOff>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1</xdr:col>
                    <xdr:colOff>133350</xdr:colOff>
                    <xdr:row>233</xdr:row>
                    <xdr:rowOff>209550</xdr:rowOff>
                  </from>
                  <to>
                    <xdr:col>1</xdr:col>
                    <xdr:colOff>704850</xdr:colOff>
                    <xdr:row>235</xdr:row>
                    <xdr:rowOff>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1</xdr:col>
                    <xdr:colOff>133350</xdr:colOff>
                    <xdr:row>235</xdr:row>
                    <xdr:rowOff>0</xdr:rowOff>
                  </from>
                  <to>
                    <xdr:col>1</xdr:col>
                    <xdr:colOff>704850</xdr:colOff>
                    <xdr:row>236</xdr:row>
                    <xdr:rowOff>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1</xdr:col>
                    <xdr:colOff>133350</xdr:colOff>
                    <xdr:row>236</xdr:row>
                    <xdr:rowOff>0</xdr:rowOff>
                  </from>
                  <to>
                    <xdr:col>1</xdr:col>
                    <xdr:colOff>704850</xdr:colOff>
                    <xdr:row>237</xdr:row>
                    <xdr:rowOff>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xdr:col>
                    <xdr:colOff>133350</xdr:colOff>
                    <xdr:row>238</xdr:row>
                    <xdr:rowOff>0</xdr:rowOff>
                  </from>
                  <to>
                    <xdr:col>1</xdr:col>
                    <xdr:colOff>704850</xdr:colOff>
                    <xdr:row>239</xdr:row>
                    <xdr:rowOff>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1</xdr:col>
                    <xdr:colOff>133350</xdr:colOff>
                    <xdr:row>239</xdr:row>
                    <xdr:rowOff>0</xdr:rowOff>
                  </from>
                  <to>
                    <xdr:col>1</xdr:col>
                    <xdr:colOff>704850</xdr:colOff>
                    <xdr:row>240</xdr:row>
                    <xdr:rowOff>0</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1</xdr:col>
                    <xdr:colOff>133350</xdr:colOff>
                    <xdr:row>242</xdr:row>
                    <xdr:rowOff>0</xdr:rowOff>
                  </from>
                  <to>
                    <xdr:col>1</xdr:col>
                    <xdr:colOff>704850</xdr:colOff>
                    <xdr:row>243</xdr:row>
                    <xdr:rowOff>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1</xdr:col>
                    <xdr:colOff>133350</xdr:colOff>
                    <xdr:row>246</xdr:row>
                    <xdr:rowOff>0</xdr:rowOff>
                  </from>
                  <to>
                    <xdr:col>1</xdr:col>
                    <xdr:colOff>704850</xdr:colOff>
                    <xdr:row>247</xdr:row>
                    <xdr:rowOff>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1</xdr:col>
                    <xdr:colOff>133350</xdr:colOff>
                    <xdr:row>247</xdr:row>
                    <xdr:rowOff>0</xdr:rowOff>
                  </from>
                  <to>
                    <xdr:col>1</xdr:col>
                    <xdr:colOff>704850</xdr:colOff>
                    <xdr:row>248</xdr:row>
                    <xdr:rowOff>0</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1</xdr:col>
                    <xdr:colOff>133350</xdr:colOff>
                    <xdr:row>243</xdr:row>
                    <xdr:rowOff>0</xdr:rowOff>
                  </from>
                  <to>
                    <xdr:col>1</xdr:col>
                    <xdr:colOff>704850</xdr:colOff>
                    <xdr:row>244</xdr:row>
                    <xdr:rowOff>0</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1</xdr:col>
                    <xdr:colOff>133350</xdr:colOff>
                    <xdr:row>240</xdr:row>
                    <xdr:rowOff>0</xdr:rowOff>
                  </from>
                  <to>
                    <xdr:col>1</xdr:col>
                    <xdr:colOff>704850</xdr:colOff>
                    <xdr:row>241</xdr:row>
                    <xdr:rowOff>0</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1</xdr:col>
                    <xdr:colOff>133350</xdr:colOff>
                    <xdr:row>241</xdr:row>
                    <xdr:rowOff>0</xdr:rowOff>
                  </from>
                  <to>
                    <xdr:col>1</xdr:col>
                    <xdr:colOff>704850</xdr:colOff>
                    <xdr:row>242</xdr:row>
                    <xdr:rowOff>0</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1</xdr:col>
                    <xdr:colOff>133350</xdr:colOff>
                    <xdr:row>245</xdr:row>
                    <xdr:rowOff>0</xdr:rowOff>
                  </from>
                  <to>
                    <xdr:col>1</xdr:col>
                    <xdr:colOff>704850</xdr:colOff>
                    <xdr:row>246</xdr:row>
                    <xdr:rowOff>0</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1</xdr:col>
                    <xdr:colOff>161925</xdr:colOff>
                    <xdr:row>26</xdr:row>
                    <xdr:rowOff>0</xdr:rowOff>
                  </from>
                  <to>
                    <xdr:col>1</xdr:col>
                    <xdr:colOff>723900</xdr:colOff>
                    <xdr:row>27</xdr:row>
                    <xdr:rowOff>0</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1</xdr:col>
                    <xdr:colOff>161925</xdr:colOff>
                    <xdr:row>142</xdr:row>
                    <xdr:rowOff>0</xdr:rowOff>
                  </from>
                  <to>
                    <xdr:col>1</xdr:col>
                    <xdr:colOff>723900</xdr:colOff>
                    <xdr:row>143</xdr:row>
                    <xdr:rowOff>0</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1</xdr:col>
                    <xdr:colOff>161925</xdr:colOff>
                    <xdr:row>29</xdr:row>
                    <xdr:rowOff>0</xdr:rowOff>
                  </from>
                  <to>
                    <xdr:col>1</xdr:col>
                    <xdr:colOff>723900</xdr:colOff>
                    <xdr:row>30</xdr:row>
                    <xdr:rowOff>0</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1</xdr:col>
                    <xdr:colOff>161925</xdr:colOff>
                    <xdr:row>30</xdr:row>
                    <xdr:rowOff>0</xdr:rowOff>
                  </from>
                  <to>
                    <xdr:col>1</xdr:col>
                    <xdr:colOff>723900</xdr:colOff>
                    <xdr:row>30</xdr:row>
                    <xdr:rowOff>209550</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1</xdr:col>
                    <xdr:colOff>161925</xdr:colOff>
                    <xdr:row>145</xdr:row>
                    <xdr:rowOff>0</xdr:rowOff>
                  </from>
                  <to>
                    <xdr:col>1</xdr:col>
                    <xdr:colOff>723900</xdr:colOff>
                    <xdr:row>146</xdr:row>
                    <xdr:rowOff>0</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1</xdr:col>
                    <xdr:colOff>161925</xdr:colOff>
                    <xdr:row>146</xdr:row>
                    <xdr:rowOff>0</xdr:rowOff>
                  </from>
                  <to>
                    <xdr:col>1</xdr:col>
                    <xdr:colOff>723900</xdr:colOff>
                    <xdr:row>146</xdr:row>
                    <xdr:rowOff>209550</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from>
                    <xdr:col>1</xdr:col>
                    <xdr:colOff>161925</xdr:colOff>
                    <xdr:row>18</xdr:row>
                    <xdr:rowOff>0</xdr:rowOff>
                  </from>
                  <to>
                    <xdr:col>1</xdr:col>
                    <xdr:colOff>733425</xdr:colOff>
                    <xdr:row>19</xdr:row>
                    <xdr:rowOff>0</xdr:rowOff>
                  </to>
                </anchor>
              </controlPr>
            </control>
          </mc:Choice>
        </mc:AlternateContent>
        <mc:AlternateContent xmlns:mc="http://schemas.openxmlformats.org/markup-compatibility/2006">
          <mc:Choice Requires="x14">
            <control shapeId="4143" r:id="rId50" name="Check Box 47">
              <controlPr defaultSize="0" autoFill="0" autoLine="0" autoPict="0">
                <anchor moveWithCells="1">
                  <from>
                    <xdr:col>1</xdr:col>
                    <xdr:colOff>161925</xdr:colOff>
                    <xdr:row>133</xdr:row>
                    <xdr:rowOff>0</xdr:rowOff>
                  </from>
                  <to>
                    <xdr:col>1</xdr:col>
                    <xdr:colOff>733425</xdr:colOff>
                    <xdr:row>134</xdr:row>
                    <xdr:rowOff>0</xdr:rowOff>
                  </to>
                </anchor>
              </controlPr>
            </control>
          </mc:Choice>
        </mc:AlternateContent>
        <mc:AlternateContent xmlns:mc="http://schemas.openxmlformats.org/markup-compatibility/2006">
          <mc:Choice Requires="x14">
            <control shapeId="4144" r:id="rId51" name="Check Box 48">
              <controlPr defaultSize="0" autoFill="0" autoLine="0" autoPict="0">
                <anchor moveWithCells="1">
                  <from>
                    <xdr:col>1</xdr:col>
                    <xdr:colOff>161925</xdr:colOff>
                    <xdr:row>134</xdr:row>
                    <xdr:rowOff>0</xdr:rowOff>
                  </from>
                  <to>
                    <xdr:col>1</xdr:col>
                    <xdr:colOff>733425</xdr:colOff>
                    <xdr:row>135</xdr:row>
                    <xdr:rowOff>0</xdr:rowOff>
                  </to>
                </anchor>
              </controlPr>
            </control>
          </mc:Choice>
        </mc:AlternateContent>
        <mc:AlternateContent xmlns:mc="http://schemas.openxmlformats.org/markup-compatibility/2006">
          <mc:Choice Requires="x14">
            <control shapeId="4145" r:id="rId52" name="Check Box 49">
              <controlPr defaultSize="0" autoFill="0" autoLine="0" autoPict="0">
                <anchor moveWithCells="1">
                  <from>
                    <xdr:col>1</xdr:col>
                    <xdr:colOff>161925</xdr:colOff>
                    <xdr:row>25</xdr:row>
                    <xdr:rowOff>0</xdr:rowOff>
                  </from>
                  <to>
                    <xdr:col>1</xdr:col>
                    <xdr:colOff>723900</xdr:colOff>
                    <xdr:row>26</xdr:row>
                    <xdr:rowOff>0</xdr:rowOff>
                  </to>
                </anchor>
              </controlPr>
            </control>
          </mc:Choice>
        </mc:AlternateContent>
        <mc:AlternateContent xmlns:mc="http://schemas.openxmlformats.org/markup-compatibility/2006">
          <mc:Choice Requires="x14">
            <control shapeId="4146" r:id="rId53" name="Check Box 50">
              <controlPr defaultSize="0" autoFill="0" autoLine="0" autoPict="0">
                <anchor moveWithCells="1">
                  <from>
                    <xdr:col>1</xdr:col>
                    <xdr:colOff>161925</xdr:colOff>
                    <xdr:row>141</xdr:row>
                    <xdr:rowOff>0</xdr:rowOff>
                  </from>
                  <to>
                    <xdr:col>1</xdr:col>
                    <xdr:colOff>723900</xdr:colOff>
                    <xdr:row>142</xdr:row>
                    <xdr:rowOff>0</xdr:rowOff>
                  </to>
                </anchor>
              </controlPr>
            </control>
          </mc:Choice>
        </mc:AlternateContent>
        <mc:AlternateContent xmlns:mc="http://schemas.openxmlformats.org/markup-compatibility/2006">
          <mc:Choice Requires="x14">
            <control shapeId="4147" r:id="rId54" name="Check Box 51">
              <controlPr defaultSize="0" autoFill="0" autoLine="0" autoPict="0">
                <anchor moveWithCells="1">
                  <from>
                    <xdr:col>1</xdr:col>
                    <xdr:colOff>133350</xdr:colOff>
                    <xdr:row>244</xdr:row>
                    <xdr:rowOff>0</xdr:rowOff>
                  </from>
                  <to>
                    <xdr:col>1</xdr:col>
                    <xdr:colOff>704850</xdr:colOff>
                    <xdr:row>245</xdr:row>
                    <xdr:rowOff>0</xdr:rowOff>
                  </to>
                </anchor>
              </controlPr>
            </control>
          </mc:Choice>
        </mc:AlternateContent>
        <mc:AlternateContent xmlns:mc="http://schemas.openxmlformats.org/markup-compatibility/2006">
          <mc:Choice Requires="x14">
            <control shapeId="4148" r:id="rId55" name="Check Box 52">
              <controlPr defaultSize="0" autoFill="0" autoLine="0" autoPict="0">
                <anchor moveWithCells="1">
                  <from>
                    <xdr:col>1</xdr:col>
                    <xdr:colOff>161925</xdr:colOff>
                    <xdr:row>31</xdr:row>
                    <xdr:rowOff>0</xdr:rowOff>
                  </from>
                  <to>
                    <xdr:col>1</xdr:col>
                    <xdr:colOff>723900</xdr:colOff>
                    <xdr:row>32</xdr:row>
                    <xdr:rowOff>0</xdr:rowOff>
                  </to>
                </anchor>
              </controlPr>
            </control>
          </mc:Choice>
        </mc:AlternateContent>
        <mc:AlternateContent xmlns:mc="http://schemas.openxmlformats.org/markup-compatibility/2006">
          <mc:Choice Requires="x14">
            <control shapeId="4149" r:id="rId56" name="Check Box 53">
              <controlPr defaultSize="0" autoFill="0" autoLine="0" autoPict="0">
                <anchor moveWithCells="1">
                  <from>
                    <xdr:col>1</xdr:col>
                    <xdr:colOff>161925</xdr:colOff>
                    <xdr:row>147</xdr:row>
                    <xdr:rowOff>0</xdr:rowOff>
                  </from>
                  <to>
                    <xdr:col>1</xdr:col>
                    <xdr:colOff>723900</xdr:colOff>
                    <xdr:row>148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
  <sheetViews>
    <sheetView workbookViewId="0">
      <selection activeCell="E245" sqref="E245"/>
    </sheetView>
  </sheetViews>
  <sheetFormatPr defaultRowHeight="16.5"/>
  <cols>
    <col min="1" max="1" width="13.875" bestFit="1" customWidth="1"/>
    <col min="2" max="2" width="15.75" customWidth="1"/>
    <col min="6" max="6" width="9.5" bestFit="1" customWidth="1"/>
    <col min="11" max="11" width="15.25" style="31" customWidth="1"/>
  </cols>
  <sheetData>
    <row r="1" spans="1:13">
      <c r="A1" s="7" t="s">
        <v>14</v>
      </c>
      <c r="B1" s="7" t="s">
        <v>65</v>
      </c>
      <c r="C1" s="7"/>
      <c r="H1" s="7"/>
      <c r="I1" s="8"/>
      <c r="J1" s="9"/>
      <c r="K1" s="30" t="s">
        <v>13</v>
      </c>
      <c r="M1" s="7" t="s">
        <v>65</v>
      </c>
    </row>
    <row r="2" spans="1:13">
      <c r="A2" s="7" t="s">
        <v>15</v>
      </c>
      <c r="B2" s="7" t="s">
        <v>63</v>
      </c>
      <c r="C2" s="7"/>
      <c r="H2" s="7"/>
      <c r="I2" s="8"/>
      <c r="J2" s="9"/>
      <c r="K2" s="32">
        <v>1</v>
      </c>
    </row>
    <row r="3" spans="1:13">
      <c r="A3" s="7" t="s">
        <v>73</v>
      </c>
      <c r="B3" s="7" t="s">
        <v>64</v>
      </c>
      <c r="C3" s="7"/>
      <c r="H3" s="7"/>
      <c r="I3" s="8"/>
      <c r="J3" s="9"/>
    </row>
    <row r="4" spans="1:13">
      <c r="A4" s="7"/>
      <c r="B4" s="7"/>
      <c r="C4" s="7"/>
      <c r="H4" s="7"/>
      <c r="I4" s="10"/>
      <c r="J4" s="8"/>
    </row>
    <row r="5" spans="1:13">
      <c r="A5" s="7"/>
      <c r="B5" s="7"/>
      <c r="C5" s="7"/>
      <c r="H5" s="7"/>
      <c r="J5" s="7"/>
      <c r="K5" s="30" t="s">
        <v>74</v>
      </c>
    </row>
    <row r="6" spans="1:13">
      <c r="A6" s="7"/>
      <c r="K6" s="30" t="s">
        <v>75</v>
      </c>
    </row>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商標成本估算</vt:lpstr>
      <vt:lpstr>TM</vt:lpstr>
      <vt:lpstr>選項</vt:lpstr>
      <vt:lpstr>TM!Print_Area</vt:lpstr>
      <vt:lpstr>商標成本估算!Print_Area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慧盈商標報價</dc:title>
  <dc:creator/>
  <cp:lastModifiedBy/>
  <dcterms:created xsi:type="dcterms:W3CDTF">2006-09-16T00:00:00Z</dcterms:created>
  <dcterms:modified xsi:type="dcterms:W3CDTF">2026-06-28T13:09:58Z</dcterms:modified>
</cp:coreProperties>
</file>