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defaultThemeVersion="124226"/>
  <xr:revisionPtr revIDLastSave="0" documentId="13_ncr:1_{54B1DDF6-D9D7-4999-AF57-8AAE63740858}" xr6:coauthVersionLast="47" xr6:coauthVersionMax="47" xr10:uidLastSave="{00000000-0000-0000-0000-000000000000}"/>
  <workbookProtection workbookAlgorithmName="SHA-512" workbookHashValue="wyxwbht5IHwbbD2hTkrVlDNyZOGhYZXX+VAFWkL62DRV4eXXaI6kkrJe2ac71k7xjD2XZbuIJUKB31Xbhfa/Yg==" workbookSaltValue="4L5nBJCxJ3+aKk+SpUD8Ow==" workbookSpinCount="100000" lockStructure="1"/>
  <bookViews>
    <workbookView xWindow="-120" yWindow="-120" windowWidth="29040" windowHeight="15720" tabRatio="576" xr2:uid="{00000000-000D-0000-FFFF-FFFF00000000}"/>
  </bookViews>
  <sheets>
    <sheet name="設計案成本估算" sheetId="10" r:id="rId1"/>
    <sheet name="D" sheetId="12" state="hidden" r:id="rId2"/>
    <sheet name="D年費表" sheetId="15" state="hidden" r:id="rId3"/>
    <sheet name="選項" sheetId="2" state="hidden" r:id="rId4"/>
  </sheets>
  <definedNames>
    <definedName name="_xlnm.Print_Area" localSheetId="0">設計案成本估算!$A$1:$M$244</definedName>
    <definedName name="是否選項">#REF!</definedName>
    <definedName name="計費類型_一案兩請之新型">選項!$E$2:$E$3</definedName>
    <definedName name="計費類型_日韓泰">選項!$D$2:$D$3</definedName>
    <definedName name="計費類型_台中美歐新馬加">選項!$B$2:$B$5</definedName>
    <definedName name="計費類型_設計">選項!$F$2:$F$3</definedName>
    <definedName name="計費類型_越">選項!$C$2:$C$4</definedName>
  </definedNames>
  <calcPr calcId="191029"/>
</workbook>
</file>

<file path=xl/calcChain.xml><?xml version="1.0" encoding="utf-8"?>
<calcChain xmlns="http://schemas.openxmlformats.org/spreadsheetml/2006/main">
  <c r="L27" i="12" l="1"/>
  <c r="AJ52" i="12" l="1"/>
  <c r="L10" i="12" l="1"/>
  <c r="N117" i="10" l="1"/>
  <c r="N123" i="10"/>
  <c r="N122" i="10"/>
  <c r="N119" i="10"/>
  <c r="N89" i="10"/>
  <c r="N95" i="10"/>
  <c r="N94" i="10"/>
  <c r="N91" i="10"/>
  <c r="N64" i="10"/>
  <c r="N70" i="10"/>
  <c r="N69" i="10"/>
  <c r="N66" i="10"/>
  <c r="N24" i="10"/>
  <c r="N30" i="10"/>
  <c r="N29" i="10"/>
  <c r="N26" i="10"/>
  <c r="I55" i="15" l="1"/>
  <c r="I11" i="15"/>
  <c r="I33" i="15"/>
  <c r="M124" i="10"/>
  <c r="M96" i="10"/>
  <c r="M71" i="10"/>
  <c r="M31" i="10"/>
  <c r="BD31" i="12"/>
  <c r="AY31" i="12"/>
  <c r="AM31" i="12"/>
  <c r="E71" i="10" s="1"/>
  <c r="F71" i="10" s="1"/>
  <c r="AG31" i="12"/>
  <c r="AB31" i="12"/>
  <c r="AY55" i="12"/>
  <c r="AG55" i="12"/>
  <c r="AB55" i="12"/>
  <c r="I55" i="12"/>
  <c r="C55" i="12"/>
  <c r="AH18" i="15"/>
  <c r="AI18" i="15" s="1"/>
  <c r="AJ18" i="15" s="1"/>
  <c r="AK18" i="15" s="1"/>
  <c r="AL18" i="15" s="1"/>
  <c r="AM18" i="15" s="1"/>
  <c r="AN18" i="15" s="1"/>
  <c r="AO18" i="15" s="1"/>
  <c r="AP18" i="15" s="1"/>
  <c r="AQ18" i="15" s="1"/>
  <c r="AG18" i="15"/>
  <c r="AF18" i="15"/>
  <c r="N18" i="15"/>
  <c r="AC18" i="15" s="1"/>
  <c r="AH40" i="15"/>
  <c r="AI40" i="15" s="1"/>
  <c r="AJ40" i="15" s="1"/>
  <c r="AK40" i="15" s="1"/>
  <c r="AL40" i="15" s="1"/>
  <c r="AM40" i="15" s="1"/>
  <c r="AN40" i="15" s="1"/>
  <c r="AO40" i="15" s="1"/>
  <c r="AP40" i="15" s="1"/>
  <c r="AQ40" i="15" s="1"/>
  <c r="AG40" i="15"/>
  <c r="AF40" i="15"/>
  <c r="N40" i="15"/>
  <c r="AC40" i="15" s="1"/>
  <c r="AH62" i="15"/>
  <c r="AI62" i="15" s="1"/>
  <c r="AJ62" i="15" s="1"/>
  <c r="AK62" i="15" s="1"/>
  <c r="AL62" i="15" s="1"/>
  <c r="AM62" i="15" s="1"/>
  <c r="AN62" i="15" s="1"/>
  <c r="AO62" i="15" s="1"/>
  <c r="AP62" i="15" s="1"/>
  <c r="AQ62" i="15" s="1"/>
  <c r="AG62" i="15"/>
  <c r="AF62" i="15"/>
  <c r="N62" i="15"/>
  <c r="AC62" i="15" s="1"/>
  <c r="X35" i="15"/>
  <c r="S35" i="15"/>
  <c r="N35" i="15"/>
  <c r="I35" i="15"/>
  <c r="AR40" i="15" l="1"/>
  <c r="AS40" i="15" s="1"/>
  <c r="AT40" i="15" s="1"/>
  <c r="AU40" i="15" s="1"/>
  <c r="AV40" i="15" s="1"/>
  <c r="AW40" i="15" s="1"/>
  <c r="AX40" i="15" s="1"/>
  <c r="AY40" i="15" s="1"/>
  <c r="AZ40" i="15" s="1"/>
  <c r="BA40" i="15" s="1"/>
  <c r="BB40" i="15" s="1"/>
  <c r="BC40" i="15" s="1"/>
  <c r="BD40" i="15" s="1"/>
  <c r="BE40" i="15" s="1"/>
  <c r="BF40" i="15" s="1"/>
  <c r="AR62" i="15"/>
  <c r="AS62" i="15" s="1"/>
  <c r="AT62" i="15" s="1"/>
  <c r="AU62" i="15" s="1"/>
  <c r="AV62" i="15" s="1"/>
  <c r="AW62" i="15" s="1"/>
  <c r="AX62" i="15" s="1"/>
  <c r="AY62" i="15" s="1"/>
  <c r="AZ62" i="15" s="1"/>
  <c r="BA62" i="15" s="1"/>
  <c r="BB62" i="15" s="1"/>
  <c r="BC62" i="15" s="1"/>
  <c r="BD62" i="15" s="1"/>
  <c r="BE62" i="15" s="1"/>
  <c r="BF62" i="15" s="1"/>
  <c r="AR18" i="15"/>
  <c r="AS18" i="15" s="1"/>
  <c r="AT18" i="15" s="1"/>
  <c r="AU18" i="15" s="1"/>
  <c r="AV18" i="15" s="1"/>
  <c r="AW18" i="15" s="1"/>
  <c r="AX18" i="15" s="1"/>
  <c r="AY18" i="15" s="1"/>
  <c r="AZ18" i="15" s="1"/>
  <c r="BA18" i="15" s="1"/>
  <c r="BB18" i="15" s="1"/>
  <c r="BC18" i="15" s="1"/>
  <c r="BD18" i="15" s="1"/>
  <c r="BE18" i="15" s="1"/>
  <c r="BF18" i="15" s="1"/>
  <c r="E96" i="10"/>
  <c r="F96" i="10" s="1"/>
  <c r="BG18" i="15" l="1"/>
  <c r="AJ55" i="12"/>
  <c r="BG62" i="15"/>
  <c r="AV55" i="12"/>
  <c r="BG40" i="15"/>
  <c r="AP55" i="12"/>
  <c r="X28" i="15" l="1"/>
  <c r="S28" i="15"/>
  <c r="N28" i="15"/>
  <c r="I28" i="15"/>
  <c r="X6" i="15"/>
  <c r="S6" i="15"/>
  <c r="N6" i="15"/>
  <c r="I6" i="15"/>
  <c r="W31" i="15" l="1"/>
  <c r="V31" i="15"/>
  <c r="U31" i="15"/>
  <c r="T31" i="15"/>
  <c r="S31" i="15"/>
  <c r="R31" i="15"/>
  <c r="Q31" i="15"/>
  <c r="P31" i="15"/>
  <c r="O31" i="15"/>
  <c r="N31" i="15"/>
  <c r="M31" i="15"/>
  <c r="L31" i="15"/>
  <c r="K31" i="15"/>
  <c r="J31" i="15"/>
  <c r="I31" i="15"/>
  <c r="H31" i="15"/>
  <c r="G31" i="15"/>
  <c r="X29" i="15"/>
  <c r="S29" i="15"/>
  <c r="N29" i="15"/>
  <c r="I29" i="15"/>
  <c r="X7" i="15"/>
  <c r="S7" i="15"/>
  <c r="N7" i="15"/>
  <c r="I7" i="15"/>
  <c r="N56" i="15" l="1"/>
  <c r="I56" i="15"/>
  <c r="X51" i="15"/>
  <c r="S51" i="15"/>
  <c r="N51" i="15"/>
  <c r="I51" i="15"/>
  <c r="I10" i="15" l="1"/>
  <c r="A240" i="10"/>
  <c r="M123" i="10"/>
  <c r="M95" i="10"/>
  <c r="M70" i="10"/>
  <c r="M30" i="10"/>
  <c r="AG55" i="15"/>
  <c r="AC55" i="15"/>
  <c r="AY54" i="12"/>
  <c r="AG54" i="12"/>
  <c r="AB54" i="12"/>
  <c r="C54" i="12"/>
  <c r="BD30" i="12"/>
  <c r="AY30" i="12"/>
  <c r="AG30" i="12"/>
  <c r="AB30" i="12"/>
  <c r="AH55" i="15"/>
  <c r="AI55" i="15" s="1"/>
  <c r="AJ55" i="15" s="1"/>
  <c r="AK55" i="15" s="1"/>
  <c r="AL55" i="15" s="1"/>
  <c r="AM55" i="15" s="1"/>
  <c r="AN55" i="15" s="1"/>
  <c r="AO55" i="15" s="1"/>
  <c r="AP55" i="15" s="1"/>
  <c r="AQ55" i="15" s="1"/>
  <c r="AF55" i="15"/>
  <c r="AH33" i="15"/>
  <c r="AG33" i="15"/>
  <c r="AF33" i="15"/>
  <c r="AH11" i="15"/>
  <c r="AG11" i="15"/>
  <c r="AF11" i="15"/>
  <c r="N38" i="15"/>
  <c r="I38" i="15"/>
  <c r="AR55" i="15" l="1"/>
  <c r="AS55" i="15" s="1"/>
  <c r="AT55" i="15" s="1"/>
  <c r="AU55" i="15" s="1"/>
  <c r="AV55" i="15" s="1"/>
  <c r="AW55" i="15" s="1"/>
  <c r="AX55" i="15" s="1"/>
  <c r="AY55" i="15" s="1"/>
  <c r="AZ55" i="15" s="1"/>
  <c r="BA55" i="15" s="1"/>
  <c r="BB55" i="15" s="1"/>
  <c r="BC55" i="15" s="1"/>
  <c r="BD55" i="15" s="1"/>
  <c r="BE55" i="15" s="1"/>
  <c r="BF55" i="15" s="1"/>
  <c r="AV48" i="12" s="1"/>
  <c r="AC11" i="15"/>
  <c r="AC33" i="15"/>
  <c r="AI33" i="15"/>
  <c r="AJ33" i="15" s="1"/>
  <c r="AK33" i="15" s="1"/>
  <c r="AL33" i="15" s="1"/>
  <c r="AM33" i="15" s="1"/>
  <c r="AN33" i="15" s="1"/>
  <c r="AO33" i="15" s="1"/>
  <c r="AP33" i="15" s="1"/>
  <c r="AQ33" i="15" s="1"/>
  <c r="AR33" i="15" s="1"/>
  <c r="AS33" i="15" s="1"/>
  <c r="AT33" i="15" s="1"/>
  <c r="AU33" i="15" s="1"/>
  <c r="AV33" i="15" s="1"/>
  <c r="AW33" i="15" s="1"/>
  <c r="AX33" i="15" s="1"/>
  <c r="AY33" i="15" s="1"/>
  <c r="AZ33" i="15" s="1"/>
  <c r="BA33" i="15" s="1"/>
  <c r="BB33" i="15" s="1"/>
  <c r="BC33" i="15" s="1"/>
  <c r="BD33" i="15" s="1"/>
  <c r="BE33" i="15" s="1"/>
  <c r="BF33" i="15" s="1"/>
  <c r="AP48" i="12" s="1"/>
  <c r="AI11" i="15"/>
  <c r="AJ11" i="15" s="1"/>
  <c r="AK11" i="15" s="1"/>
  <c r="AL11" i="15" s="1"/>
  <c r="AM11" i="15" s="1"/>
  <c r="AN11" i="15" s="1"/>
  <c r="AO11" i="15" s="1"/>
  <c r="AP11" i="15" s="1"/>
  <c r="AQ11" i="15" s="1"/>
  <c r="AR11" i="15" s="1"/>
  <c r="AS11" i="15" s="1"/>
  <c r="AT11" i="15" s="1"/>
  <c r="AU11" i="15" s="1"/>
  <c r="AV11" i="15" s="1"/>
  <c r="AW11" i="15" s="1"/>
  <c r="AX11" i="15" s="1"/>
  <c r="AY11" i="15" s="1"/>
  <c r="AZ11" i="15" s="1"/>
  <c r="BA11" i="15" s="1"/>
  <c r="BB11" i="15" s="1"/>
  <c r="BC11" i="15" s="1"/>
  <c r="BD11" i="15" s="1"/>
  <c r="BE11" i="15" s="1"/>
  <c r="BF11" i="15" s="1"/>
  <c r="AJ48" i="12" s="1"/>
  <c r="BG11" i="15" l="1"/>
  <c r="BG33" i="15"/>
  <c r="BG55" i="15"/>
  <c r="B5" i="12"/>
  <c r="X22" i="12" l="1"/>
  <c r="X21" i="12"/>
  <c r="X20" i="12"/>
  <c r="X30" i="12"/>
  <c r="X27" i="12"/>
  <c r="X29" i="12"/>
  <c r="X24" i="12"/>
  <c r="X23" i="12"/>
  <c r="X31" i="12"/>
  <c r="X28" i="12"/>
  <c r="X26" i="12"/>
  <c r="X25" i="12"/>
  <c r="X19" i="12"/>
  <c r="X18" i="12"/>
  <c r="U18" i="12"/>
  <c r="U27" i="12"/>
  <c r="AV31" i="12"/>
  <c r="AW31" i="12" s="1"/>
  <c r="AQ26" i="12"/>
  <c r="AK21" i="12"/>
  <c r="G24" i="12"/>
  <c r="AP28" i="12"/>
  <c r="AK24" i="12"/>
  <c r="AV28" i="12"/>
  <c r="AQ28" i="12"/>
  <c r="AQ24" i="12"/>
  <c r="AV26" i="12"/>
  <c r="AP30" i="12"/>
  <c r="AP24" i="12"/>
  <c r="AJ22" i="12"/>
  <c r="AV30" i="12"/>
  <c r="AW30" i="12" s="1"/>
  <c r="AV22" i="12"/>
  <c r="AQ30" i="12"/>
  <c r="AJ24" i="12"/>
  <c r="AV21" i="12"/>
  <c r="AP31" i="12"/>
  <c r="E16" i="12"/>
  <c r="G16" i="12" s="1"/>
  <c r="AK30" i="12"/>
  <c r="AV24" i="12"/>
  <c r="AQ31" i="12"/>
  <c r="AP21" i="12"/>
  <c r="AJ30" i="12"/>
  <c r="AQ21" i="12"/>
  <c r="AP22" i="12"/>
  <c r="U24" i="12"/>
  <c r="AQ22" i="12"/>
  <c r="AK22" i="12"/>
  <c r="L24" i="12"/>
  <c r="O24" i="12"/>
  <c r="AP26" i="12"/>
  <c r="AJ21" i="12"/>
  <c r="E24" i="12"/>
  <c r="AV29" i="12"/>
  <c r="AH31" i="12"/>
  <c r="B71" i="10" s="1"/>
  <c r="L55" i="12"/>
  <c r="O31" i="12"/>
  <c r="E31" i="12"/>
  <c r="U31" i="12"/>
  <c r="L31" i="12"/>
  <c r="G31" i="12"/>
  <c r="U55" i="12"/>
  <c r="Z55" i="12" s="1"/>
  <c r="P55" i="12"/>
  <c r="M55" i="12"/>
  <c r="O26" i="12"/>
  <c r="L26" i="12"/>
  <c r="AV19" i="12"/>
  <c r="AV27" i="12"/>
  <c r="AV23" i="12"/>
  <c r="AV25" i="12"/>
  <c r="AV20" i="12"/>
  <c r="L23" i="12"/>
  <c r="AP23" i="12"/>
  <c r="AV17" i="12"/>
  <c r="AV18" i="12"/>
  <c r="AV16" i="12"/>
  <c r="E19" i="12"/>
  <c r="G19" i="12"/>
  <c r="O19" i="12"/>
  <c r="O22" i="12"/>
  <c r="L22" i="12"/>
  <c r="U54" i="12"/>
  <c r="Z54" i="12" s="1"/>
  <c r="M54" i="12"/>
  <c r="P54" i="12"/>
  <c r="E54" i="12"/>
  <c r="G54" i="12"/>
  <c r="Q30" i="12"/>
  <c r="O30" i="12"/>
  <c r="G30" i="12"/>
  <c r="E30" i="12"/>
  <c r="U30" i="12"/>
  <c r="AH30" i="12"/>
  <c r="B70" i="10" s="1"/>
  <c r="L30" i="12"/>
  <c r="AQ29" i="12"/>
  <c r="AP25" i="12"/>
  <c r="N29" i="12"/>
  <c r="X17" i="12"/>
  <c r="AP29" i="12"/>
  <c r="P18" i="12"/>
  <c r="AQ25" i="12"/>
  <c r="L25" i="12"/>
  <c r="O29" i="12"/>
  <c r="O25" i="12"/>
  <c r="AP18" i="12"/>
  <c r="X16" i="12"/>
  <c r="L18" i="12"/>
  <c r="R31" i="12" l="1"/>
  <c r="H31" i="10" s="1"/>
  <c r="I31" i="10" s="1"/>
  <c r="AM30" i="12"/>
  <c r="E70" i="10" s="1"/>
  <c r="F70" i="10" s="1"/>
  <c r="AS31" i="12"/>
  <c r="H71" i="10" s="1"/>
  <c r="I71" i="10" s="1"/>
  <c r="J71" i="10" s="1"/>
  <c r="AS30" i="12"/>
  <c r="H70" i="10" s="1"/>
  <c r="I70" i="10" s="1"/>
  <c r="AE55" i="12"/>
  <c r="K96" i="10"/>
  <c r="I31" i="12"/>
  <c r="R55" i="12"/>
  <c r="BB31" i="12"/>
  <c r="K71" i="10"/>
  <c r="R30" i="12"/>
  <c r="H30" i="10" s="1"/>
  <c r="I30" i="10" s="1"/>
  <c r="AE54" i="12"/>
  <c r="K95" i="10"/>
  <c r="BB30" i="12"/>
  <c r="K70" i="10"/>
  <c r="I30" i="12"/>
  <c r="E30" i="10" s="1"/>
  <c r="F30" i="10" s="1"/>
  <c r="I54" i="12"/>
  <c r="E95" i="10" s="1"/>
  <c r="F95" i="10" s="1"/>
  <c r="R54" i="12"/>
  <c r="H95" i="10" s="1"/>
  <c r="I95" i="10" s="1"/>
  <c r="Z30" i="12"/>
  <c r="AH20" i="12"/>
  <c r="J70" i="10" l="1"/>
  <c r="L70" i="10" s="1"/>
  <c r="E31" i="10"/>
  <c r="F31" i="10" s="1"/>
  <c r="J31" i="10" s="1"/>
  <c r="H96" i="10"/>
  <c r="I96" i="10" s="1"/>
  <c r="J96" i="10" s="1"/>
  <c r="L96" i="10" s="1"/>
  <c r="L71" i="10"/>
  <c r="J30" i="10"/>
  <c r="J95" i="10"/>
  <c r="L95" i="10" s="1"/>
  <c r="AE30" i="12"/>
  <c r="BT30" i="12" s="1"/>
  <c r="K30" i="10"/>
  <c r="O20" i="12"/>
  <c r="L20" i="12"/>
  <c r="G20" i="12"/>
  <c r="R4" i="15"/>
  <c r="Q4" i="15"/>
  <c r="P4" i="15"/>
  <c r="O4" i="15"/>
  <c r="N4" i="15"/>
  <c r="L30" i="10" l="1"/>
  <c r="R48" i="15" l="1"/>
  <c r="Q48" i="15"/>
  <c r="P48" i="15"/>
  <c r="O48" i="15"/>
  <c r="N48" i="15"/>
  <c r="M48" i="15"/>
  <c r="L48" i="15"/>
  <c r="K48" i="15"/>
  <c r="J48" i="15"/>
  <c r="I48" i="15"/>
  <c r="H48" i="15"/>
  <c r="G48" i="15"/>
  <c r="F48" i="15"/>
  <c r="E48" i="15"/>
  <c r="R26" i="15"/>
  <c r="Q26" i="15"/>
  <c r="P26" i="15"/>
  <c r="O26" i="15"/>
  <c r="N26" i="15"/>
  <c r="M26" i="15"/>
  <c r="L26" i="15"/>
  <c r="K26" i="15"/>
  <c r="J26" i="15"/>
  <c r="I26" i="15"/>
  <c r="H26" i="15"/>
  <c r="G26" i="15"/>
  <c r="F26" i="15"/>
  <c r="E26" i="15"/>
  <c r="M4" i="15"/>
  <c r="L4" i="15"/>
  <c r="K4" i="15"/>
  <c r="J4" i="15"/>
  <c r="I4" i="15"/>
  <c r="H4" i="15"/>
  <c r="B6" i="12"/>
  <c r="G4" i="15"/>
  <c r="F4" i="15"/>
  <c r="E4" i="15"/>
  <c r="W28" i="12" l="1"/>
  <c r="W17" i="12"/>
  <c r="W23" i="12"/>
  <c r="W20" i="12"/>
  <c r="W25" i="12"/>
  <c r="W21" i="12"/>
  <c r="W24" i="12"/>
  <c r="W31" i="12"/>
  <c r="Z31" i="12" s="1"/>
  <c r="W26" i="12"/>
  <c r="W16" i="12"/>
  <c r="W29" i="12"/>
  <c r="W22" i="12"/>
  <c r="W18" i="12"/>
  <c r="W27" i="12"/>
  <c r="E26" i="12"/>
  <c r="E29" i="12"/>
  <c r="E23" i="12"/>
  <c r="L29" i="12"/>
  <c r="AR29" i="12"/>
  <c r="AQ19" i="12"/>
  <c r="L19" i="12"/>
  <c r="AP19" i="12"/>
  <c r="E20" i="12"/>
  <c r="E25" i="12"/>
  <c r="O28" i="12"/>
  <c r="E28" i="12"/>
  <c r="L28" i="12"/>
  <c r="G28" i="12"/>
  <c r="G25" i="12"/>
  <c r="B60" i="10"/>
  <c r="AH29" i="12"/>
  <c r="B69" i="10" s="1"/>
  <c r="U20" i="12"/>
  <c r="AH28" i="12"/>
  <c r="B68" i="10" s="1"/>
  <c r="AH25" i="12"/>
  <c r="B65" i="10" s="1"/>
  <c r="AH19" i="12"/>
  <c r="B59" i="10" s="1"/>
  <c r="AH22" i="12"/>
  <c r="B62" i="10" s="1"/>
  <c r="AH26" i="12"/>
  <c r="B66" i="10" s="1"/>
  <c r="AH18" i="12"/>
  <c r="B58" i="10" s="1"/>
  <c r="AH23" i="12"/>
  <c r="B63" i="10" s="1"/>
  <c r="AH16" i="12"/>
  <c r="B56" i="10" s="1"/>
  <c r="AH24" i="12"/>
  <c r="B64" i="10" s="1"/>
  <c r="AH21" i="12"/>
  <c r="B61" i="10" s="1"/>
  <c r="AH17" i="12"/>
  <c r="B57" i="10" s="1"/>
  <c r="AH27" i="12"/>
  <c r="B67" i="10" s="1"/>
  <c r="AP17" i="12"/>
  <c r="L17" i="12"/>
  <c r="U17" i="12"/>
  <c r="E17" i="12"/>
  <c r="AJ17" i="12"/>
  <c r="O4" i="12"/>
  <c r="O21" i="12"/>
  <c r="K31" i="10" l="1"/>
  <c r="L31" i="10" s="1"/>
  <c r="AE31" i="12"/>
  <c r="BT31" i="12" s="1"/>
  <c r="B72" i="10"/>
  <c r="X57" i="15"/>
  <c r="S57" i="15"/>
  <c r="N57" i="15"/>
  <c r="I57" i="15"/>
  <c r="W53" i="15"/>
  <c r="V53" i="15"/>
  <c r="U53" i="15"/>
  <c r="T53" i="15"/>
  <c r="S53" i="15"/>
  <c r="R53" i="15"/>
  <c r="Q53" i="15"/>
  <c r="P53" i="15"/>
  <c r="O53" i="15"/>
  <c r="N53" i="15"/>
  <c r="M53" i="15"/>
  <c r="L53" i="15"/>
  <c r="K53" i="15"/>
  <c r="J53" i="15"/>
  <c r="I53" i="15"/>
  <c r="H53" i="15"/>
  <c r="G53" i="15"/>
  <c r="G30" i="15"/>
  <c r="W9" i="15"/>
  <c r="V9" i="15"/>
  <c r="U9" i="15"/>
  <c r="T9" i="15"/>
  <c r="S9" i="15"/>
  <c r="R9" i="15"/>
  <c r="Q9" i="15"/>
  <c r="O9" i="15"/>
  <c r="N9" i="15"/>
  <c r="P9" i="15"/>
  <c r="M9" i="15"/>
  <c r="L9" i="15"/>
  <c r="K9" i="15"/>
  <c r="J9" i="15"/>
  <c r="I9" i="15"/>
  <c r="H9" i="15"/>
  <c r="G9" i="15"/>
  <c r="G8" i="15"/>
  <c r="B125" i="10" l="1"/>
  <c r="B97" i="10"/>
  <c r="B11" i="10"/>
  <c r="B32" i="10"/>
  <c r="AC63" i="15"/>
  <c r="AH54" i="15"/>
  <c r="AI54" i="15" s="1"/>
  <c r="AJ54" i="15" s="1"/>
  <c r="AK54" i="15" s="1"/>
  <c r="AL54" i="15" s="1"/>
  <c r="AG54" i="15"/>
  <c r="AF54" i="15"/>
  <c r="I54" i="15"/>
  <c r="AH59" i="15"/>
  <c r="AI59" i="15" s="1"/>
  <c r="AJ59" i="15" s="1"/>
  <c r="AK59" i="15" s="1"/>
  <c r="AL59" i="15" s="1"/>
  <c r="AM59" i="15" s="1"/>
  <c r="AN59" i="15" s="1"/>
  <c r="AO59" i="15" s="1"/>
  <c r="AP59" i="15" s="1"/>
  <c r="AQ59" i="15" s="1"/>
  <c r="AR59" i="15" s="1"/>
  <c r="AS59" i="15" s="1"/>
  <c r="AT59" i="15" s="1"/>
  <c r="AU59" i="15" s="1"/>
  <c r="AV59" i="15" s="1"/>
  <c r="AW59" i="15" s="1"/>
  <c r="AX59" i="15" s="1"/>
  <c r="AY59" i="15" s="1"/>
  <c r="AZ59" i="15" s="1"/>
  <c r="BA59" i="15" s="1"/>
  <c r="BB59" i="15" s="1"/>
  <c r="BC59" i="15" s="1"/>
  <c r="BD59" i="15" s="1"/>
  <c r="BE59" i="15" s="1"/>
  <c r="BF59" i="15" s="1"/>
  <c r="AV52" i="12" s="1"/>
  <c r="AG59" i="15"/>
  <c r="AF59" i="15"/>
  <c r="AC59" i="15"/>
  <c r="AH57" i="15"/>
  <c r="AI57" i="15" s="1"/>
  <c r="AJ57" i="15" s="1"/>
  <c r="AK57" i="15" s="1"/>
  <c r="AL57" i="15" s="1"/>
  <c r="AG57" i="15"/>
  <c r="AF57" i="15"/>
  <c r="AH61" i="15"/>
  <c r="AI61" i="15" s="1"/>
  <c r="AJ61" i="15" s="1"/>
  <c r="AK61" i="15" s="1"/>
  <c r="AG61" i="15"/>
  <c r="AF61" i="15"/>
  <c r="M61" i="15"/>
  <c r="L61" i="15"/>
  <c r="K61" i="15"/>
  <c r="J61" i="15"/>
  <c r="I61" i="15"/>
  <c r="H61" i="15"/>
  <c r="AH60" i="15"/>
  <c r="AI60" i="15" s="1"/>
  <c r="AJ60" i="15" s="1"/>
  <c r="AK60" i="15" s="1"/>
  <c r="AL60" i="15" s="1"/>
  <c r="AG60" i="15"/>
  <c r="AF60" i="15"/>
  <c r="N60" i="15"/>
  <c r="I60" i="15"/>
  <c r="AH58" i="15"/>
  <c r="AI58" i="15" s="1"/>
  <c r="AJ58" i="15" s="1"/>
  <c r="AK58" i="15" s="1"/>
  <c r="AL58" i="15" s="1"/>
  <c r="AG58" i="15"/>
  <c r="AF58" i="15"/>
  <c r="N58" i="15"/>
  <c r="I58" i="15"/>
  <c r="AH56" i="15"/>
  <c r="AI56" i="15" s="1"/>
  <c r="AJ56" i="15" s="1"/>
  <c r="AK56" i="15" s="1"/>
  <c r="AL56" i="15" s="1"/>
  <c r="AG56" i="15"/>
  <c r="AF56" i="15"/>
  <c r="AH53" i="15"/>
  <c r="AI53" i="15" s="1"/>
  <c r="AJ53" i="15" s="1"/>
  <c r="AK53" i="15" s="1"/>
  <c r="AG53" i="15"/>
  <c r="AF53" i="15"/>
  <c r="AH52" i="15"/>
  <c r="AI52" i="15" s="1"/>
  <c r="AJ52" i="15" s="1"/>
  <c r="AG52" i="15"/>
  <c r="AF52" i="15"/>
  <c r="AB52" i="15"/>
  <c r="AA52" i="15"/>
  <c r="Z52" i="15"/>
  <c r="Y52" i="15"/>
  <c r="X52" i="15"/>
  <c r="W52" i="15"/>
  <c r="V52" i="15"/>
  <c r="U52" i="15"/>
  <c r="T52" i="15"/>
  <c r="S52" i="15"/>
  <c r="R52" i="15"/>
  <c r="Q52" i="15"/>
  <c r="P52" i="15"/>
  <c r="O52" i="15"/>
  <c r="N52" i="15"/>
  <c r="M52" i="15"/>
  <c r="L52" i="15"/>
  <c r="K52" i="15"/>
  <c r="J52" i="15"/>
  <c r="I52" i="15"/>
  <c r="H52" i="15"/>
  <c r="G52" i="15"/>
  <c r="AH51" i="15"/>
  <c r="AI51" i="15" s="1"/>
  <c r="AJ51" i="15" s="1"/>
  <c r="AK51" i="15" s="1"/>
  <c r="AL51" i="15" s="1"/>
  <c r="AG51" i="15"/>
  <c r="AF51" i="15"/>
  <c r="AH50" i="15"/>
  <c r="AI50" i="15" s="1"/>
  <c r="AJ50" i="15" s="1"/>
  <c r="AK50" i="15" s="1"/>
  <c r="AL50" i="15" s="1"/>
  <c r="AG50" i="15"/>
  <c r="AF50" i="15"/>
  <c r="X50" i="15"/>
  <c r="S50" i="15"/>
  <c r="N50" i="15"/>
  <c r="I50" i="15"/>
  <c r="AH49" i="15"/>
  <c r="AI49" i="15" s="1"/>
  <c r="AJ49" i="15" s="1"/>
  <c r="AK49" i="15" s="1"/>
  <c r="AL49" i="15" s="1"/>
  <c r="AM49" i="15" s="1"/>
  <c r="AN49" i="15" s="1"/>
  <c r="AO49" i="15" s="1"/>
  <c r="AP49" i="15" s="1"/>
  <c r="AQ49" i="15" s="1"/>
  <c r="AR49" i="15" s="1"/>
  <c r="AS49" i="15" s="1"/>
  <c r="AT49" i="15" s="1"/>
  <c r="AU49" i="15" s="1"/>
  <c r="AV49" i="15" s="1"/>
  <c r="AW49" i="15" s="1"/>
  <c r="AX49" i="15" s="1"/>
  <c r="AY49" i="15" s="1"/>
  <c r="AZ49" i="15" s="1"/>
  <c r="BA49" i="15" s="1"/>
  <c r="BB49" i="15" s="1"/>
  <c r="BC49" i="15" s="1"/>
  <c r="BD49" i="15" s="1"/>
  <c r="BE49" i="15" s="1"/>
  <c r="BF49" i="15" s="1"/>
  <c r="AG49" i="15"/>
  <c r="AF49" i="15"/>
  <c r="AC49" i="15"/>
  <c r="AH48" i="15"/>
  <c r="AI48" i="15" s="1"/>
  <c r="AG48" i="15"/>
  <c r="AF48" i="15"/>
  <c r="AH47" i="15"/>
  <c r="AG47" i="15"/>
  <c r="AF47" i="15"/>
  <c r="R47" i="15"/>
  <c r="Q47" i="15"/>
  <c r="P47" i="15"/>
  <c r="O47" i="15"/>
  <c r="N47" i="15"/>
  <c r="M47" i="15"/>
  <c r="L47" i="15"/>
  <c r="K47" i="15"/>
  <c r="J47" i="15"/>
  <c r="I47" i="15"/>
  <c r="H47" i="15"/>
  <c r="G47" i="15"/>
  <c r="F47" i="15"/>
  <c r="E47" i="15"/>
  <c r="AC41" i="15"/>
  <c r="AH32" i="15"/>
  <c r="AI32" i="15" s="1"/>
  <c r="AJ32" i="15" s="1"/>
  <c r="AK32" i="15" s="1"/>
  <c r="AL32" i="15" s="1"/>
  <c r="AG32" i="15"/>
  <c r="AF32" i="15"/>
  <c r="AH37" i="15"/>
  <c r="AI37" i="15" s="1"/>
  <c r="AJ37" i="15" s="1"/>
  <c r="AK37" i="15" s="1"/>
  <c r="AL37" i="15" s="1"/>
  <c r="AM37" i="15" s="1"/>
  <c r="AN37" i="15" s="1"/>
  <c r="AO37" i="15" s="1"/>
  <c r="AP37" i="15" s="1"/>
  <c r="AQ37" i="15" s="1"/>
  <c r="AR37" i="15" s="1"/>
  <c r="AS37" i="15" s="1"/>
  <c r="AT37" i="15" s="1"/>
  <c r="AU37" i="15" s="1"/>
  <c r="AV37" i="15" s="1"/>
  <c r="AW37" i="15" s="1"/>
  <c r="AX37" i="15" s="1"/>
  <c r="AY37" i="15" s="1"/>
  <c r="AZ37" i="15" s="1"/>
  <c r="BA37" i="15" s="1"/>
  <c r="BB37" i="15" s="1"/>
  <c r="BC37" i="15" s="1"/>
  <c r="BD37" i="15" s="1"/>
  <c r="BE37" i="15" s="1"/>
  <c r="BF37" i="15" s="1"/>
  <c r="AP52" i="12" s="1"/>
  <c r="AG37" i="15"/>
  <c r="AF37" i="15"/>
  <c r="AC37" i="15"/>
  <c r="AH35" i="15"/>
  <c r="AI35" i="15" s="1"/>
  <c r="AJ35" i="15" s="1"/>
  <c r="AK35" i="15" s="1"/>
  <c r="AL35" i="15" s="1"/>
  <c r="AG35" i="15"/>
  <c r="AF35" i="15"/>
  <c r="AH39" i="15"/>
  <c r="AI39" i="15" s="1"/>
  <c r="AJ39" i="15" s="1"/>
  <c r="AK39" i="15" s="1"/>
  <c r="AG39" i="15"/>
  <c r="AF39" i="15"/>
  <c r="M39" i="15"/>
  <c r="L39" i="15"/>
  <c r="K39" i="15"/>
  <c r="J39" i="15"/>
  <c r="I39" i="15"/>
  <c r="H39" i="15"/>
  <c r="AH38" i="15"/>
  <c r="AI38" i="15" s="1"/>
  <c r="AJ38" i="15" s="1"/>
  <c r="AK38" i="15" s="1"/>
  <c r="AL38" i="15" s="1"/>
  <c r="AG38" i="15"/>
  <c r="AF38" i="15"/>
  <c r="AH36" i="15"/>
  <c r="AI36" i="15" s="1"/>
  <c r="AJ36" i="15" s="1"/>
  <c r="AK36" i="15" s="1"/>
  <c r="AL36" i="15" s="1"/>
  <c r="AG36" i="15"/>
  <c r="AF36" i="15"/>
  <c r="N36" i="15"/>
  <c r="I36" i="15"/>
  <c r="AH34" i="15"/>
  <c r="AI34" i="15" s="1"/>
  <c r="AJ34" i="15" s="1"/>
  <c r="AK34" i="15" s="1"/>
  <c r="AL34" i="15" s="1"/>
  <c r="AG34" i="15"/>
  <c r="AF34" i="15"/>
  <c r="N34" i="15"/>
  <c r="I34" i="15"/>
  <c r="AH31" i="15"/>
  <c r="AI31" i="15" s="1"/>
  <c r="AJ31" i="15" s="1"/>
  <c r="AK31" i="15" s="1"/>
  <c r="AG31" i="15"/>
  <c r="AF31" i="15"/>
  <c r="AH30" i="15"/>
  <c r="AI30" i="15" s="1"/>
  <c r="AJ30" i="15" s="1"/>
  <c r="AK30" i="15" s="1"/>
  <c r="AG30" i="15"/>
  <c r="AF30" i="15"/>
  <c r="AB30" i="15"/>
  <c r="AA30" i="15"/>
  <c r="Z30" i="15"/>
  <c r="Y30" i="15"/>
  <c r="X30" i="15"/>
  <c r="W30" i="15"/>
  <c r="V30" i="15"/>
  <c r="U30" i="15"/>
  <c r="T30" i="15"/>
  <c r="S30" i="15"/>
  <c r="R30" i="15"/>
  <c r="Q30" i="15"/>
  <c r="P30" i="15"/>
  <c r="O30" i="15"/>
  <c r="N30" i="15"/>
  <c r="M30" i="15"/>
  <c r="L30" i="15"/>
  <c r="K30" i="15"/>
  <c r="J30" i="15"/>
  <c r="I30" i="15"/>
  <c r="H30" i="15"/>
  <c r="AH29" i="15"/>
  <c r="AI29" i="15" s="1"/>
  <c r="AJ29" i="15" s="1"/>
  <c r="AK29" i="15" s="1"/>
  <c r="AL29" i="15" s="1"/>
  <c r="AG29" i="15"/>
  <c r="AF29" i="15"/>
  <c r="AH28" i="15"/>
  <c r="AI28" i="15" s="1"/>
  <c r="AJ28" i="15" s="1"/>
  <c r="AK28" i="15" s="1"/>
  <c r="AL28" i="15" s="1"/>
  <c r="AG28" i="15"/>
  <c r="AF28" i="15"/>
  <c r="AH27" i="15"/>
  <c r="AI27" i="15" s="1"/>
  <c r="AJ27" i="15" s="1"/>
  <c r="AK27" i="15" s="1"/>
  <c r="AL27" i="15" s="1"/>
  <c r="AM27" i="15" s="1"/>
  <c r="AN27" i="15" s="1"/>
  <c r="AO27" i="15" s="1"/>
  <c r="AP27" i="15" s="1"/>
  <c r="AQ27" i="15" s="1"/>
  <c r="AR27" i="15" s="1"/>
  <c r="AS27" i="15" s="1"/>
  <c r="AT27" i="15" s="1"/>
  <c r="AU27" i="15" s="1"/>
  <c r="AV27" i="15" s="1"/>
  <c r="AW27" i="15" s="1"/>
  <c r="AX27" i="15" s="1"/>
  <c r="AY27" i="15" s="1"/>
  <c r="AZ27" i="15" s="1"/>
  <c r="BA27" i="15" s="1"/>
  <c r="BB27" i="15" s="1"/>
  <c r="BC27" i="15" s="1"/>
  <c r="BD27" i="15" s="1"/>
  <c r="BE27" i="15" s="1"/>
  <c r="BF27" i="15" s="1"/>
  <c r="BG27" i="15" s="1"/>
  <c r="AG27" i="15"/>
  <c r="AF27" i="15"/>
  <c r="AC27" i="15"/>
  <c r="AH26" i="15"/>
  <c r="AI26" i="15" s="1"/>
  <c r="AG26" i="15"/>
  <c r="AF26" i="15"/>
  <c r="AH25" i="15"/>
  <c r="AI25" i="15" s="1"/>
  <c r="AJ25" i="15" s="1"/>
  <c r="AK25" i="15" s="1"/>
  <c r="AL25" i="15" s="1"/>
  <c r="AM25" i="15" s="1"/>
  <c r="AN25" i="15" s="1"/>
  <c r="AO25" i="15" s="1"/>
  <c r="AP25" i="15" s="1"/>
  <c r="AQ25" i="15" s="1"/>
  <c r="AR25" i="15" s="1"/>
  <c r="AS25" i="15" s="1"/>
  <c r="AT25" i="15" s="1"/>
  <c r="AU25" i="15" s="1"/>
  <c r="AV25" i="15" s="1"/>
  <c r="AW25" i="15" s="1"/>
  <c r="AX25" i="15" s="1"/>
  <c r="AY25" i="15" s="1"/>
  <c r="AZ25" i="15" s="1"/>
  <c r="BA25" i="15" s="1"/>
  <c r="BB25" i="15" s="1"/>
  <c r="BC25" i="15" s="1"/>
  <c r="BD25" i="15" s="1"/>
  <c r="BE25" i="15" s="1"/>
  <c r="BF25" i="15" s="1"/>
  <c r="BG25" i="15" s="1"/>
  <c r="AG25" i="15"/>
  <c r="AF25" i="15"/>
  <c r="AC25" i="15"/>
  <c r="AC19" i="15"/>
  <c r="AH10" i="15"/>
  <c r="AI10" i="15" s="1"/>
  <c r="AJ10" i="15" s="1"/>
  <c r="AK10" i="15" s="1"/>
  <c r="AL10" i="15" s="1"/>
  <c r="AG10" i="15"/>
  <c r="AF10" i="15"/>
  <c r="AH15" i="15"/>
  <c r="AI15" i="15" s="1"/>
  <c r="AJ15" i="15" s="1"/>
  <c r="AK15" i="15" s="1"/>
  <c r="AL15" i="15" s="1"/>
  <c r="AM15" i="15" s="1"/>
  <c r="AN15" i="15" s="1"/>
  <c r="AO15" i="15" s="1"/>
  <c r="AP15" i="15" s="1"/>
  <c r="AQ15" i="15" s="1"/>
  <c r="AR15" i="15" s="1"/>
  <c r="AS15" i="15" s="1"/>
  <c r="AT15" i="15" s="1"/>
  <c r="AU15" i="15" s="1"/>
  <c r="AV15" i="15" s="1"/>
  <c r="AG15" i="15"/>
  <c r="AF15" i="15"/>
  <c r="AC15" i="15"/>
  <c r="AH13" i="15"/>
  <c r="AI13" i="15" s="1"/>
  <c r="AJ13" i="15" s="1"/>
  <c r="AK13" i="15" s="1"/>
  <c r="AL13" i="15" s="1"/>
  <c r="AG13" i="15"/>
  <c r="AF13" i="15"/>
  <c r="X13" i="15"/>
  <c r="S13" i="15"/>
  <c r="N13" i="15"/>
  <c r="I13" i="15"/>
  <c r="AH17" i="15"/>
  <c r="AI17" i="15" s="1"/>
  <c r="AJ17" i="15" s="1"/>
  <c r="AK17" i="15" s="1"/>
  <c r="AG17" i="15"/>
  <c r="AF17" i="15"/>
  <c r="M17" i="15"/>
  <c r="L17" i="15"/>
  <c r="K17" i="15"/>
  <c r="J17" i="15"/>
  <c r="I17" i="15"/>
  <c r="H17" i="15"/>
  <c r="AH16" i="15"/>
  <c r="AI16" i="15" s="1"/>
  <c r="AJ16" i="15" s="1"/>
  <c r="AK16" i="15" s="1"/>
  <c r="AL16" i="15" s="1"/>
  <c r="AG16" i="15"/>
  <c r="AF16" i="15"/>
  <c r="AC16" i="15"/>
  <c r="N16" i="15"/>
  <c r="I16" i="15"/>
  <c r="AH14" i="15"/>
  <c r="AI14" i="15" s="1"/>
  <c r="AJ14" i="15" s="1"/>
  <c r="AK14" i="15" s="1"/>
  <c r="AL14" i="15" s="1"/>
  <c r="AG14" i="15"/>
  <c r="AF14" i="15"/>
  <c r="N14" i="15"/>
  <c r="I14" i="15"/>
  <c r="AH12" i="15"/>
  <c r="AI12" i="15" s="1"/>
  <c r="AJ12" i="15" s="1"/>
  <c r="AK12" i="15" s="1"/>
  <c r="AL12" i="15" s="1"/>
  <c r="AG12" i="15"/>
  <c r="AF12" i="15"/>
  <c r="N12" i="15"/>
  <c r="I12" i="15"/>
  <c r="AH9" i="15"/>
  <c r="AI9" i="15" s="1"/>
  <c r="AJ9" i="15" s="1"/>
  <c r="AK9" i="15" s="1"/>
  <c r="AG9" i="15"/>
  <c r="AF9" i="15"/>
  <c r="AH8" i="15"/>
  <c r="AI8" i="15" s="1"/>
  <c r="AJ8" i="15" s="1"/>
  <c r="AG8" i="15"/>
  <c r="AF8" i="15"/>
  <c r="AB8" i="15"/>
  <c r="AA8" i="15"/>
  <c r="Z8" i="15"/>
  <c r="Y8" i="15"/>
  <c r="X8" i="15"/>
  <c r="W8" i="15"/>
  <c r="V8" i="15"/>
  <c r="U8" i="15"/>
  <c r="T8" i="15"/>
  <c r="S8" i="15"/>
  <c r="R8" i="15"/>
  <c r="Q8" i="15"/>
  <c r="P8" i="15"/>
  <c r="O8" i="15"/>
  <c r="N8" i="15"/>
  <c r="M8" i="15"/>
  <c r="L8" i="15"/>
  <c r="K8" i="15"/>
  <c r="J8" i="15"/>
  <c r="I8" i="15"/>
  <c r="H8" i="15"/>
  <c r="AH7" i="15"/>
  <c r="AI7" i="15" s="1"/>
  <c r="AJ7" i="15" s="1"/>
  <c r="AK7" i="15" s="1"/>
  <c r="AL7" i="15" s="1"/>
  <c r="AG7" i="15"/>
  <c r="AF7" i="15"/>
  <c r="AH6" i="15"/>
  <c r="AI6" i="15" s="1"/>
  <c r="AJ6" i="15" s="1"/>
  <c r="AK6" i="15" s="1"/>
  <c r="AL6" i="15" s="1"/>
  <c r="AG6" i="15"/>
  <c r="AF6" i="15"/>
  <c r="AH5" i="15"/>
  <c r="AI5" i="15" s="1"/>
  <c r="AJ5" i="15" s="1"/>
  <c r="AK5" i="15" s="1"/>
  <c r="AL5" i="15" s="1"/>
  <c r="AM5" i="15" s="1"/>
  <c r="AN5" i="15" s="1"/>
  <c r="AO5" i="15" s="1"/>
  <c r="AP5" i="15" s="1"/>
  <c r="AQ5" i="15" s="1"/>
  <c r="AR5" i="15" s="1"/>
  <c r="AS5" i="15" s="1"/>
  <c r="AT5" i="15" s="1"/>
  <c r="AU5" i="15" s="1"/>
  <c r="AV5" i="15" s="1"/>
  <c r="AW5" i="15" s="1"/>
  <c r="AX5" i="15" s="1"/>
  <c r="AY5" i="15" s="1"/>
  <c r="AZ5" i="15" s="1"/>
  <c r="BA5" i="15" s="1"/>
  <c r="BB5" i="15" s="1"/>
  <c r="BC5" i="15" s="1"/>
  <c r="BD5" i="15" s="1"/>
  <c r="BE5" i="15" s="1"/>
  <c r="BF5" i="15" s="1"/>
  <c r="BG5" i="15" s="1"/>
  <c r="AG5" i="15"/>
  <c r="AF5" i="15"/>
  <c r="AC5" i="15"/>
  <c r="AH4" i="15"/>
  <c r="AI4" i="15" s="1"/>
  <c r="AG4" i="15"/>
  <c r="AF4" i="15"/>
  <c r="AH3" i="15"/>
  <c r="AG3" i="15"/>
  <c r="AF3" i="15"/>
  <c r="R3" i="15"/>
  <c r="Q3" i="15"/>
  <c r="P3" i="15"/>
  <c r="O3" i="15"/>
  <c r="N3" i="15"/>
  <c r="M3" i="15"/>
  <c r="L3" i="15"/>
  <c r="K3" i="15"/>
  <c r="J3" i="15"/>
  <c r="I3" i="15"/>
  <c r="H3" i="15"/>
  <c r="G3" i="15"/>
  <c r="F3" i="15"/>
  <c r="E3" i="15"/>
  <c r="AY47" i="12"/>
  <c r="AG47" i="12"/>
  <c r="AB47" i="12"/>
  <c r="I47" i="12"/>
  <c r="E88" i="10" s="1"/>
  <c r="F88" i="10" s="1"/>
  <c r="C47" i="12"/>
  <c r="M47" i="12" s="1"/>
  <c r="AY52" i="12"/>
  <c r="AG52" i="12"/>
  <c r="AB52" i="12"/>
  <c r="C52" i="12"/>
  <c r="AY50" i="12"/>
  <c r="AG50" i="12"/>
  <c r="AB50" i="12"/>
  <c r="I50" i="12"/>
  <c r="E91" i="10" s="1"/>
  <c r="F91" i="10" s="1"/>
  <c r="C50" i="12"/>
  <c r="AY48" i="12"/>
  <c r="AG48" i="12"/>
  <c r="AB48" i="12"/>
  <c r="C48" i="12"/>
  <c r="AY53" i="12"/>
  <c r="AG53" i="12"/>
  <c r="AB53" i="12"/>
  <c r="C53" i="12"/>
  <c r="AY51" i="12"/>
  <c r="AG51" i="12"/>
  <c r="AB51" i="12"/>
  <c r="Z51" i="12"/>
  <c r="AE51" i="12" s="1"/>
  <c r="R51" i="12"/>
  <c r="H92" i="10" s="1"/>
  <c r="I92" i="10" s="1"/>
  <c r="I51" i="12"/>
  <c r="E92" i="10" s="1"/>
  <c r="F92" i="10" s="1"/>
  <c r="C51" i="12"/>
  <c r="AY49" i="12"/>
  <c r="AG49" i="12"/>
  <c r="AB49" i="12"/>
  <c r="Z49" i="12"/>
  <c r="K90" i="10" s="1"/>
  <c r="R49" i="12"/>
  <c r="H90" i="10" s="1"/>
  <c r="I90" i="10" s="1"/>
  <c r="I49" i="12"/>
  <c r="E90" i="10" s="1"/>
  <c r="F90" i="10" s="1"/>
  <c r="C49" i="12"/>
  <c r="AY46" i="12"/>
  <c r="AG46" i="12"/>
  <c r="AB46" i="12"/>
  <c r="I46" i="12"/>
  <c r="E87" i="10" s="1"/>
  <c r="F87" i="10" s="1"/>
  <c r="C46" i="12"/>
  <c r="AY45" i="12"/>
  <c r="AG45" i="12"/>
  <c r="AB45" i="12"/>
  <c r="I45" i="12"/>
  <c r="E86" i="10" s="1"/>
  <c r="F86" i="10" s="1"/>
  <c r="C45" i="12"/>
  <c r="M45" i="12" s="1"/>
  <c r="AY44" i="12"/>
  <c r="AG44" i="12"/>
  <c r="AB44" i="12"/>
  <c r="Z44" i="12"/>
  <c r="R44" i="12"/>
  <c r="H85" i="10" s="1"/>
  <c r="I85" i="10" s="1"/>
  <c r="I44" i="12"/>
  <c r="E85" i="10" s="1"/>
  <c r="F85" i="10" s="1"/>
  <c r="C44" i="12"/>
  <c r="AY43" i="12"/>
  <c r="AG43" i="12"/>
  <c r="AB43" i="12"/>
  <c r="Z43" i="12"/>
  <c r="R43" i="12"/>
  <c r="H84" i="10" s="1"/>
  <c r="I84" i="10" s="1"/>
  <c r="I43" i="12"/>
  <c r="E84" i="10" s="1"/>
  <c r="F84" i="10" s="1"/>
  <c r="C43" i="12"/>
  <c r="AY42" i="12"/>
  <c r="AG42" i="12"/>
  <c r="AB42" i="12"/>
  <c r="I42" i="12"/>
  <c r="E83" i="10" s="1"/>
  <c r="F83" i="10" s="1"/>
  <c r="C42" i="12"/>
  <c r="AY41" i="12"/>
  <c r="AG41" i="12"/>
  <c r="AB41" i="12"/>
  <c r="Z41" i="12"/>
  <c r="K82" i="10" s="1"/>
  <c r="R41" i="12"/>
  <c r="H82" i="10" s="1"/>
  <c r="I82" i="10" s="1"/>
  <c r="I41" i="12"/>
  <c r="E82" i="10" s="1"/>
  <c r="F82" i="10" s="1"/>
  <c r="C41" i="12"/>
  <c r="AY40" i="12"/>
  <c r="AG40" i="12"/>
  <c r="AB40" i="12"/>
  <c r="R40" i="12"/>
  <c r="H81" i="10" s="1"/>
  <c r="I81" i="10" s="1"/>
  <c r="I40" i="12"/>
  <c r="J40" i="12" s="1"/>
  <c r="C40" i="12"/>
  <c r="BD23" i="12"/>
  <c r="AY23" i="12"/>
  <c r="AG23" i="12"/>
  <c r="AB23" i="12"/>
  <c r="BD28" i="12"/>
  <c r="AY28" i="12"/>
  <c r="AM28" i="12"/>
  <c r="E68" i="10" s="1"/>
  <c r="F68" i="10" s="1"/>
  <c r="AG28" i="12"/>
  <c r="AB28" i="12"/>
  <c r="BD26" i="12"/>
  <c r="AY26" i="12"/>
  <c r="AG26" i="12"/>
  <c r="AB26" i="12"/>
  <c r="BD24" i="12"/>
  <c r="AY24" i="12"/>
  <c r="AG24" i="12"/>
  <c r="AB24" i="12"/>
  <c r="BD29" i="12"/>
  <c r="AY29" i="12"/>
  <c r="AG29" i="12"/>
  <c r="AB29" i="12"/>
  <c r="BD27" i="12"/>
  <c r="AY27" i="12"/>
  <c r="AG27" i="12"/>
  <c r="AB27" i="12"/>
  <c r="BD25" i="12"/>
  <c r="AY25" i="12"/>
  <c r="AG25" i="12"/>
  <c r="AB25" i="12"/>
  <c r="BD22" i="12"/>
  <c r="AY22" i="12"/>
  <c r="AG22" i="12"/>
  <c r="AB22" i="12"/>
  <c r="BD21" i="12"/>
  <c r="AY21" i="12"/>
  <c r="AG21" i="12"/>
  <c r="AB21" i="12"/>
  <c r="BD20" i="12"/>
  <c r="AY20" i="12"/>
  <c r="AS20" i="12"/>
  <c r="AM20" i="12"/>
  <c r="E60" i="10" s="1"/>
  <c r="F60" i="10" s="1"/>
  <c r="AG20" i="12"/>
  <c r="AB20" i="12"/>
  <c r="BD19" i="12"/>
  <c r="AY19" i="12"/>
  <c r="AG19" i="12"/>
  <c r="AB19" i="12"/>
  <c r="BD18" i="12"/>
  <c r="AY18" i="12"/>
  <c r="AG18" i="12"/>
  <c r="AB18" i="12"/>
  <c r="BD17" i="12"/>
  <c r="AY17" i="12"/>
  <c r="AG17" i="12"/>
  <c r="AB17" i="12"/>
  <c r="BD16" i="12"/>
  <c r="AY16" i="12"/>
  <c r="AS16" i="12"/>
  <c r="AT16" i="12" s="1"/>
  <c r="BA16" i="12" s="1"/>
  <c r="AG16" i="12"/>
  <c r="AB16" i="12"/>
  <c r="R16" i="12"/>
  <c r="H16" i="10" s="1"/>
  <c r="I16" i="10" s="1"/>
  <c r="J10" i="12"/>
  <c r="B10" i="12"/>
  <c r="L9" i="12"/>
  <c r="J9" i="12"/>
  <c r="B9" i="12"/>
  <c r="L8" i="12"/>
  <c r="J8" i="12"/>
  <c r="L7" i="12"/>
  <c r="J7" i="12"/>
  <c r="L6" i="12"/>
  <c r="J6" i="12"/>
  <c r="L5" i="12"/>
  <c r="J5" i="12"/>
  <c r="A239" i="10"/>
  <c r="M116" i="10"/>
  <c r="M121" i="10"/>
  <c r="M119" i="10"/>
  <c r="M117" i="10"/>
  <c r="M122" i="10"/>
  <c r="M120" i="10"/>
  <c r="M118" i="10"/>
  <c r="M115" i="10"/>
  <c r="M114" i="10"/>
  <c r="M113" i="10"/>
  <c r="M112" i="10"/>
  <c r="M111" i="10"/>
  <c r="M110" i="10"/>
  <c r="M109" i="10"/>
  <c r="M88" i="10"/>
  <c r="M93" i="10"/>
  <c r="M91" i="10"/>
  <c r="M89" i="10"/>
  <c r="M94" i="10"/>
  <c r="M92" i="10"/>
  <c r="M90" i="10"/>
  <c r="M87" i="10"/>
  <c r="M86" i="10"/>
  <c r="M85" i="10"/>
  <c r="M84" i="10"/>
  <c r="M83" i="10"/>
  <c r="M82" i="10"/>
  <c r="M81" i="10"/>
  <c r="M63" i="10"/>
  <c r="M68" i="10"/>
  <c r="M66" i="10"/>
  <c r="M64" i="10"/>
  <c r="M69" i="10"/>
  <c r="M67" i="10"/>
  <c r="M65" i="10"/>
  <c r="M62" i="10"/>
  <c r="M61" i="10"/>
  <c r="M60" i="10"/>
  <c r="H60" i="10"/>
  <c r="I60" i="10" s="1"/>
  <c r="M59" i="10"/>
  <c r="M58" i="10"/>
  <c r="M57" i="10"/>
  <c r="M56" i="10"/>
  <c r="M23" i="10"/>
  <c r="M28" i="10"/>
  <c r="M26" i="10"/>
  <c r="M24" i="10"/>
  <c r="M29" i="10"/>
  <c r="M27" i="10"/>
  <c r="M25" i="10"/>
  <c r="M22" i="10"/>
  <c r="M21" i="10"/>
  <c r="M20" i="10"/>
  <c r="M19" i="10"/>
  <c r="M18" i="10"/>
  <c r="M17" i="10"/>
  <c r="M16" i="10"/>
  <c r="M52" i="12" l="1"/>
  <c r="G52" i="12"/>
  <c r="E52" i="12"/>
  <c r="E48" i="12"/>
  <c r="U48" i="12"/>
  <c r="Z48" i="12" s="1"/>
  <c r="M48" i="12"/>
  <c r="P48" i="12"/>
  <c r="L48" i="12"/>
  <c r="AK16" i="12"/>
  <c r="AJ16" i="12"/>
  <c r="J55" i="12"/>
  <c r="AN31" i="12"/>
  <c r="S31" i="12"/>
  <c r="AD31" i="12" s="1"/>
  <c r="BS31" i="12" s="1"/>
  <c r="AT31" i="12"/>
  <c r="BA31" i="12" s="1"/>
  <c r="J31" i="12"/>
  <c r="S55" i="12"/>
  <c r="AD55" i="12" s="1"/>
  <c r="AE43" i="12"/>
  <c r="K84" i="10"/>
  <c r="AE44" i="12"/>
  <c r="K85" i="10"/>
  <c r="U50" i="12"/>
  <c r="Z50" i="12" s="1"/>
  <c r="M50" i="12"/>
  <c r="AJ18" i="12"/>
  <c r="AM18" i="12" s="1"/>
  <c r="E18" i="12"/>
  <c r="I18" i="12" s="1"/>
  <c r="J54" i="12"/>
  <c r="S54" i="12"/>
  <c r="AD54" i="12" s="1"/>
  <c r="J30" i="12"/>
  <c r="AN30" i="12"/>
  <c r="AT30" i="12"/>
  <c r="BA30" i="12" s="1"/>
  <c r="S30" i="12"/>
  <c r="AD30" i="12" s="1"/>
  <c r="BS30" i="12" s="1"/>
  <c r="P45" i="12"/>
  <c r="U45" i="12"/>
  <c r="Z45" i="12" s="1"/>
  <c r="U47" i="12"/>
  <c r="Z47" i="12" s="1"/>
  <c r="M53" i="12"/>
  <c r="R53" i="12" s="1"/>
  <c r="U53" i="12"/>
  <c r="Z53" i="12" s="1"/>
  <c r="M42" i="12"/>
  <c r="U42" i="12"/>
  <c r="Z42" i="12" s="1"/>
  <c r="L42" i="12"/>
  <c r="P46" i="12"/>
  <c r="U46" i="12"/>
  <c r="Z46" i="12" s="1"/>
  <c r="M46" i="12"/>
  <c r="P52" i="12"/>
  <c r="U52" i="12"/>
  <c r="Z52" i="12" s="1"/>
  <c r="BG37" i="15"/>
  <c r="AT20" i="12"/>
  <c r="BA20" i="12" s="1"/>
  <c r="AN20" i="12"/>
  <c r="AZ20" i="12" s="1"/>
  <c r="S44" i="12"/>
  <c r="AD44" i="12" s="1"/>
  <c r="J44" i="12"/>
  <c r="BG59" i="15"/>
  <c r="AI47" i="15"/>
  <c r="AJ47" i="15" s="1"/>
  <c r="AK47" i="15" s="1"/>
  <c r="AL47" i="15" s="1"/>
  <c r="AM47" i="15" s="1"/>
  <c r="AN47" i="15" s="1"/>
  <c r="AO47" i="15" s="1"/>
  <c r="AP47" i="15" s="1"/>
  <c r="AQ47" i="15" s="1"/>
  <c r="AR47" i="15" s="1"/>
  <c r="AS47" i="15" s="1"/>
  <c r="AT47" i="15" s="1"/>
  <c r="AU47" i="15" s="1"/>
  <c r="AV47" i="15" s="1"/>
  <c r="AW47" i="15" s="1"/>
  <c r="AX47" i="15" s="1"/>
  <c r="AY47" i="15" s="1"/>
  <c r="AZ47" i="15" s="1"/>
  <c r="BA47" i="15" s="1"/>
  <c r="BB47" i="15" s="1"/>
  <c r="BC47" i="15" s="1"/>
  <c r="BD47" i="15" s="1"/>
  <c r="BE47" i="15" s="1"/>
  <c r="BF47" i="15" s="1"/>
  <c r="AV40" i="12" s="1"/>
  <c r="AP42" i="12"/>
  <c r="AS42" i="12" s="1"/>
  <c r="H111" i="10" s="1"/>
  <c r="I111" i="10" s="1"/>
  <c r="K92" i="10"/>
  <c r="J51" i="12"/>
  <c r="AC51" i="12" s="1"/>
  <c r="J46" i="12"/>
  <c r="AC46" i="12" s="1"/>
  <c r="AW15" i="15"/>
  <c r="AX15" i="15" s="1"/>
  <c r="AY15" i="15" s="1"/>
  <c r="AZ15" i="15" s="1"/>
  <c r="BA15" i="15" s="1"/>
  <c r="BB15" i="15" s="1"/>
  <c r="BC15" i="15" s="1"/>
  <c r="BD15" i="15" s="1"/>
  <c r="BE15" i="15" s="1"/>
  <c r="BF15" i="15" s="1"/>
  <c r="BG15" i="15" s="1"/>
  <c r="AM32" i="15"/>
  <c r="AN32" i="15" s="1"/>
  <c r="AO32" i="15" s="1"/>
  <c r="AP32" i="15" s="1"/>
  <c r="AQ32" i="15" s="1"/>
  <c r="AR32" i="15" s="1"/>
  <c r="AS32" i="15" s="1"/>
  <c r="AT32" i="15" s="1"/>
  <c r="AU32" i="15" s="1"/>
  <c r="AV32" i="15" s="1"/>
  <c r="AW32" i="15" s="1"/>
  <c r="AX32" i="15" s="1"/>
  <c r="AY32" i="15" s="1"/>
  <c r="AZ32" i="15" s="1"/>
  <c r="BA32" i="15" s="1"/>
  <c r="BB32" i="15" s="1"/>
  <c r="BC32" i="15" s="1"/>
  <c r="BD32" i="15" s="1"/>
  <c r="BE32" i="15" s="1"/>
  <c r="BF32" i="15" s="1"/>
  <c r="AP47" i="12" s="1"/>
  <c r="AM16" i="15"/>
  <c r="AN16" i="15" s="1"/>
  <c r="AO16" i="15" s="1"/>
  <c r="AP16" i="15" s="1"/>
  <c r="AQ16" i="15" s="1"/>
  <c r="AR16" i="15" s="1"/>
  <c r="AS16" i="15" s="1"/>
  <c r="AT16" i="15" s="1"/>
  <c r="AU16" i="15" s="1"/>
  <c r="AV16" i="15" s="1"/>
  <c r="AM10" i="15"/>
  <c r="AN10" i="15" s="1"/>
  <c r="AO10" i="15" s="1"/>
  <c r="AP10" i="15" s="1"/>
  <c r="AQ10" i="15" s="1"/>
  <c r="AR10" i="15" s="1"/>
  <c r="AS10" i="15" s="1"/>
  <c r="AT10" i="15" s="1"/>
  <c r="AU10" i="15" s="1"/>
  <c r="AV10" i="15" s="1"/>
  <c r="AW10" i="15" s="1"/>
  <c r="AX10" i="15" s="1"/>
  <c r="AY10" i="15" s="1"/>
  <c r="AZ10" i="15" s="1"/>
  <c r="BA10" i="15" s="1"/>
  <c r="BB10" i="15" s="1"/>
  <c r="BC10" i="15" s="1"/>
  <c r="BD10" i="15" s="1"/>
  <c r="BE10" i="15" s="1"/>
  <c r="BF10" i="15" s="1"/>
  <c r="AJ47" i="12" s="1"/>
  <c r="AI3" i="15"/>
  <c r="AJ3" i="15" s="1"/>
  <c r="AK3" i="15" s="1"/>
  <c r="AL3" i="15" s="1"/>
  <c r="AM3" i="15" s="1"/>
  <c r="AN3" i="15" s="1"/>
  <c r="AO3" i="15" s="1"/>
  <c r="AP3" i="15" s="1"/>
  <c r="AQ3" i="15" s="1"/>
  <c r="AR3" i="15" s="1"/>
  <c r="AS3" i="15" s="1"/>
  <c r="AT3" i="15" s="1"/>
  <c r="AU3" i="15" s="1"/>
  <c r="AV3" i="15" s="1"/>
  <c r="AW3" i="15" s="1"/>
  <c r="AX3" i="15" s="1"/>
  <c r="AY3" i="15" s="1"/>
  <c r="AZ3" i="15" s="1"/>
  <c r="BA3" i="15" s="1"/>
  <c r="BB3" i="15" s="1"/>
  <c r="BC3" i="15" s="1"/>
  <c r="BD3" i="15" s="1"/>
  <c r="BE3" i="15" s="1"/>
  <c r="BF3" i="15" s="1"/>
  <c r="AM14" i="15"/>
  <c r="AN14" i="15" s="1"/>
  <c r="AO14" i="15" s="1"/>
  <c r="AP14" i="15" s="1"/>
  <c r="AQ14" i="15" s="1"/>
  <c r="AR14" i="15" s="1"/>
  <c r="AS14" i="15" s="1"/>
  <c r="AT14" i="15" s="1"/>
  <c r="AU14" i="15" s="1"/>
  <c r="AV14" i="15" s="1"/>
  <c r="AW14" i="15" s="1"/>
  <c r="AX14" i="15" s="1"/>
  <c r="AY14" i="15" s="1"/>
  <c r="AZ14" i="15" s="1"/>
  <c r="BA14" i="15" s="1"/>
  <c r="BB14" i="15" s="1"/>
  <c r="BC14" i="15" s="1"/>
  <c r="BD14" i="15" s="1"/>
  <c r="BE14" i="15" s="1"/>
  <c r="BF14" i="15" s="1"/>
  <c r="AJ51" i="12" s="1"/>
  <c r="AL61" i="15"/>
  <c r="AM61" i="15" s="1"/>
  <c r="AN61" i="15" s="1"/>
  <c r="AO61" i="15" s="1"/>
  <c r="AP61" i="15" s="1"/>
  <c r="AQ61" i="15" s="1"/>
  <c r="AR61" i="15" s="1"/>
  <c r="AS61" i="15" s="1"/>
  <c r="AT61" i="15" s="1"/>
  <c r="AU61" i="15" s="1"/>
  <c r="AV61" i="15" s="1"/>
  <c r="AW61" i="15" s="1"/>
  <c r="AX61" i="15" s="1"/>
  <c r="AY61" i="15" s="1"/>
  <c r="AZ61" i="15" s="1"/>
  <c r="BA61" i="15" s="1"/>
  <c r="BB61" i="15" s="1"/>
  <c r="BC61" i="15" s="1"/>
  <c r="BD61" i="15" s="1"/>
  <c r="BE61" i="15" s="1"/>
  <c r="BF61" i="15" s="1"/>
  <c r="AV54" i="12" s="1"/>
  <c r="AM6" i="15"/>
  <c r="AN6" i="15" s="1"/>
  <c r="AO6" i="15" s="1"/>
  <c r="AP6" i="15" s="1"/>
  <c r="AQ6" i="15" s="1"/>
  <c r="AR6" i="15" s="1"/>
  <c r="AS6" i="15" s="1"/>
  <c r="AT6" i="15" s="1"/>
  <c r="AU6" i="15" s="1"/>
  <c r="AV6" i="15" s="1"/>
  <c r="AW6" i="15" s="1"/>
  <c r="AX6" i="15" s="1"/>
  <c r="AY6" i="15" s="1"/>
  <c r="AZ6" i="15" s="1"/>
  <c r="BA6" i="15" s="1"/>
  <c r="BB6" i="15" s="1"/>
  <c r="BC6" i="15" s="1"/>
  <c r="BD6" i="15" s="1"/>
  <c r="BE6" i="15" s="1"/>
  <c r="BF6" i="15" s="1"/>
  <c r="AM36" i="15"/>
  <c r="AN36" i="15" s="1"/>
  <c r="AO36" i="15" s="1"/>
  <c r="AP36" i="15" s="1"/>
  <c r="AQ36" i="15" s="1"/>
  <c r="AR36" i="15" s="1"/>
  <c r="AS36" i="15" s="1"/>
  <c r="AT36" i="15" s="1"/>
  <c r="AU36" i="15" s="1"/>
  <c r="AV36" i="15" s="1"/>
  <c r="AW36" i="15" s="1"/>
  <c r="AX36" i="15" s="1"/>
  <c r="AY36" i="15" s="1"/>
  <c r="AZ36" i="15" s="1"/>
  <c r="BA36" i="15" s="1"/>
  <c r="BB36" i="15" s="1"/>
  <c r="BC36" i="15" s="1"/>
  <c r="BD36" i="15" s="1"/>
  <c r="BE36" i="15" s="1"/>
  <c r="BF36" i="15" s="1"/>
  <c r="AP51" i="12" s="1"/>
  <c r="AM54" i="15"/>
  <c r="AN54" i="15" s="1"/>
  <c r="AO54" i="15" s="1"/>
  <c r="AP54" i="15" s="1"/>
  <c r="AQ54" i="15" s="1"/>
  <c r="AR54" i="15" s="1"/>
  <c r="AS54" i="15" s="1"/>
  <c r="AT54" i="15" s="1"/>
  <c r="AU54" i="15" s="1"/>
  <c r="AV54" i="15" s="1"/>
  <c r="AW54" i="15" s="1"/>
  <c r="AX54" i="15" s="1"/>
  <c r="AY54" i="15" s="1"/>
  <c r="AZ54" i="15" s="1"/>
  <c r="BA54" i="15" s="1"/>
  <c r="BB54" i="15" s="1"/>
  <c r="BC54" i="15" s="1"/>
  <c r="BD54" i="15" s="1"/>
  <c r="BE54" i="15" s="1"/>
  <c r="BF54" i="15" s="1"/>
  <c r="AV47" i="12" s="1"/>
  <c r="AM12" i="15"/>
  <c r="AN12" i="15" s="1"/>
  <c r="AO12" i="15" s="1"/>
  <c r="AP12" i="15" s="1"/>
  <c r="AQ12" i="15" s="1"/>
  <c r="AR12" i="15" s="1"/>
  <c r="AS12" i="15" s="1"/>
  <c r="AT12" i="15" s="1"/>
  <c r="AU12" i="15" s="1"/>
  <c r="AV12" i="15" s="1"/>
  <c r="AW12" i="15" s="1"/>
  <c r="AX12" i="15" s="1"/>
  <c r="AY12" i="15" s="1"/>
  <c r="AZ12" i="15" s="1"/>
  <c r="BA12" i="15" s="1"/>
  <c r="BB12" i="15" s="1"/>
  <c r="BC12" i="15" s="1"/>
  <c r="BD12" i="15" s="1"/>
  <c r="BE12" i="15" s="1"/>
  <c r="BF12" i="15" s="1"/>
  <c r="AJ49" i="12" s="1"/>
  <c r="AL39" i="15"/>
  <c r="AM39" i="15" s="1"/>
  <c r="AN39" i="15" s="1"/>
  <c r="AO39" i="15" s="1"/>
  <c r="AP39" i="15" s="1"/>
  <c r="AQ39" i="15" s="1"/>
  <c r="AR39" i="15" s="1"/>
  <c r="AS39" i="15" s="1"/>
  <c r="AT39" i="15" s="1"/>
  <c r="AU39" i="15" s="1"/>
  <c r="AV39" i="15" s="1"/>
  <c r="AW39" i="15" s="1"/>
  <c r="AX39" i="15" s="1"/>
  <c r="AY39" i="15" s="1"/>
  <c r="AZ39" i="15" s="1"/>
  <c r="BA39" i="15" s="1"/>
  <c r="BB39" i="15" s="1"/>
  <c r="BC39" i="15" s="1"/>
  <c r="BD39" i="15" s="1"/>
  <c r="BE39" i="15" s="1"/>
  <c r="BF39" i="15" s="1"/>
  <c r="AP54" i="12" s="1"/>
  <c r="AM35" i="15"/>
  <c r="AN35" i="15" s="1"/>
  <c r="AO35" i="15" s="1"/>
  <c r="AP35" i="15" s="1"/>
  <c r="AQ35" i="15" s="1"/>
  <c r="AR35" i="15" s="1"/>
  <c r="AS35" i="15" s="1"/>
  <c r="AT35" i="15" s="1"/>
  <c r="AU35" i="15" s="1"/>
  <c r="AV35" i="15" s="1"/>
  <c r="AW35" i="15" s="1"/>
  <c r="AX35" i="15" s="1"/>
  <c r="AY35" i="15" s="1"/>
  <c r="AZ35" i="15" s="1"/>
  <c r="BA35" i="15" s="1"/>
  <c r="BB35" i="15" s="1"/>
  <c r="BC35" i="15" s="1"/>
  <c r="BD35" i="15" s="1"/>
  <c r="BE35" i="15" s="1"/>
  <c r="BF35" i="15" s="1"/>
  <c r="AP50" i="12" s="1"/>
  <c r="AM58" i="15"/>
  <c r="AN58" i="15" s="1"/>
  <c r="AO58" i="15" s="1"/>
  <c r="AP58" i="15" s="1"/>
  <c r="AQ58" i="15" s="1"/>
  <c r="AR58" i="15" s="1"/>
  <c r="AS58" i="15" s="1"/>
  <c r="AT58" i="15" s="1"/>
  <c r="AU58" i="15" s="1"/>
  <c r="AV58" i="15" s="1"/>
  <c r="AW58" i="15" s="1"/>
  <c r="AX58" i="15" s="1"/>
  <c r="AY58" i="15" s="1"/>
  <c r="AZ58" i="15" s="1"/>
  <c r="BA58" i="15" s="1"/>
  <c r="BB58" i="15" s="1"/>
  <c r="BC58" i="15" s="1"/>
  <c r="BD58" i="15" s="1"/>
  <c r="BE58" i="15" s="1"/>
  <c r="BF58" i="15" s="1"/>
  <c r="AV51" i="12" s="1"/>
  <c r="AM29" i="15"/>
  <c r="AN29" i="15" s="1"/>
  <c r="AO29" i="15" s="1"/>
  <c r="AP29" i="15" s="1"/>
  <c r="AQ29" i="15" s="1"/>
  <c r="AR29" i="15" s="1"/>
  <c r="AS29" i="15" s="1"/>
  <c r="AT29" i="15" s="1"/>
  <c r="AU29" i="15" s="1"/>
  <c r="AV29" i="15" s="1"/>
  <c r="AW29" i="15" s="1"/>
  <c r="AX29" i="15" s="1"/>
  <c r="AY29" i="15" s="1"/>
  <c r="AZ29" i="15" s="1"/>
  <c r="BA29" i="15" s="1"/>
  <c r="BB29" i="15" s="1"/>
  <c r="BC29" i="15" s="1"/>
  <c r="BD29" i="15" s="1"/>
  <c r="BE29" i="15" s="1"/>
  <c r="BF29" i="15" s="1"/>
  <c r="AL17" i="15"/>
  <c r="AM17" i="15" s="1"/>
  <c r="AN17" i="15" s="1"/>
  <c r="AO17" i="15" s="1"/>
  <c r="AP17" i="15" s="1"/>
  <c r="AQ17" i="15" s="1"/>
  <c r="AR17" i="15" s="1"/>
  <c r="AS17" i="15" s="1"/>
  <c r="AT17" i="15" s="1"/>
  <c r="AU17" i="15" s="1"/>
  <c r="AV17" i="15" s="1"/>
  <c r="AW17" i="15" s="1"/>
  <c r="AX17" i="15" s="1"/>
  <c r="AY17" i="15" s="1"/>
  <c r="AZ17" i="15" s="1"/>
  <c r="BA17" i="15" s="1"/>
  <c r="BB17" i="15" s="1"/>
  <c r="BC17" i="15" s="1"/>
  <c r="BD17" i="15" s="1"/>
  <c r="BE17" i="15" s="1"/>
  <c r="BF17" i="15" s="1"/>
  <c r="AJ54" i="12" s="1"/>
  <c r="AM13" i="15"/>
  <c r="AN13" i="15" s="1"/>
  <c r="AO13" i="15" s="1"/>
  <c r="AP13" i="15" s="1"/>
  <c r="AQ13" i="15" s="1"/>
  <c r="AR13" i="15" s="1"/>
  <c r="AS13" i="15" s="1"/>
  <c r="AT13" i="15" s="1"/>
  <c r="AU13" i="15" s="1"/>
  <c r="AV13" i="15" s="1"/>
  <c r="AW13" i="15" s="1"/>
  <c r="AX13" i="15" s="1"/>
  <c r="AY13" i="15" s="1"/>
  <c r="AZ13" i="15" s="1"/>
  <c r="BA13" i="15" s="1"/>
  <c r="BB13" i="15" s="1"/>
  <c r="BC13" i="15" s="1"/>
  <c r="BD13" i="15" s="1"/>
  <c r="BE13" i="15" s="1"/>
  <c r="BF13" i="15" s="1"/>
  <c r="AJ50" i="12" s="1"/>
  <c r="AM38" i="15"/>
  <c r="AN38" i="15" s="1"/>
  <c r="AO38" i="15" s="1"/>
  <c r="AP38" i="15" s="1"/>
  <c r="AQ38" i="15" s="1"/>
  <c r="AR38" i="15" s="1"/>
  <c r="AS38" i="15" s="1"/>
  <c r="AT38" i="15" s="1"/>
  <c r="AU38" i="15" s="1"/>
  <c r="AV38" i="15" s="1"/>
  <c r="AM56" i="15"/>
  <c r="AN56" i="15" s="1"/>
  <c r="AO56" i="15" s="1"/>
  <c r="AP56" i="15" s="1"/>
  <c r="AQ56" i="15" s="1"/>
  <c r="AR56" i="15" s="1"/>
  <c r="AS56" i="15" s="1"/>
  <c r="AT56" i="15" s="1"/>
  <c r="AU56" i="15" s="1"/>
  <c r="AV56" i="15" s="1"/>
  <c r="AW56" i="15" s="1"/>
  <c r="AX56" i="15" s="1"/>
  <c r="AY56" i="15" s="1"/>
  <c r="AZ56" i="15" s="1"/>
  <c r="BA56" i="15" s="1"/>
  <c r="BB56" i="15" s="1"/>
  <c r="BC56" i="15" s="1"/>
  <c r="BD56" i="15" s="1"/>
  <c r="BE56" i="15" s="1"/>
  <c r="BF56" i="15" s="1"/>
  <c r="AV49" i="12" s="1"/>
  <c r="AE41" i="12"/>
  <c r="AL29" i="12"/>
  <c r="AK29" i="12"/>
  <c r="U29" i="12"/>
  <c r="AJ29" i="12"/>
  <c r="E53" i="12"/>
  <c r="I53" i="12" s="1"/>
  <c r="F29" i="12"/>
  <c r="AV42" i="12"/>
  <c r="AW42" i="12" s="1"/>
  <c r="BB42" i="12" s="1"/>
  <c r="AS28" i="12"/>
  <c r="H68" i="10" s="1"/>
  <c r="I68" i="10" s="1"/>
  <c r="J68" i="10" s="1"/>
  <c r="L21" i="12"/>
  <c r="R21" i="12" s="1"/>
  <c r="AS22" i="12"/>
  <c r="U28" i="12"/>
  <c r="E21" i="12"/>
  <c r="G21" i="12"/>
  <c r="AM22" i="12"/>
  <c r="E22" i="12"/>
  <c r="U21" i="12"/>
  <c r="U26" i="12"/>
  <c r="U16" i="12"/>
  <c r="AJ26" i="15"/>
  <c r="AK26" i="15" s="1"/>
  <c r="AL26" i="15" s="1"/>
  <c r="AM26" i="15" s="1"/>
  <c r="AN26" i="15" s="1"/>
  <c r="AO26" i="15" s="1"/>
  <c r="AP26" i="15" s="1"/>
  <c r="AQ26" i="15" s="1"/>
  <c r="AR26" i="15" s="1"/>
  <c r="AS26" i="15" s="1"/>
  <c r="AT26" i="15" s="1"/>
  <c r="AU26" i="15" s="1"/>
  <c r="AV26" i="15" s="1"/>
  <c r="AW26" i="15" s="1"/>
  <c r="AX26" i="15" s="1"/>
  <c r="AY26" i="15" s="1"/>
  <c r="AZ26" i="15" s="1"/>
  <c r="BA26" i="15" s="1"/>
  <c r="BB26" i="15" s="1"/>
  <c r="BC26" i="15" s="1"/>
  <c r="BD26" i="15" s="1"/>
  <c r="BE26" i="15" s="1"/>
  <c r="BF26" i="15" s="1"/>
  <c r="AP40" i="12"/>
  <c r="AS40" i="12" s="1"/>
  <c r="H109" i="10" s="1"/>
  <c r="I109" i="10" s="1"/>
  <c r="S43" i="12"/>
  <c r="AD43" i="12" s="1"/>
  <c r="AE49" i="12"/>
  <c r="E81" i="10"/>
  <c r="F81" i="10" s="1"/>
  <c r="J81" i="10" s="1"/>
  <c r="AC40" i="12"/>
  <c r="J47" i="12"/>
  <c r="AC47" i="12" s="1"/>
  <c r="S41" i="12"/>
  <c r="AD41" i="12" s="1"/>
  <c r="J45" i="12"/>
  <c r="AC45" i="12" s="1"/>
  <c r="S40" i="12"/>
  <c r="AD40" i="12" s="1"/>
  <c r="J50" i="12"/>
  <c r="AC50" i="12" s="1"/>
  <c r="H56" i="10"/>
  <c r="I56" i="10" s="1"/>
  <c r="S16" i="12"/>
  <c r="AD16" i="12" s="1"/>
  <c r="BS16" i="12" s="1"/>
  <c r="AC58" i="15"/>
  <c r="AJ42" i="12"/>
  <c r="AM42" i="12" s="1"/>
  <c r="E111" i="10" s="1"/>
  <c r="F111" i="10" s="1"/>
  <c r="AM51" i="15"/>
  <c r="AN51" i="15" s="1"/>
  <c r="AO51" i="15" s="1"/>
  <c r="AP51" i="15" s="1"/>
  <c r="AQ51" i="15" s="1"/>
  <c r="AR51" i="15" s="1"/>
  <c r="AS51" i="15" s="1"/>
  <c r="AT51" i="15" s="1"/>
  <c r="AU51" i="15" s="1"/>
  <c r="AV51" i="15" s="1"/>
  <c r="AW51" i="15" s="1"/>
  <c r="AX51" i="15" s="1"/>
  <c r="AY51" i="15" s="1"/>
  <c r="AZ51" i="15" s="1"/>
  <c r="BA51" i="15" s="1"/>
  <c r="BB51" i="15" s="1"/>
  <c r="BC51" i="15" s="1"/>
  <c r="BD51" i="15" s="1"/>
  <c r="BE51" i="15" s="1"/>
  <c r="BF51" i="15" s="1"/>
  <c r="AV44" i="12" s="1"/>
  <c r="AC56" i="15"/>
  <c r="AL53" i="15"/>
  <c r="AM53" i="15" s="1"/>
  <c r="AN53" i="15" s="1"/>
  <c r="AO53" i="15" s="1"/>
  <c r="AP53" i="15" s="1"/>
  <c r="AQ53" i="15" s="1"/>
  <c r="AR53" i="15" s="1"/>
  <c r="AS53" i="15" s="1"/>
  <c r="AT53" i="15" s="1"/>
  <c r="AU53" i="15" s="1"/>
  <c r="AV53" i="15" s="1"/>
  <c r="AW53" i="15" s="1"/>
  <c r="AX53" i="15" s="1"/>
  <c r="AY53" i="15" s="1"/>
  <c r="AZ53" i="15" s="1"/>
  <c r="BA53" i="15" s="1"/>
  <c r="BB53" i="15" s="1"/>
  <c r="BC53" i="15" s="1"/>
  <c r="BD53" i="15" s="1"/>
  <c r="BE53" i="15" s="1"/>
  <c r="BF53" i="15" s="1"/>
  <c r="AV46" i="12" s="1"/>
  <c r="AL31" i="15"/>
  <c r="AM31" i="15" s="1"/>
  <c r="AN31" i="15" s="1"/>
  <c r="AO31" i="15" s="1"/>
  <c r="AP31" i="15" s="1"/>
  <c r="AQ31" i="15" s="1"/>
  <c r="AR31" i="15" s="1"/>
  <c r="AS31" i="15" s="1"/>
  <c r="AT31" i="15" s="1"/>
  <c r="AU31" i="15" s="1"/>
  <c r="AV31" i="15" s="1"/>
  <c r="AW31" i="15" s="1"/>
  <c r="AX31" i="15" s="1"/>
  <c r="AY31" i="15" s="1"/>
  <c r="AZ31" i="15" s="1"/>
  <c r="BA31" i="15" s="1"/>
  <c r="BB31" i="15" s="1"/>
  <c r="BC31" i="15" s="1"/>
  <c r="BD31" i="15" s="1"/>
  <c r="BE31" i="15" s="1"/>
  <c r="BF31" i="15" s="1"/>
  <c r="AP46" i="12" s="1"/>
  <c r="J92" i="10"/>
  <c r="J82" i="10"/>
  <c r="L82" i="10" s="1"/>
  <c r="AC60" i="15"/>
  <c r="AK27" i="12"/>
  <c r="R17" i="12"/>
  <c r="S17" i="12" s="1"/>
  <c r="AD17" i="12" s="1"/>
  <c r="BS17" i="12" s="1"/>
  <c r="AL9" i="15"/>
  <c r="AM9" i="15" s="1"/>
  <c r="AN9" i="15" s="1"/>
  <c r="AO9" i="15" s="1"/>
  <c r="AP9" i="15" s="1"/>
  <c r="AQ9" i="15" s="1"/>
  <c r="AR9" i="15" s="1"/>
  <c r="AS9" i="15" s="1"/>
  <c r="AT9" i="15" s="1"/>
  <c r="AU9" i="15" s="1"/>
  <c r="AV9" i="15" s="1"/>
  <c r="AW9" i="15" s="1"/>
  <c r="AX9" i="15" s="1"/>
  <c r="AY9" i="15" s="1"/>
  <c r="AZ9" i="15" s="1"/>
  <c r="BA9" i="15" s="1"/>
  <c r="BB9" i="15" s="1"/>
  <c r="BC9" i="15" s="1"/>
  <c r="BD9" i="15" s="1"/>
  <c r="BE9" i="15" s="1"/>
  <c r="BF9" i="15" s="1"/>
  <c r="J90" i="10"/>
  <c r="L90" i="10" s="1"/>
  <c r="AM50" i="15"/>
  <c r="AN50" i="15" s="1"/>
  <c r="AO50" i="15" s="1"/>
  <c r="AP50" i="15" s="1"/>
  <c r="AQ50" i="15" s="1"/>
  <c r="AR50" i="15" s="1"/>
  <c r="AS50" i="15" s="1"/>
  <c r="AT50" i="15" s="1"/>
  <c r="AU50" i="15" s="1"/>
  <c r="AV50" i="15" s="1"/>
  <c r="AW50" i="15" s="1"/>
  <c r="AX50" i="15" s="1"/>
  <c r="AY50" i="15" s="1"/>
  <c r="AZ50" i="15" s="1"/>
  <c r="BA50" i="15" s="1"/>
  <c r="BB50" i="15" s="1"/>
  <c r="BC50" i="15" s="1"/>
  <c r="BD50" i="15" s="1"/>
  <c r="BE50" i="15" s="1"/>
  <c r="BF50" i="15" s="1"/>
  <c r="AC39" i="15"/>
  <c r="AC51" i="15"/>
  <c r="AM60" i="15"/>
  <c r="AN60" i="15" s="1"/>
  <c r="AO60" i="15" s="1"/>
  <c r="AP60" i="15" s="1"/>
  <c r="AQ60" i="15" s="1"/>
  <c r="AR60" i="15" s="1"/>
  <c r="AS60" i="15" s="1"/>
  <c r="AT60" i="15" s="1"/>
  <c r="AU60" i="15" s="1"/>
  <c r="AV60" i="15" s="1"/>
  <c r="AM24" i="12"/>
  <c r="AN24" i="12" s="1"/>
  <c r="AC29" i="15"/>
  <c r="J85" i="10"/>
  <c r="AK25" i="12"/>
  <c r="AC32" i="15"/>
  <c r="G27" i="12"/>
  <c r="AC10" i="15"/>
  <c r="AC61" i="15"/>
  <c r="J43" i="12"/>
  <c r="AC43" i="12" s="1"/>
  <c r="AC50" i="15"/>
  <c r="AM7" i="15"/>
  <c r="AN7" i="15" s="1"/>
  <c r="AO7" i="15" s="1"/>
  <c r="AP7" i="15" s="1"/>
  <c r="AQ7" i="15" s="1"/>
  <c r="AR7" i="15" s="1"/>
  <c r="AS7" i="15" s="1"/>
  <c r="AT7" i="15" s="1"/>
  <c r="AU7" i="15" s="1"/>
  <c r="AV7" i="15" s="1"/>
  <c r="AW7" i="15" s="1"/>
  <c r="AX7" i="15" s="1"/>
  <c r="AY7" i="15" s="1"/>
  <c r="AZ7" i="15" s="1"/>
  <c r="BA7" i="15" s="1"/>
  <c r="BB7" i="15" s="1"/>
  <c r="BC7" i="15" s="1"/>
  <c r="BD7" i="15" s="1"/>
  <c r="BE7" i="15" s="1"/>
  <c r="BF7" i="15" s="1"/>
  <c r="BG7" i="15" s="1"/>
  <c r="AC36" i="15"/>
  <c r="AC38" i="15"/>
  <c r="AC26" i="15"/>
  <c r="AC7" i="15"/>
  <c r="AC12" i="15"/>
  <c r="AL30" i="15"/>
  <c r="AM30" i="15" s="1"/>
  <c r="AN30" i="15" s="1"/>
  <c r="AO30" i="15" s="1"/>
  <c r="AP30" i="15" s="1"/>
  <c r="AQ30" i="15" s="1"/>
  <c r="AR30" i="15" s="1"/>
  <c r="AS30" i="15" s="1"/>
  <c r="AT30" i="15" s="1"/>
  <c r="AU30" i="15" s="1"/>
  <c r="AV30" i="15" s="1"/>
  <c r="AW30" i="15" s="1"/>
  <c r="AX30" i="15" s="1"/>
  <c r="AY30" i="15" s="1"/>
  <c r="AZ30" i="15" s="1"/>
  <c r="BA30" i="15" s="1"/>
  <c r="BB30" i="15" s="1"/>
  <c r="BC30" i="15" s="1"/>
  <c r="BD30" i="15" s="1"/>
  <c r="BE30" i="15" s="1"/>
  <c r="BF30" i="15" s="1"/>
  <c r="J60" i="10"/>
  <c r="AC17" i="15"/>
  <c r="AC13" i="15"/>
  <c r="AC35" i="15"/>
  <c r="AJ48" i="15"/>
  <c r="AK48" i="15" s="1"/>
  <c r="AL48" i="15" s="1"/>
  <c r="AM48" i="15" s="1"/>
  <c r="AN48" i="15" s="1"/>
  <c r="AO48" i="15" s="1"/>
  <c r="AP48" i="15" s="1"/>
  <c r="AQ48" i="15" s="1"/>
  <c r="AR48" i="15" s="1"/>
  <c r="AS48" i="15" s="1"/>
  <c r="AT48" i="15" s="1"/>
  <c r="AU48" i="15" s="1"/>
  <c r="AV48" i="15" s="1"/>
  <c r="AW48" i="15" s="1"/>
  <c r="AX48" i="15" s="1"/>
  <c r="AY48" i="15" s="1"/>
  <c r="AZ48" i="15" s="1"/>
  <c r="BA48" i="15" s="1"/>
  <c r="BB48" i="15" s="1"/>
  <c r="BC48" i="15" s="1"/>
  <c r="BD48" i="15" s="1"/>
  <c r="BE48" i="15" s="1"/>
  <c r="BF48" i="15" s="1"/>
  <c r="AV41" i="12" s="1"/>
  <c r="AC54" i="15"/>
  <c r="J49" i="12"/>
  <c r="S49" i="12"/>
  <c r="AD49" i="12" s="1"/>
  <c r="J84" i="10"/>
  <c r="BG49" i="15"/>
  <c r="S51" i="12"/>
  <c r="AD51" i="12" s="1"/>
  <c r="J42" i="12"/>
  <c r="AN28" i="12"/>
  <c r="I17" i="12"/>
  <c r="AK26" i="12"/>
  <c r="AC9" i="15"/>
  <c r="L45" i="12"/>
  <c r="R47" i="12"/>
  <c r="AJ26" i="12"/>
  <c r="E27" i="12"/>
  <c r="AW21" i="12"/>
  <c r="AW19" i="12"/>
  <c r="AM17" i="12"/>
  <c r="AS18" i="12"/>
  <c r="AS23" i="12"/>
  <c r="U23" i="12"/>
  <c r="G26" i="12"/>
  <c r="AS24" i="12"/>
  <c r="AT24" i="12" s="1"/>
  <c r="AJ27" i="12"/>
  <c r="AW22" i="12"/>
  <c r="AW17" i="12"/>
  <c r="U19" i="12"/>
  <c r="AW20" i="12"/>
  <c r="G22" i="12"/>
  <c r="AJ25" i="12"/>
  <c r="Q28" i="12"/>
  <c r="AW23" i="12"/>
  <c r="AS17" i="12"/>
  <c r="AW18" i="12"/>
  <c r="O27" i="12"/>
  <c r="AW28" i="12"/>
  <c r="J41" i="12"/>
  <c r="L50" i="12"/>
  <c r="AC57" i="15"/>
  <c r="AM57" i="15"/>
  <c r="AN57" i="15" s="1"/>
  <c r="AO57" i="15" s="1"/>
  <c r="AP57" i="15" s="1"/>
  <c r="AQ57" i="15" s="1"/>
  <c r="AR57" i="15" s="1"/>
  <c r="AS57" i="15" s="1"/>
  <c r="AT57" i="15" s="1"/>
  <c r="AU57" i="15" s="1"/>
  <c r="AV57" i="15" s="1"/>
  <c r="AW57" i="15" s="1"/>
  <c r="AX57" i="15" s="1"/>
  <c r="AY57" i="15" s="1"/>
  <c r="AZ57" i="15" s="1"/>
  <c r="BA57" i="15" s="1"/>
  <c r="BB57" i="15" s="1"/>
  <c r="BC57" i="15" s="1"/>
  <c r="BD57" i="15" s="1"/>
  <c r="BE57" i="15" s="1"/>
  <c r="BF57" i="15" s="1"/>
  <c r="AV50" i="12" s="1"/>
  <c r="I16" i="12"/>
  <c r="AM21" i="12"/>
  <c r="Q27" i="12"/>
  <c r="AP27" i="12"/>
  <c r="AS27" i="12" s="1"/>
  <c r="U40" i="12"/>
  <c r="Z40" i="12" s="1"/>
  <c r="AK8" i="15"/>
  <c r="AL8" i="15" s="1"/>
  <c r="AM8" i="15" s="1"/>
  <c r="AN8" i="15" s="1"/>
  <c r="AO8" i="15" s="1"/>
  <c r="AP8" i="15" s="1"/>
  <c r="AQ8" i="15" s="1"/>
  <c r="AR8" i="15" s="1"/>
  <c r="AS8" i="15" s="1"/>
  <c r="AT8" i="15" s="1"/>
  <c r="AU8" i="15" s="1"/>
  <c r="AV8" i="15" s="1"/>
  <c r="AW8" i="15" s="1"/>
  <c r="AX8" i="15" s="1"/>
  <c r="AY8" i="15" s="1"/>
  <c r="AZ8" i="15" s="1"/>
  <c r="BA8" i="15" s="1"/>
  <c r="BB8" i="15" s="1"/>
  <c r="BC8" i="15" s="1"/>
  <c r="BD8" i="15" s="1"/>
  <c r="BE8" i="15" s="1"/>
  <c r="BF8" i="15" s="1"/>
  <c r="AC8" i="15"/>
  <c r="U25" i="12"/>
  <c r="AC31" i="15"/>
  <c r="AS21" i="12"/>
  <c r="U22" i="12"/>
  <c r="AW27" i="12"/>
  <c r="AW24" i="12"/>
  <c r="AW26" i="12"/>
  <c r="AC3" i="15"/>
  <c r="AW25" i="12"/>
  <c r="AJ23" i="12"/>
  <c r="AM23" i="12" s="1"/>
  <c r="AC34" i="15"/>
  <c r="AC47" i="15"/>
  <c r="AW29" i="12"/>
  <c r="I28" i="12"/>
  <c r="AJ4" i="15"/>
  <c r="AK4" i="15" s="1"/>
  <c r="AL4" i="15" s="1"/>
  <c r="AM4" i="15" s="1"/>
  <c r="AN4" i="15" s="1"/>
  <c r="AO4" i="15" s="1"/>
  <c r="AP4" i="15" s="1"/>
  <c r="AQ4" i="15" s="1"/>
  <c r="AR4" i="15" s="1"/>
  <c r="AS4" i="15" s="1"/>
  <c r="AT4" i="15" s="1"/>
  <c r="AU4" i="15" s="1"/>
  <c r="AV4" i="15" s="1"/>
  <c r="AW4" i="15" s="1"/>
  <c r="AX4" i="15" s="1"/>
  <c r="AY4" i="15" s="1"/>
  <c r="AZ4" i="15" s="1"/>
  <c r="BA4" i="15" s="1"/>
  <c r="BB4" i="15" s="1"/>
  <c r="BC4" i="15" s="1"/>
  <c r="BD4" i="15" s="1"/>
  <c r="BE4" i="15" s="1"/>
  <c r="BF4" i="15" s="1"/>
  <c r="AC28" i="15"/>
  <c r="AC30" i="15"/>
  <c r="AC48" i="15"/>
  <c r="AK52" i="15"/>
  <c r="AL52" i="15" s="1"/>
  <c r="AM52" i="15" s="1"/>
  <c r="AN52" i="15" s="1"/>
  <c r="AO52" i="15" s="1"/>
  <c r="AP52" i="15" s="1"/>
  <c r="AQ52" i="15" s="1"/>
  <c r="AR52" i="15" s="1"/>
  <c r="AS52" i="15" s="1"/>
  <c r="AT52" i="15" s="1"/>
  <c r="AU52" i="15" s="1"/>
  <c r="AV52" i="15" s="1"/>
  <c r="AW52" i="15" s="1"/>
  <c r="AX52" i="15" s="1"/>
  <c r="AY52" i="15" s="1"/>
  <c r="AZ52" i="15" s="1"/>
  <c r="BA52" i="15" s="1"/>
  <c r="BB52" i="15" s="1"/>
  <c r="BC52" i="15" s="1"/>
  <c r="BD52" i="15" s="1"/>
  <c r="BE52" i="15" s="1"/>
  <c r="BF52" i="15" s="1"/>
  <c r="AV45" i="12" s="1"/>
  <c r="AC52" i="15"/>
  <c r="AC53" i="15"/>
  <c r="AC14" i="15"/>
  <c r="AC4" i="15"/>
  <c r="AC6" i="15"/>
  <c r="AM28" i="15"/>
  <c r="AN28" i="15" s="1"/>
  <c r="AO28" i="15" s="1"/>
  <c r="AP28" i="15" s="1"/>
  <c r="AQ28" i="15" s="1"/>
  <c r="AR28" i="15" s="1"/>
  <c r="AS28" i="15" s="1"/>
  <c r="AT28" i="15" s="1"/>
  <c r="AU28" i="15" s="1"/>
  <c r="AV28" i="15" s="1"/>
  <c r="AW28" i="15" s="1"/>
  <c r="AX28" i="15" s="1"/>
  <c r="AY28" i="15" s="1"/>
  <c r="AZ28" i="15" s="1"/>
  <c r="BA28" i="15" s="1"/>
  <c r="BB28" i="15" s="1"/>
  <c r="BC28" i="15" s="1"/>
  <c r="BD28" i="15" s="1"/>
  <c r="BE28" i="15" s="1"/>
  <c r="BF28" i="15" s="1"/>
  <c r="AP43" i="12" s="1"/>
  <c r="AM34" i="15"/>
  <c r="AN34" i="15" s="1"/>
  <c r="AO34" i="15" s="1"/>
  <c r="AP34" i="15" s="1"/>
  <c r="AQ34" i="15" s="1"/>
  <c r="AR34" i="15" s="1"/>
  <c r="AS34" i="15" s="1"/>
  <c r="AT34" i="15" s="1"/>
  <c r="AU34" i="15" s="1"/>
  <c r="AV34" i="15" s="1"/>
  <c r="AW34" i="15" s="1"/>
  <c r="AX34" i="15" s="1"/>
  <c r="AY34" i="15" s="1"/>
  <c r="AZ34" i="15" s="1"/>
  <c r="BA34" i="15" s="1"/>
  <c r="BB34" i="15" s="1"/>
  <c r="BC34" i="15" s="1"/>
  <c r="BD34" i="15" s="1"/>
  <c r="BE34" i="15" s="1"/>
  <c r="BF34" i="15" s="1"/>
  <c r="AP49" i="12" s="1"/>
  <c r="I52" i="12" l="1"/>
  <c r="AM16" i="12"/>
  <c r="AN16" i="12" s="1"/>
  <c r="AS51" i="12"/>
  <c r="AT51" i="12" s="1"/>
  <c r="BA51" i="12" s="1"/>
  <c r="AW55" i="12"/>
  <c r="AW51" i="12"/>
  <c r="AM51" i="12"/>
  <c r="AS50" i="12"/>
  <c r="AS55" i="12"/>
  <c r="AM55" i="12"/>
  <c r="AU24" i="12"/>
  <c r="AC31" i="12"/>
  <c r="BR31" i="12" s="1"/>
  <c r="T31" i="12"/>
  <c r="AA31" i="12" s="1"/>
  <c r="AZ31" i="12"/>
  <c r="AU31" i="12"/>
  <c r="AX31" i="12" s="1"/>
  <c r="AC55" i="12"/>
  <c r="T55" i="12"/>
  <c r="AA55" i="12" s="1"/>
  <c r="BF31" i="12" s="1"/>
  <c r="BB20" i="12"/>
  <c r="K60" i="10"/>
  <c r="L60" i="10" s="1"/>
  <c r="T54" i="12"/>
  <c r="AA54" i="12" s="1"/>
  <c r="BF30" i="12" s="1"/>
  <c r="AC54" i="12"/>
  <c r="AZ24" i="12"/>
  <c r="AU30" i="12"/>
  <c r="AX30" i="12" s="1"/>
  <c r="AZ30" i="12"/>
  <c r="T30" i="12"/>
  <c r="AA30" i="12" s="1"/>
  <c r="AC30" i="12"/>
  <c r="BR30" i="12" s="1"/>
  <c r="BG12" i="15"/>
  <c r="AM49" i="12"/>
  <c r="E118" i="10" s="1"/>
  <c r="F118" i="10" s="1"/>
  <c r="AW47" i="12"/>
  <c r="BB47" i="12" s="1"/>
  <c r="AS47" i="12"/>
  <c r="H116" i="10" s="1"/>
  <c r="I116" i="10" s="1"/>
  <c r="AM47" i="12"/>
  <c r="E116" i="10" s="1"/>
  <c r="F116" i="10" s="1"/>
  <c r="BG10" i="15"/>
  <c r="L92" i="10"/>
  <c r="BG32" i="15"/>
  <c r="BG54" i="15"/>
  <c r="AT28" i="12"/>
  <c r="BA28" i="12" s="1"/>
  <c r="L85" i="10"/>
  <c r="L84" i="10"/>
  <c r="I24" i="12"/>
  <c r="J24" i="12" s="1"/>
  <c r="AW60" i="15"/>
  <c r="AX60" i="15" s="1"/>
  <c r="AY60" i="15" s="1"/>
  <c r="AZ60" i="15" s="1"/>
  <c r="BA60" i="15" s="1"/>
  <c r="BB60" i="15" s="1"/>
  <c r="BC60" i="15" s="1"/>
  <c r="BD60" i="15" s="1"/>
  <c r="BE60" i="15" s="1"/>
  <c r="BF60" i="15" s="1"/>
  <c r="R22" i="12"/>
  <c r="S22" i="12" s="1"/>
  <c r="AD22" i="12" s="1"/>
  <c r="BS22" i="12" s="1"/>
  <c r="AW16" i="15"/>
  <c r="AX16" i="15" s="1"/>
  <c r="AY16" i="15" s="1"/>
  <c r="AZ16" i="15" s="1"/>
  <c r="BA16" i="15" s="1"/>
  <c r="BB16" i="15" s="1"/>
  <c r="BC16" i="15" s="1"/>
  <c r="BD16" i="15" s="1"/>
  <c r="BE16" i="15" s="1"/>
  <c r="BF16" i="15" s="1"/>
  <c r="AW38" i="15"/>
  <c r="AX38" i="15" s="1"/>
  <c r="AY38" i="15" s="1"/>
  <c r="AZ38" i="15" s="1"/>
  <c r="BA38" i="15" s="1"/>
  <c r="BB38" i="15" s="1"/>
  <c r="BC38" i="15" s="1"/>
  <c r="BD38" i="15" s="1"/>
  <c r="BE38" i="15" s="1"/>
  <c r="BF38" i="15" s="1"/>
  <c r="R46" i="12"/>
  <c r="H87" i="10" s="1"/>
  <c r="I87" i="10" s="1"/>
  <c r="J87" i="10" s="1"/>
  <c r="I48" i="12"/>
  <c r="J48" i="12" s="1"/>
  <c r="I21" i="12"/>
  <c r="J21" i="12" s="1"/>
  <c r="AC21" i="12" s="1"/>
  <c r="BR21" i="12" s="1"/>
  <c r="R52" i="12"/>
  <c r="H93" i="10" s="1"/>
  <c r="I93" i="10" s="1"/>
  <c r="R48" i="12"/>
  <c r="S48" i="12" s="1"/>
  <c r="AT42" i="12"/>
  <c r="BA42" i="12" s="1"/>
  <c r="BG36" i="15"/>
  <c r="BG50" i="15"/>
  <c r="AV43" i="12"/>
  <c r="AW43" i="12" s="1"/>
  <c r="BB43" i="12" s="1"/>
  <c r="BG26" i="15"/>
  <c r="AP41" i="12"/>
  <c r="AS41" i="12" s="1"/>
  <c r="H110" i="10" s="1"/>
  <c r="I110" i="10" s="1"/>
  <c r="BG56" i="15"/>
  <c r="AW49" i="12"/>
  <c r="BB49" i="12" s="1"/>
  <c r="BG30" i="15"/>
  <c r="AP45" i="12"/>
  <c r="AS45" i="12" s="1"/>
  <c r="AT45" i="12" s="1"/>
  <c r="BA45" i="12" s="1"/>
  <c r="AT40" i="12"/>
  <c r="BA40" i="12" s="1"/>
  <c r="AP44" i="12"/>
  <c r="AS44" i="12" s="1"/>
  <c r="T40" i="12"/>
  <c r="AA40" i="12" s="1"/>
  <c r="AN42" i="12"/>
  <c r="AZ42" i="12" s="1"/>
  <c r="BG51" i="15"/>
  <c r="AW44" i="12"/>
  <c r="I27" i="12"/>
  <c r="E27" i="10" s="1"/>
  <c r="F27" i="10" s="1"/>
  <c r="AU20" i="12"/>
  <c r="AX20" i="12" s="1"/>
  <c r="T43" i="12"/>
  <c r="AA43" i="12" s="1"/>
  <c r="BF19" i="12" s="1"/>
  <c r="R42" i="12"/>
  <c r="S42" i="12" s="1"/>
  <c r="T42" i="12" s="1"/>
  <c r="AA42" i="12" s="1"/>
  <c r="BF18" i="12" s="1"/>
  <c r="BG58" i="15"/>
  <c r="BG61" i="15"/>
  <c r="AM27" i="12"/>
  <c r="E67" i="10" s="1"/>
  <c r="F67" i="10" s="1"/>
  <c r="Z19" i="12"/>
  <c r="AE19" i="12" s="1"/>
  <c r="BT19" i="12" s="1"/>
  <c r="Z17" i="12"/>
  <c r="AE17" i="12" s="1"/>
  <c r="BT17" i="12" s="1"/>
  <c r="AS26" i="12"/>
  <c r="AT26" i="12" s="1"/>
  <c r="BA26" i="12" s="1"/>
  <c r="R26" i="12"/>
  <c r="H26" i="10" s="1"/>
  <c r="I26" i="10" s="1"/>
  <c r="E64" i="10"/>
  <c r="F64" i="10" s="1"/>
  <c r="BG35" i="15"/>
  <c r="H17" i="10"/>
  <c r="I17" i="10" s="1"/>
  <c r="Z23" i="12"/>
  <c r="K23" i="10" s="1"/>
  <c r="Z29" i="12"/>
  <c r="K29" i="10" s="1"/>
  <c r="BG13" i="15"/>
  <c r="AM25" i="12"/>
  <c r="AN25" i="12" s="1"/>
  <c r="BG29" i="15"/>
  <c r="I19" i="12"/>
  <c r="J19" i="12" s="1"/>
  <c r="Z26" i="12"/>
  <c r="K26" i="10" s="1"/>
  <c r="R25" i="12"/>
  <c r="S25" i="12" s="1"/>
  <c r="AD25" i="12" s="1"/>
  <c r="BS25" i="12" s="1"/>
  <c r="I25" i="12"/>
  <c r="E25" i="10" s="1"/>
  <c r="F25" i="10" s="1"/>
  <c r="Z20" i="12"/>
  <c r="K20" i="10" s="1"/>
  <c r="Z24" i="12"/>
  <c r="K24" i="10" s="1"/>
  <c r="I29" i="12"/>
  <c r="E29" i="10" s="1"/>
  <c r="F29" i="10" s="1"/>
  <c r="R23" i="12"/>
  <c r="H23" i="10" s="1"/>
  <c r="I23" i="10" s="1"/>
  <c r="AM29" i="12"/>
  <c r="E69" i="10" s="1"/>
  <c r="F69" i="10" s="1"/>
  <c r="AJ44" i="12"/>
  <c r="AM44" i="12" s="1"/>
  <c r="K111" i="10"/>
  <c r="R19" i="12"/>
  <c r="S19" i="12" s="1"/>
  <c r="AD19" i="12" s="1"/>
  <c r="BS19" i="12" s="1"/>
  <c r="Z28" i="12"/>
  <c r="AE28" i="12" s="1"/>
  <c r="BT28" i="12" s="1"/>
  <c r="R27" i="12"/>
  <c r="S27" i="12" s="1"/>
  <c r="AD27" i="12" s="1"/>
  <c r="BS27" i="12" s="1"/>
  <c r="Z22" i="12"/>
  <c r="K22" i="10" s="1"/>
  <c r="I20" i="12"/>
  <c r="J20" i="12" s="1"/>
  <c r="AJ41" i="12"/>
  <c r="AM41" i="12" s="1"/>
  <c r="BG4" i="15"/>
  <c r="Z21" i="12"/>
  <c r="BG48" i="15"/>
  <c r="AW41" i="12"/>
  <c r="AS25" i="12"/>
  <c r="R45" i="12"/>
  <c r="R20" i="12"/>
  <c r="S20" i="12" s="1"/>
  <c r="AM19" i="12"/>
  <c r="AS46" i="12"/>
  <c r="BG31" i="15"/>
  <c r="AT22" i="12"/>
  <c r="BA22" i="12" s="1"/>
  <c r="H62" i="10"/>
  <c r="I62" i="10" s="1"/>
  <c r="R24" i="12"/>
  <c r="S24" i="12" s="1"/>
  <c r="BG47" i="15"/>
  <c r="Z27" i="12"/>
  <c r="AE46" i="12"/>
  <c r="K87" i="10"/>
  <c r="BG53" i="15"/>
  <c r="AW46" i="12"/>
  <c r="BG39" i="15"/>
  <c r="BG17" i="15"/>
  <c r="AN21" i="12"/>
  <c r="E61" i="10"/>
  <c r="F61" i="10" s="1"/>
  <c r="AJ45" i="12"/>
  <c r="AM45" i="12" s="1"/>
  <c r="BG8" i="15"/>
  <c r="BB23" i="12"/>
  <c r="K63" i="10"/>
  <c r="H64" i="10"/>
  <c r="I64" i="10" s="1"/>
  <c r="AS29" i="12"/>
  <c r="AM26" i="12"/>
  <c r="AE47" i="12"/>
  <c r="K88" i="10"/>
  <c r="R18" i="12"/>
  <c r="BB27" i="12"/>
  <c r="K67" i="10"/>
  <c r="BG14" i="15"/>
  <c r="AE50" i="12"/>
  <c r="K91" i="10"/>
  <c r="BB17" i="12"/>
  <c r="K57" i="10"/>
  <c r="BB26" i="12"/>
  <c r="K66" i="10"/>
  <c r="I23" i="12"/>
  <c r="E18" i="10"/>
  <c r="F18" i="10" s="1"/>
  <c r="J18" i="12"/>
  <c r="J16" i="12"/>
  <c r="E16" i="10"/>
  <c r="F16" i="10" s="1"/>
  <c r="J28" i="12"/>
  <c r="E28" i="10"/>
  <c r="F28" i="10" s="1"/>
  <c r="E58" i="10"/>
  <c r="F58" i="10" s="1"/>
  <c r="AN18" i="12"/>
  <c r="AE48" i="12"/>
  <c r="K89" i="10"/>
  <c r="AC49" i="12"/>
  <c r="T49" i="12"/>
  <c r="AA49" i="12" s="1"/>
  <c r="BF25" i="12" s="1"/>
  <c r="I26" i="12"/>
  <c r="K64" i="10"/>
  <c r="BB24" i="12"/>
  <c r="AT21" i="12"/>
  <c r="BA21" i="12" s="1"/>
  <c r="H61" i="10"/>
  <c r="I61" i="10" s="1"/>
  <c r="BG57" i="15"/>
  <c r="BB18" i="12"/>
  <c r="K58" i="10"/>
  <c r="AN17" i="12"/>
  <c r="E57" i="10"/>
  <c r="F57" i="10" s="1"/>
  <c r="AZ28" i="12"/>
  <c r="S53" i="12"/>
  <c r="AD53" i="12" s="1"/>
  <c r="H94" i="10"/>
  <c r="I94" i="10" s="1"/>
  <c r="J17" i="12"/>
  <c r="E17" i="10"/>
  <c r="F17" i="10" s="1"/>
  <c r="AV32" i="12"/>
  <c r="AW16" i="12"/>
  <c r="Z56" i="12"/>
  <c r="AE40" i="12"/>
  <c r="K81" i="10"/>
  <c r="L81" i="10" s="1"/>
  <c r="R28" i="12"/>
  <c r="BG52" i="15"/>
  <c r="AW45" i="12"/>
  <c r="BB29" i="12"/>
  <c r="K69" i="10"/>
  <c r="AT17" i="12"/>
  <c r="H57" i="10"/>
  <c r="I57" i="10" s="1"/>
  <c r="R29" i="12"/>
  <c r="AS19" i="12"/>
  <c r="AT23" i="12"/>
  <c r="BA23" i="12" s="1"/>
  <c r="H63" i="10"/>
  <c r="I63" i="10" s="1"/>
  <c r="BB19" i="12"/>
  <c r="K59" i="10"/>
  <c r="AE53" i="12"/>
  <c r="K94" i="10"/>
  <c r="AC42" i="12"/>
  <c r="AE45" i="12"/>
  <c r="K86" i="10"/>
  <c r="S47" i="12"/>
  <c r="H88" i="10"/>
  <c r="I88" i="10" s="1"/>
  <c r="J88" i="10" s="1"/>
  <c r="AN23" i="12"/>
  <c r="E63" i="10"/>
  <c r="F63" i="10" s="1"/>
  <c r="R50" i="12"/>
  <c r="AC44" i="12"/>
  <c r="T44" i="12"/>
  <c r="AA44" i="12" s="1"/>
  <c r="BF20" i="12" s="1"/>
  <c r="I22" i="12"/>
  <c r="Z16" i="12"/>
  <c r="K61" i="10"/>
  <c r="BB21" i="12"/>
  <c r="AE42" i="12"/>
  <c r="K83" i="10"/>
  <c r="AE52" i="12"/>
  <c r="K93" i="10"/>
  <c r="AS49" i="12"/>
  <c r="BG34" i="15"/>
  <c r="BG6" i="15"/>
  <c r="AJ43" i="12"/>
  <c r="AM43" i="12" s="1"/>
  <c r="AN43" i="12" s="1"/>
  <c r="Z25" i="12"/>
  <c r="H67" i="10"/>
  <c r="I67" i="10" s="1"/>
  <c r="AT27" i="12"/>
  <c r="BA27" i="12" s="1"/>
  <c r="AC41" i="12"/>
  <c r="T41" i="12"/>
  <c r="BB22" i="12"/>
  <c r="K62" i="10"/>
  <c r="Z18" i="12"/>
  <c r="AN22" i="12"/>
  <c r="E62" i="10"/>
  <c r="F62" i="10" s="1"/>
  <c r="J53" i="12"/>
  <c r="E94" i="10"/>
  <c r="F94" i="10" s="1"/>
  <c r="AS43" i="12"/>
  <c r="AT43" i="12" s="1"/>
  <c r="BG28" i="15"/>
  <c r="AJ46" i="12"/>
  <c r="AM46" i="12" s="1"/>
  <c r="BG9" i="15"/>
  <c r="BB25" i="12"/>
  <c r="K65" i="10"/>
  <c r="S21" i="12"/>
  <c r="H21" i="10"/>
  <c r="I21" i="10" s="1"/>
  <c r="BB28" i="12"/>
  <c r="K68" i="10"/>
  <c r="L68" i="10" s="1"/>
  <c r="AT18" i="12"/>
  <c r="BA18" i="12" s="1"/>
  <c r="H58" i="10"/>
  <c r="I58" i="10" s="1"/>
  <c r="J52" i="12"/>
  <c r="E93" i="10"/>
  <c r="F93" i="10" s="1"/>
  <c r="AJ40" i="12"/>
  <c r="AM40" i="12" s="1"/>
  <c r="BG3" i="15"/>
  <c r="T51" i="12"/>
  <c r="AA51" i="12" s="1"/>
  <c r="BF27" i="12" s="1"/>
  <c r="J111" i="10"/>
  <c r="BG30" i="12" l="1"/>
  <c r="BP30" i="12"/>
  <c r="BE31" i="12"/>
  <c r="BO31" i="12"/>
  <c r="BP20" i="12"/>
  <c r="BG20" i="12"/>
  <c r="BE30" i="12"/>
  <c r="BO30" i="12"/>
  <c r="BP31" i="12"/>
  <c r="BG31" i="12"/>
  <c r="E56" i="10"/>
  <c r="F56" i="10" s="1"/>
  <c r="AS54" i="12"/>
  <c r="AT54" i="12" s="1"/>
  <c r="BA54" i="12" s="1"/>
  <c r="AP53" i="12"/>
  <c r="AS53" i="12" s="1"/>
  <c r="H122" i="10" s="1"/>
  <c r="I122" i="10" s="1"/>
  <c r="BG16" i="15"/>
  <c r="AJ53" i="12"/>
  <c r="AW54" i="12"/>
  <c r="BB54" i="12" s="1"/>
  <c r="AV53" i="12"/>
  <c r="AW53" i="12" s="1"/>
  <c r="K122" i="10" s="1"/>
  <c r="K123" i="10"/>
  <c r="BB55" i="12"/>
  <c r="K124" i="10"/>
  <c r="H124" i="10"/>
  <c r="I124" i="10" s="1"/>
  <c r="AT55" i="12"/>
  <c r="BA55" i="12" s="1"/>
  <c r="E124" i="10"/>
  <c r="F124" i="10" s="1"/>
  <c r="AN55" i="12"/>
  <c r="AM54" i="12"/>
  <c r="E24" i="10"/>
  <c r="F24" i="10" s="1"/>
  <c r="AC24" i="12"/>
  <c r="BR24" i="12" s="1"/>
  <c r="AD48" i="12"/>
  <c r="BG38" i="15"/>
  <c r="BG60" i="15"/>
  <c r="AM53" i="12"/>
  <c r="E122" i="10" s="1"/>
  <c r="F122" i="10" s="1"/>
  <c r="AM48" i="12"/>
  <c r="AN48" i="12" s="1"/>
  <c r="AT47" i="12"/>
  <c r="BA47" i="12" s="1"/>
  <c r="AN47" i="12"/>
  <c r="AZ47" i="12" s="1"/>
  <c r="J116" i="10"/>
  <c r="AW52" i="12"/>
  <c r="K116" i="10"/>
  <c r="AW50" i="12"/>
  <c r="K119" i="10" s="1"/>
  <c r="AW48" i="12"/>
  <c r="K117" i="10" s="1"/>
  <c r="AS52" i="12"/>
  <c r="AS48" i="12"/>
  <c r="AT48" i="12" s="1"/>
  <c r="AM52" i="12"/>
  <c r="AM50" i="12"/>
  <c r="AN49" i="12"/>
  <c r="AZ49" i="12" s="1"/>
  <c r="AU28" i="12"/>
  <c r="AX28" i="12" s="1"/>
  <c r="H22" i="10"/>
  <c r="I22" i="10" s="1"/>
  <c r="E89" i="10"/>
  <c r="F89" i="10" s="1"/>
  <c r="S46" i="12"/>
  <c r="T46" i="12" s="1"/>
  <c r="AA46" i="12" s="1"/>
  <c r="BF22" i="12" s="1"/>
  <c r="E21" i="10"/>
  <c r="F21" i="10" s="1"/>
  <c r="J21" i="10" s="1"/>
  <c r="S52" i="12"/>
  <c r="AD52" i="12" s="1"/>
  <c r="K118" i="10"/>
  <c r="H89" i="10"/>
  <c r="I89" i="10" s="1"/>
  <c r="AT50" i="12"/>
  <c r="BA50" i="12" s="1"/>
  <c r="H119" i="10"/>
  <c r="I119" i="10" s="1"/>
  <c r="K120" i="10"/>
  <c r="BB51" i="12"/>
  <c r="H113" i="10"/>
  <c r="I113" i="10" s="1"/>
  <c r="AT44" i="12"/>
  <c r="BA44" i="12" s="1"/>
  <c r="AU42" i="12"/>
  <c r="AX42" i="12" s="1"/>
  <c r="BH18" i="12" s="1"/>
  <c r="E19" i="10"/>
  <c r="F19" i="10" s="1"/>
  <c r="K28" i="10"/>
  <c r="AN27" i="12"/>
  <c r="AZ27" i="12" s="1"/>
  <c r="H120" i="10"/>
  <c r="I120" i="10" s="1"/>
  <c r="S23" i="12"/>
  <c r="AD23" i="12" s="1"/>
  <c r="BS23" i="12" s="1"/>
  <c r="S26" i="12"/>
  <c r="AD26" i="12" s="1"/>
  <c r="BS26" i="12" s="1"/>
  <c r="AE26" i="12"/>
  <c r="BT26" i="12" s="1"/>
  <c r="H66" i="10"/>
  <c r="I66" i="10" s="1"/>
  <c r="J27" i="12"/>
  <c r="AC27" i="12" s="1"/>
  <c r="BR27" i="12" s="1"/>
  <c r="H19" i="10"/>
  <c r="I19" i="10" s="1"/>
  <c r="AE29" i="12"/>
  <c r="BT29" i="12" s="1"/>
  <c r="K112" i="10"/>
  <c r="K113" i="10"/>
  <c r="BB44" i="12"/>
  <c r="K19" i="10"/>
  <c r="K17" i="10"/>
  <c r="H83" i="10"/>
  <c r="I83" i="10" s="1"/>
  <c r="J83" i="10" s="1"/>
  <c r="H114" i="10"/>
  <c r="I114" i="10" s="1"/>
  <c r="AT41" i="12"/>
  <c r="BA41" i="12" s="1"/>
  <c r="AE20" i="12"/>
  <c r="BT20" i="12" s="1"/>
  <c r="J17" i="10"/>
  <c r="J64" i="10"/>
  <c r="L64" i="10" s="1"/>
  <c r="AN29" i="12"/>
  <c r="AZ29" i="12" s="1"/>
  <c r="E65" i="10"/>
  <c r="F65" i="10" s="1"/>
  <c r="L111" i="10"/>
  <c r="AE23" i="12"/>
  <c r="BT23" i="12" s="1"/>
  <c r="J29" i="12"/>
  <c r="AC29" i="12" s="1"/>
  <c r="BR29" i="12" s="1"/>
  <c r="AE24" i="12"/>
  <c r="BT24" i="12" s="1"/>
  <c r="J62" i="10"/>
  <c r="L62" i="10" s="1"/>
  <c r="AE22" i="12"/>
  <c r="BT22" i="12" s="1"/>
  <c r="H27" i="10"/>
  <c r="I27" i="10" s="1"/>
  <c r="J27" i="10" s="1"/>
  <c r="E20" i="10"/>
  <c r="F20" i="10" s="1"/>
  <c r="J25" i="12"/>
  <c r="T25" i="12" s="1"/>
  <c r="AA25" i="12" s="1"/>
  <c r="AN44" i="12"/>
  <c r="E113" i="10"/>
  <c r="F113" i="10" s="1"/>
  <c r="J63" i="10"/>
  <c r="L63" i="10" s="1"/>
  <c r="J93" i="10"/>
  <c r="L93" i="10" s="1"/>
  <c r="H25" i="10"/>
  <c r="I25" i="10" s="1"/>
  <c r="J25" i="10" s="1"/>
  <c r="S28" i="12"/>
  <c r="AD28" i="12" s="1"/>
  <c r="BS28" i="12" s="1"/>
  <c r="H28" i="10"/>
  <c r="I28" i="10" s="1"/>
  <c r="J28" i="10" s="1"/>
  <c r="J56" i="10"/>
  <c r="AD21" i="12"/>
  <c r="BS21" i="12" s="1"/>
  <c r="T21" i="12"/>
  <c r="AA21" i="12" s="1"/>
  <c r="J57" i="10"/>
  <c r="L57" i="10" s="1"/>
  <c r="J58" i="10"/>
  <c r="L58" i="10" s="1"/>
  <c r="AU16" i="12"/>
  <c r="AZ16" i="12"/>
  <c r="AD20" i="12"/>
  <c r="BS20" i="12" s="1"/>
  <c r="H20" i="10"/>
  <c r="I20" i="10" s="1"/>
  <c r="AU22" i="12"/>
  <c r="AX22" i="12" s="1"/>
  <c r="AZ22" i="12"/>
  <c r="J22" i="12"/>
  <c r="E22" i="10"/>
  <c r="F22" i="10" s="1"/>
  <c r="AZ17" i="12"/>
  <c r="AU17" i="12"/>
  <c r="AX17" i="12" s="1"/>
  <c r="AD42" i="12"/>
  <c r="S45" i="12"/>
  <c r="H86" i="10"/>
  <c r="I86" i="10" s="1"/>
  <c r="J86" i="10" s="1"/>
  <c r="L86" i="10" s="1"/>
  <c r="K21" i="10"/>
  <c r="AE21" i="12"/>
  <c r="BT21" i="12" s="1"/>
  <c r="AC53" i="12"/>
  <c r="T53" i="12"/>
  <c r="AA53" i="12" s="1"/>
  <c r="BF29" i="12" s="1"/>
  <c r="J23" i="12"/>
  <c r="E23" i="10"/>
  <c r="F23" i="10" s="1"/>
  <c r="J23" i="10" s="1"/>
  <c r="L23" i="10" s="1"/>
  <c r="AU21" i="12"/>
  <c r="AX21" i="12" s="1"/>
  <c r="AZ21" i="12"/>
  <c r="AN19" i="12"/>
  <c r="E59" i="10"/>
  <c r="F59" i="10" s="1"/>
  <c r="E109" i="10"/>
  <c r="F109" i="10" s="1"/>
  <c r="AN40" i="12"/>
  <c r="AE18" i="12"/>
  <c r="BT18" i="12" s="1"/>
  <c r="K18" i="10"/>
  <c r="AT49" i="12"/>
  <c r="BA49" i="12" s="1"/>
  <c r="H118" i="10"/>
  <c r="I118" i="10" s="1"/>
  <c r="J118" i="10" s="1"/>
  <c r="AZ25" i="12"/>
  <c r="K97" i="10"/>
  <c r="J26" i="12"/>
  <c r="E26" i="10"/>
  <c r="F26" i="10" s="1"/>
  <c r="J26" i="10" s="1"/>
  <c r="L26" i="10" s="1"/>
  <c r="AT25" i="12"/>
  <c r="BA25" i="12" s="1"/>
  <c r="H65" i="10"/>
  <c r="I65" i="10" s="1"/>
  <c r="E112" i="10"/>
  <c r="F112" i="10" s="1"/>
  <c r="Z32" i="12"/>
  <c r="AE16" i="12"/>
  <c r="K16" i="10"/>
  <c r="AT19" i="12"/>
  <c r="BA19" i="12" s="1"/>
  <c r="H59" i="10"/>
  <c r="I59" i="10" s="1"/>
  <c r="BF16" i="12"/>
  <c r="AE27" i="12"/>
  <c r="BT27" i="12" s="1"/>
  <c r="K27" i="10"/>
  <c r="J67" i="10"/>
  <c r="L67" i="10" s="1"/>
  <c r="AN41" i="12"/>
  <c r="E110" i="10"/>
  <c r="F110" i="10" s="1"/>
  <c r="J110" i="10" s="1"/>
  <c r="AE56" i="12"/>
  <c r="AC28" i="12"/>
  <c r="BR28" i="12" s="1"/>
  <c r="H18" i="10"/>
  <c r="I18" i="10" s="1"/>
  <c r="J18" i="10" s="1"/>
  <c r="S18" i="12"/>
  <c r="T18" i="12" s="1"/>
  <c r="AA18" i="12" s="1"/>
  <c r="AN45" i="12"/>
  <c r="E114" i="10"/>
  <c r="F114" i="10" s="1"/>
  <c r="AW40" i="12"/>
  <c r="AZ18" i="12"/>
  <c r="AU18" i="12"/>
  <c r="AX18" i="12" s="1"/>
  <c r="S50" i="12"/>
  <c r="H91" i="10"/>
  <c r="I91" i="10" s="1"/>
  <c r="J91" i="10" s="1"/>
  <c r="L91" i="10" s="1"/>
  <c r="AA41" i="12"/>
  <c r="BF17" i="12" s="1"/>
  <c r="E115" i="10"/>
  <c r="F115" i="10" s="1"/>
  <c r="AN46" i="12"/>
  <c r="AU23" i="12"/>
  <c r="AX23" i="12" s="1"/>
  <c r="AZ23" i="12"/>
  <c r="BA17" i="12"/>
  <c r="BB16" i="12"/>
  <c r="BB32" i="12" s="1"/>
  <c r="AW32" i="12"/>
  <c r="K56" i="10"/>
  <c r="K72" i="10" s="1"/>
  <c r="T16" i="12"/>
  <c r="AC16" i="12"/>
  <c r="AD24" i="12"/>
  <c r="BS24" i="12" s="1"/>
  <c r="H24" i="10"/>
  <c r="I24" i="10" s="1"/>
  <c r="S29" i="12"/>
  <c r="AD29" i="12" s="1"/>
  <c r="BS29" i="12" s="1"/>
  <c r="H29" i="10"/>
  <c r="I29" i="10" s="1"/>
  <c r="J29" i="10" s="1"/>
  <c r="L29" i="10" s="1"/>
  <c r="J56" i="12"/>
  <c r="L88" i="10"/>
  <c r="AC18" i="12"/>
  <c r="BR18" i="12" s="1"/>
  <c r="AN26" i="12"/>
  <c r="E66" i="10"/>
  <c r="F66" i="10" s="1"/>
  <c r="K110" i="10"/>
  <c r="BB41" i="12"/>
  <c r="H112" i="10"/>
  <c r="I112" i="10" s="1"/>
  <c r="AD47" i="12"/>
  <c r="T47" i="12"/>
  <c r="AA47" i="12" s="1"/>
  <c r="BF23" i="12" s="1"/>
  <c r="AT29" i="12"/>
  <c r="BA29" i="12" s="1"/>
  <c r="H69" i="10"/>
  <c r="I69" i="10" s="1"/>
  <c r="J69" i="10" s="1"/>
  <c r="L69" i="10" s="1"/>
  <c r="K115" i="10"/>
  <c r="BB46" i="12"/>
  <c r="AC52" i="12"/>
  <c r="AC20" i="12"/>
  <c r="BR20" i="12" s="1"/>
  <c r="J16" i="10"/>
  <c r="BB45" i="12"/>
  <c r="K114" i="10"/>
  <c r="AC17" i="12"/>
  <c r="BR17" i="12" s="1"/>
  <c r="T17" i="12"/>
  <c r="AA17" i="12" s="1"/>
  <c r="AN51" i="12"/>
  <c r="E120" i="10"/>
  <c r="F120" i="10" s="1"/>
  <c r="AC19" i="12"/>
  <c r="BR19" i="12" s="1"/>
  <c r="T19" i="12"/>
  <c r="AA19" i="12" s="1"/>
  <c r="J94" i="10"/>
  <c r="L94" i="10" s="1"/>
  <c r="K25" i="10"/>
  <c r="AE25" i="12"/>
  <c r="BT25" i="12" s="1"/>
  <c r="L87" i="10"/>
  <c r="AC48" i="12"/>
  <c r="BA24" i="12"/>
  <c r="AX24" i="12"/>
  <c r="J61" i="10"/>
  <c r="L61" i="10" s="1"/>
  <c r="AT46" i="12"/>
  <c r="BA46" i="12" s="1"/>
  <c r="H115" i="10"/>
  <c r="I115" i="10" s="1"/>
  <c r="BP23" i="12" l="1"/>
  <c r="BG23" i="12"/>
  <c r="BJ30" i="12"/>
  <c r="BI30" i="12"/>
  <c r="BK30" i="12"/>
  <c r="BE25" i="12"/>
  <c r="BO25" i="12"/>
  <c r="BP28" i="12"/>
  <c r="BG28" i="12"/>
  <c r="BU20" i="12"/>
  <c r="BL20" i="12"/>
  <c r="BG17" i="12"/>
  <c r="BP17" i="12"/>
  <c r="BE17" i="12"/>
  <c r="BO17" i="12"/>
  <c r="BP24" i="12"/>
  <c r="BG24" i="12"/>
  <c r="BI31" i="12"/>
  <c r="BK31" i="12"/>
  <c r="BG18" i="12"/>
  <c r="BU18" i="12" s="1"/>
  <c r="BP18" i="12"/>
  <c r="BG21" i="12"/>
  <c r="BP21" i="12"/>
  <c r="BE18" i="12"/>
  <c r="BO18" i="12"/>
  <c r="BO19" i="12"/>
  <c r="BE19" i="12"/>
  <c r="BE21" i="12"/>
  <c r="BO21" i="12"/>
  <c r="BP22" i="12"/>
  <c r="BG22" i="12"/>
  <c r="BJ31" i="12"/>
  <c r="BL31" i="12"/>
  <c r="H123" i="10"/>
  <c r="I123" i="10" s="1"/>
  <c r="J124" i="10"/>
  <c r="L124" i="10" s="1"/>
  <c r="AN54" i="12"/>
  <c r="E123" i="10"/>
  <c r="F123" i="10" s="1"/>
  <c r="AU55" i="12"/>
  <c r="AX55" i="12" s="1"/>
  <c r="BH31" i="12" s="1"/>
  <c r="BU31" i="12" s="1"/>
  <c r="AZ55" i="12"/>
  <c r="AU48" i="12"/>
  <c r="F97" i="10"/>
  <c r="J24" i="10"/>
  <c r="L24" i="10" s="1"/>
  <c r="H117" i="10"/>
  <c r="I117" i="10" s="1"/>
  <c r="BA48" i="12"/>
  <c r="E117" i="10"/>
  <c r="F117" i="10" s="1"/>
  <c r="AZ48" i="12"/>
  <c r="T48" i="12"/>
  <c r="AA48" i="12" s="1"/>
  <c r="BF24" i="12" s="1"/>
  <c r="AT53" i="12"/>
  <c r="BA53" i="12" s="1"/>
  <c r="BB53" i="12"/>
  <c r="AN53" i="12"/>
  <c r="AZ53" i="12" s="1"/>
  <c r="J122" i="10"/>
  <c r="L122" i="10" s="1"/>
  <c r="BB50" i="12"/>
  <c r="AU47" i="12"/>
  <c r="AX47" i="12" s="1"/>
  <c r="BH23" i="12" s="1"/>
  <c r="BU23" i="12" s="1"/>
  <c r="L116" i="10"/>
  <c r="BB52" i="12"/>
  <c r="K121" i="10"/>
  <c r="BB48" i="12"/>
  <c r="AV56" i="12"/>
  <c r="H121" i="10"/>
  <c r="I121" i="10" s="1"/>
  <c r="AT52" i="12"/>
  <c r="BA52" i="12" s="1"/>
  <c r="AN52" i="12"/>
  <c r="E121" i="10"/>
  <c r="F121" i="10" s="1"/>
  <c r="AN50" i="12"/>
  <c r="AZ50" i="12" s="1"/>
  <c r="E119" i="10"/>
  <c r="F119" i="10" s="1"/>
  <c r="J119" i="10" s="1"/>
  <c r="L119" i="10" s="1"/>
  <c r="T52" i="12"/>
  <c r="AA52" i="12" s="1"/>
  <c r="BF28" i="12" s="1"/>
  <c r="AD46" i="12"/>
  <c r="L118" i="10"/>
  <c r="J22" i="10"/>
  <c r="L22" i="10" s="1"/>
  <c r="L17" i="10"/>
  <c r="T27" i="12"/>
  <c r="AA27" i="12" s="1"/>
  <c r="J113" i="10"/>
  <c r="L113" i="10" s="1"/>
  <c r="J120" i="10"/>
  <c r="L120" i="10" s="1"/>
  <c r="T20" i="12"/>
  <c r="AA20" i="12" s="1"/>
  <c r="L28" i="10"/>
  <c r="J19" i="10"/>
  <c r="L19" i="10" s="1"/>
  <c r="AU27" i="12"/>
  <c r="AX27" i="12" s="1"/>
  <c r="J66" i="10"/>
  <c r="L66" i="10" s="1"/>
  <c r="J114" i="10"/>
  <c r="L114" i="10" s="1"/>
  <c r="AC25" i="12"/>
  <c r="BR25" i="12" s="1"/>
  <c r="L21" i="10"/>
  <c r="S56" i="12"/>
  <c r="J115" i="10"/>
  <c r="L115" i="10" s="1"/>
  <c r="J65" i="10"/>
  <c r="L65" i="10" s="1"/>
  <c r="L25" i="10"/>
  <c r="J32" i="12"/>
  <c r="L27" i="10"/>
  <c r="AC56" i="12"/>
  <c r="J20" i="10"/>
  <c r="L20" i="10" s="1"/>
  <c r="F72" i="10"/>
  <c r="AN32" i="12"/>
  <c r="F32" i="10"/>
  <c r="I72" i="10"/>
  <c r="T28" i="12"/>
  <c r="AA28" i="12" s="1"/>
  <c r="AU49" i="12"/>
  <c r="AX49" i="12" s="1"/>
  <c r="BH25" i="12" s="1"/>
  <c r="BA32" i="12"/>
  <c r="AZ44" i="12"/>
  <c r="AU44" i="12"/>
  <c r="AX44" i="12" s="1"/>
  <c r="BH20" i="12" s="1"/>
  <c r="AC23" i="12"/>
  <c r="BR23" i="12" s="1"/>
  <c r="T23" i="12"/>
  <c r="AA23" i="12" s="1"/>
  <c r="AU29" i="12"/>
  <c r="AX29" i="12" s="1"/>
  <c r="AD50" i="12"/>
  <c r="T50" i="12"/>
  <c r="AA50" i="12" s="1"/>
  <c r="BF26" i="12" s="1"/>
  <c r="AD18" i="12"/>
  <c r="BS18" i="12" s="1"/>
  <c r="S32" i="12"/>
  <c r="AX16" i="12"/>
  <c r="AZ45" i="12"/>
  <c r="AU45" i="12"/>
  <c r="AX45" i="12" s="1"/>
  <c r="BH21" i="12" s="1"/>
  <c r="AU40" i="12"/>
  <c r="AZ40" i="12"/>
  <c r="L16" i="10"/>
  <c r="L18" i="10"/>
  <c r="AT32" i="12"/>
  <c r="J109" i="10"/>
  <c r="AZ51" i="12"/>
  <c r="AU51" i="12"/>
  <c r="AX51" i="12" s="1"/>
  <c r="BH27" i="12" s="1"/>
  <c r="T29" i="12"/>
  <c r="AA29" i="12" s="1"/>
  <c r="T24" i="12"/>
  <c r="AA24" i="12" s="1"/>
  <c r="AC26" i="12"/>
  <c r="BR26" i="12" s="1"/>
  <c r="T26" i="12"/>
  <c r="AA26" i="12" s="1"/>
  <c r="T22" i="12"/>
  <c r="AA22" i="12" s="1"/>
  <c r="AC22" i="12"/>
  <c r="BR22" i="12" s="1"/>
  <c r="AZ26" i="12"/>
  <c r="AU26" i="12"/>
  <c r="AX26" i="12" s="1"/>
  <c r="K32" i="10"/>
  <c r="J59" i="10"/>
  <c r="L59" i="10" s="1"/>
  <c r="L56" i="10"/>
  <c r="BA43" i="12"/>
  <c r="AZ46" i="12"/>
  <c r="AU46" i="12"/>
  <c r="AX46" i="12" s="1"/>
  <c r="BH22" i="12" s="1"/>
  <c r="BB40" i="12"/>
  <c r="AW56" i="12"/>
  <c r="K109" i="10"/>
  <c r="L110" i="10"/>
  <c r="BT16" i="12"/>
  <c r="BT32" i="12" s="1"/>
  <c r="AE32" i="12"/>
  <c r="AZ19" i="12"/>
  <c r="AU19" i="12"/>
  <c r="AX19" i="12" s="1"/>
  <c r="AD45" i="12"/>
  <c r="T45" i="12"/>
  <c r="BR16" i="12"/>
  <c r="AZ41" i="12"/>
  <c r="AU41" i="12"/>
  <c r="AX41" i="12" s="1"/>
  <c r="BH17" i="12" s="1"/>
  <c r="AU25" i="12"/>
  <c r="AX25" i="12" s="1"/>
  <c r="I97" i="10"/>
  <c r="AZ43" i="12"/>
  <c r="AU43" i="12"/>
  <c r="AX43" i="12" s="1"/>
  <c r="BH19" i="12" s="1"/>
  <c r="L83" i="10"/>
  <c r="AA16" i="12"/>
  <c r="J112" i="10"/>
  <c r="L112" i="10" s="1"/>
  <c r="BL17" i="12" l="1"/>
  <c r="J123" i="10"/>
  <c r="L123" i="10" s="1"/>
  <c r="BG19" i="12"/>
  <c r="BP19" i="12"/>
  <c r="BM31" i="12"/>
  <c r="BL21" i="12"/>
  <c r="BJ17" i="12"/>
  <c r="BU17" i="12"/>
  <c r="BO27" i="12"/>
  <c r="BE27" i="12"/>
  <c r="BL18" i="12"/>
  <c r="BE22" i="12"/>
  <c r="BO22" i="12"/>
  <c r="BP27" i="12"/>
  <c r="BG27" i="12"/>
  <c r="BP26" i="12"/>
  <c r="BG26" i="12"/>
  <c r="BU22" i="12"/>
  <c r="BL22" i="12"/>
  <c r="BI19" i="12"/>
  <c r="BG29" i="12"/>
  <c r="BP29" i="12"/>
  <c r="BO23" i="12"/>
  <c r="BE23" i="12"/>
  <c r="BJ21" i="12"/>
  <c r="BI25" i="12"/>
  <c r="BO24" i="12"/>
  <c r="BE24" i="12"/>
  <c r="BE28" i="12"/>
  <c r="BO28" i="12"/>
  <c r="BE20" i="12"/>
  <c r="BO20" i="12"/>
  <c r="BI28" i="12"/>
  <c r="BG25" i="12"/>
  <c r="BJ25" i="12" s="1"/>
  <c r="BP25" i="12"/>
  <c r="BE26" i="12"/>
  <c r="BO26" i="12"/>
  <c r="BE29" i="12"/>
  <c r="BO29" i="12"/>
  <c r="BJ18" i="12"/>
  <c r="BI18" i="12"/>
  <c r="BK18" i="12"/>
  <c r="BK17" i="12"/>
  <c r="BI17" i="12"/>
  <c r="BL23" i="12"/>
  <c r="AZ54" i="12"/>
  <c r="AU54" i="12"/>
  <c r="AX54" i="12" s="1"/>
  <c r="BH30" i="12" s="1"/>
  <c r="I32" i="10"/>
  <c r="I125" i="10"/>
  <c r="J89" i="10"/>
  <c r="L89" i="10" s="1"/>
  <c r="L97" i="10" s="1"/>
  <c r="J117" i="10"/>
  <c r="L117" i="10" s="1"/>
  <c r="AU53" i="12"/>
  <c r="AX53" i="12" s="1"/>
  <c r="BH29" i="12" s="1"/>
  <c r="AT56" i="12"/>
  <c r="AX48" i="12"/>
  <c r="BH24" i="12" s="1"/>
  <c r="BU24" i="12" s="1"/>
  <c r="K125" i="10"/>
  <c r="BA56" i="12"/>
  <c r="BB56" i="12"/>
  <c r="J121" i="10"/>
  <c r="L121" i="10" s="1"/>
  <c r="AU50" i="12"/>
  <c r="AX50" i="12" s="1"/>
  <c r="BH26" i="12" s="1"/>
  <c r="AN56" i="12"/>
  <c r="AZ52" i="12"/>
  <c r="AU52" i="12"/>
  <c r="AX52" i="12" s="1"/>
  <c r="BH28" i="12" s="1"/>
  <c r="BU28" i="12" s="1"/>
  <c r="L72" i="10"/>
  <c r="J32" i="10"/>
  <c r="J72" i="10"/>
  <c r="AU32" i="12"/>
  <c r="BR32" i="12"/>
  <c r="AD56" i="12"/>
  <c r="AZ32" i="12"/>
  <c r="AA45" i="12"/>
  <c r="BF21" i="12" s="1"/>
  <c r="T56" i="12"/>
  <c r="AX40" i="12"/>
  <c r="BS32" i="12"/>
  <c r="AD32" i="12"/>
  <c r="L32" i="10"/>
  <c r="L109" i="10"/>
  <c r="AA32" i="12"/>
  <c r="BO16" i="12"/>
  <c r="BE16" i="12"/>
  <c r="T32" i="12"/>
  <c r="AC32" i="12"/>
  <c r="AX32" i="12"/>
  <c r="BP16" i="12"/>
  <c r="BG16" i="12"/>
  <c r="BM17" i="12" l="1"/>
  <c r="BK25" i="12"/>
  <c r="BU26" i="12"/>
  <c r="BM18" i="12"/>
  <c r="BL24" i="12"/>
  <c r="BU19" i="12"/>
  <c r="BL19" i="12"/>
  <c r="BM19" i="12" s="1"/>
  <c r="BJ20" i="12"/>
  <c r="BI20" i="12"/>
  <c r="BM20" i="12" s="1"/>
  <c r="BK20" i="12"/>
  <c r="BK23" i="12"/>
  <c r="BI23" i="12"/>
  <c r="BM23" i="12" s="1"/>
  <c r="BJ23" i="12"/>
  <c r="BI29" i="12"/>
  <c r="BK29" i="12"/>
  <c r="BJ19" i="12"/>
  <c r="BJ29" i="12"/>
  <c r="BL29" i="12"/>
  <c r="BU29" i="12"/>
  <c r="BJ26" i="12"/>
  <c r="BI26" i="12"/>
  <c r="BM26" i="12" s="1"/>
  <c r="BK26" i="12"/>
  <c r="BJ28" i="12"/>
  <c r="BK28" i="12"/>
  <c r="BK19" i="12"/>
  <c r="BU25" i="12"/>
  <c r="BL25" i="12"/>
  <c r="BM25" i="12"/>
  <c r="BL27" i="12"/>
  <c r="BU27" i="12"/>
  <c r="BI22" i="12"/>
  <c r="BJ22" i="12"/>
  <c r="BK22" i="12"/>
  <c r="BL28" i="12"/>
  <c r="BM28" i="12" s="1"/>
  <c r="BJ24" i="12"/>
  <c r="BK24" i="12"/>
  <c r="BI24" i="12"/>
  <c r="BL30" i="12"/>
  <c r="BM30" i="12" s="1"/>
  <c r="BU30" i="12"/>
  <c r="BJ27" i="12"/>
  <c r="BI27" i="12"/>
  <c r="BK27" i="12"/>
  <c r="BM22" i="12"/>
  <c r="BL26" i="12"/>
  <c r="BK21" i="12"/>
  <c r="BU21" i="12"/>
  <c r="BI21" i="12"/>
  <c r="BM21" i="12" s="1"/>
  <c r="AZ56" i="12"/>
  <c r="J97" i="10"/>
  <c r="F125" i="10"/>
  <c r="J125" i="10"/>
  <c r="L125" i="10"/>
  <c r="AU56" i="12"/>
  <c r="BP32" i="12"/>
  <c r="BH16" i="12"/>
  <c r="AX56" i="12"/>
  <c r="BI16" i="12"/>
  <c r="BK16" i="12"/>
  <c r="BE32" i="12"/>
  <c r="BJ16" i="12"/>
  <c r="BO32" i="12"/>
  <c r="AA56" i="12"/>
  <c r="BG32" i="12"/>
  <c r="BM24" i="12" l="1"/>
  <c r="BM27" i="12"/>
  <c r="BM29" i="12"/>
  <c r="BH32" i="12"/>
  <c r="BL16" i="12"/>
  <c r="BM16" i="12" s="1"/>
  <c r="BU16" i="12"/>
  <c r="BF32" i="12"/>
  <c r="BK32" i="12"/>
  <c r="BJ32" i="12"/>
  <c r="BI32" i="12" l="1"/>
  <c r="BM32" i="12"/>
  <c r="BL32" i="12"/>
  <c r="BU32" i="12"/>
</calcChain>
</file>

<file path=xl/sharedStrings.xml><?xml version="1.0" encoding="utf-8"?>
<sst xmlns="http://schemas.openxmlformats.org/spreadsheetml/2006/main" count="1079" uniqueCount="321">
  <si>
    <t>專利類型</t>
    <phoneticPr fontId="1" type="noConversion"/>
  </si>
  <si>
    <t>申請費</t>
    <phoneticPr fontId="1" type="noConversion"/>
  </si>
  <si>
    <t>台灣</t>
    <phoneticPr fontId="1" type="noConversion"/>
  </si>
  <si>
    <t>大陸</t>
    <phoneticPr fontId="1" type="noConversion"/>
  </si>
  <si>
    <t>美國</t>
    <phoneticPr fontId="1" type="noConversion"/>
  </si>
  <si>
    <t>日本</t>
    <phoneticPr fontId="1" type="noConversion"/>
  </si>
  <si>
    <t>韓國</t>
    <phoneticPr fontId="1" type="noConversion"/>
  </si>
  <si>
    <t>新加坡</t>
    <phoneticPr fontId="1" type="noConversion"/>
  </si>
  <si>
    <t>越南</t>
    <phoneticPr fontId="1" type="noConversion"/>
  </si>
  <si>
    <t>泰國</t>
    <phoneticPr fontId="1" type="noConversion"/>
  </si>
  <si>
    <t>馬來西亞</t>
    <phoneticPr fontId="1" type="noConversion"/>
  </si>
  <si>
    <t>發明</t>
    <phoneticPr fontId="1" type="noConversion"/>
  </si>
  <si>
    <t>幣別</t>
    <phoneticPr fontId="1" type="noConversion"/>
  </si>
  <si>
    <t>NTD</t>
    <phoneticPr fontId="1" type="noConversion"/>
  </si>
  <si>
    <t>CNY</t>
    <phoneticPr fontId="1" type="noConversion"/>
  </si>
  <si>
    <t>USD</t>
    <phoneticPr fontId="1" type="noConversion"/>
  </si>
  <si>
    <t>EUR</t>
    <phoneticPr fontId="1" type="noConversion"/>
  </si>
  <si>
    <t>JPY</t>
    <phoneticPr fontId="1" type="noConversion"/>
  </si>
  <si>
    <t>KRW</t>
    <phoneticPr fontId="1" type="noConversion"/>
  </si>
  <si>
    <t>SGD</t>
    <phoneticPr fontId="1" type="noConversion"/>
  </si>
  <si>
    <t>VND</t>
    <phoneticPr fontId="1" type="noConversion"/>
  </si>
  <si>
    <t>THB</t>
    <phoneticPr fontId="1" type="noConversion"/>
  </si>
  <si>
    <t>MYR</t>
    <phoneticPr fontId="1" type="noConversion"/>
  </si>
  <si>
    <t>基本費</t>
    <phoneticPr fontId="1" type="noConversion"/>
  </si>
  <si>
    <t>案件基本參數</t>
    <phoneticPr fontId="1" type="noConversion"/>
  </si>
  <si>
    <t>超字費</t>
    <phoneticPr fontId="1" type="noConversion"/>
  </si>
  <si>
    <t>超圖費</t>
    <phoneticPr fontId="1" type="noConversion"/>
  </si>
  <si>
    <t>慧盈服務費細項</t>
    <phoneticPr fontId="1" type="noConversion"/>
  </si>
  <si>
    <t>翻譯費</t>
    <phoneticPr fontId="1" type="noConversion"/>
  </si>
  <si>
    <t>外國代理人費用
(A2)</t>
    <phoneticPr fontId="1" type="noConversion"/>
  </si>
  <si>
    <t>申請人規模</t>
    <phoneticPr fontId="1" type="noConversion"/>
  </si>
  <si>
    <t>申請人規模</t>
    <phoneticPr fontId="1" type="noConversion"/>
  </si>
  <si>
    <t>500人以上</t>
    <phoneticPr fontId="1" type="noConversion"/>
  </si>
  <si>
    <t>翻譯案</t>
    <phoneticPr fontId="4" type="noConversion"/>
  </si>
  <si>
    <t>單純送件</t>
    <phoneticPr fontId="1" type="noConversion"/>
  </si>
  <si>
    <t>加拿大</t>
    <phoneticPr fontId="1" type="noConversion"/>
  </si>
  <si>
    <t>CAD</t>
    <phoneticPr fontId="1" type="noConversion"/>
  </si>
  <si>
    <t>審查費</t>
    <phoneticPr fontId="1" type="noConversion"/>
  </si>
  <si>
    <t>製圖費</t>
    <phoneticPr fontId="1" type="noConversion"/>
  </si>
  <si>
    <t>特殊程序費</t>
    <phoneticPr fontId="1" type="noConversion"/>
  </si>
  <si>
    <t>官方費用
(A1)</t>
    <phoneticPr fontId="1" type="noConversion"/>
  </si>
  <si>
    <t>折合台幣</t>
    <phoneticPr fontId="1" type="noConversion"/>
  </si>
  <si>
    <t>備註：</t>
    <phoneticPr fontId="1" type="noConversion"/>
  </si>
  <si>
    <t>設計</t>
    <phoneticPr fontId="1" type="noConversion"/>
  </si>
  <si>
    <t>新型</t>
    <phoneticPr fontId="1" type="noConversion"/>
  </si>
  <si>
    <t>合計</t>
    <phoneticPr fontId="1" type="noConversion"/>
  </si>
  <si>
    <t>初稿案</t>
    <phoneticPr fontId="4" type="noConversion"/>
  </si>
  <si>
    <t>是</t>
    <phoneticPr fontId="1" type="noConversion"/>
  </si>
  <si>
    <t>否</t>
    <phoneticPr fontId="1" type="noConversion"/>
  </si>
  <si>
    <t>同語言轉換案</t>
    <phoneticPr fontId="1" type="noConversion"/>
  </si>
  <si>
    <t>專利類型</t>
    <phoneticPr fontId="1" type="noConversion"/>
  </si>
  <si>
    <t>原幣別金額</t>
    <phoneticPr fontId="1" type="noConversion"/>
  </si>
  <si>
    <t>總代墊費用
(A = A1+A2)</t>
    <phoneticPr fontId="1" type="noConversion"/>
  </si>
  <si>
    <t>是否選項</t>
    <phoneticPr fontId="1" type="noConversion"/>
  </si>
  <si>
    <r>
      <t>要提供估算結果給客戶時，先把</t>
    </r>
    <r>
      <rPr>
        <b/>
        <sz val="12"/>
        <color rgb="FF0000FF"/>
        <rFont val="新細明體"/>
        <family val="1"/>
        <charset val="136"/>
        <scheme val="minor"/>
      </rPr>
      <t>藍底色「</t>
    </r>
    <r>
      <rPr>
        <b/>
        <sz val="12"/>
        <color theme="1"/>
        <rFont val="新細明體"/>
        <family val="1"/>
        <charset val="136"/>
        <scheme val="minor"/>
      </rPr>
      <t>以外」的欄位都設「隱藏」，只留下</t>
    </r>
    <r>
      <rPr>
        <b/>
        <sz val="12"/>
        <color rgb="FF0000FF"/>
        <rFont val="新細明體"/>
        <family val="1"/>
        <charset val="136"/>
        <scheme val="minor"/>
      </rPr>
      <t>藍底色</t>
    </r>
    <r>
      <rPr>
        <b/>
        <sz val="12"/>
        <color theme="1"/>
        <rFont val="新細明體"/>
        <family val="1"/>
        <charset val="136"/>
        <scheme val="minor"/>
      </rPr>
      <t>的欄位後再copy到WORD或Email中給客戶。</t>
    </r>
    <phoneticPr fontId="1" type="noConversion"/>
  </si>
  <si>
    <r>
      <t>下表可計算委託慧盈專利辦理各國「</t>
    </r>
    <r>
      <rPr>
        <b/>
        <sz val="12"/>
        <color rgb="FFCC00FF"/>
        <rFont val="新細明體"/>
        <family val="1"/>
        <charset val="136"/>
        <scheme val="minor"/>
      </rPr>
      <t>設計專利</t>
    </r>
    <r>
      <rPr>
        <b/>
        <sz val="12"/>
        <color theme="1"/>
        <rFont val="新細明體"/>
        <family val="1"/>
        <charset val="136"/>
        <scheme val="minor"/>
      </rPr>
      <t>」申請案的預估費用。</t>
    </r>
    <r>
      <rPr>
        <b/>
        <sz val="12"/>
        <color rgb="FFFF0000"/>
        <rFont val="新細明體"/>
        <family val="1"/>
        <charset val="136"/>
        <scheme val="minor"/>
      </rPr>
      <t>紅色部份</t>
    </r>
    <r>
      <rPr>
        <b/>
        <sz val="12"/>
        <color theme="1"/>
        <rFont val="新細明體"/>
        <family val="1"/>
        <charset val="136"/>
        <scheme val="minor"/>
      </rPr>
      <t>是可自行調整的數字或選單，</t>
    </r>
    <r>
      <rPr>
        <b/>
        <sz val="12"/>
        <color rgb="FF0000FF"/>
        <rFont val="新細明體"/>
        <family val="1"/>
        <charset val="136"/>
        <scheme val="minor"/>
      </rPr>
      <t>藍色數字</t>
    </r>
    <r>
      <rPr>
        <b/>
        <sz val="12"/>
        <color theme="1"/>
        <rFont val="新細明體"/>
        <family val="1"/>
        <charset val="136"/>
        <scheme val="minor"/>
      </rPr>
      <t>是依照本所收費標準估算的金額。</t>
    </r>
    <phoneticPr fontId="1" type="noConversion"/>
  </si>
  <si>
    <t>中小企業</t>
    <phoneticPr fontId="1" type="noConversion"/>
  </si>
  <si>
    <t>繪製申請費圓餅圖專用</t>
    <phoneticPr fontId="1" type="noConversion"/>
  </si>
  <si>
    <t>大企業</t>
    <phoneticPr fontId="1" type="noConversion"/>
  </si>
  <si>
    <t>學校</t>
    <phoneticPr fontId="1" type="noConversion"/>
  </si>
  <si>
    <t>自然人</t>
    <phoneticPr fontId="1" type="noConversion"/>
  </si>
  <si>
    <t>領證繳年費</t>
    <phoneticPr fontId="1" type="noConversion"/>
  </si>
  <si>
    <t>申請人屬性</t>
    <phoneticPr fontId="1" type="noConversion"/>
  </si>
  <si>
    <t>申請人屬性</t>
    <phoneticPr fontId="1" type="noConversion"/>
  </si>
  <si>
    <t>計費類型1</t>
  </si>
  <si>
    <t>不申請</t>
    <phoneticPr fontId="4" type="noConversion"/>
  </si>
  <si>
    <t>計費類型(越)</t>
    <phoneticPr fontId="1" type="noConversion"/>
  </si>
  <si>
    <t>計費類型(日韓泰)</t>
    <phoneticPr fontId="1" type="noConversion"/>
  </si>
  <si>
    <t>計費類型(台中美歐新馬加)</t>
    <phoneticPr fontId="1" type="noConversion"/>
  </si>
  <si>
    <t>外國代理人費用(A2)</t>
    <phoneticPr fontId="1" type="noConversion"/>
  </si>
  <si>
    <t>官方費用(A1)</t>
    <phoneticPr fontId="1" type="noConversion"/>
  </si>
  <si>
    <t>計費類型(設計)</t>
    <phoneticPr fontId="1" type="noConversion"/>
  </si>
  <si>
    <t>申請</t>
    <phoneticPr fontId="4" type="noConversion"/>
  </si>
  <si>
    <t>計費
類型</t>
    <phoneticPr fontId="1" type="noConversion"/>
  </si>
  <si>
    <t>人民幣(CNY)</t>
    <phoneticPr fontId="1" type="noConversion"/>
  </si>
  <si>
    <t>美元(USD)</t>
    <phoneticPr fontId="1" type="noConversion"/>
  </si>
  <si>
    <t>歐元(EUR)</t>
    <phoneticPr fontId="1" type="noConversion"/>
  </si>
  <si>
    <t>日圓(JPY)</t>
    <phoneticPr fontId="1" type="noConversion"/>
  </si>
  <si>
    <t>韓元(KRW)</t>
    <phoneticPr fontId="1" type="noConversion"/>
  </si>
  <si>
    <t>新加坡幣(SGD)</t>
    <phoneticPr fontId="1" type="noConversion"/>
  </si>
  <si>
    <t>越南幣(VND)</t>
    <phoneticPr fontId="1" type="noConversion"/>
  </si>
  <si>
    <t>泰幣(THB)</t>
    <phoneticPr fontId="1" type="noConversion"/>
  </si>
  <si>
    <t>馬來幣(MYR)</t>
    <phoneticPr fontId="1" type="noConversion"/>
  </si>
  <si>
    <t>加拿大幣(CAD)</t>
    <phoneticPr fontId="1" type="noConversion"/>
  </si>
  <si>
    <t>←影響美國案、加拿大案的官方費用</t>
    <phoneticPr fontId="1" type="noConversion"/>
  </si>
  <si>
    <t>繪製申請費與年費加總分析圖</t>
    <phoneticPr fontId="1" type="noConversion"/>
  </si>
  <si>
    <t>繪製申請費與年費加總分析子母圖</t>
    <phoneticPr fontId="1" type="noConversion"/>
  </si>
  <si>
    <t>←影響部分案件的慧盈服務費、官方費用、或外國代理人費</t>
    <phoneticPr fontId="1" type="noConversion"/>
  </si>
  <si>
    <t>←企業需符合經濟部的中小企業認定標準才能算「中小企業」</t>
    <phoneticPr fontId="1" type="noConversion"/>
  </si>
  <si>
    <t>計費類型(一案兩請之新型)</t>
    <phoneticPr fontId="1" type="noConversion"/>
  </si>
  <si>
    <t>申請地區</t>
    <phoneticPr fontId="1" type="noConversion"/>
  </si>
  <si>
    <t>申請地區</t>
    <phoneticPr fontId="1" type="noConversion"/>
  </si>
  <si>
    <t>申請地區</t>
    <phoneticPr fontId="1" type="noConversion"/>
  </si>
  <si>
    <r>
      <t>*</t>
    </r>
    <r>
      <rPr>
        <b/>
        <sz val="12"/>
        <rFont val="新細明體"/>
        <family val="1"/>
        <charset val="136"/>
      </rPr>
      <t>泰國案申請前需要在台辦理委任書</t>
    </r>
    <r>
      <rPr>
        <b/>
        <sz val="12"/>
        <rFont val="Times New Roman"/>
        <family val="1"/>
      </rPr>
      <t>(POA)</t>
    </r>
    <r>
      <rPr>
        <b/>
        <sz val="12"/>
        <rFont val="新細明體"/>
        <family val="1"/>
        <charset val="136"/>
      </rPr>
      <t>的公證跟認證程序。</t>
    </r>
    <phoneticPr fontId="1" type="noConversion"/>
  </si>
  <si>
    <r>
      <rPr>
        <b/>
        <sz val="12"/>
        <color theme="1"/>
        <rFont val="新細明體"/>
        <family val="1"/>
        <charset val="136"/>
      </rPr>
      <t>　　</t>
    </r>
    <r>
      <rPr>
        <b/>
        <sz val="12"/>
        <color theme="1"/>
        <rFont val="Times New Roman"/>
        <family val="1"/>
      </rPr>
      <t xml:space="preserve">4. </t>
    </r>
    <r>
      <rPr>
        <b/>
        <sz val="12"/>
        <color theme="1"/>
        <rFont val="新細明體"/>
        <family val="1"/>
        <charset val="136"/>
      </rPr>
      <t>個別案件後續可能發生的核駁答辯費用，以及領取專利證書的費用。</t>
    </r>
    <phoneticPr fontId="1" type="noConversion"/>
  </si>
  <si>
    <t>　　2. 各地區官方或代理人因設計圖數過多所收取的「超圖費」。</t>
  </si>
  <si>
    <t>印尼</t>
    <phoneticPr fontId="1" type="noConversion"/>
  </si>
  <si>
    <r>
      <rPr>
        <b/>
        <sz val="12"/>
        <color theme="1"/>
        <rFont val="新細明體"/>
        <family val="1"/>
        <charset val="136"/>
      </rPr>
      <t>　　</t>
    </r>
    <r>
      <rPr>
        <b/>
        <sz val="12"/>
        <color theme="1"/>
        <rFont val="Times New Roman"/>
        <family val="1"/>
      </rPr>
      <t xml:space="preserve">1. </t>
    </r>
    <r>
      <rPr>
        <b/>
        <sz val="12"/>
        <color theme="1"/>
        <rFont val="新細明體"/>
        <family val="1"/>
        <charset val="136"/>
      </rPr>
      <t>個別案件之「主張優先權」、「申請優先權證」、「提呈</t>
    </r>
    <r>
      <rPr>
        <b/>
        <sz val="12"/>
        <color theme="1"/>
        <rFont val="Times New Roman"/>
        <family val="1"/>
      </rPr>
      <t>IDS</t>
    </r>
    <r>
      <rPr>
        <b/>
        <sz val="12"/>
        <color theme="1"/>
        <rFont val="新細明體"/>
        <family val="1"/>
        <charset val="136"/>
      </rPr>
      <t>」、「補正文件」等額外程序費用。</t>
    </r>
    <phoneticPr fontId="1" type="noConversion"/>
  </si>
  <si>
    <r>
      <t>*</t>
    </r>
    <r>
      <rPr>
        <b/>
        <sz val="12"/>
        <color theme="1"/>
        <rFont val="新細明體"/>
        <family val="1"/>
        <charset val="136"/>
      </rPr>
      <t>上表計算結果僅係概估費用，皆假設每件申請案中只包含「單一設計」，並「不」包含以下費用：</t>
    </r>
    <phoneticPr fontId="1" type="noConversion"/>
  </si>
  <si>
    <r>
      <rPr>
        <b/>
        <sz val="12"/>
        <color theme="1"/>
        <rFont val="新細明體"/>
        <family val="1"/>
        <charset val="136"/>
      </rPr>
      <t>　　</t>
    </r>
    <r>
      <rPr>
        <b/>
        <sz val="12"/>
        <color theme="1"/>
        <rFont val="Times New Roman"/>
        <family val="1"/>
      </rPr>
      <t xml:space="preserve">3. </t>
    </r>
    <r>
      <rPr>
        <b/>
        <sz val="12"/>
        <color theme="1"/>
        <rFont val="新細明體"/>
        <family val="1"/>
        <charset val="136"/>
      </rPr>
      <t>將近似設計「併案申請」所可能產生的額外官方費用與外國代理人費。</t>
    </r>
    <phoneticPr fontId="1" type="noConversion"/>
  </si>
  <si>
    <r>
      <t>*</t>
    </r>
    <r>
      <rPr>
        <b/>
        <sz val="12"/>
        <color theme="1"/>
        <rFont val="新細明體"/>
        <family val="1"/>
        <charset val="136"/>
      </rPr>
      <t>設計專利最長保護年限達</t>
    </r>
    <r>
      <rPr>
        <b/>
        <sz val="12"/>
        <color theme="1"/>
        <rFont val="Times New Roman"/>
        <family val="1"/>
      </rPr>
      <t>15</t>
    </r>
    <r>
      <rPr>
        <b/>
        <sz val="12"/>
        <color theme="1"/>
        <rFont val="新細明體"/>
        <family val="1"/>
        <charset val="136"/>
      </rPr>
      <t>年的地區：台灣、美國、新加坡、越南。</t>
    </r>
    <phoneticPr fontId="1" type="noConversion"/>
  </si>
  <si>
    <r>
      <t>*</t>
    </r>
    <r>
      <rPr>
        <b/>
        <sz val="12"/>
        <rFont val="細明體"/>
        <family val="1"/>
        <charset val="136"/>
      </rPr>
      <t>近似設計</t>
    </r>
    <r>
      <rPr>
        <b/>
        <sz val="12"/>
        <rFont val="新細明體"/>
        <family val="1"/>
        <charset val="136"/>
      </rPr>
      <t>「不</t>
    </r>
    <r>
      <rPr>
        <b/>
        <sz val="12"/>
        <rFont val="細明體"/>
        <family val="1"/>
        <charset val="136"/>
      </rPr>
      <t>可併案申請</t>
    </r>
    <r>
      <rPr>
        <b/>
        <sz val="12"/>
        <rFont val="新細明體"/>
        <family val="1"/>
        <charset val="136"/>
      </rPr>
      <t>」</t>
    </r>
    <r>
      <rPr>
        <b/>
        <sz val="12"/>
        <rFont val="細明體"/>
        <family val="1"/>
        <charset val="136"/>
      </rPr>
      <t>的地區：</t>
    </r>
    <r>
      <rPr>
        <b/>
        <sz val="12"/>
        <rFont val="新細明體"/>
        <family val="1"/>
        <charset val="136"/>
      </rPr>
      <t>台灣、日本、泰國。</t>
    </r>
    <phoneticPr fontId="1" type="noConversion"/>
  </si>
  <si>
    <r>
      <t>*</t>
    </r>
    <r>
      <rPr>
        <b/>
        <sz val="12"/>
        <color theme="1"/>
        <rFont val="新細明體"/>
        <family val="1"/>
        <charset val="136"/>
      </rPr>
      <t>設計專利最長保護年限達</t>
    </r>
    <r>
      <rPr>
        <b/>
        <sz val="12"/>
        <color theme="1"/>
        <rFont val="Times New Roman"/>
        <family val="1"/>
      </rPr>
      <t>10</t>
    </r>
    <r>
      <rPr>
        <b/>
        <sz val="12"/>
        <color theme="1"/>
        <rFont val="新細明體"/>
        <family val="1"/>
        <charset val="136"/>
      </rPr>
      <t>年的地區：大陸、泰國、印尼。</t>
    </r>
    <phoneticPr fontId="1" type="noConversion"/>
  </si>
  <si>
    <t>申請權登錄費</t>
    <phoneticPr fontId="1" type="noConversion"/>
  </si>
  <si>
    <t>總圖數</t>
    <phoneticPr fontId="1" type="noConversion"/>
  </si>
  <si>
    <t>設計項數</t>
    <phoneticPr fontId="1" type="noConversion"/>
  </si>
  <si>
    <r>
      <t>*</t>
    </r>
    <r>
      <rPr>
        <b/>
        <sz val="12"/>
        <color theme="1"/>
        <rFont val="新細明體"/>
        <family val="1"/>
        <charset val="136"/>
      </rPr>
      <t>設計專利最長保護年限達</t>
    </r>
    <r>
      <rPr>
        <b/>
        <sz val="12"/>
        <color theme="1"/>
        <rFont val="Times New Roman"/>
        <family val="1"/>
      </rPr>
      <t>20</t>
    </r>
    <r>
      <rPr>
        <b/>
        <sz val="12"/>
        <color theme="1"/>
        <rFont val="新細明體"/>
        <family val="1"/>
        <charset val="136"/>
      </rPr>
      <t>年的地區：韓國。</t>
    </r>
    <phoneticPr fontId="1" type="noConversion"/>
  </si>
  <si>
    <t>歐盟</t>
    <phoneticPr fontId="1" type="noConversion"/>
  </si>
  <si>
    <t>*設計專利最長保護年限達25年的地區：日本、歐盟、馬來西亞。</t>
  </si>
  <si>
    <t>*「設計專利無需實審」的地區：大陸、歐盟、新加坡。</t>
  </si>
  <si>
    <t>*近似設計「可併案申請」的地區：大陸、美國、歐盟、韓國、新加坡、越南、馬來西亞、印尼。</t>
  </si>
  <si>
    <t>計費項目</t>
    <phoneticPr fontId="1" type="noConversion"/>
  </si>
  <si>
    <t>官方費用</t>
    <phoneticPr fontId="1" type="noConversion"/>
  </si>
  <si>
    <t>外國代理人費</t>
    <phoneticPr fontId="1" type="noConversion"/>
  </si>
  <si>
    <t>慧盈服務費</t>
    <phoneticPr fontId="1" type="noConversion"/>
  </si>
  <si>
    <t>匯率基礎</t>
    <phoneticPr fontId="1" type="noConversion"/>
  </si>
  <si>
    <t>菲律賓</t>
    <phoneticPr fontId="1" type="noConversion"/>
  </si>
  <si>
    <t>設計類型</t>
    <phoneticPr fontId="1" type="noConversion"/>
  </si>
  <si>
    <t>1 = 圖像設計</t>
    <phoneticPr fontId="4" type="noConversion"/>
  </si>
  <si>
    <t>2 = 其他設計</t>
    <phoneticPr fontId="4" type="noConversion"/>
  </si>
  <si>
    <t>←影響TW、JP、TH、ID案的慧盈申請服務費算法</t>
    <phoneticPr fontId="1" type="noConversion"/>
  </si>
  <si>
    <r>
      <rPr>
        <b/>
        <sz val="12"/>
        <color theme="1"/>
        <rFont val="標楷體"/>
        <family val="4"/>
        <charset val="136"/>
      </rPr>
      <t>以下為慧盈提供各地區「設計專利」申請服務之預估費用。</t>
    </r>
    <r>
      <rPr>
        <b/>
        <sz val="12"/>
        <color rgb="FFFF0000"/>
        <rFont val="標楷體"/>
        <family val="4"/>
        <charset val="136"/>
      </rPr>
      <t>紅色部份</t>
    </r>
    <r>
      <rPr>
        <b/>
        <sz val="12"/>
        <color theme="1"/>
        <rFont val="標楷體"/>
        <family val="4"/>
        <charset val="136"/>
      </rPr>
      <t>是您可自行調整的數字</t>
    </r>
    <r>
      <rPr>
        <b/>
        <sz val="12"/>
        <color theme="1"/>
        <rFont val="Times New Roman"/>
        <family val="1"/>
      </rPr>
      <t>/</t>
    </r>
    <r>
      <rPr>
        <b/>
        <sz val="12"/>
        <color theme="1"/>
        <rFont val="標楷體"/>
        <family val="4"/>
        <charset val="136"/>
      </rPr>
      <t>選項，</t>
    </r>
    <r>
      <rPr>
        <b/>
        <sz val="12"/>
        <color rgb="FF0000FF"/>
        <rFont val="標楷體"/>
        <family val="4"/>
        <charset val="136"/>
      </rPr>
      <t>藍色數字</t>
    </r>
    <r>
      <rPr>
        <b/>
        <sz val="12"/>
        <color theme="1"/>
        <rFont val="標楷體"/>
        <family val="4"/>
        <charset val="136"/>
      </rPr>
      <t>是依照收費標準估算的金額。</t>
    </r>
    <phoneticPr fontId="1" type="noConversion"/>
  </si>
  <si>
    <r>
      <rPr>
        <b/>
        <sz val="12"/>
        <color theme="1"/>
        <rFont val="標楷體"/>
        <family val="4"/>
        <charset val="136"/>
      </rPr>
      <t>案件基本參數</t>
    </r>
    <phoneticPr fontId="1" type="noConversion"/>
  </si>
  <si>
    <r>
      <rPr>
        <b/>
        <sz val="12"/>
        <color theme="1"/>
        <rFont val="標楷體"/>
        <family val="4"/>
        <charset val="136"/>
      </rPr>
      <t>計費項目</t>
    </r>
    <phoneticPr fontId="1" type="noConversion"/>
  </si>
  <si>
    <r>
      <rPr>
        <b/>
        <sz val="12"/>
        <color theme="1"/>
        <rFont val="標楷體"/>
        <family val="4"/>
        <charset val="136"/>
      </rPr>
      <t>匯率基礎</t>
    </r>
    <phoneticPr fontId="1" type="noConversion"/>
  </si>
  <si>
    <r>
      <rPr>
        <b/>
        <sz val="12"/>
        <color theme="1"/>
        <rFont val="標楷體"/>
        <family val="4"/>
        <charset val="136"/>
      </rPr>
      <t>設計項數</t>
    </r>
    <phoneticPr fontId="1" type="noConversion"/>
  </si>
  <si>
    <r>
      <t>(</t>
    </r>
    <r>
      <rPr>
        <b/>
        <sz val="10"/>
        <color rgb="FFFF0000"/>
        <rFont val="標楷體"/>
        <family val="4"/>
        <charset val="136"/>
      </rPr>
      <t>正常要全勾</t>
    </r>
    <r>
      <rPr>
        <b/>
        <sz val="10"/>
        <color rgb="FFFF0000"/>
        <rFont val="Times New Roman"/>
        <family val="1"/>
      </rPr>
      <t>)</t>
    </r>
    <phoneticPr fontId="1" type="noConversion"/>
  </si>
  <si>
    <r>
      <rPr>
        <b/>
        <sz val="12"/>
        <color theme="1"/>
        <rFont val="標楷體"/>
        <family val="4"/>
        <charset val="136"/>
      </rPr>
      <t>美元</t>
    </r>
    <r>
      <rPr>
        <b/>
        <sz val="12"/>
        <color theme="1"/>
        <rFont val="Times New Roman"/>
        <family val="1"/>
      </rPr>
      <t>(USD)</t>
    </r>
    <phoneticPr fontId="1" type="noConversion"/>
  </si>
  <si>
    <r>
      <rPr>
        <b/>
        <sz val="12"/>
        <color theme="1"/>
        <rFont val="標楷體"/>
        <family val="4"/>
        <charset val="136"/>
      </rPr>
      <t>人民幣</t>
    </r>
    <r>
      <rPr>
        <b/>
        <sz val="12"/>
        <color theme="1"/>
        <rFont val="Times New Roman"/>
        <family val="1"/>
      </rPr>
      <t>(CNY)</t>
    </r>
    <phoneticPr fontId="1" type="noConversion"/>
  </si>
  <si>
    <r>
      <rPr>
        <b/>
        <sz val="12"/>
        <color theme="1"/>
        <rFont val="標楷體"/>
        <family val="4"/>
        <charset val="136"/>
      </rPr>
      <t>總圖數</t>
    </r>
    <phoneticPr fontId="1" type="noConversion"/>
  </si>
  <si>
    <r>
      <rPr>
        <b/>
        <sz val="12"/>
        <color theme="1"/>
        <rFont val="標楷體"/>
        <family val="4"/>
        <charset val="136"/>
      </rPr>
      <t>歐元</t>
    </r>
    <r>
      <rPr>
        <b/>
        <sz val="12"/>
        <color theme="1"/>
        <rFont val="Times New Roman"/>
        <family val="1"/>
      </rPr>
      <t>(EUR)</t>
    </r>
    <phoneticPr fontId="1" type="noConversion"/>
  </si>
  <si>
    <r>
      <rPr>
        <b/>
        <sz val="12"/>
        <color theme="1"/>
        <rFont val="標楷體"/>
        <family val="4"/>
        <charset val="136"/>
      </rPr>
      <t>新加坡幣</t>
    </r>
    <r>
      <rPr>
        <b/>
        <sz val="12"/>
        <color theme="1"/>
        <rFont val="Times New Roman"/>
        <family val="1"/>
      </rPr>
      <t>(SGD)</t>
    </r>
    <phoneticPr fontId="1" type="noConversion"/>
  </si>
  <si>
    <r>
      <rPr>
        <b/>
        <sz val="12"/>
        <color theme="1"/>
        <rFont val="標楷體"/>
        <family val="4"/>
        <charset val="136"/>
      </rPr>
      <t>設計類型</t>
    </r>
    <phoneticPr fontId="1" type="noConversion"/>
  </si>
  <si>
    <r>
      <rPr>
        <b/>
        <sz val="12"/>
        <color theme="1"/>
        <rFont val="標楷體"/>
        <family val="4"/>
        <charset val="136"/>
      </rPr>
      <t>日圓</t>
    </r>
    <r>
      <rPr>
        <b/>
        <sz val="12"/>
        <color theme="1"/>
        <rFont val="Times New Roman"/>
        <family val="1"/>
      </rPr>
      <t>(JPY)</t>
    </r>
    <phoneticPr fontId="1" type="noConversion"/>
  </si>
  <si>
    <r>
      <rPr>
        <b/>
        <sz val="12"/>
        <color theme="1"/>
        <rFont val="標楷體"/>
        <family val="4"/>
        <charset val="136"/>
      </rPr>
      <t>越南幣</t>
    </r>
    <r>
      <rPr>
        <b/>
        <sz val="12"/>
        <color theme="1"/>
        <rFont val="Times New Roman"/>
        <family val="1"/>
      </rPr>
      <t>(VND)</t>
    </r>
    <phoneticPr fontId="1" type="noConversion"/>
  </si>
  <si>
    <r>
      <rPr>
        <b/>
        <sz val="12"/>
        <color theme="1"/>
        <rFont val="標楷體"/>
        <family val="4"/>
        <charset val="136"/>
      </rPr>
      <t>韓元</t>
    </r>
    <r>
      <rPr>
        <b/>
        <sz val="12"/>
        <color theme="1"/>
        <rFont val="Times New Roman"/>
        <family val="1"/>
      </rPr>
      <t>(KRW)</t>
    </r>
    <phoneticPr fontId="1" type="noConversion"/>
  </si>
  <si>
    <r>
      <rPr>
        <b/>
        <sz val="12"/>
        <color theme="1"/>
        <rFont val="標楷體"/>
        <family val="4"/>
        <charset val="136"/>
      </rPr>
      <t>馬來幣</t>
    </r>
    <r>
      <rPr>
        <b/>
        <sz val="12"/>
        <color theme="1"/>
        <rFont val="Times New Roman"/>
        <family val="1"/>
      </rPr>
      <t>(MYR)</t>
    </r>
    <phoneticPr fontId="1" type="noConversion"/>
  </si>
  <si>
    <r>
      <rPr>
        <b/>
        <sz val="12"/>
        <color theme="1"/>
        <rFont val="標楷體"/>
        <family val="4"/>
        <charset val="136"/>
      </rPr>
      <t>申請人規模</t>
    </r>
    <phoneticPr fontId="1" type="noConversion"/>
  </si>
  <si>
    <r>
      <rPr>
        <b/>
        <sz val="12"/>
        <color theme="1"/>
        <rFont val="標楷體"/>
        <family val="4"/>
        <charset val="136"/>
      </rPr>
      <t>泰幣</t>
    </r>
    <r>
      <rPr>
        <b/>
        <sz val="12"/>
        <color theme="1"/>
        <rFont val="Times New Roman"/>
        <family val="1"/>
      </rPr>
      <t>(THB)</t>
    </r>
    <phoneticPr fontId="1" type="noConversion"/>
  </si>
  <si>
    <r>
      <rPr>
        <b/>
        <sz val="12"/>
        <color theme="1"/>
        <rFont val="標楷體"/>
        <family val="4"/>
        <charset val="136"/>
      </rPr>
      <t>加拿大幣</t>
    </r>
    <r>
      <rPr>
        <b/>
        <sz val="12"/>
        <color theme="1"/>
        <rFont val="Times New Roman"/>
        <family val="1"/>
      </rPr>
      <t>(CAD)</t>
    </r>
    <phoneticPr fontId="1" type="noConversion"/>
  </si>
  <si>
    <r>
      <rPr>
        <b/>
        <sz val="12"/>
        <color theme="1"/>
        <rFont val="標楷體"/>
        <family val="4"/>
        <charset val="136"/>
      </rPr>
      <t>申請人屬性</t>
    </r>
    <phoneticPr fontId="1" type="noConversion"/>
  </si>
  <si>
    <r>
      <rPr>
        <b/>
        <sz val="12"/>
        <color theme="1"/>
        <rFont val="標楷體"/>
        <family val="4"/>
        <charset val="136"/>
      </rPr>
      <t>申請地區</t>
    </r>
    <phoneticPr fontId="1" type="noConversion"/>
  </si>
  <si>
    <r>
      <rPr>
        <b/>
        <sz val="12"/>
        <color theme="1"/>
        <rFont val="標楷體"/>
        <family val="4"/>
        <charset val="136"/>
      </rPr>
      <t>專利類型</t>
    </r>
    <phoneticPr fontId="1" type="noConversion"/>
  </si>
  <si>
    <r>
      <rPr>
        <b/>
        <sz val="12"/>
        <color theme="1"/>
        <rFont val="標楷體"/>
        <family val="4"/>
        <charset val="136"/>
      </rPr>
      <t xml:space="preserve">是否申請
</t>
    </r>
    <r>
      <rPr>
        <b/>
        <sz val="12"/>
        <color rgb="FFFF0000"/>
        <rFont val="Times New Roman"/>
        <family val="1"/>
      </rPr>
      <t>(</t>
    </r>
    <r>
      <rPr>
        <b/>
        <sz val="12"/>
        <color rgb="FFFF0000"/>
        <rFont val="標楷體"/>
        <family val="4"/>
        <charset val="136"/>
      </rPr>
      <t>請勾選</t>
    </r>
    <r>
      <rPr>
        <b/>
        <sz val="12"/>
        <color rgb="FFFF0000"/>
        <rFont val="Times New Roman"/>
        <family val="1"/>
      </rPr>
      <t>)</t>
    </r>
    <phoneticPr fontId="1" type="noConversion"/>
  </si>
  <si>
    <r>
      <rPr>
        <b/>
        <sz val="12"/>
        <color theme="1"/>
        <rFont val="標楷體"/>
        <family val="4"/>
        <charset val="136"/>
      </rPr>
      <t xml:space="preserve">官方費用
</t>
    </r>
    <r>
      <rPr>
        <b/>
        <sz val="12"/>
        <color theme="1"/>
        <rFont val="Times New Roman"/>
        <family val="1"/>
      </rPr>
      <t>(A1)</t>
    </r>
    <phoneticPr fontId="1" type="noConversion"/>
  </si>
  <si>
    <r>
      <rPr>
        <b/>
        <sz val="12"/>
        <color theme="1"/>
        <rFont val="標楷體"/>
        <family val="4"/>
        <charset val="136"/>
      </rPr>
      <t xml:space="preserve">外國代理人費用
</t>
    </r>
    <r>
      <rPr>
        <b/>
        <sz val="12"/>
        <color theme="1"/>
        <rFont val="Times New Roman"/>
        <family val="1"/>
      </rPr>
      <t>(A2)</t>
    </r>
    <phoneticPr fontId="1" type="noConversion"/>
  </si>
  <si>
    <r>
      <rPr>
        <b/>
        <sz val="12"/>
        <color theme="1"/>
        <rFont val="標楷體"/>
        <family val="4"/>
        <charset val="136"/>
      </rPr>
      <t>幣別</t>
    </r>
    <phoneticPr fontId="1" type="noConversion"/>
  </si>
  <si>
    <r>
      <rPr>
        <b/>
        <sz val="12"/>
        <color theme="1"/>
        <rFont val="標楷體"/>
        <family val="4"/>
        <charset val="136"/>
      </rPr>
      <t>原幣別金額</t>
    </r>
    <phoneticPr fontId="1" type="noConversion"/>
  </si>
  <si>
    <r>
      <rPr>
        <b/>
        <sz val="12"/>
        <color theme="1"/>
        <rFont val="標楷體"/>
        <family val="4"/>
        <charset val="136"/>
      </rPr>
      <t>折合台幣</t>
    </r>
    <phoneticPr fontId="1" type="noConversion"/>
  </si>
  <si>
    <r>
      <rPr>
        <b/>
        <sz val="12"/>
        <color theme="1"/>
        <rFont val="標楷體"/>
        <family val="4"/>
        <charset val="136"/>
      </rPr>
      <t>台灣</t>
    </r>
    <phoneticPr fontId="1" type="noConversion"/>
  </si>
  <si>
    <r>
      <rPr>
        <b/>
        <sz val="12"/>
        <color theme="1"/>
        <rFont val="標楷體"/>
        <family val="4"/>
        <charset val="136"/>
      </rPr>
      <t>設計</t>
    </r>
    <phoneticPr fontId="1" type="noConversion"/>
  </si>
  <si>
    <r>
      <rPr>
        <b/>
        <sz val="12"/>
        <color theme="1"/>
        <rFont val="標楷體"/>
        <family val="4"/>
        <charset val="136"/>
      </rPr>
      <t>大陸</t>
    </r>
    <phoneticPr fontId="1" type="noConversion"/>
  </si>
  <si>
    <r>
      <rPr>
        <b/>
        <sz val="12"/>
        <color theme="1"/>
        <rFont val="標楷體"/>
        <family val="4"/>
        <charset val="136"/>
      </rPr>
      <t>美國</t>
    </r>
    <phoneticPr fontId="1" type="noConversion"/>
  </si>
  <si>
    <r>
      <rPr>
        <b/>
        <sz val="12"/>
        <color theme="1"/>
        <rFont val="標楷體"/>
        <family val="4"/>
        <charset val="136"/>
      </rPr>
      <t>歐盟</t>
    </r>
    <phoneticPr fontId="1" type="noConversion"/>
  </si>
  <si>
    <r>
      <rPr>
        <b/>
        <sz val="12"/>
        <color theme="1"/>
        <rFont val="標楷體"/>
        <family val="4"/>
        <charset val="136"/>
      </rPr>
      <t>日本</t>
    </r>
    <phoneticPr fontId="1" type="noConversion"/>
  </si>
  <si>
    <r>
      <rPr>
        <b/>
        <sz val="12"/>
        <color theme="1"/>
        <rFont val="標楷體"/>
        <family val="4"/>
        <charset val="136"/>
      </rPr>
      <t>韓國</t>
    </r>
    <phoneticPr fontId="1" type="noConversion"/>
  </si>
  <si>
    <r>
      <rPr>
        <b/>
        <sz val="12"/>
        <color theme="1"/>
        <rFont val="標楷體"/>
        <family val="4"/>
        <charset val="136"/>
      </rPr>
      <t>新加坡</t>
    </r>
    <phoneticPr fontId="1" type="noConversion"/>
  </si>
  <si>
    <r>
      <rPr>
        <b/>
        <sz val="12"/>
        <color theme="1"/>
        <rFont val="標楷體"/>
        <family val="4"/>
        <charset val="136"/>
      </rPr>
      <t>菲律賓</t>
    </r>
    <phoneticPr fontId="1" type="noConversion"/>
  </si>
  <si>
    <r>
      <rPr>
        <b/>
        <sz val="12"/>
        <color theme="1"/>
        <rFont val="標楷體"/>
        <family val="4"/>
        <charset val="136"/>
      </rPr>
      <t>越南</t>
    </r>
    <phoneticPr fontId="1" type="noConversion"/>
  </si>
  <si>
    <r>
      <rPr>
        <b/>
        <sz val="12"/>
        <color theme="1"/>
        <rFont val="標楷體"/>
        <family val="4"/>
        <charset val="136"/>
      </rPr>
      <t>泰國</t>
    </r>
    <phoneticPr fontId="1" type="noConversion"/>
  </si>
  <si>
    <r>
      <rPr>
        <b/>
        <sz val="12"/>
        <color theme="1"/>
        <rFont val="標楷體"/>
        <family val="4"/>
        <charset val="136"/>
      </rPr>
      <t>馬來西亞</t>
    </r>
    <phoneticPr fontId="1" type="noConversion"/>
  </si>
  <si>
    <r>
      <rPr>
        <b/>
        <sz val="12"/>
        <color theme="1"/>
        <rFont val="標楷體"/>
        <family val="4"/>
        <charset val="136"/>
      </rPr>
      <t>印尼</t>
    </r>
    <phoneticPr fontId="1" type="noConversion"/>
  </si>
  <si>
    <r>
      <rPr>
        <b/>
        <sz val="12"/>
        <rFont val="標楷體"/>
        <family val="4"/>
        <charset val="136"/>
      </rPr>
      <t>加拿大</t>
    </r>
    <phoneticPr fontId="1" type="noConversion"/>
  </si>
  <si>
    <r>
      <rPr>
        <b/>
        <sz val="12"/>
        <rFont val="標楷體"/>
        <family val="4"/>
        <charset val="136"/>
      </rPr>
      <t>設計</t>
    </r>
    <phoneticPr fontId="1" type="noConversion"/>
  </si>
  <si>
    <r>
      <rPr>
        <b/>
        <sz val="12"/>
        <color theme="1"/>
        <rFont val="標楷體"/>
        <family val="4"/>
        <charset val="136"/>
      </rPr>
      <t>合計</t>
    </r>
    <phoneticPr fontId="1" type="noConversion"/>
  </si>
  <si>
    <t>中小企業</t>
  </si>
  <si>
    <t>小計</t>
    <phoneticPr fontId="1" type="noConversion"/>
  </si>
  <si>
    <t>類型</t>
    <phoneticPr fontId="1" type="noConversion"/>
  </si>
  <si>
    <t>繳費年數，領證會含第一次年費，所以年費不能從第1年起算</t>
    <phoneticPr fontId="1" type="noConversion"/>
  </si>
  <si>
    <t>各年度官費</t>
    <phoneticPr fontId="1" type="noConversion"/>
  </si>
  <si>
    <t>各年官費（領證費會包含「第一次年費」，所以「第一次年費」要填0，以避免重複計算）</t>
    <phoneticPr fontId="1" type="noConversion"/>
  </si>
  <si>
    <t>不同繳納年數之累計官費</t>
    <phoneticPr fontId="1" type="noConversion"/>
  </si>
  <si>
    <t>各年度國外代理人費</t>
    <phoneticPr fontId="1" type="noConversion"/>
  </si>
  <si>
    <t>各年度慧盈服務費</t>
    <phoneticPr fontId="1" type="noConversion"/>
  </si>
  <si>
    <t>累計國外代理人費</t>
    <phoneticPr fontId="1" type="noConversion"/>
  </si>
  <si>
    <t>累計慧盈服務費</t>
    <phoneticPr fontId="1" type="noConversion"/>
  </si>
  <si>
    <t>撰稿到提交申請階段</t>
    <phoneticPr fontId="1" type="noConversion"/>
  </si>
  <si>
    <t>領證階段（包含最基本的第一次年費）</t>
    <phoneticPr fontId="1" type="noConversion"/>
  </si>
  <si>
    <t>後續年費階段（不包含最基本的第一次年費）</t>
    <phoneticPr fontId="1" type="noConversion"/>
  </si>
  <si>
    <t>答辯階段</t>
    <phoneticPr fontId="1" type="noConversion"/>
  </si>
  <si>
    <t>繪製答辯費圓餅圖專用</t>
    <phoneticPr fontId="1" type="noConversion"/>
  </si>
  <si>
    <t>繪製領證費圓餅圖專用</t>
    <phoneticPr fontId="1" type="noConversion"/>
  </si>
  <si>
    <t>繪製後續年費圓餅圖專用</t>
    <phoneticPr fontId="1" type="noConversion"/>
  </si>
  <si>
    <t>答辯費</t>
    <phoneticPr fontId="1" type="noConversion"/>
  </si>
  <si>
    <t>OA通知費</t>
    <phoneticPr fontId="1" type="noConversion"/>
  </si>
  <si>
    <t>公開費</t>
    <phoneticPr fontId="1" type="noConversion"/>
  </si>
  <si>
    <t>實審費</t>
    <phoneticPr fontId="1" type="noConversion"/>
  </si>
  <si>
    <t>修正費</t>
    <phoneticPr fontId="1" type="noConversion"/>
  </si>
  <si>
    <t>後續年費</t>
    <phoneticPr fontId="1" type="noConversion"/>
  </si>
  <si>
    <t>領證費</t>
    <phoneticPr fontId="1" type="noConversion"/>
  </si>
  <si>
    <t>階段費用</t>
    <phoneticPr fontId="1" type="noConversion"/>
  </si>
  <si>
    <t>最大年限</t>
    <phoneticPr fontId="1" type="noConversion"/>
  </si>
  <si>
    <r>
      <rPr>
        <b/>
        <sz val="12"/>
        <color theme="1"/>
        <rFont val="標楷體"/>
        <family val="4"/>
        <charset val="136"/>
      </rPr>
      <t xml:space="preserve">慧盈服務費
</t>
    </r>
    <r>
      <rPr>
        <b/>
        <sz val="12"/>
        <color theme="1"/>
        <rFont val="Times New Roman"/>
        <family val="1"/>
      </rPr>
      <t>(A3)
(NTD)</t>
    </r>
    <phoneticPr fontId="1" type="noConversion"/>
  </si>
  <si>
    <r>
      <rPr>
        <b/>
        <sz val="12"/>
        <color theme="1"/>
        <rFont val="標楷體"/>
        <family val="4"/>
        <charset val="136"/>
      </rPr>
      <t xml:space="preserve">官方費用
</t>
    </r>
    <r>
      <rPr>
        <b/>
        <sz val="12"/>
        <color theme="1"/>
        <rFont val="Times New Roman"/>
        <family val="1"/>
      </rPr>
      <t>(M1)</t>
    </r>
    <phoneticPr fontId="1" type="noConversion"/>
  </si>
  <si>
    <r>
      <rPr>
        <b/>
        <sz val="12"/>
        <color theme="1"/>
        <rFont val="標楷體"/>
        <family val="4"/>
        <charset val="136"/>
      </rPr>
      <t xml:space="preserve">外國代理人費用
</t>
    </r>
    <r>
      <rPr>
        <b/>
        <sz val="12"/>
        <color theme="1"/>
        <rFont val="Times New Roman"/>
        <family val="1"/>
      </rPr>
      <t>(M2)</t>
    </r>
    <phoneticPr fontId="1" type="noConversion"/>
  </si>
  <si>
    <r>
      <rPr>
        <b/>
        <sz val="12"/>
        <color theme="1"/>
        <rFont val="標楷體"/>
        <family val="4"/>
        <charset val="136"/>
      </rPr>
      <t xml:space="preserve">總代墊費用
</t>
    </r>
    <r>
      <rPr>
        <b/>
        <sz val="12"/>
        <color theme="1"/>
        <rFont val="Times New Roman"/>
        <family val="1"/>
      </rPr>
      <t>(M1+M2)</t>
    </r>
    <phoneticPr fontId="1" type="noConversion"/>
  </si>
  <si>
    <r>
      <rPr>
        <b/>
        <sz val="12"/>
        <color theme="1"/>
        <rFont val="標楷體"/>
        <family val="4"/>
        <charset val="136"/>
      </rPr>
      <t xml:space="preserve">慧盈服務費
</t>
    </r>
    <r>
      <rPr>
        <b/>
        <sz val="12"/>
        <color theme="1"/>
        <rFont val="Times New Roman"/>
        <family val="1"/>
      </rPr>
      <t>(M3)
(NTD)</t>
    </r>
    <phoneticPr fontId="1" type="noConversion"/>
  </si>
  <si>
    <r>
      <rPr>
        <b/>
        <sz val="12"/>
        <color theme="1"/>
        <rFont val="標楷體"/>
        <family val="4"/>
        <charset val="136"/>
      </rPr>
      <t xml:space="preserve">官方費用
</t>
    </r>
    <r>
      <rPr>
        <b/>
        <sz val="12"/>
        <color theme="1"/>
        <rFont val="Times New Roman"/>
        <family val="1"/>
      </rPr>
      <t>(R1)</t>
    </r>
    <phoneticPr fontId="1" type="noConversion"/>
  </si>
  <si>
    <r>
      <rPr>
        <b/>
        <sz val="12"/>
        <color theme="1"/>
        <rFont val="標楷體"/>
        <family val="4"/>
        <charset val="136"/>
      </rPr>
      <t xml:space="preserve">外國代理人費用
</t>
    </r>
    <r>
      <rPr>
        <b/>
        <sz val="12"/>
        <color theme="1"/>
        <rFont val="Times New Roman"/>
        <family val="1"/>
      </rPr>
      <t>(R2)</t>
    </r>
    <phoneticPr fontId="1" type="noConversion"/>
  </si>
  <si>
    <r>
      <rPr>
        <b/>
        <sz val="12"/>
        <color theme="1"/>
        <rFont val="標楷體"/>
        <family val="4"/>
        <charset val="136"/>
      </rPr>
      <t xml:space="preserve">總代墊費用
</t>
    </r>
    <r>
      <rPr>
        <b/>
        <sz val="12"/>
        <color theme="1"/>
        <rFont val="Times New Roman"/>
        <family val="1"/>
      </rPr>
      <t>(R1+R2)</t>
    </r>
    <phoneticPr fontId="1" type="noConversion"/>
  </si>
  <si>
    <r>
      <rPr>
        <b/>
        <sz val="12"/>
        <color theme="1"/>
        <rFont val="標楷體"/>
        <family val="4"/>
        <charset val="136"/>
      </rPr>
      <t xml:space="preserve">慧盈服務費
</t>
    </r>
    <r>
      <rPr>
        <b/>
        <sz val="12"/>
        <color theme="1"/>
        <rFont val="Times New Roman"/>
        <family val="1"/>
      </rPr>
      <t>(R3)
(NTD)</t>
    </r>
    <phoneticPr fontId="1" type="noConversion"/>
  </si>
  <si>
    <t>慧盈服務費
(A3)
(NTD)</t>
    <phoneticPr fontId="1" type="noConversion"/>
  </si>
  <si>
    <t>專利申請費用小計
(A = A1+A2+A3)
(NTD)</t>
    <phoneticPr fontId="1" type="noConversion"/>
  </si>
  <si>
    <t>慧盈服務費(A3)</t>
    <phoneticPr fontId="1" type="noConversion"/>
  </si>
  <si>
    <t>專利申請費用(A)</t>
    <phoneticPr fontId="1" type="noConversion"/>
  </si>
  <si>
    <t>官方費用
(R1)</t>
    <phoneticPr fontId="1" type="noConversion"/>
  </si>
  <si>
    <t>外國代理人費用
(R2)</t>
    <phoneticPr fontId="1" type="noConversion"/>
  </si>
  <si>
    <t>總代墊費用
(R1+R2)</t>
    <phoneticPr fontId="1" type="noConversion"/>
  </si>
  <si>
    <t>慧盈服務費
(R3)
(NTD)</t>
    <phoneticPr fontId="1" type="noConversion"/>
  </si>
  <si>
    <t>官方費用(R1)</t>
    <phoneticPr fontId="1" type="noConversion"/>
  </si>
  <si>
    <t>外國代理人費用(R2)</t>
    <phoneticPr fontId="1" type="noConversion"/>
  </si>
  <si>
    <t>慧盈服務費(R3)</t>
    <phoneticPr fontId="1" type="noConversion"/>
  </si>
  <si>
    <t>官方費用
(M1)</t>
    <phoneticPr fontId="1" type="noConversion"/>
  </si>
  <si>
    <t>外國代理人費用
(M2)</t>
    <phoneticPr fontId="1" type="noConversion"/>
  </si>
  <si>
    <t>總代墊費用
(M1+M2)</t>
    <phoneticPr fontId="1" type="noConversion"/>
  </si>
  <si>
    <t>慧盈服務費
(M3)
(NTD)</t>
    <phoneticPr fontId="1" type="noConversion"/>
  </si>
  <si>
    <t>官方費用(M1)</t>
    <phoneticPr fontId="1" type="noConversion"/>
  </si>
  <si>
    <t>外國代理人費用(M2)</t>
    <phoneticPr fontId="1" type="noConversion"/>
  </si>
  <si>
    <t>慧盈服務費(M3)</t>
    <phoneticPr fontId="1" type="noConversion"/>
  </si>
  <si>
    <t>申請費用(A)</t>
    <phoneticPr fontId="1" type="noConversion"/>
  </si>
  <si>
    <t>答辯費用(R)</t>
    <phoneticPr fontId="1" type="noConversion"/>
  </si>
  <si>
    <t>後續年費(M)</t>
    <phoneticPr fontId="1" type="noConversion"/>
  </si>
  <si>
    <t>申請+答辯費用(A+R)</t>
    <phoneticPr fontId="1" type="noConversion"/>
  </si>
  <si>
    <t>繪製各國（申請+答辯費）與（領證＋年費）長條圖</t>
    <phoneticPr fontId="1" type="noConversion"/>
  </si>
  <si>
    <t>英國</t>
    <phoneticPr fontId="1" type="noConversion"/>
  </si>
  <si>
    <t>GBP</t>
    <phoneticPr fontId="1" type="noConversion"/>
  </si>
  <si>
    <r>
      <t>第一部分：辦理各地區「</t>
    </r>
    <r>
      <rPr>
        <b/>
        <sz val="12"/>
        <color rgb="FFCC00FF"/>
        <rFont val="新細明體"/>
        <family val="1"/>
        <charset val="136"/>
        <scheme val="minor"/>
      </rPr>
      <t>設計專利</t>
    </r>
    <r>
      <rPr>
        <b/>
        <sz val="12"/>
        <color theme="1"/>
        <rFont val="新細明體"/>
        <family val="1"/>
        <charset val="136"/>
        <scheme val="minor"/>
      </rPr>
      <t>」的「申請費用」：從撰稿到提交申請。</t>
    </r>
    <phoneticPr fontId="1" type="noConversion"/>
  </si>
  <si>
    <t>第二部分：辦理各地區「設計專利」的「領證費用（包含最基本的第一次年費）」。</t>
    <phoneticPr fontId="1" type="noConversion"/>
  </si>
  <si>
    <t>英鎊(GBP)</t>
    <phoneticPr fontId="1" type="noConversion"/>
  </si>
  <si>
    <t>超項費</t>
    <phoneticPr fontId="1" type="noConversion"/>
  </si>
  <si>
    <t>一、委託慧盈辦理「設計專利」從撰稿到提交申請階段的預估「申請費」：</t>
    <phoneticPr fontId="1" type="noConversion"/>
  </si>
  <si>
    <r>
      <rPr>
        <b/>
        <sz val="12"/>
        <color theme="1"/>
        <rFont val="標楷體"/>
        <family val="4"/>
        <charset val="136"/>
      </rPr>
      <t>總代墊費用</t>
    </r>
    <r>
      <rPr>
        <b/>
        <sz val="12"/>
        <color theme="1"/>
        <rFont val="Times New Roman"/>
        <family val="4"/>
      </rPr>
      <t xml:space="preserve">
</t>
    </r>
    <r>
      <rPr>
        <b/>
        <sz val="12"/>
        <color theme="1"/>
        <rFont val="Times New Roman"/>
        <family val="1"/>
      </rPr>
      <t>(A1+A2)</t>
    </r>
    <phoneticPr fontId="1" type="noConversion"/>
  </si>
  <si>
    <r>
      <rPr>
        <b/>
        <sz val="12"/>
        <color theme="1"/>
        <rFont val="標楷體"/>
        <family val="4"/>
        <charset val="136"/>
      </rPr>
      <t xml:space="preserve">設計後續年費
小計
</t>
    </r>
    <r>
      <rPr>
        <b/>
        <sz val="12"/>
        <color theme="1"/>
        <rFont val="Times New Roman"/>
        <family val="1"/>
      </rPr>
      <t>(M = M1+M2+M3)</t>
    </r>
    <phoneticPr fontId="1" type="noConversion"/>
  </si>
  <si>
    <r>
      <rPr>
        <b/>
        <sz val="12"/>
        <color theme="1"/>
        <rFont val="標楷體"/>
        <family val="4"/>
        <charset val="136"/>
      </rPr>
      <t xml:space="preserve">設計申請費用
小計
</t>
    </r>
    <r>
      <rPr>
        <b/>
        <sz val="12"/>
        <color theme="1"/>
        <rFont val="Times New Roman"/>
        <family val="1"/>
      </rPr>
      <t>(A = A1+A2+A3)</t>
    </r>
    <phoneticPr fontId="1" type="noConversion"/>
  </si>
  <si>
    <r>
      <rPr>
        <b/>
        <sz val="12"/>
        <color theme="1"/>
        <rFont val="標楷體"/>
        <family val="4"/>
        <charset val="136"/>
      </rPr>
      <t xml:space="preserve">設計答辯費用
小計
</t>
    </r>
    <r>
      <rPr>
        <b/>
        <sz val="12"/>
        <color theme="1"/>
        <rFont val="Times New Roman"/>
        <family val="1"/>
      </rPr>
      <t>(R = R1+R2+R3)</t>
    </r>
    <phoneticPr fontId="1" type="noConversion"/>
  </si>
  <si>
    <t>專利申請費用小計
(R = R1+R2+R3)
(NTD)</t>
    <phoneticPr fontId="1" type="noConversion"/>
  </si>
  <si>
    <t>專利維護費用小計
(M = M1+M2+M3)
(NTD)</t>
    <phoneticPr fontId="1" type="noConversion"/>
  </si>
  <si>
    <r>
      <t>第四部分：辦理各地區「設計專利」的「後續年費費用（不包含最基本的第一次年費）」，</t>
    </r>
    <r>
      <rPr>
        <b/>
        <sz val="12"/>
        <color rgb="FFFF0000"/>
        <rFont val="新細明體"/>
        <family val="1"/>
        <charset val="136"/>
        <scheme val="minor"/>
      </rPr>
      <t>連動「年費繳納年數」下拉選單</t>
    </r>
    <phoneticPr fontId="1" type="noConversion"/>
  </si>
  <si>
    <r>
      <t>第三部分：辦理各地區「</t>
    </r>
    <r>
      <rPr>
        <b/>
        <sz val="12"/>
        <color rgb="FFCC00FF"/>
        <rFont val="新細明體"/>
        <family val="1"/>
        <charset val="136"/>
        <scheme val="minor"/>
      </rPr>
      <t>設計專利</t>
    </r>
    <r>
      <rPr>
        <b/>
        <sz val="12"/>
        <color theme="1"/>
        <rFont val="新細明體"/>
        <family val="1"/>
        <charset val="136"/>
        <scheme val="minor"/>
      </rPr>
      <t>」的「一次答辯費用」：估多次會牽涉到CPA、再審查等額外官費，太複雜。</t>
    </r>
    <phoneticPr fontId="1" type="noConversion"/>
  </si>
  <si>
    <r>
      <rPr>
        <b/>
        <sz val="12"/>
        <color theme="1"/>
        <rFont val="標楷體"/>
        <family val="4"/>
        <charset val="136"/>
      </rPr>
      <t xml:space="preserve">官方費用
</t>
    </r>
    <r>
      <rPr>
        <b/>
        <sz val="12"/>
        <color theme="1"/>
        <rFont val="Times New Roman"/>
        <family val="1"/>
      </rPr>
      <t>(C1)</t>
    </r>
    <phoneticPr fontId="1" type="noConversion"/>
  </si>
  <si>
    <r>
      <rPr>
        <b/>
        <sz val="12"/>
        <color theme="1"/>
        <rFont val="標楷體"/>
        <family val="4"/>
        <charset val="136"/>
      </rPr>
      <t xml:space="preserve">外國代理人費用
</t>
    </r>
    <r>
      <rPr>
        <b/>
        <sz val="12"/>
        <color theme="1"/>
        <rFont val="Times New Roman"/>
        <family val="1"/>
      </rPr>
      <t>(C2)</t>
    </r>
    <phoneticPr fontId="1" type="noConversion"/>
  </si>
  <si>
    <r>
      <rPr>
        <b/>
        <sz val="12"/>
        <color theme="1"/>
        <rFont val="標楷體"/>
        <family val="4"/>
        <charset val="136"/>
      </rPr>
      <t xml:space="preserve">總代墊費用
</t>
    </r>
    <r>
      <rPr>
        <b/>
        <sz val="12"/>
        <color theme="1"/>
        <rFont val="Times New Roman"/>
        <family val="1"/>
      </rPr>
      <t>(C1+C2)</t>
    </r>
    <phoneticPr fontId="1" type="noConversion"/>
  </si>
  <si>
    <r>
      <rPr>
        <b/>
        <sz val="12"/>
        <color theme="1"/>
        <rFont val="標楷體"/>
        <family val="4"/>
        <charset val="136"/>
      </rPr>
      <t xml:space="preserve">慧盈服務費
</t>
    </r>
    <r>
      <rPr>
        <b/>
        <sz val="12"/>
        <color theme="1"/>
        <rFont val="Times New Roman"/>
        <family val="1"/>
      </rPr>
      <t>(C3)
(NTD)</t>
    </r>
    <phoneticPr fontId="1" type="noConversion"/>
  </si>
  <si>
    <t>官方費用
(C1)</t>
    <phoneticPr fontId="1" type="noConversion"/>
  </si>
  <si>
    <t>外國代理人費用
(C2)</t>
    <phoneticPr fontId="1" type="noConversion"/>
  </si>
  <si>
    <t>總代墊費用
(C1+C2)</t>
    <phoneticPr fontId="1" type="noConversion"/>
  </si>
  <si>
    <t>慧盈服務費
(C3)
(NTD)</t>
    <phoneticPr fontId="1" type="noConversion"/>
  </si>
  <si>
    <t>官方費用(C1)</t>
    <phoneticPr fontId="1" type="noConversion"/>
  </si>
  <si>
    <t>外國代理人費用(C2)</t>
    <phoneticPr fontId="1" type="noConversion"/>
  </si>
  <si>
    <t>慧盈服務費(C3)</t>
    <phoneticPr fontId="1" type="noConversion"/>
  </si>
  <si>
    <t>領證費用(C)</t>
    <phoneticPr fontId="1" type="noConversion"/>
  </si>
  <si>
    <t>申請+領證費用(A+C)</t>
    <phoneticPr fontId="1" type="noConversion"/>
  </si>
  <si>
    <t>申請+答辯+領證費(A+R+C)</t>
    <phoneticPr fontId="1" type="noConversion"/>
  </si>
  <si>
    <t>專利領證費用(C)</t>
    <phoneticPr fontId="1" type="noConversion"/>
  </si>
  <si>
    <t>領證+答辯+後續年費(C+R+M)</t>
    <phoneticPr fontId="1" type="noConversion"/>
  </si>
  <si>
    <t>領證+後續年費(C+M)</t>
    <phoneticPr fontId="1" type="noConversion"/>
  </si>
  <si>
    <r>
      <rPr>
        <b/>
        <sz val="12"/>
        <color theme="1"/>
        <rFont val="標楷體"/>
        <family val="4"/>
        <charset val="136"/>
      </rPr>
      <t xml:space="preserve">設計領證費用
小計
</t>
    </r>
    <r>
      <rPr>
        <b/>
        <sz val="12"/>
        <color theme="1"/>
        <rFont val="Times New Roman"/>
        <family val="1"/>
      </rPr>
      <t>(C = C1+C2+C3)</t>
    </r>
    <phoneticPr fontId="1" type="noConversion"/>
  </si>
  <si>
    <t>專利維護費用小計
(C = C1+C2+C3)
(NTD)</t>
    <phoneticPr fontId="1" type="noConversion"/>
  </si>
  <si>
    <t>專利布局總成本
(T = A+C+R+M)</t>
    <phoneticPr fontId="1" type="noConversion"/>
  </si>
  <si>
    <t>備註：</t>
  </si>
  <si>
    <r>
      <t>(</t>
    </r>
    <r>
      <rPr>
        <b/>
        <sz val="10"/>
        <color rgb="FFFF0000"/>
        <rFont val="標楷體"/>
        <family val="4"/>
        <charset val="136"/>
      </rPr>
      <t>視需要勾選</t>
    </r>
    <r>
      <rPr>
        <b/>
        <sz val="10"/>
        <color rgb="FFFF0000"/>
        <rFont val="Times New Roman"/>
        <family val="1"/>
      </rPr>
      <t>)</t>
    </r>
    <phoneticPr fontId="1" type="noConversion"/>
  </si>
  <si>
    <t>二、委託慧盈辦理設計專利證書領證程序的「領證費」（包含最基本的第一次年費）：</t>
    <phoneticPr fontId="1" type="noConversion"/>
  </si>
  <si>
    <t>三、委託慧盈辦理設計申請案「核駁答辯程序」的預估「答辯費用」（只以答辯一次作為估算基礎）：</t>
    <phoneticPr fontId="1" type="noConversion"/>
  </si>
  <si>
    <t>四、委託慧盈控管及代繳設計專利的「後續年費」（已扣除最基本的第一次年費）：</t>
    <phoneticPr fontId="1" type="noConversion"/>
  </si>
  <si>
    <t>年費繳納年數(下拉選單)</t>
    <phoneticPr fontId="1" type="noConversion"/>
  </si>
  <si>
    <r>
      <t xml:space="preserve">年費繳納年數
</t>
    </r>
    <r>
      <rPr>
        <b/>
        <sz val="12"/>
        <color rgb="FFFF0000"/>
        <rFont val="標楷體"/>
        <family val="4"/>
        <charset val="136"/>
      </rPr>
      <t>可自行調整→</t>
    </r>
    <phoneticPr fontId="1" type="noConversion"/>
  </si>
  <si>
    <t>設計年費繳納年數(黑圈)</t>
    <phoneticPr fontId="1" type="noConversion"/>
  </si>
  <si>
    <t>發明年費繳納年數(黑圈)</t>
    <phoneticPr fontId="1" type="noConversion"/>
  </si>
  <si>
    <t>不需實審</t>
    <phoneticPr fontId="1" type="noConversion"/>
  </si>
  <si>
    <t>實審</t>
    <phoneticPr fontId="1" type="noConversion"/>
  </si>
  <si>
    <r>
      <rPr>
        <b/>
        <sz val="12"/>
        <color theme="1"/>
        <rFont val="Times New Roman"/>
        <family val="4"/>
      </rPr>
      <t>15</t>
    </r>
    <r>
      <rPr>
        <b/>
        <sz val="12"/>
        <color theme="1"/>
        <rFont val="標楷體"/>
        <family val="4"/>
        <charset val="136"/>
      </rPr>
      <t>年</t>
    </r>
    <phoneticPr fontId="1" type="noConversion"/>
  </si>
  <si>
    <r>
      <t>10</t>
    </r>
    <r>
      <rPr>
        <b/>
        <sz val="12"/>
        <color theme="1"/>
        <rFont val="標楷體"/>
        <family val="4"/>
        <charset val="136"/>
      </rPr>
      <t>年</t>
    </r>
    <phoneticPr fontId="1" type="noConversion"/>
  </si>
  <si>
    <r>
      <t>20</t>
    </r>
    <r>
      <rPr>
        <b/>
        <sz val="12"/>
        <color theme="1"/>
        <rFont val="標楷體"/>
        <family val="4"/>
        <charset val="136"/>
      </rPr>
      <t>年</t>
    </r>
    <phoneticPr fontId="1" type="noConversion"/>
  </si>
  <si>
    <r>
      <t>25</t>
    </r>
    <r>
      <rPr>
        <b/>
        <sz val="12"/>
        <color theme="1"/>
        <rFont val="標楷體"/>
        <family val="4"/>
        <charset val="136"/>
      </rPr>
      <t>年</t>
    </r>
    <phoneticPr fontId="1" type="noConversion"/>
  </si>
  <si>
    <t>設計
審查制度</t>
    <phoneticPr fontId="1" type="noConversion"/>
  </si>
  <si>
    <t>設計
保護年限</t>
    <phoneticPr fontId="1" type="noConversion"/>
  </si>
  <si>
    <t>(同日)超項費</t>
    <phoneticPr fontId="1" type="noConversion"/>
  </si>
  <si>
    <t>是否申請</t>
    <phoneticPr fontId="1" type="noConversion"/>
  </si>
  <si>
    <r>
      <t>核准後之
證書</t>
    </r>
    <r>
      <rPr>
        <sz val="12"/>
        <color theme="1"/>
        <rFont val="新細明體"/>
        <family val="1"/>
        <charset val="136"/>
        <scheme val="major"/>
      </rPr>
      <t xml:space="preserve">數量
</t>
    </r>
    <r>
      <rPr>
        <b/>
        <sz val="12"/>
        <color rgb="FF0000FF"/>
        <rFont val="新細明體"/>
        <family val="1"/>
        <charset val="136"/>
        <scheme val="major"/>
      </rPr>
      <t>(預估)</t>
    </r>
    <phoneticPr fontId="1" type="noConversion"/>
  </si>
  <si>
    <r>
      <t xml:space="preserve">核准後之
證書數量
</t>
    </r>
    <r>
      <rPr>
        <b/>
        <sz val="12"/>
        <color rgb="FF0000FF"/>
        <rFont val="標楷體"/>
        <family val="4"/>
        <charset val="136"/>
      </rPr>
      <t>(預估)</t>
    </r>
    <phoneticPr fontId="1" type="noConversion"/>
  </si>
  <si>
    <t>預估證書數</t>
    <phoneticPr fontId="1" type="noConversion"/>
  </si>
  <si>
    <t>如果有新增國別或調整國別排列順序，要記得重新設定上面三個欄位中的HLOOKUP的最後一個索引欄位數值是否由上而下依序順號，只要沒有順號，HLOOKUP抓出來的金額就會是錯的</t>
    <phoneticPr fontId="1" type="noConversion"/>
  </si>
  <si>
    <t>↑↑↑↑</t>
    <phoneticPr fontId="1" type="noConversion"/>
  </si>
  <si>
    <t>2.「圖像設計」是指設計內容為電腦圖像（ICON）或圖形化使用者介面（Graphical User Interface，GUI）。</t>
    <phoneticPr fontId="1" type="noConversion"/>
  </si>
  <si>
    <t>5.設計專利最長保護年限達20年的地區：韓國。</t>
    <phoneticPr fontId="1" type="noConversion"/>
  </si>
  <si>
    <t>6.設計專利最長保護年限達25年的地區：日本、歐盟、英國、馬來西亞。</t>
    <phoneticPr fontId="1" type="noConversion"/>
  </si>
  <si>
    <t>7.近似設計「可同案申請」(一案多實施例一證書)的地區：大陸、美國、菲律賓、越南、加拿大。</t>
    <phoneticPr fontId="1" type="noConversion"/>
  </si>
  <si>
    <t>8.近似設計「可併案或分開申請」(一設計一證書)的地區：歐盟、英國、日本、韓國、新加坡、馬來西亞。</t>
    <phoneticPr fontId="1" type="noConversion"/>
  </si>
  <si>
    <t>12.設計專利「不需繳納年費」的地區：美國、印尼。</t>
    <phoneticPr fontId="1" type="noConversion"/>
  </si>
  <si>
    <t>13.泰國案申請前需要在台辦理委任書(POA)的公證跟認證程序。</t>
    <phoneticPr fontId="1" type="noConversion"/>
  </si>
  <si>
    <t>　　(1)個別案件之「主張優先權」、「申請優先權證」、「提呈IDS」、「補正文件」等額外程序費用。</t>
    <phoneticPr fontId="1" type="noConversion"/>
  </si>
  <si>
    <t>　　(2)各地區官方或代理人因設計圖數過多所收取的「超圖費」。</t>
    <phoneticPr fontId="1" type="noConversion"/>
  </si>
  <si>
    <t>　　(3)被官方要求將個別案件中的不同設計分拆成獨立申請案所衍生的額外費用。</t>
    <phoneticPr fontId="1" type="noConversion"/>
  </si>
  <si>
    <t>　　(4)個別案件後續可能發生的核駁答辯費用，以及領取專利證書的費用。</t>
    <phoneticPr fontId="1" type="noConversion"/>
  </si>
  <si>
    <t>2.設計案「要實體審查」的地區：台灣、美國、日本、韓國、越南、泰國、馬來西亞、印尼、加拿大。</t>
    <phoneticPr fontId="1" type="noConversion"/>
  </si>
  <si>
    <t>4.設計案「不需實體審查」的地區：大陸、歐盟、英國、新加坡、菲律賓。</t>
    <phoneticPr fontId="1" type="noConversion"/>
  </si>
  <si>
    <t>3.要實體審查的設計案，其實需要答辯的比例並不高，美國案約50%，台灣案約30%，其他地區更低，所以實際答辯費用通常會比上表估算金額「低」很多。</t>
    <phoneticPr fontId="1" type="noConversion"/>
  </si>
  <si>
    <t>5.不需實體審查的設計案，基本上不需要進行答辯，只有在特殊情況下才可能發生需要答辯的狀況，所以在上表中的估算費用都是0。</t>
    <phoneticPr fontId="1" type="noConversion"/>
  </si>
  <si>
    <t>1.上表是針對「要實體審查」的設計案進行「一次」答辯的估算費用，不包含需要答辯超過一次時的費用。</t>
    <phoneticPr fontId="1" type="noConversion"/>
  </si>
  <si>
    <t>1.設計專利「不需繳納年費」的地區：美國、印尼。</t>
    <phoneticPr fontId="1" type="noConversion"/>
  </si>
  <si>
    <t>2.部分地區允許一次繳納複數年份的年費，採用這種繳費方式可大幅降低外國代理人費用及慧盈服務費，降幅可達一半以上（甚至更多）。</t>
    <phoneticPr fontId="1" type="noConversion"/>
  </si>
  <si>
    <t>1.上表中的預估費用，只包含領證費用及領證時必須一併繳納的最基本的第一次年費，不包含後續年費。</t>
  </si>
  <si>
    <t>五、以下用視覺化圖形呈現各地區「設計專利」的費用組成結構，讓您迅速掌握設計佈局成本的真實樣貌：</t>
    <phoneticPr fontId="1" type="noConversion"/>
  </si>
  <si>
    <t>↑英國超項費的官費及代理人費的公式有瑕疵，只能估算總設計項數50以內的超項費，超過50項時的公式還沒想到怎麼寫(官方允許的上限只能50項)</t>
    <phoneticPr fontId="1" type="noConversion"/>
  </si>
  <si>
    <t>100~500人</t>
    <phoneticPr fontId="1" type="noConversion"/>
  </si>
  <si>
    <t>少於100人</t>
  </si>
  <si>
    <t>少於100人</t>
    <phoneticPr fontId="1" type="noConversion"/>
  </si>
  <si>
    <t>1.上表計算結果僅係概估費用，皆假設要同日申請的設計都是近似設計，並「不」包含以下費用：</t>
    <phoneticPr fontId="1" type="noConversion"/>
  </si>
  <si>
    <t>設計超項費</t>
    <phoneticPr fontId="1" type="noConversion"/>
  </si>
  <si>
    <t>印度</t>
    <phoneticPr fontId="1" type="noConversion"/>
  </si>
  <si>
    <t>4.設計專利最長保護年限達15年的地區：台灣、大陸、美國、新加坡、菲律賓、越南、印度。</t>
    <phoneticPr fontId="1" type="noConversion"/>
  </si>
  <si>
    <t>10.設計專利「需要實體審查」的地區：台灣、美國、日本、韓國、越南、泰國、馬來西亞、印尼、加拿大、印度。</t>
    <phoneticPr fontId="1" type="noConversion"/>
  </si>
  <si>
    <r>
      <t>15</t>
    </r>
    <r>
      <rPr>
        <b/>
        <sz val="12"/>
        <color theme="1"/>
        <rFont val="標楷體"/>
        <family val="4"/>
        <charset val="136"/>
      </rPr>
      <t>年</t>
    </r>
    <phoneticPr fontId="1" type="noConversion"/>
  </si>
  <si>
    <t>歐盟設計案的年費，是使用Metida的2025年度報價，而非按照CPA報價</t>
    <phoneticPr fontId="1" type="noConversion"/>
  </si>
  <si>
    <t>英國設計案的年費，是使用Metida的2023年度報價，而非按照CPA報價</t>
    <phoneticPr fontId="1" type="noConversion"/>
  </si>
  <si>
    <t>澳洲</t>
    <phoneticPr fontId="1" type="noConversion"/>
  </si>
  <si>
    <t>澳洲幣(AUD)</t>
    <phoneticPr fontId="1" type="noConversion"/>
  </si>
  <si>
    <t>AUD</t>
    <phoneticPr fontId="1" type="noConversion"/>
  </si>
  <si>
    <t>3.設計專利最長保護年限達10年的地區：泰國、印尼、加拿大、澳洲。</t>
    <phoneticPr fontId="1" type="noConversion"/>
  </si>
  <si>
    <t>11.設計專利「不需實體審查」的地區：大陸、歐盟、英國、新加坡、菲律賓、澳洲(要主張權利前才需要實體審查)。</t>
    <phoneticPr fontId="1" type="noConversion"/>
  </si>
  <si>
    <t>9.近似設計「只能分開申請」(一設計一證書)的地區：台灣、泰國、印尼、印度、澳洲(官方建議分開申請)。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</si>
</sst>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7" x14ac:knownFonts="1">
    <font>
      <sz val="12"/>
      <color theme="1"/>
      <name val="新細明體"/>
      <family val="2"/>
      <scheme val="minor"/>
    </font>
    <font>
      <sz val="9"/>
      <name val="新細明體"/>
      <family val="3"/>
      <charset val="136"/>
      <scheme val="minor"/>
    </font>
    <font>
      <sz val="11"/>
      <color rgb="FF222222"/>
      <name val="細明體"/>
      <family val="3"/>
      <charset val="136"/>
    </font>
    <font>
      <b/>
      <sz val="12"/>
      <color rgb="FF0000FF"/>
      <name val="新細明體"/>
      <family val="1"/>
      <charset val="136"/>
      <scheme val="minor"/>
    </font>
    <font>
      <sz val="9"/>
      <name val="新細明體"/>
      <family val="1"/>
      <charset val="136"/>
    </font>
    <font>
      <sz val="12"/>
      <color rgb="FFFF0000"/>
      <name val="新細明體"/>
      <family val="2"/>
      <scheme val="minor"/>
    </font>
    <font>
      <sz val="12"/>
      <color rgb="FFFF0000"/>
      <name val="新細明體"/>
      <family val="1"/>
      <charset val="136"/>
      <scheme val="minor"/>
    </font>
    <font>
      <b/>
      <sz val="12"/>
      <color theme="1"/>
      <name val="新細明體"/>
      <family val="1"/>
      <charset val="136"/>
      <scheme val="minor"/>
    </font>
    <font>
      <b/>
      <sz val="12"/>
      <color rgb="FFFF0000"/>
      <name val="新細明體"/>
      <family val="1"/>
      <charset val="136"/>
      <scheme val="minor"/>
    </font>
    <font>
      <b/>
      <sz val="12"/>
      <color rgb="FFCC00FF"/>
      <name val="新細明體"/>
      <family val="1"/>
      <charset val="136"/>
      <scheme val="minor"/>
    </font>
    <font>
      <b/>
      <sz val="14"/>
      <color rgb="FF0000FF"/>
      <name val="新細明體"/>
      <family val="1"/>
      <charset val="136"/>
      <scheme val="minor"/>
    </font>
    <font>
      <sz val="12"/>
      <color rgb="FF0000FF"/>
      <name val="新細明體"/>
      <family val="2"/>
      <scheme val="minor"/>
    </font>
    <font>
      <sz val="14"/>
      <color theme="1"/>
      <name val="新細明體"/>
      <family val="1"/>
      <charset val="136"/>
      <scheme val="minor"/>
    </font>
    <font>
      <sz val="11"/>
      <color rgb="FFFF0000"/>
      <name val="細明體"/>
      <family val="3"/>
      <charset val="136"/>
    </font>
    <font>
      <b/>
      <sz val="12"/>
      <color theme="1"/>
      <name val="新細明體"/>
      <family val="1"/>
      <charset val="136"/>
    </font>
    <font>
      <b/>
      <sz val="12"/>
      <name val="新細明體"/>
      <family val="1"/>
      <charset val="136"/>
    </font>
    <font>
      <b/>
      <sz val="12"/>
      <color theme="1"/>
      <name val="Times New Roman"/>
      <family val="1"/>
    </font>
    <font>
      <sz val="12"/>
      <color theme="1"/>
      <name val="Times New Roman"/>
      <family val="1"/>
    </font>
    <font>
      <b/>
      <sz val="12"/>
      <color rgb="FFFF0000"/>
      <name val="Times New Roman"/>
      <family val="1"/>
    </font>
    <font>
      <b/>
      <sz val="12"/>
      <name val="Times New Roman"/>
      <family val="1"/>
    </font>
    <font>
      <b/>
      <sz val="12"/>
      <color rgb="FF0000FF"/>
      <name val="Times New Roman"/>
      <family val="1"/>
    </font>
    <font>
      <b/>
      <sz val="14"/>
      <color rgb="FF0000FF"/>
      <name val="Times New Roman"/>
      <family val="1"/>
    </font>
    <font>
      <sz val="12"/>
      <color rgb="FFFF0000"/>
      <name val="Times New Roman"/>
      <family val="1"/>
    </font>
    <font>
      <sz val="12"/>
      <color rgb="FF0000FF"/>
      <name val="Times New Roman"/>
      <family val="1"/>
    </font>
    <font>
      <b/>
      <sz val="12"/>
      <color theme="1"/>
      <name val="Times New Roman"/>
      <family val="1"/>
      <charset val="136"/>
    </font>
    <font>
      <b/>
      <sz val="12"/>
      <name val="細明體"/>
      <family val="1"/>
      <charset val="136"/>
    </font>
    <font>
      <sz val="12"/>
      <color theme="1"/>
      <name val="新細明體"/>
      <family val="2"/>
      <charset val="136"/>
    </font>
    <font>
      <b/>
      <sz val="10"/>
      <color rgb="FFFF0000"/>
      <name val="Times New Roman"/>
      <family val="1"/>
    </font>
    <font>
      <sz val="12"/>
      <color theme="1"/>
      <name val="新細明體"/>
      <family val="1"/>
      <charset val="136"/>
    </font>
    <font>
      <b/>
      <sz val="12"/>
      <color theme="1"/>
      <name val="標楷體"/>
      <family val="4"/>
      <charset val="136"/>
    </font>
    <font>
      <b/>
      <sz val="12"/>
      <color rgb="FFFF0000"/>
      <name val="標楷體"/>
      <family val="4"/>
      <charset val="136"/>
    </font>
    <font>
      <b/>
      <sz val="12"/>
      <color rgb="FF0000FF"/>
      <name val="標楷體"/>
      <family val="4"/>
      <charset val="136"/>
    </font>
    <font>
      <b/>
      <sz val="10"/>
      <color rgb="FFFF0000"/>
      <name val="標楷體"/>
      <family val="4"/>
      <charset val="136"/>
    </font>
    <font>
      <b/>
      <sz val="12"/>
      <name val="標楷體"/>
      <family val="4"/>
      <charset val="136"/>
    </font>
    <font>
      <b/>
      <sz val="14"/>
      <color rgb="FF0000FF"/>
      <name val="標楷體"/>
      <family val="4"/>
      <charset val="136"/>
    </font>
    <font>
      <b/>
      <sz val="12"/>
      <color theme="1"/>
      <name val="Times New Roman"/>
      <family val="4"/>
    </font>
    <font>
      <b/>
      <sz val="12"/>
      <color theme="1"/>
      <name val="Times New Roman"/>
      <family val="4"/>
      <charset val="136"/>
    </font>
    <font>
      <b/>
      <sz val="12"/>
      <color theme="1"/>
      <name val="細明體"/>
      <family val="1"/>
      <charset val="136"/>
    </font>
    <font>
      <sz val="12"/>
      <name val="新細明體"/>
      <family val="2"/>
      <scheme val="minor"/>
    </font>
    <font>
      <b/>
      <sz val="12"/>
      <color rgb="FFFFFF66"/>
      <name val="細明體"/>
      <family val="1"/>
      <charset val="136"/>
    </font>
    <font>
      <sz val="12"/>
      <color theme="1"/>
      <name val="標楷體"/>
      <family val="4"/>
      <charset val="136"/>
    </font>
    <font>
      <b/>
      <sz val="12"/>
      <color theme="1"/>
      <name val="標楷體"/>
      <family val="1"/>
      <charset val="136"/>
    </font>
    <font>
      <sz val="9"/>
      <color rgb="FF000000"/>
      <name val="新細明體"/>
      <family val="1"/>
      <charset val="136"/>
    </font>
    <font>
      <sz val="9"/>
      <color rgb="FF000000"/>
      <name val="Microsoft JhengHei UI"/>
      <family val="2"/>
      <charset val="136"/>
    </font>
    <font>
      <sz val="12"/>
      <color theme="1"/>
      <name val="新細明體"/>
      <family val="1"/>
      <charset val="136"/>
      <scheme val="major"/>
    </font>
    <font>
      <b/>
      <sz val="12"/>
      <color rgb="FF0000FF"/>
      <name val="新細明體"/>
      <family val="1"/>
      <charset val="136"/>
      <scheme val="major"/>
    </font>
    <font>
      <sz val="12"/>
      <color theme="1"/>
      <name val="Microsoft JhengHei UI"/>
      <family val="2"/>
      <charset val="136"/>
    </font>
  </fonts>
  <fills count="15">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rgb="FFFFCCFF"/>
        <bgColor indexed="64"/>
      </patternFill>
    </fill>
    <fill>
      <patternFill patternType="solid">
        <fgColor rgb="FFCCFFCC"/>
        <bgColor indexed="64"/>
      </patternFill>
    </fill>
    <fill>
      <patternFill patternType="solid">
        <fgColor rgb="FFFFFFCC"/>
        <bgColor indexed="64"/>
      </patternFill>
    </fill>
    <fill>
      <patternFill patternType="solid">
        <fgColor theme="0"/>
        <bgColor indexed="64"/>
      </patternFill>
    </fill>
    <fill>
      <gradientFill degree="270">
        <stop position="0">
          <color theme="0"/>
        </stop>
        <stop position="1">
          <color rgb="FFCCFFFF"/>
        </stop>
      </gradientFill>
    </fill>
    <fill>
      <gradientFill degree="270">
        <stop position="0">
          <color theme="0"/>
        </stop>
        <stop position="1">
          <color rgb="FFCCFFCC"/>
        </stop>
      </gradientFill>
    </fill>
    <fill>
      <gradientFill degree="270">
        <stop position="0">
          <color theme="0"/>
        </stop>
        <stop position="1">
          <color rgb="FFFFFFCC"/>
        </stop>
      </gradientFill>
    </fill>
    <fill>
      <gradientFill degree="270">
        <stop position="0">
          <color theme="0"/>
        </stop>
        <stop position="1">
          <color rgb="FFFFCCFF"/>
        </stop>
      </gradientFill>
    </fill>
    <fill>
      <gradientFill degree="270">
        <stop position="0">
          <color theme="0"/>
        </stop>
        <stop position="1">
          <color rgb="FFFFCC00"/>
        </stop>
      </gradientFill>
    </fill>
    <fill>
      <patternFill patternType="solid">
        <fgColor rgb="FFFFD757"/>
        <bgColor indexed="64"/>
      </patternFill>
    </fill>
    <fill>
      <patternFill patternType="solid">
        <fgColor rgb="FF99FF9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s>
  <cellStyleXfs count="1">
    <xf numFmtId="0" fontId="0" fillId="0" borderId="0"/>
  </cellStyleXfs>
  <cellXfs count="230">
    <xf numFmtId="0" fontId="0" fillId="0" borderId="0" xfId="0"/>
    <xf numFmtId="0" fontId="0" fillId="0" borderId="0" xfId="0" applyAlignment="1">
      <alignment horizontal="center"/>
    </xf>
    <xf numFmtId="0" fontId="2" fillId="0" borderId="0" xfId="0" applyFont="1"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xf numFmtId="0" fontId="0" fillId="0" borderId="1" xfId="0" applyBorder="1" applyAlignment="1">
      <alignment horizontal="center"/>
    </xf>
    <xf numFmtId="176" fontId="3" fillId="0" borderId="1" xfId="0" applyNumberFormat="1" applyFont="1" applyBorder="1" applyAlignment="1">
      <alignment horizontal="right" vertical="center"/>
    </xf>
    <xf numFmtId="0" fontId="0" fillId="0" borderId="1" xfId="0" applyBorder="1" applyAlignment="1">
      <alignment horizontal="right" vertical="center"/>
    </xf>
    <xf numFmtId="0" fontId="7" fillId="0" borderId="0" xfId="0" applyFont="1"/>
    <xf numFmtId="176" fontId="3" fillId="3" borderId="1" xfId="0" applyNumberFormat="1" applyFont="1" applyFill="1" applyBorder="1" applyAlignment="1">
      <alignment horizontal="right" vertical="center"/>
    </xf>
    <xf numFmtId="176" fontId="10" fillId="0" borderId="1" xfId="0" applyNumberFormat="1" applyFont="1" applyBorder="1" applyAlignment="1">
      <alignment horizontal="right" vertical="center"/>
    </xf>
    <xf numFmtId="0" fontId="11" fillId="0" borderId="1" xfId="0" applyFont="1" applyBorder="1" applyAlignment="1">
      <alignment horizontal="center"/>
    </xf>
    <xf numFmtId="176" fontId="3" fillId="0" borderId="1" xfId="0" applyNumberFormat="1" applyFont="1" applyBorder="1"/>
    <xf numFmtId="0" fontId="3" fillId="0" borderId="1" xfId="0" applyFont="1" applyBorder="1"/>
    <xf numFmtId="0" fontId="11" fillId="0" borderId="1" xfId="0" applyFont="1" applyBorder="1" applyAlignment="1">
      <alignment horizontal="center" vertical="center"/>
    </xf>
    <xf numFmtId="0" fontId="0" fillId="2" borderId="1" xfId="0" applyFill="1" applyBorder="1" applyAlignment="1">
      <alignment horizontal="center" vertical="center" wrapText="1"/>
    </xf>
    <xf numFmtId="0" fontId="5" fillId="0" borderId="0" xfId="0" applyFont="1"/>
    <xf numFmtId="0" fontId="0" fillId="0" borderId="4" xfId="0" applyBorder="1" applyAlignment="1">
      <alignment horizontal="center" vertical="center"/>
    </xf>
    <xf numFmtId="176" fontId="10" fillId="5" borderId="1" xfId="0" applyNumberFormat="1" applyFont="1" applyFill="1" applyBorder="1" applyAlignment="1">
      <alignment horizontal="right" vertical="center"/>
    </xf>
    <xf numFmtId="176" fontId="10" fillId="6" borderId="1" xfId="0" applyNumberFormat="1" applyFont="1" applyFill="1" applyBorder="1" applyAlignment="1">
      <alignment horizontal="right" vertical="center"/>
    </xf>
    <xf numFmtId="176" fontId="3" fillId="0" borderId="1" xfId="0" applyNumberFormat="1" applyFont="1" applyBorder="1" applyAlignment="1">
      <alignment horizontal="center"/>
    </xf>
    <xf numFmtId="176" fontId="3" fillId="6" borderId="1" xfId="0" applyNumberFormat="1" applyFont="1" applyFill="1" applyBorder="1" applyAlignment="1">
      <alignment horizontal="right" vertical="center"/>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176" fontId="3" fillId="5" borderId="1" xfId="0" applyNumberFormat="1" applyFont="1" applyFill="1" applyBorder="1" applyAlignment="1">
      <alignment horizontal="right" vertical="center"/>
    </xf>
    <xf numFmtId="0" fontId="12" fillId="0" borderId="1" xfId="0" applyFont="1" applyBorder="1" applyAlignment="1">
      <alignment horizontal="center" vertical="center"/>
    </xf>
    <xf numFmtId="0" fontId="12" fillId="0" borderId="0" xfId="0" applyFont="1"/>
    <xf numFmtId="0" fontId="13" fillId="0" borderId="0" xfId="0" applyFont="1" applyAlignment="1">
      <alignment horizontal="center"/>
    </xf>
    <xf numFmtId="0" fontId="5" fillId="0" borderId="0" xfId="0" applyFont="1" applyAlignment="1">
      <alignment horizontal="center"/>
    </xf>
    <xf numFmtId="0" fontId="7" fillId="5" borderId="0" xfId="0" applyFont="1" applyFill="1"/>
    <xf numFmtId="0" fontId="0" fillId="5" borderId="0" xfId="0" applyFill="1"/>
    <xf numFmtId="0" fontId="16" fillId="7" borderId="0" xfId="0" applyFont="1" applyFill="1"/>
    <xf numFmtId="0" fontId="17" fillId="7" borderId="0" xfId="0" applyFont="1" applyFill="1"/>
    <xf numFmtId="0" fontId="17" fillId="0" borderId="0" xfId="0" applyFont="1"/>
    <xf numFmtId="0" fontId="16" fillId="7" borderId="0" xfId="0" applyFont="1" applyFill="1" applyProtection="1">
      <protection locked="0"/>
    </xf>
    <xf numFmtId="0" fontId="17" fillId="7" borderId="0" xfId="0" applyFont="1" applyFill="1" applyAlignment="1">
      <alignment vertical="center"/>
    </xf>
    <xf numFmtId="0" fontId="18" fillId="7" borderId="0" xfId="0" applyFont="1" applyFill="1"/>
    <xf numFmtId="176" fontId="20" fillId="0" borderId="1" xfId="0" applyNumberFormat="1" applyFont="1" applyBorder="1" applyAlignment="1">
      <alignment horizontal="right" vertical="center"/>
    </xf>
    <xf numFmtId="0" fontId="16" fillId="0" borderId="0" xfId="0" applyFont="1"/>
    <xf numFmtId="0" fontId="16" fillId="7" borderId="0" xfId="0" applyFont="1" applyFill="1" applyAlignment="1">
      <alignment vertical="center"/>
    </xf>
    <xf numFmtId="0" fontId="22" fillId="7" borderId="0" xfId="0" applyFont="1" applyFill="1" applyProtection="1">
      <protection locked="0" hidden="1"/>
    </xf>
    <xf numFmtId="0" fontId="23" fillId="7" borderId="0" xfId="0" applyFont="1" applyFill="1" applyProtection="1">
      <protection locked="0" hidden="1"/>
    </xf>
    <xf numFmtId="0" fontId="17" fillId="7" borderId="0" xfId="0" applyFont="1" applyFill="1" applyProtection="1">
      <protection locked="0"/>
    </xf>
    <xf numFmtId="0" fontId="16" fillId="7" borderId="0" xfId="0" applyFont="1" applyFill="1" applyAlignment="1">
      <alignment horizontal="left" vertical="center"/>
    </xf>
    <xf numFmtId="0" fontId="16" fillId="7" borderId="0" xfId="0" applyFont="1" applyFill="1" applyAlignment="1" applyProtection="1">
      <alignment horizontal="center"/>
      <protection locked="0"/>
    </xf>
    <xf numFmtId="0" fontId="18" fillId="7" borderId="1" xfId="0" applyFont="1" applyFill="1" applyBorder="1" applyAlignment="1" applyProtection="1">
      <alignment vertical="center"/>
      <protection locked="0"/>
    </xf>
    <xf numFmtId="0" fontId="17" fillId="0" borderId="0" xfId="0" applyFont="1" applyAlignment="1">
      <alignment vertical="center"/>
    </xf>
    <xf numFmtId="0" fontId="16" fillId="7" borderId="0" xfId="0" applyFont="1" applyFill="1" applyAlignment="1" applyProtection="1">
      <alignment vertical="center"/>
      <protection locked="0"/>
    </xf>
    <xf numFmtId="0" fontId="19" fillId="7" borderId="0" xfId="0" applyFont="1" applyFill="1" applyAlignment="1">
      <alignment vertical="center"/>
    </xf>
    <xf numFmtId="0" fontId="24" fillId="7" borderId="0" xfId="0" applyFont="1" applyFill="1" applyAlignment="1">
      <alignment vertical="center"/>
    </xf>
    <xf numFmtId="0" fontId="26" fillId="0" borderId="1" xfId="0" applyFont="1" applyBorder="1" applyAlignment="1">
      <alignment horizontal="center" vertical="center"/>
    </xf>
    <xf numFmtId="0" fontId="16" fillId="7" borderId="1" xfId="0" applyFont="1" applyFill="1" applyBorder="1" applyAlignment="1" applyProtection="1">
      <alignment vertical="center"/>
      <protection locked="0"/>
    </xf>
    <xf numFmtId="0" fontId="16" fillId="0" borderId="1" xfId="0" applyFont="1" applyBorder="1" applyProtection="1">
      <protection locked="0"/>
    </xf>
    <xf numFmtId="0" fontId="16" fillId="0" borderId="1" xfId="0" applyFont="1" applyBorder="1" applyAlignment="1" applyProtection="1">
      <alignment horizontal="right" vertical="center"/>
      <protection locked="0"/>
    </xf>
    <xf numFmtId="176" fontId="21" fillId="10" borderId="1" xfId="0" applyNumberFormat="1" applyFont="1" applyFill="1" applyBorder="1" applyAlignment="1" applyProtection="1">
      <alignment horizontal="right" vertical="center"/>
      <protection locked="0"/>
    </xf>
    <xf numFmtId="176" fontId="21" fillId="11" borderId="1" xfId="0" applyNumberFormat="1" applyFont="1" applyFill="1" applyBorder="1" applyAlignment="1" applyProtection="1">
      <alignment horizontal="right" vertical="center"/>
      <protection locked="0"/>
    </xf>
    <xf numFmtId="176" fontId="21" fillId="0" borderId="1" xfId="0" applyNumberFormat="1" applyFont="1" applyBorder="1" applyAlignment="1" applyProtection="1">
      <alignment horizontal="right" vertical="center"/>
      <protection locked="0"/>
    </xf>
    <xf numFmtId="176" fontId="21" fillId="9" borderId="1" xfId="0" applyNumberFormat="1" applyFont="1" applyFill="1" applyBorder="1" applyAlignment="1" applyProtection="1">
      <alignment horizontal="right" vertical="center"/>
      <protection locked="0"/>
    </xf>
    <xf numFmtId="176" fontId="21" fillId="8" borderId="1" xfId="0" applyNumberFormat="1" applyFont="1" applyFill="1" applyBorder="1" applyAlignment="1" applyProtection="1">
      <alignment horizontal="right" vertical="center"/>
      <protection locked="0"/>
    </xf>
    <xf numFmtId="0" fontId="16" fillId="0" borderId="1" xfId="0" applyFont="1" applyBorder="1" applyAlignment="1" applyProtection="1">
      <alignment horizontal="center" vertical="center"/>
      <protection locked="0"/>
    </xf>
    <xf numFmtId="176" fontId="21" fillId="12" borderId="1" xfId="0" applyNumberFormat="1" applyFont="1" applyFill="1" applyBorder="1" applyAlignment="1" applyProtection="1">
      <alignment horizontal="right" vertical="center"/>
      <protection locked="0"/>
    </xf>
    <xf numFmtId="176" fontId="19" fillId="0" borderId="1" xfId="0" applyNumberFormat="1" applyFont="1" applyBorder="1" applyAlignment="1">
      <alignment horizontal="right" vertical="center"/>
    </xf>
    <xf numFmtId="0" fontId="17" fillId="7" borderId="0" xfId="0" applyFont="1" applyFill="1" applyAlignment="1">
      <alignment vertical="top"/>
    </xf>
    <xf numFmtId="0" fontId="17" fillId="0" borderId="0" xfId="0" applyFont="1" applyAlignment="1">
      <alignment vertical="top"/>
    </xf>
    <xf numFmtId="0" fontId="2" fillId="0" borderId="0" xfId="0" applyFont="1" applyAlignment="1">
      <alignment horizontal="center" vertical="center"/>
    </xf>
    <xf numFmtId="0" fontId="29" fillId="0" borderId="1" xfId="0" applyFont="1" applyBorder="1" applyAlignment="1" applyProtection="1">
      <alignment horizontal="center" vertical="center"/>
      <protection locked="0"/>
    </xf>
    <xf numFmtId="0" fontId="34" fillId="7" borderId="0" xfId="0" applyFont="1" applyFill="1" applyAlignment="1">
      <alignment vertical="center"/>
    </xf>
    <xf numFmtId="0" fontId="3" fillId="0" borderId="0" xfId="0" applyFont="1" applyAlignment="1">
      <alignment horizontal="center"/>
    </xf>
    <xf numFmtId="0" fontId="30" fillId="7" borderId="1" xfId="0" applyFont="1" applyFill="1" applyBorder="1" applyAlignment="1" applyProtection="1">
      <alignment horizontal="center" vertical="center"/>
      <protection locked="0"/>
    </xf>
    <xf numFmtId="0" fontId="0" fillId="2" borderId="2" xfId="0" applyFill="1" applyBorder="1" applyAlignment="1">
      <alignment horizontal="center" vertical="center"/>
    </xf>
    <xf numFmtId="176" fontId="11" fillId="0" borderId="1" xfId="0" applyNumberFormat="1" applyFont="1" applyBorder="1" applyAlignment="1">
      <alignment horizontal="center"/>
    </xf>
    <xf numFmtId="0" fontId="0" fillId="0" borderId="0" xfId="0" applyAlignment="1">
      <alignment vertical="center"/>
    </xf>
    <xf numFmtId="0" fontId="0" fillId="2" borderId="2" xfId="0" applyFill="1" applyBorder="1" applyAlignment="1">
      <alignment horizontal="left" vertical="center"/>
    </xf>
    <xf numFmtId="0" fontId="0" fillId="0" borderId="0" xfId="0" applyAlignment="1">
      <alignment horizontal="right" vertical="center"/>
    </xf>
    <xf numFmtId="176" fontId="10" fillId="0" borderId="0" xfId="0" applyNumberFormat="1" applyFont="1" applyAlignment="1">
      <alignment horizontal="right" vertical="center"/>
    </xf>
    <xf numFmtId="176" fontId="3" fillId="0" borderId="0" xfId="0" applyNumberFormat="1" applyFont="1" applyAlignment="1">
      <alignment horizontal="right" vertical="center"/>
    </xf>
    <xf numFmtId="0" fontId="0" fillId="0" borderId="0" xfId="0" applyAlignment="1">
      <alignment horizontal="center" vertical="center"/>
    </xf>
    <xf numFmtId="176" fontId="3" fillId="14" borderId="1" xfId="0" applyNumberFormat="1" applyFont="1" applyFill="1" applyBorder="1" applyAlignment="1">
      <alignment horizontal="right" vertical="center"/>
    </xf>
    <xf numFmtId="176" fontId="3" fillId="5" borderId="4" xfId="0" applyNumberFormat="1" applyFont="1" applyFill="1" applyBorder="1" applyAlignment="1">
      <alignment horizontal="right" vertical="center"/>
    </xf>
    <xf numFmtId="176" fontId="3" fillId="5" borderId="9" xfId="0" applyNumberFormat="1" applyFont="1" applyFill="1" applyBorder="1" applyAlignment="1">
      <alignment horizontal="right" vertical="center"/>
    </xf>
    <xf numFmtId="0" fontId="0" fillId="0" borderId="2" xfId="0" applyBorder="1" applyAlignment="1">
      <alignment horizontal="center" vertical="center"/>
    </xf>
    <xf numFmtId="0" fontId="38" fillId="0" borderId="1" xfId="0" applyFont="1" applyBorder="1" applyAlignment="1">
      <alignment horizontal="center"/>
    </xf>
    <xf numFmtId="176" fontId="10" fillId="5" borderId="0" xfId="0" applyNumberFormat="1" applyFont="1" applyFill="1" applyAlignment="1">
      <alignment horizontal="right" vertical="center"/>
    </xf>
    <xf numFmtId="0" fontId="11" fillId="0" borderId="0" xfId="0" applyFont="1" applyAlignment="1">
      <alignment horizontal="center" vertical="center"/>
    </xf>
    <xf numFmtId="0" fontId="11" fillId="0" borderId="0" xfId="0" applyFont="1" applyAlignment="1">
      <alignment horizontal="center"/>
    </xf>
    <xf numFmtId="176" fontId="10" fillId="6" borderId="0" xfId="0" applyNumberFormat="1" applyFont="1" applyFill="1" applyAlignment="1">
      <alignment horizontal="right" vertical="center"/>
    </xf>
    <xf numFmtId="0" fontId="12" fillId="0" borderId="0" xfId="0" applyFont="1" applyAlignment="1">
      <alignment horizontal="center" vertical="center"/>
    </xf>
    <xf numFmtId="177" fontId="11" fillId="0" borderId="1" xfId="0" applyNumberFormat="1" applyFont="1" applyBorder="1" applyAlignment="1">
      <alignment horizontal="center"/>
    </xf>
    <xf numFmtId="177" fontId="0" fillId="0" borderId="1" xfId="0" applyNumberFormat="1" applyBorder="1"/>
    <xf numFmtId="177" fontId="0" fillId="0" borderId="0" xfId="0" applyNumberFormat="1"/>
    <xf numFmtId="177" fontId="0" fillId="2" borderId="2" xfId="0" applyNumberFormat="1" applyFill="1" applyBorder="1" applyAlignment="1">
      <alignment horizontal="left" vertical="center"/>
    </xf>
    <xf numFmtId="177" fontId="0" fillId="2" borderId="2" xfId="0" applyNumberFormat="1" applyFill="1" applyBorder="1" applyAlignment="1">
      <alignment horizontal="center" vertical="center"/>
    </xf>
    <xf numFmtId="177" fontId="0" fillId="2" borderId="1" xfId="0" applyNumberFormat="1" applyFill="1" applyBorder="1" applyAlignment="1">
      <alignment horizontal="center" vertical="center"/>
    </xf>
    <xf numFmtId="176" fontId="10" fillId="5" borderId="4" xfId="0" applyNumberFormat="1" applyFont="1" applyFill="1" applyBorder="1" applyAlignment="1">
      <alignment horizontal="right" vertical="center"/>
    </xf>
    <xf numFmtId="176" fontId="3" fillId="5" borderId="16" xfId="0" applyNumberFormat="1" applyFont="1" applyFill="1" applyBorder="1" applyAlignment="1">
      <alignment horizontal="right" vertical="center"/>
    </xf>
    <xf numFmtId="176" fontId="10" fillId="5" borderId="10" xfId="0" applyNumberFormat="1" applyFont="1" applyFill="1" applyBorder="1" applyAlignment="1">
      <alignment horizontal="right" vertical="center"/>
    </xf>
    <xf numFmtId="176" fontId="10" fillId="5" borderId="17" xfId="0" applyNumberFormat="1" applyFont="1" applyFill="1" applyBorder="1" applyAlignment="1">
      <alignment horizontal="right" vertical="center"/>
    </xf>
    <xf numFmtId="176" fontId="20" fillId="0" borderId="1" xfId="0" applyNumberFormat="1" applyFont="1" applyBorder="1" applyAlignment="1" applyProtection="1">
      <alignment horizontal="right" vertical="center"/>
      <protection locked="0"/>
    </xf>
    <xf numFmtId="0" fontId="36" fillId="8" borderId="1" xfId="0" applyFont="1" applyFill="1" applyBorder="1" applyAlignment="1" applyProtection="1">
      <alignment horizontal="center" vertical="center" wrapText="1"/>
      <protection locked="0"/>
    </xf>
    <xf numFmtId="0" fontId="16" fillId="8" borderId="1" xfId="0" applyFont="1" applyFill="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29" fillId="7" borderId="0" xfId="0" applyFont="1" applyFill="1" applyAlignment="1" applyProtection="1">
      <alignment vertical="center"/>
      <protection locked="0"/>
    </xf>
    <xf numFmtId="0" fontId="29" fillId="7" borderId="0" xfId="0" applyFont="1" applyFill="1" applyAlignment="1" applyProtection="1">
      <alignment horizontal="left" vertical="center"/>
      <protection locked="0"/>
    </xf>
    <xf numFmtId="0" fontId="31" fillId="7" borderId="0" xfId="0" applyFont="1" applyFill="1" applyAlignment="1" applyProtection="1">
      <alignment vertical="center"/>
      <protection locked="0"/>
    </xf>
    <xf numFmtId="0" fontId="33" fillId="7" borderId="0" xfId="0" applyFont="1" applyFill="1" applyAlignment="1" applyProtection="1">
      <alignment vertical="center"/>
      <protection locked="0"/>
    </xf>
    <xf numFmtId="0" fontId="29" fillId="9" borderId="0" xfId="0" applyFont="1" applyFill="1" applyAlignment="1" applyProtection="1">
      <alignment vertical="top"/>
      <protection locked="0"/>
    </xf>
    <xf numFmtId="0" fontId="16" fillId="9" borderId="0" xfId="0" applyFont="1" applyFill="1" applyAlignment="1" applyProtection="1">
      <alignment vertical="top"/>
      <protection locked="0"/>
    </xf>
    <xf numFmtId="0" fontId="36" fillId="10" borderId="1" xfId="0" applyFont="1" applyFill="1" applyBorder="1" applyAlignment="1" applyProtection="1">
      <alignment horizontal="center" vertical="center" wrapText="1"/>
      <protection locked="0"/>
    </xf>
    <xf numFmtId="0" fontId="16" fillId="10" borderId="1" xfId="0" applyFont="1" applyFill="1" applyBorder="1" applyAlignment="1" applyProtection="1">
      <alignment horizontal="center" vertical="center"/>
      <protection locked="0"/>
    </xf>
    <xf numFmtId="0" fontId="17" fillId="0" borderId="0" xfId="0" applyFont="1" applyProtection="1">
      <protection locked="0"/>
    </xf>
    <xf numFmtId="0" fontId="17" fillId="7" borderId="0" xfId="0" applyFont="1" applyFill="1" applyAlignment="1" applyProtection="1">
      <alignment vertical="top"/>
      <protection locked="0"/>
    </xf>
    <xf numFmtId="0" fontId="17" fillId="0" borderId="0" xfId="0" applyFont="1" applyAlignment="1" applyProtection="1">
      <alignment vertical="top"/>
      <protection locked="0"/>
    </xf>
    <xf numFmtId="0" fontId="17" fillId="7" borderId="0" xfId="0" applyFont="1" applyFill="1" applyAlignment="1" applyProtection="1">
      <alignment vertical="center"/>
      <protection locked="0"/>
    </xf>
    <xf numFmtId="0" fontId="17" fillId="0" borderId="0" xfId="0" applyFont="1" applyAlignment="1" applyProtection="1">
      <alignment vertical="center"/>
      <protection locked="0"/>
    </xf>
    <xf numFmtId="0" fontId="39" fillId="7" borderId="0" xfId="0" applyFont="1" applyFill="1" applyAlignment="1" applyProtection="1">
      <alignment vertical="top"/>
      <protection locked="0"/>
    </xf>
    <xf numFmtId="0" fontId="29" fillId="7" borderId="2" xfId="0" applyFont="1" applyFill="1" applyBorder="1" applyAlignment="1" applyProtection="1">
      <alignment horizontal="center" vertical="center"/>
      <protection locked="0"/>
    </xf>
    <xf numFmtId="0" fontId="16" fillId="7" borderId="2" xfId="0" applyFont="1" applyFill="1" applyBorder="1" applyAlignment="1" applyProtection="1">
      <alignment horizontal="center" vertical="center"/>
      <protection locked="0"/>
    </xf>
    <xf numFmtId="0" fontId="16" fillId="7" borderId="1" xfId="0" applyFont="1" applyFill="1" applyBorder="1" applyAlignment="1" applyProtection="1">
      <alignment horizontal="center" vertical="center"/>
      <protection locked="0"/>
    </xf>
    <xf numFmtId="0" fontId="27" fillId="7" borderId="3" xfId="0" applyFont="1" applyFill="1" applyBorder="1" applyAlignment="1" applyProtection="1">
      <alignment horizontal="center" vertical="center" shrinkToFit="1"/>
      <protection locked="0"/>
    </xf>
    <xf numFmtId="0" fontId="16" fillId="7" borderId="1" xfId="0" applyFont="1" applyFill="1" applyBorder="1" applyAlignment="1" applyProtection="1">
      <alignment horizontal="center" vertical="center" shrinkToFit="1"/>
      <protection locked="0"/>
    </xf>
    <xf numFmtId="0" fontId="29" fillId="7" borderId="1" xfId="0" applyFont="1" applyFill="1" applyBorder="1" applyAlignment="1" applyProtection="1">
      <alignment horizontal="center" vertical="center" shrinkToFit="1"/>
      <protection locked="0"/>
    </xf>
    <xf numFmtId="0" fontId="0" fillId="14" borderId="1" xfId="0" applyFill="1" applyBorder="1" applyAlignment="1">
      <alignment horizontal="center" vertical="center"/>
    </xf>
    <xf numFmtId="176" fontId="30" fillId="7" borderId="1" xfId="0" applyNumberFormat="1" applyFont="1" applyFill="1" applyBorder="1" applyAlignment="1" applyProtection="1">
      <alignment horizontal="center" vertical="center"/>
      <protection locked="0"/>
    </xf>
    <xf numFmtId="0" fontId="41" fillId="0" borderId="1"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0" fillId="3" borderId="0" xfId="0" applyFill="1"/>
    <xf numFmtId="176" fontId="21" fillId="0" borderId="1" xfId="0" applyNumberFormat="1" applyFont="1" applyBorder="1" applyAlignment="1" applyProtection="1">
      <alignment horizontal="center" vertical="center"/>
      <protection locked="0"/>
    </xf>
    <xf numFmtId="0" fontId="29" fillId="7" borderId="1" xfId="0" applyFont="1" applyFill="1" applyBorder="1" applyAlignment="1" applyProtection="1">
      <alignment horizontal="center" vertical="center"/>
      <protection locked="0"/>
    </xf>
    <xf numFmtId="176" fontId="31" fillId="7" borderId="1" xfId="0" applyNumberFormat="1" applyFont="1" applyFill="1" applyBorder="1" applyAlignment="1" applyProtection="1">
      <alignment horizontal="center" vertical="center"/>
      <protection locked="0"/>
    </xf>
    <xf numFmtId="0" fontId="31" fillId="0" borderId="0" xfId="0" applyFont="1"/>
    <xf numFmtId="0" fontId="46" fillId="0" borderId="0" xfId="0" applyFont="1"/>
    <xf numFmtId="0" fontId="37" fillId="7" borderId="0" xfId="0" applyFont="1" applyFill="1" applyAlignment="1" applyProtection="1">
      <alignment vertical="center"/>
      <protection locked="0"/>
    </xf>
    <xf numFmtId="0" fontId="40" fillId="7" borderId="0" xfId="0" applyFont="1" applyFill="1"/>
    <xf numFmtId="0" fontId="29" fillId="7" borderId="0" xfId="0" applyFont="1" applyFill="1" applyAlignment="1">
      <alignment vertical="center"/>
    </xf>
    <xf numFmtId="0" fontId="40" fillId="7" borderId="0" xfId="0" applyFont="1" applyFill="1" applyAlignment="1">
      <alignment vertical="center"/>
    </xf>
    <xf numFmtId="0" fontId="40" fillId="0" borderId="0" xfId="0" applyFont="1" applyAlignment="1">
      <alignment vertical="center"/>
    </xf>
    <xf numFmtId="0" fontId="29" fillId="7" borderId="0" xfId="0" applyFont="1" applyFill="1" applyProtection="1">
      <protection locked="0"/>
    </xf>
    <xf numFmtId="0" fontId="29" fillId="7" borderId="0" xfId="0" applyFont="1" applyFill="1" applyAlignment="1" applyProtection="1">
      <alignment horizontal="center"/>
      <protection locked="0"/>
    </xf>
    <xf numFmtId="0" fontId="40" fillId="0" borderId="0" xfId="0" applyFont="1"/>
    <xf numFmtId="0" fontId="16" fillId="7" borderId="1" xfId="0" applyFont="1" applyFill="1" applyBorder="1" applyProtection="1">
      <protection locked="0"/>
    </xf>
    <xf numFmtId="0" fontId="20" fillId="0" borderId="1" xfId="0" applyFont="1" applyBorder="1" applyAlignment="1" applyProtection="1">
      <alignment horizontal="center" vertical="center"/>
      <protection locked="0"/>
    </xf>
    <xf numFmtId="0" fontId="8" fillId="0" borderId="0" xfId="0" applyFont="1"/>
    <xf numFmtId="0" fontId="0" fillId="0" borderId="0" xfId="0" applyAlignment="1">
      <alignment horizontal="left"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16" fillId="10" borderId="1" xfId="0" applyFont="1" applyFill="1" applyBorder="1" applyAlignment="1" applyProtection="1">
      <alignment horizontal="center" vertical="center" wrapText="1"/>
      <protection locked="0"/>
    </xf>
    <xf numFmtId="0" fontId="16" fillId="10" borderId="1" xfId="0" applyFont="1" applyFill="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6" fillId="8" borderId="1" xfId="0" applyFont="1" applyFill="1" applyBorder="1" applyAlignment="1" applyProtection="1">
      <alignment horizontal="center" vertical="center"/>
      <protection locked="0"/>
    </xf>
    <xf numFmtId="0" fontId="16" fillId="8" borderId="4" xfId="0" applyFont="1" applyFill="1" applyBorder="1" applyAlignment="1" applyProtection="1">
      <alignment horizontal="center" vertical="center" wrapText="1"/>
      <protection locked="0"/>
    </xf>
    <xf numFmtId="0" fontId="16" fillId="8" borderId="5" xfId="0" applyFont="1" applyFill="1" applyBorder="1" applyAlignment="1" applyProtection="1">
      <alignment horizontal="center" vertical="center" wrapText="1"/>
      <protection locked="0"/>
    </xf>
    <xf numFmtId="0" fontId="16" fillId="8" borderId="6" xfId="0" applyFont="1" applyFill="1" applyBorder="1" applyAlignment="1" applyProtection="1">
      <alignment horizontal="center" vertical="center" wrapText="1"/>
      <protection locked="0"/>
    </xf>
    <xf numFmtId="0" fontId="36" fillId="10" borderId="1" xfId="0" applyFont="1" applyFill="1" applyBorder="1" applyAlignment="1" applyProtection="1">
      <alignment horizontal="center" vertical="center" wrapText="1"/>
      <protection locked="0"/>
    </xf>
    <xf numFmtId="0" fontId="29" fillId="10" borderId="1" xfId="0" applyFont="1" applyFill="1" applyBorder="1" applyAlignment="1" applyProtection="1">
      <alignment horizontal="center" vertical="center" wrapText="1"/>
      <protection locked="0"/>
    </xf>
    <xf numFmtId="0" fontId="29" fillId="10" borderId="1" xfId="0" applyFont="1" applyFill="1" applyBorder="1" applyAlignment="1" applyProtection="1">
      <alignment horizontal="center" vertical="center"/>
      <protection locked="0"/>
    </xf>
    <xf numFmtId="0" fontId="16" fillId="7" borderId="1" xfId="0" applyFont="1" applyFill="1" applyBorder="1" applyAlignment="1" applyProtection="1">
      <alignment horizontal="center" vertical="center"/>
      <protection locked="0"/>
    </xf>
    <xf numFmtId="0" fontId="16" fillId="8" borderId="1" xfId="0" applyFont="1" applyFill="1" applyBorder="1" applyAlignment="1" applyProtection="1">
      <alignment horizontal="center" vertical="center" wrapText="1"/>
      <protection locked="0"/>
    </xf>
    <xf numFmtId="0" fontId="36" fillId="8" borderId="1" xfId="0" applyFont="1" applyFill="1" applyBorder="1" applyAlignment="1" applyProtection="1">
      <alignment horizontal="center" vertical="center" wrapText="1"/>
      <protection locked="0"/>
    </xf>
    <xf numFmtId="0" fontId="16" fillId="7" borderId="1" xfId="0" applyFont="1" applyFill="1" applyBorder="1" applyAlignment="1" applyProtection="1">
      <alignment vertical="center"/>
      <protection locked="0"/>
    </xf>
    <xf numFmtId="0" fontId="36" fillId="10" borderId="2" xfId="0" applyFont="1" applyFill="1" applyBorder="1" applyAlignment="1" applyProtection="1">
      <alignment horizontal="center" vertical="center" wrapText="1"/>
      <protection locked="0"/>
    </xf>
    <xf numFmtId="0" fontId="16" fillId="10" borderId="3" xfId="0" applyFont="1" applyFill="1" applyBorder="1" applyAlignment="1" applyProtection="1">
      <alignment horizontal="center" vertical="center"/>
      <protection locked="0"/>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5" fillId="5" borderId="1" xfId="0" applyFont="1" applyFill="1" applyBorder="1" applyAlignment="1">
      <alignment horizont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0" fillId="0" borderId="2" xfId="0" applyBorder="1" applyAlignment="1">
      <alignment horizontal="center" wrapText="1"/>
    </xf>
    <xf numFmtId="0" fontId="0" fillId="0" borderId="1" xfId="0" applyBorder="1" applyAlignment="1">
      <alignment horizontal="center" wrapText="1"/>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6" borderId="1" xfId="0" applyFill="1" applyBorder="1" applyAlignment="1">
      <alignment horizontal="center" vertical="center"/>
    </xf>
    <xf numFmtId="0" fontId="0" fillId="4" borderId="1" xfId="0" applyFill="1" applyBorder="1" applyAlignment="1">
      <alignment horizontal="center"/>
    </xf>
    <xf numFmtId="0" fontId="0" fillId="0" borderId="1" xfId="0" applyBorder="1" applyAlignment="1">
      <alignment horizontal="center"/>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2" borderId="1" xfId="0" applyFill="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5" xfId="0" applyFill="1" applyBorder="1" applyAlignment="1">
      <alignment horizontal="center" vertical="center"/>
    </xf>
    <xf numFmtId="0" fontId="26" fillId="0" borderId="4" xfId="0" applyFont="1" applyBorder="1" applyAlignment="1">
      <alignment horizontal="center"/>
    </xf>
    <xf numFmtId="0" fontId="0" fillId="0" borderId="6" xfId="0" applyBorder="1"/>
    <xf numFmtId="0" fontId="0" fillId="6" borderId="1" xfId="0" applyFill="1" applyBorder="1" applyAlignment="1">
      <alignment horizontal="center" vertical="center" wrapText="1"/>
    </xf>
    <xf numFmtId="0" fontId="0" fillId="2" borderId="1" xfId="0" applyFill="1" applyBorder="1" applyAlignment="1">
      <alignment horizontal="center" vertical="center" wrapText="1"/>
    </xf>
    <xf numFmtId="0" fontId="0" fillId="13" borderId="4" xfId="0" applyFill="1" applyBorder="1" applyAlignment="1">
      <alignment horizontal="center"/>
    </xf>
    <xf numFmtId="0" fontId="0" fillId="13" borderId="5" xfId="0" applyFill="1" applyBorder="1" applyAlignment="1">
      <alignment horizontal="center"/>
    </xf>
    <xf numFmtId="0" fontId="0" fillId="13" borderId="5" xfId="0" applyFill="1" applyBorder="1"/>
    <xf numFmtId="0" fontId="16" fillId="7" borderId="4" xfId="0" applyFont="1" applyFill="1" applyBorder="1" applyAlignment="1" applyProtection="1">
      <alignment horizontal="center" vertical="center"/>
      <protection locked="0"/>
    </xf>
    <xf numFmtId="0" fontId="16" fillId="7" borderId="6" xfId="0" applyFont="1" applyFill="1" applyBorder="1" applyAlignment="1" applyProtection="1">
      <alignment horizontal="center" vertical="center"/>
      <protection locked="0"/>
    </xf>
    <xf numFmtId="0" fontId="16" fillId="7" borderId="2" xfId="0" applyFont="1" applyFill="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29" fillId="7" borderId="2" xfId="0" applyFont="1" applyFill="1" applyBorder="1" applyProtection="1">
      <protection locked="0"/>
    </xf>
    <xf numFmtId="0" fontId="40" fillId="0" borderId="3" xfId="0" applyFont="1" applyBorder="1" applyProtection="1">
      <protection locked="0"/>
    </xf>
    <xf numFmtId="0" fontId="29" fillId="9" borderId="11" xfId="0" applyFont="1" applyFill="1" applyBorder="1" applyAlignment="1" applyProtection="1">
      <alignment vertical="top"/>
      <protection locked="0"/>
    </xf>
    <xf numFmtId="0" fontId="0" fillId="0" borderId="11" xfId="0" applyBorder="1" applyAlignment="1" applyProtection="1">
      <alignment vertical="top"/>
      <protection locked="0"/>
    </xf>
    <xf numFmtId="0" fontId="34" fillId="7" borderId="0" xfId="0" applyFont="1" applyFill="1" applyAlignment="1">
      <alignment vertical="top" wrapText="1"/>
    </xf>
    <xf numFmtId="0" fontId="40" fillId="0" borderId="0" xfId="0" applyFont="1" applyAlignment="1">
      <alignment vertical="top" wrapText="1"/>
    </xf>
    <xf numFmtId="0" fontId="36" fillId="10" borderId="4" xfId="0" applyFont="1" applyFill="1" applyBorder="1" applyAlignment="1" applyProtection="1">
      <alignment horizontal="center" vertical="center" wrapText="1"/>
      <protection locked="0"/>
    </xf>
    <xf numFmtId="0" fontId="16" fillId="10" borderId="5" xfId="0" applyFont="1" applyFill="1" applyBorder="1" applyAlignment="1" applyProtection="1">
      <alignment horizontal="center" vertical="center"/>
      <protection locked="0"/>
    </xf>
    <xf numFmtId="0" fontId="16" fillId="10" borderId="6" xfId="0" applyFont="1" applyFill="1" applyBorder="1" applyAlignment="1" applyProtection="1">
      <alignment horizontal="center" vertical="center"/>
      <protection locked="0"/>
    </xf>
    <xf numFmtId="0" fontId="29" fillId="7" borderId="1" xfId="0" applyFont="1" applyFill="1" applyBorder="1" applyAlignment="1" applyProtection="1">
      <alignment horizontal="center" vertical="center" wrapText="1"/>
      <protection locked="0"/>
    </xf>
    <xf numFmtId="0" fontId="0" fillId="0" borderId="1" xfId="0" applyBorder="1" applyProtection="1">
      <protection locked="0"/>
    </xf>
    <xf numFmtId="0" fontId="16" fillId="0" borderId="1" xfId="0" applyFont="1" applyBorder="1" applyProtection="1">
      <protection locked="0"/>
    </xf>
    <xf numFmtId="0" fontId="28" fillId="7" borderId="2" xfId="0" applyFont="1" applyFill="1" applyBorder="1" applyAlignment="1">
      <alignment horizontal="center" vertical="center"/>
    </xf>
    <xf numFmtId="0" fontId="28" fillId="7" borderId="3" xfId="0" applyFont="1" applyFill="1" applyBorder="1" applyAlignment="1">
      <alignment horizontal="center" vertical="center"/>
    </xf>
    <xf numFmtId="0" fontId="16" fillId="7" borderId="2" xfId="0" applyFont="1" applyFill="1" applyBorder="1" applyProtection="1">
      <protection locked="0"/>
    </xf>
    <xf numFmtId="0" fontId="17" fillId="0" borderId="3" xfId="0" applyFont="1" applyBorder="1"/>
    <xf numFmtId="0" fontId="0" fillId="3" borderId="1" xfId="0" applyFill="1" applyBorder="1" applyAlignment="1">
      <alignment horizontal="center"/>
    </xf>
    <xf numFmtId="0" fontId="0" fillId="3" borderId="1" xfId="0" applyFill="1" applyBorder="1"/>
    <xf numFmtId="0" fontId="0" fillId="0" borderId="1" xfId="0" applyBorder="1"/>
    <xf numFmtId="0" fontId="0" fillId="0" borderId="5" xfId="0" applyBorder="1"/>
    <xf numFmtId="0" fontId="0" fillId="5" borderId="12"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cellXfs>
  <cellStyles count="1">
    <cellStyle name="一般" xfId="0" builtinId="0"/>
  </cellStyles>
  <dxfs count="0"/>
  <tableStyles count="0" defaultTableStyle="TableStyleMedium2" defaultPivotStyle="PivotStyleMedium9"/>
  <colors>
    <mruColors>
      <color rgb="FF0000FF"/>
      <color rgb="FFCCFFCC"/>
      <color rgb="FFCCECFF"/>
      <color rgb="FF99FF99"/>
      <color rgb="FFFFFF66"/>
      <color rgb="FFFFFF99"/>
      <color rgb="FFFFFFCC"/>
      <color rgb="FFFFD757"/>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mn-lt"/>
                <a:ea typeface="+mn-ea"/>
              </a:defRPr>
            </a:pPr>
            <a:r>
              <a:rPr lang="zh-TW" altLang="en-US" sz="1500">
                <a:latin typeface="Times New Roman" panose="02020603050405020304" pitchFamily="18" charset="0"/>
                <a:ea typeface="標楷體" panose="03000509000000000000" pitchFamily="65" charset="-120"/>
                <a:cs typeface="Times New Roman" panose="02020603050405020304" pitchFamily="18" charset="0"/>
              </a:rPr>
              <a:t>設計領證費用</a:t>
            </a:r>
            <a:r>
              <a:rPr lang="en-US" altLang="zh-TW" sz="1500">
                <a:latin typeface="Times New Roman" panose="02020603050405020304" pitchFamily="18" charset="0"/>
                <a:ea typeface="標楷體" panose="03000509000000000000" pitchFamily="65" charset="-120"/>
                <a:cs typeface="Times New Roman" panose="02020603050405020304" pitchFamily="18" charset="0"/>
              </a:rPr>
              <a:t>(C)</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之組成結構</a:t>
            </a:r>
            <a:endParaRPr lang="en-US" altLang="zh-TW" sz="1500">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mn-lt"/>
                <a:ea typeface="+mn-ea"/>
              </a:defRPr>
            </a:pPr>
            <a:r>
              <a:rPr lang="en-US" sz="1500">
                <a:latin typeface="Times New Roman" panose="02020603050405020304" pitchFamily="18" charset="0"/>
                <a:ea typeface="+mn-ea"/>
                <a:cs typeface="Times New Roman" panose="02020603050405020304" pitchFamily="18" charset="0"/>
              </a:rPr>
              <a:t>(C = C1+C2+C</a:t>
            </a:r>
            <a:r>
              <a:rPr lang="en-US" altLang="zh-TW" sz="1500">
                <a:latin typeface="Times New Roman" panose="02020603050405020304" pitchFamily="18" charset="0"/>
                <a:ea typeface="+mn-ea"/>
                <a:cs typeface="Times New Roman" panose="02020603050405020304" pitchFamily="18" charset="0"/>
              </a:rPr>
              <a:t>3</a:t>
            </a:r>
            <a:r>
              <a:rPr lang="en-US" sz="1500">
                <a:latin typeface="Times New Roman" panose="02020603050405020304" pitchFamily="18" charset="0"/>
                <a:ea typeface="+mn-ea"/>
                <a:cs typeface="Times New Roman" panose="02020603050405020304" pitchFamily="18" charset="0"/>
              </a:rPr>
              <a:t>)</a:t>
            </a:r>
          </a:p>
        </c:rich>
      </c:tx>
      <c:overlay val="0"/>
    </c:title>
    <c:autoTitleDeleted val="0"/>
    <c:plotArea>
      <c:layout>
        <c:manualLayout>
          <c:layoutTarget val="inner"/>
          <c:xMode val="edge"/>
          <c:yMode val="edge"/>
          <c:x val="0.10629578159799248"/>
          <c:y val="0.1756466866580588"/>
          <c:w val="0.79290954585806139"/>
          <c:h val="0.78076739905757686"/>
        </c:manualLayout>
      </c:layout>
      <c:pieChart>
        <c:varyColors val="1"/>
        <c:ser>
          <c:idx val="0"/>
          <c:order val="0"/>
          <c:tx>
            <c:v>設計領證費之成本結構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B919-4075-BB66-51A0E9557DAD}"/>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B919-4075-BB66-51A0E9557DAD}"/>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B919-4075-BB66-51A0E9557DAD}"/>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D!$AZ$14:$BB$15</c:f>
              <c:strCache>
                <c:ptCount val="3"/>
                <c:pt idx="0">
                  <c:v>官方費用(C1)</c:v>
                </c:pt>
                <c:pt idx="1">
                  <c:v>外國代理人費用(C2)</c:v>
                </c:pt>
                <c:pt idx="2">
                  <c:v>慧盈服務費(C3)</c:v>
                </c:pt>
              </c:strCache>
            </c:strRef>
          </c:cat>
          <c:val>
            <c:numRef>
              <c:f>D!$AZ$32:$BB$32</c:f>
              <c:numCache>
                <c:formatCode>#,##0_ </c:formatCode>
                <c:ptCount val="3"/>
                <c:pt idx="0">
                  <c:v>31178.05</c:v>
                </c:pt>
                <c:pt idx="1">
                  <c:v>79718.3</c:v>
                </c:pt>
                <c:pt idx="2">
                  <c:v>30000</c:v>
                </c:pt>
              </c:numCache>
            </c:numRef>
          </c:val>
          <c:extLst>
            <c:ext xmlns:c16="http://schemas.microsoft.com/office/drawing/2014/chart" uri="{C3380CC4-5D6E-409C-BE32-E72D297353CC}">
              <c16:uniqueId val="{00000006-B919-4075-BB66-51A0E9557DAD}"/>
            </c:ext>
          </c:extLst>
        </c:ser>
        <c:dLbls>
          <c:showLegendKey val="0"/>
          <c:showVal val="0"/>
          <c:showCatName val="1"/>
          <c:showSerName val="0"/>
          <c:showPercent val="0"/>
          <c:showBubbleSize val="0"/>
          <c:showLeaderLines val="1"/>
        </c:dLbls>
        <c:firstSliceAng val="27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mn-lt"/>
                <a:ea typeface="+mn-ea"/>
              </a:defRPr>
            </a:pPr>
            <a:r>
              <a:rPr lang="zh-TW" altLang="en-US" sz="1500">
                <a:latin typeface="標楷體" panose="03000509000000000000" pitchFamily="65" charset="-120"/>
                <a:ea typeface="標楷體" panose="03000509000000000000" pitchFamily="65" charset="-120"/>
              </a:rPr>
              <a:t>設計申請</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費用</a:t>
            </a:r>
            <a:r>
              <a:rPr lang="en-US" altLang="zh-TW" sz="1500">
                <a:latin typeface="Times New Roman" panose="02020603050405020304" pitchFamily="18" charset="0"/>
                <a:ea typeface="標楷體" panose="03000509000000000000" pitchFamily="65" charset="-120"/>
                <a:cs typeface="Times New Roman" panose="02020603050405020304" pitchFamily="18" charset="0"/>
              </a:rPr>
              <a:t>(A)</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之組成結構</a:t>
            </a:r>
            <a:endParaRPr lang="en-US" altLang="zh-TW" sz="1500">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mn-lt"/>
                <a:ea typeface="+mn-ea"/>
              </a:defRPr>
            </a:pPr>
            <a:r>
              <a:rPr lang="en-US" altLang="zh-TW" sz="1500">
                <a:latin typeface="Times New Roman" panose="02020603050405020304" pitchFamily="18" charset="0"/>
                <a:ea typeface="+mn-ea"/>
                <a:cs typeface="Times New Roman" panose="02020603050405020304" pitchFamily="18" charset="0"/>
              </a:rPr>
              <a:t>(A = A1+A2+A3)</a:t>
            </a:r>
            <a:endParaRPr lang="en-US" sz="1500">
              <a:latin typeface="Times New Roman" panose="02020603050405020304" pitchFamily="18" charset="0"/>
              <a:ea typeface="+mn-ea"/>
              <a:cs typeface="Times New Roman" panose="02020603050405020304" pitchFamily="18" charset="0"/>
            </a:endParaRPr>
          </a:p>
        </c:rich>
      </c:tx>
      <c:overlay val="0"/>
    </c:title>
    <c:autoTitleDeleted val="0"/>
    <c:plotArea>
      <c:layout>
        <c:manualLayout>
          <c:layoutTarget val="inner"/>
          <c:xMode val="edge"/>
          <c:yMode val="edge"/>
          <c:x val="0.10162265274990445"/>
          <c:y val="0.17213571960897864"/>
          <c:w val="0.80370119432858556"/>
          <c:h val="0.78944503446797787"/>
        </c:manualLayout>
      </c:layout>
      <c:pieChart>
        <c:varyColors val="1"/>
        <c:ser>
          <c:idx val="0"/>
          <c:order val="0"/>
          <c:tx>
            <c:v>設計申請費之成本結構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9E5A-4631-A2C2-2AAD71CDED17}"/>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9E5A-4631-A2C2-2AAD71CDED17}"/>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9E5A-4631-A2C2-2AAD71CDED17}"/>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D!$AC$14:$AE$15</c:f>
              <c:strCache>
                <c:ptCount val="3"/>
                <c:pt idx="0">
                  <c:v>官方費用(A1)</c:v>
                </c:pt>
                <c:pt idx="1">
                  <c:v>外國代理人費用(A2)</c:v>
                </c:pt>
                <c:pt idx="2">
                  <c:v>慧盈服務費(A3)</c:v>
                </c:pt>
              </c:strCache>
            </c:strRef>
          </c:cat>
          <c:val>
            <c:numRef>
              <c:f>D!$AC$32:$AE$32</c:f>
              <c:numCache>
                <c:formatCode>#,##0_ </c:formatCode>
                <c:ptCount val="3"/>
                <c:pt idx="0">
                  <c:v>94042.324999999997</c:v>
                </c:pt>
                <c:pt idx="1">
                  <c:v>230257.8</c:v>
                </c:pt>
                <c:pt idx="2">
                  <c:v>489000</c:v>
                </c:pt>
              </c:numCache>
            </c:numRef>
          </c:val>
          <c:extLst>
            <c:ext xmlns:c16="http://schemas.microsoft.com/office/drawing/2014/chart" uri="{C3380CC4-5D6E-409C-BE32-E72D297353CC}">
              <c16:uniqueId val="{00000006-9E5A-4631-A2C2-2AAD71CDED17}"/>
            </c:ext>
          </c:extLst>
        </c:ser>
        <c:dLbls>
          <c:showLegendKey val="0"/>
          <c:showVal val="0"/>
          <c:showCatName val="1"/>
          <c:showSerName val="0"/>
          <c:showPercent val="0"/>
          <c:showBubbleSize val="0"/>
          <c:showLeaderLines val="1"/>
        </c:dLbls>
        <c:firstSliceAng val="0"/>
      </c:pieChart>
      <c:spPr>
        <a:noFill/>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ysClr val="windowText" lastClr="000000"/>
                </a:solidFill>
                <a:latin typeface="Times New Roman" panose="02020603050405020304" pitchFamily="18" charset="0"/>
                <a:ea typeface="標楷體" panose="03000509000000000000" pitchFamily="65" charset="-120"/>
                <a:cs typeface="Times New Roman" panose="02020603050405020304" pitchFamily="18" charset="0"/>
              </a:defRPr>
            </a:pPr>
            <a:r>
              <a:rPr lang="zh-TW" altLang="en-US" sz="1500" b="1" i="0" baseline="0">
                <a:effectLst/>
                <a:latin typeface="Times New Roman" panose="02020603050405020304" pitchFamily="18" charset="0"/>
                <a:ea typeface="標楷體" panose="03000509000000000000" pitchFamily="65" charset="-120"/>
                <a:cs typeface="Times New Roman" panose="02020603050405020304" pitchFamily="18" charset="0"/>
              </a:rPr>
              <a:t>設計</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申請費用</a:t>
            </a:r>
            <a:r>
              <a:rPr lang="en-US"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(A)</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與</a:t>
            </a:r>
            <a:r>
              <a:rPr lang="zh-TW" altLang="en-US" sz="1500" b="1" i="0" baseline="0">
                <a:effectLst/>
                <a:latin typeface="Times New Roman" panose="02020603050405020304" pitchFamily="18" charset="0"/>
                <a:ea typeface="標楷體" panose="03000509000000000000" pitchFamily="65" charset="-120"/>
                <a:cs typeface="Times New Roman" panose="02020603050405020304" pitchFamily="18" charset="0"/>
              </a:rPr>
              <a:t>其他</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費用</a:t>
            </a:r>
            <a:r>
              <a:rPr lang="en-US"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(C+R+M)</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之加總分析</a:t>
            </a:r>
            <a:endParaRPr lang="zh-TW" altLang="zh-TW" sz="1500">
              <a:effectLst/>
              <a:latin typeface="Times New Roman" panose="02020603050405020304" pitchFamily="18" charset="0"/>
              <a:ea typeface="標楷體" panose="03000509000000000000" pitchFamily="65" charset="-120"/>
              <a:cs typeface="Times New Roman" panose="02020603050405020304" pitchFamily="18" charset="0"/>
            </a:endParaRPr>
          </a:p>
        </c:rich>
      </c:tx>
      <c:layout>
        <c:manualLayout>
          <c:xMode val="edge"/>
          <c:yMode val="edge"/>
          <c:x val="0.33989832087812333"/>
          <c:y val="8.682094872861483E-2"/>
        </c:manualLayout>
      </c:layout>
      <c:overlay val="0"/>
    </c:title>
    <c:autoTitleDeleted val="0"/>
    <c:plotArea>
      <c:layout>
        <c:manualLayout>
          <c:layoutTarget val="inner"/>
          <c:xMode val="edge"/>
          <c:yMode val="edge"/>
          <c:x val="1.4272843256922456E-2"/>
          <c:y val="0.13530984362528772"/>
          <c:w val="0.96200412277685898"/>
          <c:h val="0.83690784092130532"/>
        </c:manualLayout>
      </c:layout>
      <c:ofPieChart>
        <c:ofPieType val="pie"/>
        <c:varyColors val="1"/>
        <c:ser>
          <c:idx val="0"/>
          <c:order val="0"/>
          <c:spPr>
            <a:ln>
              <a:solidFill>
                <a:schemeClr val="accent1"/>
              </a:solidFill>
            </a:ln>
          </c:spPr>
          <c:explosion val="10"/>
          <c:dPt>
            <c:idx val="0"/>
            <c:bubble3D val="0"/>
            <c:explosion val="20"/>
            <c:spPr>
              <a:gradFill>
                <a:gsLst>
                  <a:gs pos="0">
                    <a:srgbClr val="FFFF99"/>
                  </a:gs>
                  <a:gs pos="60000">
                    <a:srgbClr val="FFFFCC"/>
                  </a:gs>
                  <a:gs pos="100000">
                    <a:schemeClr val="bg1"/>
                  </a:gs>
                </a:gsLst>
                <a:lin ang="8100000" scaled="0"/>
              </a:gradFill>
              <a:ln>
                <a:solidFill>
                  <a:schemeClr val="accent1"/>
                </a:solidFill>
              </a:ln>
              <a:effectLst>
                <a:outerShdw blurRad="40005" dist="22860" dir="162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931D-4A3C-8234-61FC15E9C211}"/>
              </c:ext>
            </c:extLst>
          </c:dPt>
          <c:dPt>
            <c:idx val="1"/>
            <c:bubble3D val="0"/>
            <c:explosion val="2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931D-4A3C-8234-61FC15E9C211}"/>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931D-4A3C-8234-61FC15E9C211}"/>
              </c:ext>
            </c:extLst>
          </c:dPt>
          <c:dPt>
            <c:idx val="3"/>
            <c:bubble3D val="0"/>
            <c:spPr>
              <a:gradFill>
                <a:gsLst>
                  <a:gs pos="0">
                    <a:srgbClr val="FFC000"/>
                  </a:gs>
                  <a:gs pos="50000">
                    <a:srgbClr val="FFCC99"/>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7-931D-4A3C-8234-61FC15E9C211}"/>
              </c:ext>
            </c:extLst>
          </c:dPt>
          <c:dPt>
            <c:idx val="4"/>
            <c:bubble3D val="0"/>
            <c:spPr>
              <a:gradFill>
                <a:gsLst>
                  <a:gs pos="0">
                    <a:srgbClr val="CCECFF"/>
                  </a:gs>
                  <a:gs pos="50000">
                    <a:srgbClr val="CCE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9-931D-4A3C-8234-61FC15E9C211}"/>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931D-4A3C-8234-61FC15E9C211}"/>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931D-4A3C-8234-61FC15E9C211}"/>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931D-4A3C-8234-61FC15E9C211}"/>
                </c:ext>
              </c:extLst>
            </c:dLbl>
            <c:dLbl>
              <c:idx val="3"/>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931D-4A3C-8234-61FC15E9C211}"/>
                </c:ext>
              </c:extLst>
            </c:dLbl>
            <c:dLbl>
              <c:idx val="4"/>
              <c:tx>
                <c:rich>
                  <a:bodyPr/>
                  <a:lstStyle/>
                  <a:p>
                    <a:r>
                      <a:rPr lang="zh-TW" altLang="en-US" baseline="0"/>
                      <a:t>申請費用</a:t>
                    </a:r>
                    <a:r>
                      <a:rPr lang="en-US" altLang="zh-TW" baseline="0"/>
                      <a:t>(A)
</a:t>
                    </a:r>
                    <a:fld id="{23DA95B6-9636-427D-B128-09F57BF42901}" type="VALUE">
                      <a:rPr lang="en-US" altLang="zh-TW" baseline="0"/>
                      <a:pPr/>
                      <a:t>[值]</a:t>
                    </a:fld>
                    <a:r>
                      <a:rPr lang="en-US" altLang="zh-TW" baseline="0"/>
                      <a:t>
</a:t>
                    </a:r>
                    <a:fld id="{F1091546-3F41-483C-8E4B-4FB9B45D94E1}" type="PERCENTAGE">
                      <a:rPr lang="en-US" altLang="zh-TW" baseline="0"/>
                      <a:pPr/>
                      <a:t>[百分比]</a:t>
                    </a:fld>
                    <a:endParaRPr lang="en-US" altLang="zh-TW" baseline="0"/>
                  </a:p>
                </c:rich>
              </c:tx>
              <c:dLblPos val="bestFit"/>
              <c:showLegendKey val="0"/>
              <c:showVal val="1"/>
              <c:showCatName val="1"/>
              <c:showSerName val="0"/>
              <c:showPercent val="1"/>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9-931D-4A3C-8234-61FC15E9C211}"/>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D!$BR$14:$BU$15</c:f>
              <c:strCache>
                <c:ptCount val="4"/>
                <c:pt idx="0">
                  <c:v>官方費用(A1)</c:v>
                </c:pt>
                <c:pt idx="1">
                  <c:v>外國代理人費用(A2)</c:v>
                </c:pt>
                <c:pt idx="2">
                  <c:v>慧盈服務費(A3)</c:v>
                </c:pt>
                <c:pt idx="3">
                  <c:v>領證+答辯+後續年費(C+R+M)</c:v>
                </c:pt>
              </c:strCache>
            </c:strRef>
          </c:cat>
          <c:val>
            <c:numRef>
              <c:f>D!$BR$32:$BU$32</c:f>
              <c:numCache>
                <c:formatCode>#,##0_ </c:formatCode>
                <c:ptCount val="4"/>
                <c:pt idx="0">
                  <c:v>94042.324999999997</c:v>
                </c:pt>
                <c:pt idx="1">
                  <c:v>230257.8</c:v>
                </c:pt>
                <c:pt idx="2">
                  <c:v>489000</c:v>
                </c:pt>
                <c:pt idx="3">
                  <c:v>1848788.4200000002</c:v>
                </c:pt>
              </c:numCache>
            </c:numRef>
          </c:val>
          <c:extLst>
            <c:ext xmlns:c16="http://schemas.microsoft.com/office/drawing/2014/chart" uri="{C3380CC4-5D6E-409C-BE32-E72D297353CC}">
              <c16:uniqueId val="{0000000A-931D-4A3C-8234-61FC15E9C211}"/>
            </c:ext>
          </c:extLst>
        </c:ser>
        <c:dLbls>
          <c:dLblPos val="bestFit"/>
          <c:showLegendKey val="0"/>
          <c:showVal val="0"/>
          <c:showCatName val="1"/>
          <c:showSerName val="0"/>
          <c:showPercent val="1"/>
          <c:showBubbleSize val="0"/>
          <c:showLeaderLines val="1"/>
        </c:dLbls>
        <c:gapWidth val="85"/>
        <c:splitType val="cust"/>
        <c:custSplit>
          <c:secondPiePt val="0"/>
          <c:secondPiePt val="1"/>
          <c:secondPiePt val="2"/>
        </c:custSplit>
        <c:secondPieSize val="90"/>
        <c:serLines/>
      </c:of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rPr>
              <a:t>「專利申請費</a:t>
            </a:r>
            <a:r>
              <a:rPr lang="en-US" altLang="zh-TW" sz="1400" b="1" i="0" baseline="0">
                <a:effectLst/>
              </a:rPr>
              <a:t>(A)</a:t>
            </a:r>
            <a:r>
              <a:rPr lang="zh-TW" altLang="zh-TW" sz="1400" b="1" i="0" baseline="0">
                <a:effectLst/>
              </a:rPr>
              <a:t>」與「領證費</a:t>
            </a:r>
            <a:r>
              <a:rPr lang="en-US" altLang="zh-TW" sz="1400" b="1" i="0" baseline="0">
                <a:effectLst/>
              </a:rPr>
              <a:t>(C)</a:t>
            </a:r>
            <a:r>
              <a:rPr lang="zh-TW" altLang="zh-TW" sz="1400" b="1" i="0" baseline="0">
                <a:effectLst/>
              </a:rPr>
              <a:t>＋後續年費</a:t>
            </a:r>
            <a:r>
              <a:rPr lang="en-US" altLang="zh-TW" sz="1400" b="1" i="0" baseline="0">
                <a:effectLst/>
              </a:rPr>
              <a:t>(M)</a:t>
            </a:r>
            <a:r>
              <a:rPr lang="zh-TW" altLang="zh-TW" sz="1400" b="1" i="0" baseline="0">
                <a:effectLst/>
              </a:rPr>
              <a:t>」之比較</a:t>
            </a:r>
            <a:endParaRPr lang="zh-TW" altLang="zh-TW" sz="1400">
              <a:effectLst/>
            </a:endParaRPr>
          </a:p>
        </c:rich>
      </c:tx>
      <c:overlay val="0"/>
    </c:title>
    <c:autoTitleDeleted val="0"/>
    <c:plotArea>
      <c:layout>
        <c:manualLayout>
          <c:layoutTarget val="inner"/>
          <c:xMode val="edge"/>
          <c:yMode val="edge"/>
          <c:x val="8.9724230801584801E-2"/>
          <c:y val="0.11519455057123014"/>
          <c:w val="0.89408894849161313"/>
          <c:h val="0.69772959044573157"/>
        </c:manualLayout>
      </c:layout>
      <c:barChart>
        <c:barDir val="col"/>
        <c:grouping val="clustered"/>
        <c:varyColors val="0"/>
        <c:ser>
          <c:idx val="0"/>
          <c:order val="0"/>
          <c:tx>
            <c:strRef>
              <c:f>D!$BE$14</c:f>
              <c:strCache>
                <c:ptCount val="1"/>
                <c:pt idx="0">
                  <c:v>申請費用(A)</c:v>
                </c:pt>
              </c:strCache>
            </c:strRef>
          </c:tx>
          <c:spPr>
            <a:solidFill>
              <a:srgbClr val="CCECFF"/>
            </a:solidFill>
            <a:ln>
              <a:solidFill>
                <a:schemeClr val="accent1"/>
              </a:solidFill>
            </a:ln>
            <a:scene3d>
              <a:camera prst="orthographicFront"/>
              <a:lightRig rig="threePt" dir="t">
                <a:rot lat="0" lon="0" rev="1200000"/>
              </a:lightRig>
            </a:scene3d>
            <a:sp3d>
              <a:bevelT w="63500" h="25400"/>
            </a:sp3d>
          </c:spPr>
          <c:invertIfNegative val="0"/>
          <c:cat>
            <c:strRef>
              <c:f>D!$BD$16:$BD$31</c:f>
              <c:strCache>
                <c:ptCount val="16"/>
                <c:pt idx="0">
                  <c:v>台灣</c:v>
                </c:pt>
                <c:pt idx="1">
                  <c:v>大陸</c:v>
                </c:pt>
                <c:pt idx="2">
                  <c:v>美國</c:v>
                </c:pt>
                <c:pt idx="3">
                  <c:v>歐盟</c:v>
                </c:pt>
                <c:pt idx="4">
                  <c:v>英國</c:v>
                </c:pt>
                <c:pt idx="5">
                  <c:v>日本</c:v>
                </c:pt>
                <c:pt idx="6">
                  <c:v>韓國</c:v>
                </c:pt>
                <c:pt idx="7">
                  <c:v>加拿大</c:v>
                </c:pt>
                <c:pt idx="8">
                  <c:v>澳洲</c:v>
                </c:pt>
                <c:pt idx="9">
                  <c:v>新加坡</c:v>
                </c:pt>
                <c:pt idx="10">
                  <c:v>馬來西亞</c:v>
                </c:pt>
                <c:pt idx="11">
                  <c:v>菲律賓</c:v>
                </c:pt>
                <c:pt idx="12">
                  <c:v>印尼</c:v>
                </c:pt>
                <c:pt idx="13">
                  <c:v>越南</c:v>
                </c:pt>
                <c:pt idx="14">
                  <c:v>泰國</c:v>
                </c:pt>
                <c:pt idx="15">
                  <c:v>印度</c:v>
                </c:pt>
              </c:strCache>
            </c:strRef>
          </c:cat>
          <c:val>
            <c:numRef>
              <c:f>D!$BE$16:$BE$31</c:f>
              <c:numCache>
                <c:formatCode>#,##0_ </c:formatCode>
                <c:ptCount val="16"/>
                <c:pt idx="0">
                  <c:v>25400</c:v>
                </c:pt>
                <c:pt idx="1">
                  <c:v>33032.5</c:v>
                </c:pt>
                <c:pt idx="2">
                  <c:v>77674</c:v>
                </c:pt>
                <c:pt idx="3">
                  <c:v>48750</c:v>
                </c:pt>
                <c:pt idx="4">
                  <c:v>37875</c:v>
                </c:pt>
                <c:pt idx="5">
                  <c:v>52932</c:v>
                </c:pt>
                <c:pt idx="6">
                  <c:v>54984</c:v>
                </c:pt>
                <c:pt idx="7">
                  <c:v>65413.324999999997</c:v>
                </c:pt>
                <c:pt idx="8">
                  <c:v>66888</c:v>
                </c:pt>
                <c:pt idx="9">
                  <c:v>49050</c:v>
                </c:pt>
                <c:pt idx="10">
                  <c:v>56560</c:v>
                </c:pt>
                <c:pt idx="11">
                  <c:v>53942.600000000006</c:v>
                </c:pt>
                <c:pt idx="12">
                  <c:v>51252</c:v>
                </c:pt>
                <c:pt idx="13">
                  <c:v>49973.8</c:v>
                </c:pt>
                <c:pt idx="14">
                  <c:v>49687.5</c:v>
                </c:pt>
                <c:pt idx="15">
                  <c:v>39885.4</c:v>
                </c:pt>
              </c:numCache>
            </c:numRef>
          </c:val>
          <c:extLst>
            <c:ext xmlns:c16="http://schemas.microsoft.com/office/drawing/2014/chart" uri="{C3380CC4-5D6E-409C-BE32-E72D297353CC}">
              <c16:uniqueId val="{00000000-79E8-498A-A911-B912E90EB618}"/>
            </c:ext>
          </c:extLst>
        </c:ser>
        <c:ser>
          <c:idx val="1"/>
          <c:order val="1"/>
          <c:tx>
            <c:strRef>
              <c:f>D!$BL$14</c:f>
              <c:strCache>
                <c:ptCount val="1"/>
                <c:pt idx="0">
                  <c:v>領證+後續年費(C+M)</c:v>
                </c:pt>
              </c:strCache>
            </c:strRef>
          </c:tx>
          <c:spPr>
            <a:solidFill>
              <a:srgbClr val="FFC000"/>
            </a:solidFill>
            <a:ln>
              <a:solidFill>
                <a:schemeClr val="accent1"/>
              </a:solidFill>
            </a:ln>
            <a:scene3d>
              <a:camera prst="orthographicFront"/>
              <a:lightRig rig="threePt" dir="t">
                <a:rot lat="0" lon="0" rev="1200000"/>
              </a:lightRig>
            </a:scene3d>
            <a:sp3d>
              <a:bevelT w="63500" h="25400"/>
            </a:sp3d>
          </c:spPr>
          <c:invertIfNegative val="0"/>
          <c:cat>
            <c:strRef>
              <c:f>D!$BD$16:$BD$31</c:f>
              <c:strCache>
                <c:ptCount val="16"/>
                <c:pt idx="0">
                  <c:v>台灣</c:v>
                </c:pt>
                <c:pt idx="1">
                  <c:v>大陸</c:v>
                </c:pt>
                <c:pt idx="2">
                  <c:v>美國</c:v>
                </c:pt>
                <c:pt idx="3">
                  <c:v>歐盟</c:v>
                </c:pt>
                <c:pt idx="4">
                  <c:v>英國</c:v>
                </c:pt>
                <c:pt idx="5">
                  <c:v>日本</c:v>
                </c:pt>
                <c:pt idx="6">
                  <c:v>韓國</c:v>
                </c:pt>
                <c:pt idx="7">
                  <c:v>加拿大</c:v>
                </c:pt>
                <c:pt idx="8">
                  <c:v>澳洲</c:v>
                </c:pt>
                <c:pt idx="9">
                  <c:v>新加坡</c:v>
                </c:pt>
                <c:pt idx="10">
                  <c:v>馬來西亞</c:v>
                </c:pt>
                <c:pt idx="11">
                  <c:v>菲律賓</c:v>
                </c:pt>
                <c:pt idx="12">
                  <c:v>印尼</c:v>
                </c:pt>
                <c:pt idx="13">
                  <c:v>越南</c:v>
                </c:pt>
                <c:pt idx="14">
                  <c:v>泰國</c:v>
                </c:pt>
                <c:pt idx="15">
                  <c:v>印度</c:v>
                </c:pt>
              </c:strCache>
            </c:strRef>
          </c:cat>
          <c:val>
            <c:numRef>
              <c:f>D!$BL$16:$BL$31</c:f>
              <c:numCache>
                <c:formatCode>#,##0_ </c:formatCode>
                <c:ptCount val="16"/>
                <c:pt idx="0">
                  <c:v>66400</c:v>
                </c:pt>
                <c:pt idx="1">
                  <c:v>185644.24999999997</c:v>
                </c:pt>
                <c:pt idx="2">
                  <c:v>30658</c:v>
                </c:pt>
                <c:pt idx="3">
                  <c:v>83180</c:v>
                </c:pt>
                <c:pt idx="4">
                  <c:v>58064</c:v>
                </c:pt>
                <c:pt idx="5">
                  <c:v>241843</c:v>
                </c:pt>
                <c:pt idx="6">
                  <c:v>261542</c:v>
                </c:pt>
                <c:pt idx="7">
                  <c:v>33973.770000000004</c:v>
                </c:pt>
                <c:pt idx="8">
                  <c:v>42380</c:v>
                </c:pt>
                <c:pt idx="9">
                  <c:v>56450</c:v>
                </c:pt>
                <c:pt idx="10">
                  <c:v>72630</c:v>
                </c:pt>
                <c:pt idx="11">
                  <c:v>34185.800000000003</c:v>
                </c:pt>
                <c:pt idx="12">
                  <c:v>6830</c:v>
                </c:pt>
                <c:pt idx="13">
                  <c:v>33646.800000000003</c:v>
                </c:pt>
                <c:pt idx="14">
                  <c:v>65022.5</c:v>
                </c:pt>
                <c:pt idx="15">
                  <c:v>17110.800000000003</c:v>
                </c:pt>
              </c:numCache>
            </c:numRef>
          </c:val>
          <c:extLst>
            <c:ext xmlns:c16="http://schemas.microsoft.com/office/drawing/2014/chart" uri="{C3380CC4-5D6E-409C-BE32-E72D297353CC}">
              <c16:uniqueId val="{00000001-79E8-498A-A911-B912E90EB618}"/>
            </c:ext>
          </c:extLst>
        </c:ser>
        <c:dLbls>
          <c:showLegendKey val="0"/>
          <c:showVal val="0"/>
          <c:showCatName val="0"/>
          <c:showSerName val="0"/>
          <c:showPercent val="0"/>
          <c:showBubbleSize val="0"/>
        </c:dLbls>
        <c:gapWidth val="50"/>
        <c:axId val="188404864"/>
        <c:axId val="188406400"/>
      </c:barChart>
      <c:catAx>
        <c:axId val="188404864"/>
        <c:scaling>
          <c:orientation val="minMax"/>
        </c:scaling>
        <c:delete val="0"/>
        <c:axPos val="b"/>
        <c:numFmt formatCode="General" sourceLinked="0"/>
        <c:majorTickMark val="none"/>
        <c:minorTickMark val="none"/>
        <c:tickLblPos val="nextTo"/>
        <c:txPr>
          <a:bodyPr/>
          <a:lstStyle/>
          <a:p>
            <a:pPr>
              <a:defRPr sz="1200" b="1">
                <a:latin typeface="標楷體" panose="03000509000000000000" pitchFamily="65" charset="-120"/>
                <a:ea typeface="標楷體" panose="03000509000000000000" pitchFamily="65" charset="-120"/>
              </a:defRPr>
            </a:pPr>
            <a:endParaRPr lang="zh-TW"/>
          </a:p>
        </c:txPr>
        <c:crossAx val="188406400"/>
        <c:crosses val="autoZero"/>
        <c:auto val="1"/>
        <c:lblAlgn val="ctr"/>
        <c:lblOffset val="100"/>
        <c:noMultiLvlLbl val="0"/>
      </c:catAx>
      <c:valAx>
        <c:axId val="188406400"/>
        <c:scaling>
          <c:orientation val="minMax"/>
        </c:scaling>
        <c:delete val="0"/>
        <c:axPos val="l"/>
        <c:majorGridlines/>
        <c:title>
          <c:tx>
            <c:rich>
              <a:bodyPr rot="0" vert="horz"/>
              <a:lstStyle/>
              <a:p>
                <a:pPr>
                  <a:defRPr sz="1200">
                    <a:latin typeface="Times New Roman" panose="02020603050405020304" pitchFamily="18" charset="0"/>
                    <a:ea typeface="+mn-ea"/>
                    <a:cs typeface="Times New Roman" panose="02020603050405020304" pitchFamily="18" charset="0"/>
                  </a:defRPr>
                </a:pPr>
                <a:r>
                  <a:rPr lang="en-US" altLang="zh-TW" sz="1200">
                    <a:latin typeface="Times New Roman" panose="02020603050405020304" pitchFamily="18" charset="0"/>
                    <a:ea typeface="+mn-ea"/>
                    <a:cs typeface="Times New Roman" panose="02020603050405020304" pitchFamily="18" charset="0"/>
                  </a:rPr>
                  <a:t>(NTD)</a:t>
                </a:r>
                <a:endParaRPr lang="zh-TW" altLang="en-US" sz="1200">
                  <a:latin typeface="Times New Roman" panose="02020603050405020304" pitchFamily="18" charset="0"/>
                  <a:ea typeface="+mn-ea"/>
                  <a:cs typeface="Times New Roman" panose="02020603050405020304" pitchFamily="18" charset="0"/>
                </a:endParaRPr>
              </a:p>
            </c:rich>
          </c:tx>
          <c:layout>
            <c:manualLayout>
              <c:xMode val="edge"/>
              <c:yMode val="edge"/>
              <c:x val="3.2465065861990591E-2"/>
              <c:y val="3.6769935097833072E-2"/>
            </c:manualLayout>
          </c:layout>
          <c:overlay val="0"/>
        </c:title>
        <c:numFmt formatCode="#,##0_ " sourceLinked="1"/>
        <c:majorTickMark val="none"/>
        <c:minorTickMark val="none"/>
        <c:tickLblPos val="nextTo"/>
        <c:spPr>
          <a:ln w="9525">
            <a:noFill/>
          </a:ln>
        </c:spPr>
        <c:txPr>
          <a:bodyPr/>
          <a:lstStyle/>
          <a:p>
            <a:pPr>
              <a:defRPr sz="1200" b="1">
                <a:latin typeface="Times New Roman" panose="02020603050405020304" pitchFamily="18" charset="0"/>
                <a:cs typeface="Times New Roman" panose="02020603050405020304" pitchFamily="18" charset="0"/>
              </a:defRPr>
            </a:pPr>
            <a:endParaRPr lang="zh-TW"/>
          </a:p>
        </c:txPr>
        <c:crossAx val="188404864"/>
        <c:crosses val="autoZero"/>
        <c:crossBetween val="between"/>
      </c:valAx>
      <c:spPr>
        <a:noFill/>
      </c:spPr>
    </c:plotArea>
    <c:legend>
      <c:legendPos val="b"/>
      <c:layout>
        <c:manualLayout>
          <c:xMode val="edge"/>
          <c:yMode val="edge"/>
          <c:x val="0.35853764714076758"/>
          <c:y val="0.9116136887913906"/>
          <c:w val="0.27110322124179292"/>
          <c:h val="6.438779605293253E-2"/>
        </c:manualLayout>
      </c:layout>
      <c:overlay val="0"/>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mn-lt"/>
                <a:ea typeface="+mn-ea"/>
              </a:defRPr>
            </a:pPr>
            <a:r>
              <a:rPr lang="zh-TW" altLang="en-US" sz="1500">
                <a:latin typeface="Times New Roman" panose="02020603050405020304" pitchFamily="18" charset="0"/>
                <a:ea typeface="標楷體" panose="03000509000000000000" pitchFamily="65" charset="-120"/>
                <a:cs typeface="Times New Roman" panose="02020603050405020304" pitchFamily="18" charset="0"/>
              </a:rPr>
              <a:t>設計答辯費用</a:t>
            </a:r>
            <a:r>
              <a:rPr lang="en-US" altLang="zh-TW" sz="1500">
                <a:latin typeface="Times New Roman" panose="02020603050405020304" pitchFamily="18" charset="0"/>
                <a:ea typeface="標楷體" panose="03000509000000000000" pitchFamily="65" charset="-120"/>
                <a:cs typeface="Times New Roman" panose="02020603050405020304" pitchFamily="18" charset="0"/>
              </a:rPr>
              <a:t>(R)</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之組成結構</a:t>
            </a:r>
            <a:endParaRPr lang="en-US" altLang="zh-TW" sz="1500">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mn-lt"/>
                <a:ea typeface="+mn-ea"/>
              </a:defRPr>
            </a:pPr>
            <a:r>
              <a:rPr lang="en-US" sz="1500">
                <a:latin typeface="Times New Roman" panose="02020603050405020304" pitchFamily="18" charset="0"/>
                <a:ea typeface="+mn-ea"/>
                <a:cs typeface="Times New Roman" panose="02020603050405020304" pitchFamily="18" charset="0"/>
              </a:rPr>
              <a:t>(</a:t>
            </a:r>
            <a:r>
              <a:rPr lang="en-US" altLang="zh-TW" sz="1500">
                <a:latin typeface="Times New Roman" panose="02020603050405020304" pitchFamily="18" charset="0"/>
                <a:ea typeface="+mn-ea"/>
                <a:cs typeface="Times New Roman" panose="02020603050405020304" pitchFamily="18" charset="0"/>
              </a:rPr>
              <a:t>R</a:t>
            </a:r>
            <a:r>
              <a:rPr lang="en-US" sz="1500">
                <a:latin typeface="Times New Roman" panose="02020603050405020304" pitchFamily="18" charset="0"/>
                <a:ea typeface="+mn-ea"/>
                <a:cs typeface="Times New Roman" panose="02020603050405020304" pitchFamily="18" charset="0"/>
              </a:rPr>
              <a:t> = </a:t>
            </a:r>
            <a:r>
              <a:rPr lang="en-US" altLang="zh-TW" sz="1500">
                <a:latin typeface="Times New Roman" panose="02020603050405020304" pitchFamily="18" charset="0"/>
                <a:ea typeface="+mn-ea"/>
                <a:cs typeface="Times New Roman" panose="02020603050405020304" pitchFamily="18" charset="0"/>
              </a:rPr>
              <a:t>R</a:t>
            </a:r>
            <a:r>
              <a:rPr lang="en-US" sz="1500">
                <a:latin typeface="Times New Roman" panose="02020603050405020304" pitchFamily="18" charset="0"/>
                <a:ea typeface="+mn-ea"/>
                <a:cs typeface="Times New Roman" panose="02020603050405020304" pitchFamily="18" charset="0"/>
              </a:rPr>
              <a:t>1+</a:t>
            </a:r>
            <a:r>
              <a:rPr lang="en-US" altLang="zh-TW" sz="1500">
                <a:latin typeface="Times New Roman" panose="02020603050405020304" pitchFamily="18" charset="0"/>
                <a:ea typeface="+mn-ea"/>
                <a:cs typeface="Times New Roman" panose="02020603050405020304" pitchFamily="18" charset="0"/>
              </a:rPr>
              <a:t>R</a:t>
            </a:r>
            <a:r>
              <a:rPr lang="en-US" sz="1500">
                <a:latin typeface="Times New Roman" panose="02020603050405020304" pitchFamily="18" charset="0"/>
                <a:ea typeface="+mn-ea"/>
                <a:cs typeface="Times New Roman" panose="02020603050405020304" pitchFamily="18" charset="0"/>
              </a:rPr>
              <a:t>2+</a:t>
            </a:r>
            <a:r>
              <a:rPr lang="en-US" altLang="zh-TW" sz="1500">
                <a:latin typeface="Times New Roman" panose="02020603050405020304" pitchFamily="18" charset="0"/>
                <a:ea typeface="+mn-ea"/>
                <a:cs typeface="Times New Roman" panose="02020603050405020304" pitchFamily="18" charset="0"/>
              </a:rPr>
              <a:t>R3</a:t>
            </a:r>
            <a:r>
              <a:rPr lang="en-US" sz="1500">
                <a:latin typeface="Times New Roman" panose="02020603050405020304" pitchFamily="18" charset="0"/>
                <a:ea typeface="+mn-ea"/>
                <a:cs typeface="Times New Roman" panose="02020603050405020304" pitchFamily="18" charset="0"/>
              </a:rPr>
              <a:t>)</a:t>
            </a:r>
          </a:p>
        </c:rich>
      </c:tx>
      <c:overlay val="0"/>
    </c:title>
    <c:autoTitleDeleted val="0"/>
    <c:plotArea>
      <c:layout>
        <c:manualLayout>
          <c:layoutTarget val="inner"/>
          <c:xMode val="edge"/>
          <c:yMode val="edge"/>
          <c:x val="0.10629578159799248"/>
          <c:y val="0.1756466866580588"/>
          <c:w val="0.79290954585806139"/>
          <c:h val="0.78076739905757686"/>
        </c:manualLayout>
      </c:layout>
      <c:pieChart>
        <c:varyColors val="1"/>
        <c:ser>
          <c:idx val="0"/>
          <c:order val="0"/>
          <c:tx>
            <c:v>設計答辯費之成本結構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B919-4075-BB66-51A0E9557DAD}"/>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B919-4075-BB66-51A0E9557DAD}"/>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B919-4075-BB66-51A0E9557DAD}"/>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D!$AC$38:$AE$39</c:f>
              <c:strCache>
                <c:ptCount val="3"/>
                <c:pt idx="0">
                  <c:v>官方費用(R1)</c:v>
                </c:pt>
                <c:pt idx="1">
                  <c:v>外國代理人費用(R2)</c:v>
                </c:pt>
                <c:pt idx="2">
                  <c:v>慧盈服務費(R3)</c:v>
                </c:pt>
              </c:strCache>
            </c:strRef>
          </c:cat>
          <c:val>
            <c:numRef>
              <c:f>D!$AC$56:$AE$56</c:f>
              <c:numCache>
                <c:formatCode>#,##0_ </c:formatCode>
                <c:ptCount val="3"/>
                <c:pt idx="0">
                  <c:v>3496.5000000000005</c:v>
                </c:pt>
                <c:pt idx="1">
                  <c:v>285731</c:v>
                </c:pt>
                <c:pt idx="2">
                  <c:v>270000</c:v>
                </c:pt>
              </c:numCache>
            </c:numRef>
          </c:val>
          <c:extLst>
            <c:ext xmlns:c16="http://schemas.microsoft.com/office/drawing/2014/chart" uri="{C3380CC4-5D6E-409C-BE32-E72D297353CC}">
              <c16:uniqueId val="{00000006-B919-4075-BB66-51A0E9557DAD}"/>
            </c:ext>
          </c:extLst>
        </c:ser>
        <c:dLbls>
          <c:showLegendKey val="0"/>
          <c:showVal val="0"/>
          <c:showCatName val="1"/>
          <c:showSerName val="0"/>
          <c:showPercent val="0"/>
          <c:showBubbleSize val="0"/>
          <c:showLeaderLines val="1"/>
        </c:dLbls>
        <c:firstSliceAng val="27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mn-lt"/>
                <a:ea typeface="+mn-ea"/>
              </a:defRPr>
            </a:pPr>
            <a:r>
              <a:rPr lang="zh-TW" altLang="en-US" sz="1500" b="1" i="0" baseline="0">
                <a:effectLst/>
                <a:latin typeface="Times New Roman" panose="02020603050405020304" pitchFamily="18" charset="0"/>
                <a:ea typeface="標楷體" panose="03000509000000000000" pitchFamily="65" charset="-120"/>
                <a:cs typeface="Times New Roman" panose="02020603050405020304" pitchFamily="18" charset="0"/>
              </a:rPr>
              <a:t>設計</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後續年費</a:t>
            </a:r>
            <a:r>
              <a:rPr lang="en-US"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(M)</a:t>
            </a:r>
            <a:r>
              <a:rPr lang="zh-TW"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之組成結構</a:t>
            </a:r>
            <a:endParaRPr lang="zh-TW" altLang="zh-TW" sz="1500">
              <a:effectLst/>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mn-lt"/>
                <a:ea typeface="+mn-ea"/>
              </a:defRPr>
            </a:pPr>
            <a:r>
              <a:rPr lang="en-US" altLang="zh-TW" sz="1500" b="1" i="0" baseline="0">
                <a:effectLst/>
                <a:latin typeface="Times New Roman" panose="02020603050405020304" pitchFamily="18" charset="0"/>
                <a:ea typeface="標楷體" panose="03000509000000000000" pitchFamily="65" charset="-120"/>
                <a:cs typeface="Times New Roman" panose="02020603050405020304" pitchFamily="18" charset="0"/>
              </a:rPr>
              <a:t>(M = M1+M2+M3)</a:t>
            </a:r>
            <a:endParaRPr lang="zh-TW" altLang="zh-TW" sz="1500">
              <a:effectLst/>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0162265274990445"/>
          <c:y val="0.17213571960897864"/>
          <c:w val="0.80370119432858556"/>
          <c:h val="0.78944503446797787"/>
        </c:manualLayout>
      </c:layout>
      <c:pieChart>
        <c:varyColors val="1"/>
        <c:ser>
          <c:idx val="0"/>
          <c:order val="0"/>
          <c:tx>
            <c:v>設計後續年費之成本結構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9E5A-4631-A2C2-2AAD71CDED17}"/>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9E5A-4631-A2C2-2AAD71CDED17}"/>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9E5A-4631-A2C2-2AAD71CDED17}"/>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D!$AZ$38:$BB$39</c:f>
              <c:strCache>
                <c:ptCount val="3"/>
                <c:pt idx="0">
                  <c:v>官方費用(M1)</c:v>
                </c:pt>
                <c:pt idx="1">
                  <c:v>外國代理人費用(M2)</c:v>
                </c:pt>
                <c:pt idx="2">
                  <c:v>慧盈服務費(M3)</c:v>
                </c:pt>
              </c:strCache>
            </c:strRef>
          </c:cat>
          <c:val>
            <c:numRef>
              <c:f>D!$AZ$56:$BB$56</c:f>
              <c:numCache>
                <c:formatCode>#,##0_ </c:formatCode>
                <c:ptCount val="3"/>
                <c:pt idx="0">
                  <c:v>443262.07</c:v>
                </c:pt>
                <c:pt idx="1">
                  <c:v>297402.5</c:v>
                </c:pt>
                <c:pt idx="2">
                  <c:v>408000</c:v>
                </c:pt>
              </c:numCache>
            </c:numRef>
          </c:val>
          <c:extLst>
            <c:ext xmlns:c16="http://schemas.microsoft.com/office/drawing/2014/chart" uri="{C3380CC4-5D6E-409C-BE32-E72D297353CC}">
              <c16:uniqueId val="{00000006-9E5A-4631-A2C2-2AAD71CDED17}"/>
            </c:ext>
          </c:extLst>
        </c:ser>
        <c:dLbls>
          <c:showLegendKey val="0"/>
          <c:showVal val="0"/>
          <c:showCatName val="1"/>
          <c:showSerName val="0"/>
          <c:showPercent val="0"/>
          <c:showBubbleSize val="0"/>
          <c:showLeaderLines val="1"/>
        </c:dLbls>
        <c:firstSliceAng val="0"/>
      </c:pieChart>
      <c:spPr>
        <a:noFill/>
      </c:spPr>
    </c:plotArea>
    <c:plotVisOnly val="1"/>
    <c:dispBlanksAs val="gap"/>
    <c:showDLblsOverMax val="0"/>
  </c:chart>
  <c:spPr>
    <a:noFill/>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CheckBox" checked="Checked" fmlaLink="D!$U$5" lockText="1" noThreeD="1"/>
</file>

<file path=xl/ctrlProps/ctrlProp2.xml><?xml version="1.0" encoding="utf-8"?>
<formControlPr xmlns="http://schemas.microsoft.com/office/spreadsheetml/2009/9/main" objectType="CheckBox" checked="Checked" fmlaLink="D!$U$6" lockText="1" noThreeD="1"/>
</file>

<file path=xl/ctrlProps/ctrlProp3.xml><?xml version="1.0" encoding="utf-8"?>
<formControlPr xmlns="http://schemas.microsoft.com/office/spreadsheetml/2009/9/main" objectType="CheckBox" checked="Checked" fmlaLink="D!$U$7" lockText="1" noThreeD="1"/>
</file>

<file path=xl/ctrlProps/ctrlProp4.xml><?xml version="1.0" encoding="utf-8"?>
<formControlPr xmlns="http://schemas.microsoft.com/office/spreadsheetml/2009/9/main" objectType="CheckBox" checked="Checked" fmlaLink="D!$S$5" lockText="1" noThreeD="1"/>
</file>

<file path=xl/ctrlProps/ctrlProp5.xml><?xml version="1.0" encoding="utf-8"?>
<formControlPr xmlns="http://schemas.microsoft.com/office/spreadsheetml/2009/9/main" objectType="CheckBox" checked="Checked" fmlaLink="D!$S$6" lockText="1" noThreeD="1"/>
</file>

<file path=xl/ctrlProps/ctrlProp6.xml><?xml version="1.0" encoding="utf-8"?>
<formControlPr xmlns="http://schemas.microsoft.com/office/spreadsheetml/2009/9/main" objectType="CheckBox" checked="Checked" fmlaLink="D!$S$7" lockText="1" noThreeD="1"/>
</file>

<file path=xl/ctrlProps/ctrlProp7.xml><?xml version="1.0" encoding="utf-8"?>
<formControlPr xmlns="http://schemas.microsoft.com/office/spreadsheetml/2009/9/main" objectType="CheckBox" checked="Checked" fmlaLink="D!$S$8" lockText="1" noThreeD="1"/>
</file>

<file path=xl/ctrlProps/ctrlProp8.xml><?xml version="1.0" encoding="utf-8"?>
<formControlPr xmlns="http://schemas.microsoft.com/office/spreadsheetml/2009/9/main" objectType="Radio" firstButton="1" fmlaLink="選項!$N$2"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CheckBox" checked="Checked" fmlaLink="D!$C$16" lockText="1" noThreeD="1"/>
</file>

<file path=xl/ctrlProps/ctrlProp35.xml><?xml version="1.0" encoding="utf-8"?>
<formControlPr xmlns="http://schemas.microsoft.com/office/spreadsheetml/2009/9/main" objectType="CheckBox" checked="Checked" fmlaLink="D!$C$17" lockText="1" noThreeD="1"/>
</file>

<file path=xl/ctrlProps/ctrlProp36.xml><?xml version="1.0" encoding="utf-8"?>
<formControlPr xmlns="http://schemas.microsoft.com/office/spreadsheetml/2009/9/main" objectType="CheckBox" checked="Checked" fmlaLink="D!$C$18" lockText="1" noThreeD="1"/>
</file>

<file path=xl/ctrlProps/ctrlProp37.xml><?xml version="1.0" encoding="utf-8"?>
<formControlPr xmlns="http://schemas.microsoft.com/office/spreadsheetml/2009/9/main" objectType="CheckBox" checked="Checked" fmlaLink="D!$C$19" lockText="1" noThreeD="1"/>
</file>

<file path=xl/ctrlProps/ctrlProp38.xml><?xml version="1.0" encoding="utf-8"?>
<formControlPr xmlns="http://schemas.microsoft.com/office/spreadsheetml/2009/9/main" objectType="CheckBox" checked="Checked" fmlaLink="D!$C$21" lockText="1" noThreeD="1"/>
</file>

<file path=xl/ctrlProps/ctrlProp39.xml><?xml version="1.0" encoding="utf-8"?>
<formControlPr xmlns="http://schemas.microsoft.com/office/spreadsheetml/2009/9/main" objectType="CheckBox" checked="Checked" fmlaLink="D!$C$22" lockText="1" noThreeD="1"/>
</file>

<file path=xl/ctrlProps/ctrlProp40.xml><?xml version="1.0" encoding="utf-8"?>
<formControlPr xmlns="http://schemas.microsoft.com/office/spreadsheetml/2009/9/main" objectType="CheckBox" checked="Checked" fmlaLink="D!$C$25" lockText="1" noThreeD="1"/>
</file>

<file path=xl/ctrlProps/ctrlProp41.xml><?xml version="1.0" encoding="utf-8"?>
<formControlPr xmlns="http://schemas.microsoft.com/office/spreadsheetml/2009/9/main" objectType="CheckBox" checked="Checked" fmlaLink="D!$C$29" lockText="1" noThreeD="1"/>
</file>

<file path=xl/ctrlProps/ctrlProp42.xml><?xml version="1.0" encoding="utf-8"?>
<formControlPr xmlns="http://schemas.microsoft.com/office/spreadsheetml/2009/9/main" objectType="CheckBox" checked="Checked" fmlaLink="D!$C$24" lockText="1" noThreeD="1"/>
</file>

<file path=xl/ctrlProps/ctrlProp43.xml><?xml version="1.0" encoding="utf-8"?>
<formControlPr xmlns="http://schemas.microsoft.com/office/spreadsheetml/2009/9/main" objectType="CheckBox" checked="Checked" fmlaLink="D!$C$26" lockText="1" noThreeD="1"/>
</file>

<file path=xl/ctrlProps/ctrlProp44.xml><?xml version="1.0" encoding="utf-8"?>
<formControlPr xmlns="http://schemas.microsoft.com/office/spreadsheetml/2009/9/main" objectType="CheckBox" checked="Checked" fmlaLink="D!$C$28" lockText="1" noThreeD="1"/>
</file>

<file path=xl/ctrlProps/ctrlProp45.xml><?xml version="1.0" encoding="utf-8"?>
<formControlPr xmlns="http://schemas.microsoft.com/office/spreadsheetml/2009/9/main" objectType="CheckBox" checked="Checked" fmlaLink="D!$C$23" lockText="1" noThreeD="1"/>
</file>

<file path=xl/ctrlProps/ctrlProp46.xml><?xml version="1.0" encoding="utf-8"?>
<formControlPr xmlns="http://schemas.microsoft.com/office/spreadsheetml/2009/9/main" objectType="CheckBox" checked="Checked" fmlaLink="D!$C$27" lockText="1" noThreeD="1"/>
</file>

<file path=xl/ctrlProps/ctrlProp47.xml><?xml version="1.0" encoding="utf-8"?>
<formControlPr xmlns="http://schemas.microsoft.com/office/spreadsheetml/2009/9/main" objectType="CheckBox" checked="Checked" fmlaLink="D!$C$20"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選項!$K$2" lockText="1" noThreeD="1"/>
</file>

<file path=xl/ctrlProps/ctrlProp50.xml><?xml version="1.0" encoding="utf-8"?>
<formControlPr xmlns="http://schemas.microsoft.com/office/spreadsheetml/2009/9/main" objectType="Radio" checked="Checked" lockText="1" noThreeD="1"/>
</file>

<file path=xl/ctrlProps/ctrlProp51.xml><?xml version="1.0" encoding="utf-8"?>
<formControlPr xmlns="http://schemas.microsoft.com/office/spreadsheetml/2009/9/main" objectType="CheckBox" checked="Checked" fmlaLink="D!$C$30" lockText="1" noThreeD="1"/>
</file>

<file path=xl/ctrlProps/ctrlProp52.xml><?xml version="1.0" encoding="utf-8"?>
<formControlPr xmlns="http://schemas.microsoft.com/office/spreadsheetml/2009/9/main" objectType="CheckBox" checked="Checked" fmlaLink="D!$C$16" lockText="1" noThreeD="1"/>
</file>

<file path=xl/ctrlProps/ctrlProp53.xml><?xml version="1.0" encoding="utf-8"?>
<formControlPr xmlns="http://schemas.microsoft.com/office/spreadsheetml/2009/9/main" objectType="CheckBox" checked="Checked" fmlaLink="D!$C$17" lockText="1" noThreeD="1"/>
</file>

<file path=xl/ctrlProps/ctrlProp54.xml><?xml version="1.0" encoding="utf-8"?>
<formControlPr xmlns="http://schemas.microsoft.com/office/spreadsheetml/2009/9/main" objectType="CheckBox" checked="Checked" fmlaLink="D!$C$18" lockText="1" noThreeD="1"/>
</file>

<file path=xl/ctrlProps/ctrlProp55.xml><?xml version="1.0" encoding="utf-8"?>
<formControlPr xmlns="http://schemas.microsoft.com/office/spreadsheetml/2009/9/main" objectType="CheckBox" checked="Checked" fmlaLink="D!$C$19" lockText="1" noThreeD="1"/>
</file>

<file path=xl/ctrlProps/ctrlProp56.xml><?xml version="1.0" encoding="utf-8"?>
<formControlPr xmlns="http://schemas.microsoft.com/office/spreadsheetml/2009/9/main" objectType="CheckBox" checked="Checked" fmlaLink="D!$C$21" lockText="1" noThreeD="1"/>
</file>

<file path=xl/ctrlProps/ctrlProp57.xml><?xml version="1.0" encoding="utf-8"?>
<formControlPr xmlns="http://schemas.microsoft.com/office/spreadsheetml/2009/9/main" objectType="CheckBox" checked="Checked" fmlaLink="D!$C$22" lockText="1" noThreeD="1"/>
</file>

<file path=xl/ctrlProps/ctrlProp58.xml><?xml version="1.0" encoding="utf-8"?>
<formControlPr xmlns="http://schemas.microsoft.com/office/spreadsheetml/2009/9/main" objectType="CheckBox" checked="Checked" fmlaLink="D!$C$25" lockText="1" noThreeD="1"/>
</file>

<file path=xl/ctrlProps/ctrlProp59.xml><?xml version="1.0" encoding="utf-8"?>
<formControlPr xmlns="http://schemas.microsoft.com/office/spreadsheetml/2009/9/main" objectType="CheckBox" checked="Checked" fmlaLink="D!$C$29" lockText="1" noThreeD="1"/>
</file>

<file path=xl/ctrlProps/ctrlProp60.xml><?xml version="1.0" encoding="utf-8"?>
<formControlPr xmlns="http://schemas.microsoft.com/office/spreadsheetml/2009/9/main" objectType="CheckBox" checked="Checked" fmlaLink="D!$C$24" lockText="1" noThreeD="1"/>
</file>

<file path=xl/ctrlProps/ctrlProp61.xml><?xml version="1.0" encoding="utf-8"?>
<formControlPr xmlns="http://schemas.microsoft.com/office/spreadsheetml/2009/9/main" objectType="CheckBox" checked="Checked" fmlaLink="D!$C$26" lockText="1" noThreeD="1"/>
</file>

<file path=xl/ctrlProps/ctrlProp62.xml><?xml version="1.0" encoding="utf-8"?>
<formControlPr xmlns="http://schemas.microsoft.com/office/spreadsheetml/2009/9/main" objectType="CheckBox" checked="Checked" fmlaLink="D!$C$28" lockText="1" noThreeD="1"/>
</file>

<file path=xl/ctrlProps/ctrlProp63.xml><?xml version="1.0" encoding="utf-8"?>
<formControlPr xmlns="http://schemas.microsoft.com/office/spreadsheetml/2009/9/main" objectType="CheckBox" checked="Checked" fmlaLink="D!$C$23" lockText="1" noThreeD="1"/>
</file>

<file path=xl/ctrlProps/ctrlProp64.xml><?xml version="1.0" encoding="utf-8"?>
<formControlPr xmlns="http://schemas.microsoft.com/office/spreadsheetml/2009/9/main" objectType="CheckBox" checked="Checked" fmlaLink="D!$C$27" lockText="1" noThreeD="1"/>
</file>

<file path=xl/ctrlProps/ctrlProp65.xml><?xml version="1.0" encoding="utf-8"?>
<formControlPr xmlns="http://schemas.microsoft.com/office/spreadsheetml/2009/9/main" objectType="CheckBox" checked="Checked" fmlaLink="D!$C$20" lockText="1" noThreeD="1"/>
</file>

<file path=xl/ctrlProps/ctrlProp66.xml><?xml version="1.0" encoding="utf-8"?>
<formControlPr xmlns="http://schemas.microsoft.com/office/spreadsheetml/2009/9/main" objectType="CheckBox" checked="Checked" fmlaLink="D!$C$30" lockText="1" noThreeD="1"/>
</file>

<file path=xl/ctrlProps/ctrlProp67.xml><?xml version="1.0" encoding="utf-8"?>
<formControlPr xmlns="http://schemas.microsoft.com/office/spreadsheetml/2009/9/main" objectType="CheckBox" checked="Checked" fmlaLink="D!$C$16" lockText="1" noThreeD="1"/>
</file>

<file path=xl/ctrlProps/ctrlProp68.xml><?xml version="1.0" encoding="utf-8"?>
<formControlPr xmlns="http://schemas.microsoft.com/office/spreadsheetml/2009/9/main" objectType="CheckBox" checked="Checked" fmlaLink="D!$C$17" lockText="1" noThreeD="1"/>
</file>

<file path=xl/ctrlProps/ctrlProp69.xml><?xml version="1.0" encoding="utf-8"?>
<formControlPr xmlns="http://schemas.microsoft.com/office/spreadsheetml/2009/9/main" objectType="CheckBox" checked="Checked" fmlaLink="D!$C$18" lockText="1" noThreeD="1"/>
</file>

<file path=xl/ctrlProps/ctrlProp70.xml><?xml version="1.0" encoding="utf-8"?>
<formControlPr xmlns="http://schemas.microsoft.com/office/spreadsheetml/2009/9/main" objectType="CheckBox" checked="Checked" fmlaLink="D!$C$19" lockText="1" noThreeD="1"/>
</file>

<file path=xl/ctrlProps/ctrlProp71.xml><?xml version="1.0" encoding="utf-8"?>
<formControlPr xmlns="http://schemas.microsoft.com/office/spreadsheetml/2009/9/main" objectType="CheckBox" checked="Checked" fmlaLink="D!$C$21" lockText="1" noThreeD="1"/>
</file>

<file path=xl/ctrlProps/ctrlProp72.xml><?xml version="1.0" encoding="utf-8"?>
<formControlPr xmlns="http://schemas.microsoft.com/office/spreadsheetml/2009/9/main" objectType="CheckBox" checked="Checked" fmlaLink="D!$C$22" lockText="1" noThreeD="1"/>
</file>

<file path=xl/ctrlProps/ctrlProp73.xml><?xml version="1.0" encoding="utf-8"?>
<formControlPr xmlns="http://schemas.microsoft.com/office/spreadsheetml/2009/9/main" objectType="CheckBox" checked="Checked" fmlaLink="D!$C$25" lockText="1" noThreeD="1"/>
</file>

<file path=xl/ctrlProps/ctrlProp74.xml><?xml version="1.0" encoding="utf-8"?>
<formControlPr xmlns="http://schemas.microsoft.com/office/spreadsheetml/2009/9/main" objectType="CheckBox" checked="Checked" fmlaLink="D!$C$29" lockText="1" noThreeD="1"/>
</file>

<file path=xl/ctrlProps/ctrlProp75.xml><?xml version="1.0" encoding="utf-8"?>
<formControlPr xmlns="http://schemas.microsoft.com/office/spreadsheetml/2009/9/main" objectType="CheckBox" checked="Checked" fmlaLink="D!$C$24" lockText="1" noThreeD="1"/>
</file>

<file path=xl/ctrlProps/ctrlProp76.xml><?xml version="1.0" encoding="utf-8"?>
<formControlPr xmlns="http://schemas.microsoft.com/office/spreadsheetml/2009/9/main" objectType="CheckBox" checked="Checked" fmlaLink="D!$C$26" lockText="1" noThreeD="1"/>
</file>

<file path=xl/ctrlProps/ctrlProp77.xml><?xml version="1.0" encoding="utf-8"?>
<formControlPr xmlns="http://schemas.microsoft.com/office/spreadsheetml/2009/9/main" objectType="CheckBox" checked="Checked" fmlaLink="D!$C$28" lockText="1" noThreeD="1"/>
</file>

<file path=xl/ctrlProps/ctrlProp78.xml><?xml version="1.0" encoding="utf-8"?>
<formControlPr xmlns="http://schemas.microsoft.com/office/spreadsheetml/2009/9/main" objectType="CheckBox" checked="Checked" fmlaLink="D!$C$23" lockText="1" noThreeD="1"/>
</file>

<file path=xl/ctrlProps/ctrlProp79.xml><?xml version="1.0" encoding="utf-8"?>
<formControlPr xmlns="http://schemas.microsoft.com/office/spreadsheetml/2009/9/main" objectType="CheckBox" checked="Checked" fmlaLink="D!$C$27" lockText="1" noThreeD="1"/>
</file>

<file path=xl/ctrlProps/ctrlProp80.xml><?xml version="1.0" encoding="utf-8"?>
<formControlPr xmlns="http://schemas.microsoft.com/office/spreadsheetml/2009/9/main" objectType="CheckBox" checked="Checked" fmlaLink="D!$C$20" lockText="1" noThreeD="1"/>
</file>

<file path=xl/ctrlProps/ctrlProp81.xml><?xml version="1.0" encoding="utf-8"?>
<formControlPr xmlns="http://schemas.microsoft.com/office/spreadsheetml/2009/9/main" objectType="CheckBox" checked="Checked" fmlaLink="D!$C$30" lockText="1" noThreeD="1"/>
</file>

<file path=xl/ctrlProps/ctrlProp82.xml><?xml version="1.0" encoding="utf-8"?>
<formControlPr xmlns="http://schemas.microsoft.com/office/spreadsheetml/2009/9/main" objectType="CheckBox" checked="Checked" fmlaLink="D!$C$16" lockText="1" noThreeD="1"/>
</file>

<file path=xl/ctrlProps/ctrlProp83.xml><?xml version="1.0" encoding="utf-8"?>
<formControlPr xmlns="http://schemas.microsoft.com/office/spreadsheetml/2009/9/main" objectType="CheckBox" checked="Checked" fmlaLink="D!$C$17" lockText="1" noThreeD="1"/>
</file>

<file path=xl/ctrlProps/ctrlProp84.xml><?xml version="1.0" encoding="utf-8"?>
<formControlPr xmlns="http://schemas.microsoft.com/office/spreadsheetml/2009/9/main" objectType="CheckBox" checked="Checked" fmlaLink="D!$C$18" lockText="1" noThreeD="1"/>
</file>

<file path=xl/ctrlProps/ctrlProp85.xml><?xml version="1.0" encoding="utf-8"?>
<formControlPr xmlns="http://schemas.microsoft.com/office/spreadsheetml/2009/9/main" objectType="CheckBox" checked="Checked" fmlaLink="D!$C$19" lockText="1" noThreeD="1"/>
</file>

<file path=xl/ctrlProps/ctrlProp86.xml><?xml version="1.0" encoding="utf-8"?>
<formControlPr xmlns="http://schemas.microsoft.com/office/spreadsheetml/2009/9/main" objectType="CheckBox" checked="Checked" fmlaLink="D!$C$21" lockText="1" noThreeD="1"/>
</file>

<file path=xl/ctrlProps/ctrlProp87.xml><?xml version="1.0" encoding="utf-8"?>
<formControlPr xmlns="http://schemas.microsoft.com/office/spreadsheetml/2009/9/main" objectType="CheckBox" checked="Checked" fmlaLink="D!$C$22" lockText="1" noThreeD="1"/>
</file>

<file path=xl/ctrlProps/ctrlProp88.xml><?xml version="1.0" encoding="utf-8"?>
<formControlPr xmlns="http://schemas.microsoft.com/office/spreadsheetml/2009/9/main" objectType="CheckBox" checked="Checked" fmlaLink="D!$C$25" lockText="1" noThreeD="1"/>
</file>

<file path=xl/ctrlProps/ctrlProp89.xml><?xml version="1.0" encoding="utf-8"?>
<formControlPr xmlns="http://schemas.microsoft.com/office/spreadsheetml/2009/9/main" objectType="CheckBox" checked="Checked" fmlaLink="D!$C$29" lockText="1" noThreeD="1"/>
</file>

<file path=xl/ctrlProps/ctrlProp90.xml><?xml version="1.0" encoding="utf-8"?>
<formControlPr xmlns="http://schemas.microsoft.com/office/spreadsheetml/2009/9/main" objectType="CheckBox" checked="Checked" fmlaLink="D!$C$24" lockText="1" noThreeD="1"/>
</file>

<file path=xl/ctrlProps/ctrlProp91.xml><?xml version="1.0" encoding="utf-8"?>
<formControlPr xmlns="http://schemas.microsoft.com/office/spreadsheetml/2009/9/main" objectType="CheckBox" checked="Checked" fmlaLink="D!$C$26" lockText="1" noThreeD="1"/>
</file>

<file path=xl/ctrlProps/ctrlProp92.xml><?xml version="1.0" encoding="utf-8"?>
<formControlPr xmlns="http://schemas.microsoft.com/office/spreadsheetml/2009/9/main" objectType="CheckBox" checked="Checked" fmlaLink="D!$C$28" lockText="1" noThreeD="1"/>
</file>

<file path=xl/ctrlProps/ctrlProp93.xml><?xml version="1.0" encoding="utf-8"?>
<formControlPr xmlns="http://schemas.microsoft.com/office/spreadsheetml/2009/9/main" objectType="CheckBox" checked="Checked" fmlaLink="D!$C$23" lockText="1" noThreeD="1"/>
</file>

<file path=xl/ctrlProps/ctrlProp94.xml><?xml version="1.0" encoding="utf-8"?>
<formControlPr xmlns="http://schemas.microsoft.com/office/spreadsheetml/2009/9/main" objectType="CheckBox" checked="Checked" fmlaLink="D!$C$27" lockText="1" noThreeD="1"/>
</file>

<file path=xl/ctrlProps/ctrlProp95.xml><?xml version="1.0" encoding="utf-8"?>
<formControlPr xmlns="http://schemas.microsoft.com/office/spreadsheetml/2009/9/main" objectType="CheckBox" checked="Checked" fmlaLink="D!$C$20" lockText="1" noThreeD="1"/>
</file>

<file path=xl/ctrlProps/ctrlProp96.xml><?xml version="1.0" encoding="utf-8"?>
<formControlPr xmlns="http://schemas.microsoft.com/office/spreadsheetml/2009/9/main" objectType="CheckBox" checked="Checked" fmlaLink="D!$C$30" lockText="1" noThreeD="1"/>
</file>

<file path=xl/ctrlProps/ctrlProp97.xml><?xml version="1.0" encoding="utf-8"?>
<formControlPr xmlns="http://schemas.microsoft.com/office/spreadsheetml/2009/9/main" objectType="CheckBox" checked="Checked" fmlaLink="D!$C$31" lockText="1" noThreeD="1"/>
</file>

<file path=xl/ctrlProps/ctrlProp98.xml><?xml version="1.0" encoding="utf-8"?>
<formControlPr xmlns="http://schemas.microsoft.com/office/spreadsheetml/2009/9/main" objectType="CheckBox" checked="Checked" fmlaLink="D!$C$31" lockText="1" noThreeD="1"/>
</file>

<file path=xl/ctrlProps/ctrlProp99.xml><?xml version="1.0" encoding="utf-8"?>
<formControlPr xmlns="http://schemas.microsoft.com/office/spreadsheetml/2009/9/main" objectType="CheckBox" checked="Checked" fmlaLink="D!$C$31" lockText="1" noThreeD="1"/>
</file>

<file path=xl/ctrlProps/ctrlProp100.xml><?xml version="1.0" encoding="utf-8"?>
<formControlPr xmlns="http://schemas.microsoft.com/office/spreadsheetml/2009/9/main" objectType="CheckBox" checked="Checked" fmlaLink="D!$C$31" lockText="1" noThreeD="1"/>
</file>

<file path=xl/ctrlProps/ctrlProp101.xml><?xml version="1.0" encoding="utf-8"?>
<formControlPr xmlns="http://schemas.microsoft.com/office/spreadsheetml/2009/9/main" objectType="Radio" firstButton="1" fmlaLink="選項!$K$2" lockText="1" noThreeD="1"/>
</file>

<file path=xl/ctrlProps/ctrlProp102.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131253</xdr:colOff>
      <xdr:row>158</xdr:row>
      <xdr:rowOff>8661</xdr:rowOff>
    </xdr:from>
    <xdr:to>
      <xdr:col>12</xdr:col>
      <xdr:colOff>504264</xdr:colOff>
      <xdr:row>181</xdr:row>
      <xdr:rowOff>68315</xdr:rowOff>
    </xdr:to>
    <xdr:graphicFrame macro="">
      <xdr:nvGraphicFramePr>
        <xdr:cNvPr id="31" name="圖表 30">
          <a:extLst>
            <a:ext uri="{FF2B5EF4-FFF2-40B4-BE49-F238E27FC236}">
              <a16:creationId xmlns:a16="http://schemas.microsoft.com/office/drawing/2014/main" id="{00000000-0008-0000-03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56029</xdr:colOff>
      <xdr:row>158</xdr:row>
      <xdr:rowOff>8661</xdr:rowOff>
    </xdr:from>
    <xdr:to>
      <xdr:col>7</xdr:col>
      <xdr:colOff>555966</xdr:colOff>
      <xdr:row>181</xdr:row>
      <xdr:rowOff>68315</xdr:rowOff>
    </xdr:to>
    <xdr:graphicFrame macro="">
      <xdr:nvGraphicFramePr>
        <xdr:cNvPr id="32" name="圖表 31">
          <a:extLst>
            <a:ext uri="{FF2B5EF4-FFF2-40B4-BE49-F238E27FC236}">
              <a16:creationId xmlns:a16="http://schemas.microsoft.com/office/drawing/2014/main" id="{00000000-0008-0000-03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190501</xdr:colOff>
      <xdr:row>213</xdr:row>
      <xdr:rowOff>78441</xdr:rowOff>
    </xdr:from>
    <xdr:to>
      <xdr:col>12</xdr:col>
      <xdr:colOff>73638</xdr:colOff>
      <xdr:row>236</xdr:row>
      <xdr:rowOff>26489</xdr:rowOff>
    </xdr:to>
    <xdr:graphicFrame macro="">
      <xdr:nvGraphicFramePr>
        <xdr:cNvPr id="34" name="圖表 33">
          <a:extLst>
            <a:ext uri="{FF2B5EF4-FFF2-40B4-BE49-F238E27FC236}">
              <a16:creationId xmlns:a16="http://schemas.microsoft.com/office/drawing/2014/main" id="{00000000-0008-0000-03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133</xdr:row>
      <xdr:rowOff>11689</xdr:rowOff>
    </xdr:from>
    <xdr:to>
      <xdr:col>12</xdr:col>
      <xdr:colOff>337746</xdr:colOff>
      <xdr:row>155</xdr:row>
      <xdr:rowOff>100853</xdr:rowOff>
    </xdr:to>
    <xdr:graphicFrame macro="">
      <xdr:nvGraphicFramePr>
        <xdr:cNvPr id="35" name="圖表 34">
          <a:extLst>
            <a:ext uri="{FF2B5EF4-FFF2-40B4-BE49-F238E27FC236}">
              <a16:creationId xmlns:a16="http://schemas.microsoft.com/office/drawing/2014/main" id="{00000000-0008-0000-03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mc:AlternateContent xmlns:mc="http://schemas.openxmlformats.org/markup-compatibility/2006">
    <mc:Choice xmlns:a14="http://schemas.microsoft.com/office/drawing/2010/main" Requires="a14">
      <xdr:twoCellAnchor>
        <xdr:from>
          <xdr:col>4</xdr:col>
          <xdr:colOff>38100</xdr:colOff>
          <xdr:row>5</xdr:row>
          <xdr:rowOff>43937</xdr:rowOff>
        </xdr:from>
        <xdr:to>
          <xdr:col>5</xdr:col>
          <xdr:colOff>895350</xdr:colOff>
          <xdr:row>8</xdr:row>
          <xdr:rowOff>188595</xdr:rowOff>
        </xdr:to>
        <xdr:grpSp>
          <xdr:nvGrpSpPr>
            <xdr:cNvPr id="2" name="群組 1">
              <a:extLst>
                <a:ext uri="{FF2B5EF4-FFF2-40B4-BE49-F238E27FC236}">
                  <a16:creationId xmlns:a16="http://schemas.microsoft.com/office/drawing/2014/main" id="{00000000-0008-0000-0300-000002000000}"/>
                </a:ext>
              </a:extLst>
            </xdr:cNvPr>
            <xdr:cNvGrpSpPr/>
          </xdr:nvGrpSpPr>
          <xdr:grpSpPr>
            <a:xfrm>
              <a:off x="3267075" y="1101212"/>
              <a:ext cx="1895475" cy="830458"/>
              <a:chOff x="3063240" y="1101207"/>
              <a:chExt cx="1828800" cy="830473"/>
            </a:xfrm>
          </xdr:grpSpPr>
          <xdr:sp macro="" textlink="">
            <xdr:nvSpPr>
              <xdr:cNvPr id="3224" name="Check Box 152" descr="官方費用" hidden="1">
                <a:extLst>
                  <a:ext uri="{63B3BB69-23CF-44E3-9099-C40C66FF867C}">
                    <a14:compatExt spid="_x0000_s3224"/>
                  </a:ext>
                  <a:ext uri="{FF2B5EF4-FFF2-40B4-BE49-F238E27FC236}">
                    <a16:creationId xmlns:a16="http://schemas.microsoft.com/office/drawing/2014/main" id="{00000000-0008-0000-0300-0000980C0000}"/>
                  </a:ext>
                </a:extLst>
              </xdr:cNvPr>
              <xdr:cNvSpPr/>
            </xdr:nvSpPr>
            <xdr:spPr bwMode="auto">
              <a:xfrm>
                <a:off x="4044315" y="1105019"/>
                <a:ext cx="847725" cy="1428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官方費用</a:t>
                </a:r>
              </a:p>
            </xdr:txBody>
          </xdr:sp>
          <xdr:sp macro="" textlink="">
            <xdr:nvSpPr>
              <xdr:cNvPr id="3225" name="Check Box 153" descr="官方費用" hidden="1">
                <a:extLst>
                  <a:ext uri="{63B3BB69-23CF-44E3-9099-C40C66FF867C}">
                    <a14:compatExt spid="_x0000_s3225"/>
                  </a:ext>
                  <a:ext uri="{FF2B5EF4-FFF2-40B4-BE49-F238E27FC236}">
                    <a16:creationId xmlns:a16="http://schemas.microsoft.com/office/drawing/2014/main" id="{00000000-0008-0000-0300-0000990C0000}"/>
                  </a:ext>
                </a:extLst>
              </xdr:cNvPr>
              <xdr:cNvSpPr/>
            </xdr:nvSpPr>
            <xdr:spPr bwMode="auto">
              <a:xfrm>
                <a:off x="4044315" y="1335406"/>
                <a:ext cx="847725" cy="1428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外國代理費</a:t>
                </a:r>
              </a:p>
            </xdr:txBody>
          </xdr:sp>
          <xdr:sp macro="" textlink="">
            <xdr:nvSpPr>
              <xdr:cNvPr id="3227" name="Check Box 155" descr="官方費用" hidden="1">
                <a:extLst>
                  <a:ext uri="{63B3BB69-23CF-44E3-9099-C40C66FF867C}">
                    <a14:compatExt spid="_x0000_s3227"/>
                  </a:ext>
                  <a:ext uri="{FF2B5EF4-FFF2-40B4-BE49-F238E27FC236}">
                    <a16:creationId xmlns:a16="http://schemas.microsoft.com/office/drawing/2014/main" id="{00000000-0008-0000-0300-00009B0C0000}"/>
                  </a:ext>
                </a:extLst>
              </xdr:cNvPr>
              <xdr:cNvSpPr/>
            </xdr:nvSpPr>
            <xdr:spPr bwMode="auto">
              <a:xfrm>
                <a:off x="4044315" y="1554480"/>
                <a:ext cx="847725"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慧盈服務費</a:t>
                </a:r>
              </a:p>
            </xdr:txBody>
          </xdr:sp>
          <xdr:sp macro="" textlink="">
            <xdr:nvSpPr>
              <xdr:cNvPr id="3293" name="Check Box 221" descr="官方費用" hidden="1">
                <a:extLst>
                  <a:ext uri="{63B3BB69-23CF-44E3-9099-C40C66FF867C}">
                    <a14:compatExt spid="_x0000_s3293"/>
                  </a:ext>
                  <a:ext uri="{FF2B5EF4-FFF2-40B4-BE49-F238E27FC236}">
                    <a16:creationId xmlns:a16="http://schemas.microsoft.com/office/drawing/2014/main" id="{00000000-0008-0000-0300-0000DD0C0000}"/>
                  </a:ext>
                </a:extLst>
              </xdr:cNvPr>
              <xdr:cNvSpPr/>
            </xdr:nvSpPr>
            <xdr:spPr bwMode="auto">
              <a:xfrm>
                <a:off x="3063240" y="1101207"/>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申請費</a:t>
                </a:r>
              </a:p>
            </xdr:txBody>
          </xdr:sp>
          <xdr:sp macro="" textlink="">
            <xdr:nvSpPr>
              <xdr:cNvPr id="3294" name="Check Box 222" descr="官方費用" hidden="1">
                <a:extLst>
                  <a:ext uri="{63B3BB69-23CF-44E3-9099-C40C66FF867C}">
                    <a14:compatExt spid="_x0000_s3294"/>
                  </a:ext>
                  <a:ext uri="{FF2B5EF4-FFF2-40B4-BE49-F238E27FC236}">
                    <a16:creationId xmlns:a16="http://schemas.microsoft.com/office/drawing/2014/main" id="{00000000-0008-0000-0300-0000DE0C0000}"/>
                  </a:ext>
                </a:extLst>
              </xdr:cNvPr>
              <xdr:cNvSpPr/>
            </xdr:nvSpPr>
            <xdr:spPr bwMode="auto">
              <a:xfrm>
                <a:off x="3063240" y="1329690"/>
                <a:ext cx="742950" cy="1428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領證費</a:t>
                </a:r>
              </a:p>
            </xdr:txBody>
          </xdr:sp>
          <xdr:sp macro="" textlink="">
            <xdr:nvSpPr>
              <xdr:cNvPr id="3295" name="Check Box 223" descr="官方費用" hidden="1">
                <a:extLst>
                  <a:ext uri="{63B3BB69-23CF-44E3-9099-C40C66FF867C}">
                    <a14:compatExt spid="_x0000_s3295"/>
                  </a:ext>
                  <a:ext uri="{FF2B5EF4-FFF2-40B4-BE49-F238E27FC236}">
                    <a16:creationId xmlns:a16="http://schemas.microsoft.com/office/drawing/2014/main" id="{00000000-0008-0000-0300-0000DF0C0000}"/>
                  </a:ext>
                </a:extLst>
              </xdr:cNvPr>
              <xdr:cNvSpPr/>
            </xdr:nvSpPr>
            <xdr:spPr bwMode="auto">
              <a:xfrm>
                <a:off x="3063240" y="1556385"/>
                <a:ext cx="742950" cy="1428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後續年費</a:t>
                </a:r>
              </a:p>
            </xdr:txBody>
          </xdr:sp>
          <xdr:sp macro="" textlink="">
            <xdr:nvSpPr>
              <xdr:cNvPr id="3296" name="Check Box 224" descr="官方費用" hidden="1">
                <a:extLst>
                  <a:ext uri="{63B3BB69-23CF-44E3-9099-C40C66FF867C}">
                    <a14:compatExt spid="_x0000_s3296"/>
                  </a:ext>
                  <a:ext uri="{FF2B5EF4-FFF2-40B4-BE49-F238E27FC236}">
                    <a16:creationId xmlns:a16="http://schemas.microsoft.com/office/drawing/2014/main" id="{00000000-0008-0000-0300-0000E00C0000}"/>
                  </a:ext>
                </a:extLst>
              </xdr:cNvPr>
              <xdr:cNvSpPr/>
            </xdr:nvSpPr>
            <xdr:spPr bwMode="auto">
              <a:xfrm>
                <a:off x="3063240" y="1788804"/>
                <a:ext cx="742950" cy="1428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答辯費</a:t>
                </a:r>
              </a:p>
            </xdr:txBody>
          </xdr:sp>
        </xdr:grpSp>
        <xdr:clientData/>
      </xdr:twoCellAnchor>
    </mc:Choice>
    <mc:Fallback/>
  </mc:AlternateContent>
  <xdr:twoCellAnchor>
    <xdr:from>
      <xdr:col>6</xdr:col>
      <xdr:colOff>132471</xdr:colOff>
      <xdr:row>185</xdr:row>
      <xdr:rowOff>178474</xdr:rowOff>
    </xdr:from>
    <xdr:to>
      <xdr:col>12</xdr:col>
      <xdr:colOff>504264</xdr:colOff>
      <xdr:row>209</xdr:row>
      <xdr:rowOff>47628</xdr:rowOff>
    </xdr:to>
    <xdr:graphicFrame macro="">
      <xdr:nvGraphicFramePr>
        <xdr:cNvPr id="76" name="圖表 75">
          <a:extLst>
            <a:ext uri="{FF2B5EF4-FFF2-40B4-BE49-F238E27FC236}">
              <a16:creationId xmlns:a16="http://schemas.microsoft.com/office/drawing/2014/main" id="{00000000-0008-0000-03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56029</xdr:colOff>
      <xdr:row>185</xdr:row>
      <xdr:rowOff>178474</xdr:rowOff>
    </xdr:from>
    <xdr:to>
      <xdr:col>7</xdr:col>
      <xdr:colOff>525997</xdr:colOff>
      <xdr:row>209</xdr:row>
      <xdr:rowOff>47628</xdr:rowOff>
    </xdr:to>
    <xdr:graphicFrame macro="">
      <xdr:nvGraphicFramePr>
        <xdr:cNvPr id="77" name="圖表 76">
          <a:extLst>
            <a:ext uri="{FF2B5EF4-FFF2-40B4-BE49-F238E27FC236}">
              <a16:creationId xmlns:a16="http://schemas.microsoft.com/office/drawing/2014/main" id="{00000000-0008-0000-0300-00004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mc:AlternateContent xmlns:mc="http://schemas.openxmlformats.org/markup-compatibility/2006">
    <mc:Choice xmlns:a14="http://schemas.microsoft.com/office/drawing/2010/main" Requires="a14">
      <xdr:twoCellAnchor>
        <xdr:from>
          <xdr:col>2</xdr:col>
          <xdr:colOff>68996</xdr:colOff>
          <xdr:row>125</xdr:row>
          <xdr:rowOff>14288</xdr:rowOff>
        </xdr:from>
        <xdr:to>
          <xdr:col>12</xdr:col>
          <xdr:colOff>656876</xdr:colOff>
          <xdr:row>125</xdr:row>
          <xdr:rowOff>489904</xdr:rowOff>
        </xdr:to>
        <xdr:grpSp>
          <xdr:nvGrpSpPr>
            <xdr:cNvPr id="6" name="群組 5">
              <a:extLst>
                <a:ext uri="{FF2B5EF4-FFF2-40B4-BE49-F238E27FC236}">
                  <a16:creationId xmlns:a16="http://schemas.microsoft.com/office/drawing/2014/main" id="{00000000-0008-0000-0300-000006000000}"/>
                </a:ext>
              </a:extLst>
            </xdr:cNvPr>
            <xdr:cNvGrpSpPr/>
          </xdr:nvGrpSpPr>
          <xdr:grpSpPr>
            <a:xfrm>
              <a:off x="1964471" y="29056013"/>
              <a:ext cx="9903330" cy="475616"/>
              <a:chOff x="1965713" y="27495984"/>
              <a:chExt cx="9889250" cy="475616"/>
            </a:xfrm>
          </xdr:grpSpPr>
          <xdr:sp macro="" textlink="">
            <xdr:nvSpPr>
              <xdr:cNvPr id="3346" name="Option Button 274" hidden="1">
                <a:extLst>
                  <a:ext uri="{63B3BB69-23CF-44E3-9099-C40C66FF867C}">
                    <a14:compatExt spid="_x0000_s3346"/>
                  </a:ext>
                  <a:ext uri="{FF2B5EF4-FFF2-40B4-BE49-F238E27FC236}">
                    <a16:creationId xmlns:a16="http://schemas.microsoft.com/office/drawing/2014/main" id="{00000000-0008-0000-0300-0000120D0000}"/>
                  </a:ext>
                </a:extLst>
              </xdr:cNvPr>
              <xdr:cNvSpPr/>
            </xdr:nvSpPr>
            <xdr:spPr bwMode="auto">
              <a:xfrm>
                <a:off x="2855595" y="27495984"/>
                <a:ext cx="49667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1年</a:t>
                </a:r>
              </a:p>
            </xdr:txBody>
          </xdr:sp>
          <xdr:sp macro="" textlink="">
            <xdr:nvSpPr>
              <xdr:cNvPr id="3347" name="Option Button 275" hidden="1">
                <a:extLst>
                  <a:ext uri="{63B3BB69-23CF-44E3-9099-C40C66FF867C}">
                    <a14:compatExt spid="_x0000_s3347"/>
                  </a:ext>
                  <a:ext uri="{FF2B5EF4-FFF2-40B4-BE49-F238E27FC236}">
                    <a16:creationId xmlns:a16="http://schemas.microsoft.com/office/drawing/2014/main" id="{00000000-0008-0000-0300-0000130D0000}"/>
                  </a:ext>
                </a:extLst>
              </xdr:cNvPr>
              <xdr:cNvSpPr/>
            </xdr:nvSpPr>
            <xdr:spPr bwMode="auto">
              <a:xfrm>
                <a:off x="3471278" y="27495984"/>
                <a:ext cx="49551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2年</a:t>
                </a:r>
              </a:p>
            </xdr:txBody>
          </xdr:sp>
          <xdr:sp macro="" textlink="">
            <xdr:nvSpPr>
              <xdr:cNvPr id="3348" name="Option Button 276" hidden="1">
                <a:extLst>
                  <a:ext uri="{63B3BB69-23CF-44E3-9099-C40C66FF867C}">
                    <a14:compatExt spid="_x0000_s3348"/>
                  </a:ext>
                  <a:ext uri="{FF2B5EF4-FFF2-40B4-BE49-F238E27FC236}">
                    <a16:creationId xmlns:a16="http://schemas.microsoft.com/office/drawing/2014/main" id="{00000000-0008-0000-0300-0000140D0000}"/>
                  </a:ext>
                </a:extLst>
              </xdr:cNvPr>
              <xdr:cNvSpPr/>
            </xdr:nvSpPr>
            <xdr:spPr bwMode="auto">
              <a:xfrm>
                <a:off x="4083247" y="27495984"/>
                <a:ext cx="49307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3年</a:t>
                </a:r>
              </a:p>
            </xdr:txBody>
          </xdr:sp>
          <xdr:sp macro="" textlink="">
            <xdr:nvSpPr>
              <xdr:cNvPr id="3351" name="Option Button 279" hidden="1">
                <a:extLst>
                  <a:ext uri="{63B3BB69-23CF-44E3-9099-C40C66FF867C}">
                    <a14:compatExt spid="_x0000_s3351"/>
                  </a:ext>
                  <a:ext uri="{FF2B5EF4-FFF2-40B4-BE49-F238E27FC236}">
                    <a16:creationId xmlns:a16="http://schemas.microsoft.com/office/drawing/2014/main" id="{00000000-0008-0000-0300-0000170D0000}"/>
                  </a:ext>
                </a:extLst>
              </xdr:cNvPr>
              <xdr:cNvSpPr/>
            </xdr:nvSpPr>
            <xdr:spPr bwMode="auto">
              <a:xfrm>
                <a:off x="4672116" y="27495984"/>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4年</a:t>
                </a:r>
              </a:p>
            </xdr:txBody>
          </xdr:sp>
          <xdr:sp macro="" textlink="">
            <xdr:nvSpPr>
              <xdr:cNvPr id="3352" name="Option Button 280" hidden="1">
                <a:extLst>
                  <a:ext uri="{63B3BB69-23CF-44E3-9099-C40C66FF867C}">
                    <a14:compatExt spid="_x0000_s3352"/>
                  </a:ext>
                  <a:ext uri="{FF2B5EF4-FFF2-40B4-BE49-F238E27FC236}">
                    <a16:creationId xmlns:a16="http://schemas.microsoft.com/office/drawing/2014/main" id="{00000000-0008-0000-0300-0000180D0000}"/>
                  </a:ext>
                </a:extLst>
              </xdr:cNvPr>
              <xdr:cNvSpPr/>
            </xdr:nvSpPr>
            <xdr:spPr bwMode="auto">
              <a:xfrm>
                <a:off x="5283709" y="27495984"/>
                <a:ext cx="49674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5年</a:t>
                </a:r>
              </a:p>
            </xdr:txBody>
          </xdr:sp>
          <xdr:sp macro="" textlink="">
            <xdr:nvSpPr>
              <xdr:cNvPr id="3372" name="Option Button 300" hidden="1">
                <a:extLst>
                  <a:ext uri="{63B3BB69-23CF-44E3-9099-C40C66FF867C}">
                    <a14:compatExt spid="_x0000_s3372"/>
                  </a:ext>
                  <a:ext uri="{FF2B5EF4-FFF2-40B4-BE49-F238E27FC236}">
                    <a16:creationId xmlns:a16="http://schemas.microsoft.com/office/drawing/2014/main" id="{00000000-0008-0000-0300-00002C0D0000}"/>
                  </a:ext>
                </a:extLst>
              </xdr:cNvPr>
              <xdr:cNvSpPr/>
            </xdr:nvSpPr>
            <xdr:spPr bwMode="auto">
              <a:xfrm>
                <a:off x="5907795" y="27495984"/>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6年</a:t>
                </a:r>
              </a:p>
            </xdr:txBody>
          </xdr:sp>
          <xdr:sp macro="" textlink="">
            <xdr:nvSpPr>
              <xdr:cNvPr id="3373" name="Option Button 301" hidden="1">
                <a:extLst>
                  <a:ext uri="{63B3BB69-23CF-44E3-9099-C40C66FF867C}">
                    <a14:compatExt spid="_x0000_s3373"/>
                  </a:ext>
                  <a:ext uri="{FF2B5EF4-FFF2-40B4-BE49-F238E27FC236}">
                    <a16:creationId xmlns:a16="http://schemas.microsoft.com/office/drawing/2014/main" id="{00000000-0008-0000-0300-00002D0D0000}"/>
                  </a:ext>
                </a:extLst>
              </xdr:cNvPr>
              <xdr:cNvSpPr/>
            </xdr:nvSpPr>
            <xdr:spPr bwMode="auto">
              <a:xfrm>
                <a:off x="6505067" y="27495984"/>
                <a:ext cx="49562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7年</a:t>
                </a:r>
              </a:p>
            </xdr:txBody>
          </xdr:sp>
          <xdr:sp macro="" textlink="">
            <xdr:nvSpPr>
              <xdr:cNvPr id="3374" name="Option Button 302" hidden="1">
                <a:extLst>
                  <a:ext uri="{63B3BB69-23CF-44E3-9099-C40C66FF867C}">
                    <a14:compatExt spid="_x0000_s3374"/>
                  </a:ext>
                  <a:ext uri="{FF2B5EF4-FFF2-40B4-BE49-F238E27FC236}">
                    <a16:creationId xmlns:a16="http://schemas.microsoft.com/office/drawing/2014/main" id="{00000000-0008-0000-0300-00002E0D0000}"/>
                  </a:ext>
                </a:extLst>
              </xdr:cNvPr>
              <xdr:cNvSpPr/>
            </xdr:nvSpPr>
            <xdr:spPr bwMode="auto">
              <a:xfrm>
                <a:off x="7117151" y="27495984"/>
                <a:ext cx="49580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8年</a:t>
                </a:r>
              </a:p>
            </xdr:txBody>
          </xdr:sp>
          <xdr:sp macro="" textlink="">
            <xdr:nvSpPr>
              <xdr:cNvPr id="3375" name="Option Button 303" hidden="1">
                <a:extLst>
                  <a:ext uri="{63B3BB69-23CF-44E3-9099-C40C66FF867C}">
                    <a14:compatExt spid="_x0000_s3375"/>
                  </a:ext>
                  <a:ext uri="{FF2B5EF4-FFF2-40B4-BE49-F238E27FC236}">
                    <a16:creationId xmlns:a16="http://schemas.microsoft.com/office/drawing/2014/main" id="{00000000-0008-0000-0300-00002F0D0000}"/>
                  </a:ext>
                </a:extLst>
              </xdr:cNvPr>
              <xdr:cNvSpPr/>
            </xdr:nvSpPr>
            <xdr:spPr bwMode="auto">
              <a:xfrm>
                <a:off x="7719659" y="27495984"/>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9年</a:t>
                </a:r>
              </a:p>
            </xdr:txBody>
          </xdr:sp>
          <xdr:sp macro="" textlink="">
            <xdr:nvSpPr>
              <xdr:cNvPr id="3376" name="Option Button 304" hidden="1">
                <a:extLst>
                  <a:ext uri="{63B3BB69-23CF-44E3-9099-C40C66FF867C}">
                    <a14:compatExt spid="_x0000_s3376"/>
                  </a:ext>
                  <a:ext uri="{FF2B5EF4-FFF2-40B4-BE49-F238E27FC236}">
                    <a16:creationId xmlns:a16="http://schemas.microsoft.com/office/drawing/2014/main" id="{00000000-0008-0000-0300-0000300D0000}"/>
                  </a:ext>
                </a:extLst>
              </xdr:cNvPr>
              <xdr:cNvSpPr/>
            </xdr:nvSpPr>
            <xdr:spPr bwMode="auto">
              <a:xfrm>
                <a:off x="8335116" y="27495984"/>
                <a:ext cx="494476"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10年</a:t>
                </a:r>
              </a:p>
            </xdr:txBody>
          </xdr:sp>
          <xdr:sp macro="" textlink="">
            <xdr:nvSpPr>
              <xdr:cNvPr id="3377" name="Option Button 305" hidden="1">
                <a:extLst>
                  <a:ext uri="{63B3BB69-23CF-44E3-9099-C40C66FF867C}">
                    <a14:compatExt spid="_x0000_s3377"/>
                  </a:ext>
                  <a:ext uri="{FF2B5EF4-FFF2-40B4-BE49-F238E27FC236}">
                    <a16:creationId xmlns:a16="http://schemas.microsoft.com/office/drawing/2014/main" id="{00000000-0008-0000-0300-0000310D0000}"/>
                  </a:ext>
                </a:extLst>
              </xdr:cNvPr>
              <xdr:cNvSpPr/>
            </xdr:nvSpPr>
            <xdr:spPr bwMode="auto">
              <a:xfrm>
                <a:off x="8949656" y="27495984"/>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11年</a:t>
                </a:r>
              </a:p>
            </xdr:txBody>
          </xdr:sp>
          <xdr:sp macro="" textlink="">
            <xdr:nvSpPr>
              <xdr:cNvPr id="3378" name="Option Button 306" hidden="1">
                <a:extLst>
                  <a:ext uri="{63B3BB69-23CF-44E3-9099-C40C66FF867C}">
                    <a14:compatExt spid="_x0000_s3378"/>
                  </a:ext>
                  <a:ext uri="{FF2B5EF4-FFF2-40B4-BE49-F238E27FC236}">
                    <a16:creationId xmlns:a16="http://schemas.microsoft.com/office/drawing/2014/main" id="{00000000-0008-0000-0300-0000320D0000}"/>
                  </a:ext>
                </a:extLst>
              </xdr:cNvPr>
              <xdr:cNvSpPr/>
            </xdr:nvSpPr>
            <xdr:spPr bwMode="auto">
              <a:xfrm>
                <a:off x="9554200" y="27495984"/>
                <a:ext cx="49438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12年</a:t>
                </a:r>
              </a:p>
            </xdr:txBody>
          </xdr:sp>
          <xdr:sp macro="" textlink="">
            <xdr:nvSpPr>
              <xdr:cNvPr id="3379" name="Option Button 307" hidden="1">
                <a:extLst>
                  <a:ext uri="{63B3BB69-23CF-44E3-9099-C40C66FF867C}">
                    <a14:compatExt spid="_x0000_s3379"/>
                  </a:ext>
                  <a:ext uri="{FF2B5EF4-FFF2-40B4-BE49-F238E27FC236}">
                    <a16:creationId xmlns:a16="http://schemas.microsoft.com/office/drawing/2014/main" id="{00000000-0008-0000-0300-0000330D0000}"/>
                  </a:ext>
                </a:extLst>
              </xdr:cNvPr>
              <xdr:cNvSpPr/>
            </xdr:nvSpPr>
            <xdr:spPr bwMode="auto">
              <a:xfrm>
                <a:off x="10154123" y="27495984"/>
                <a:ext cx="496034"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13年</a:t>
                </a:r>
              </a:p>
            </xdr:txBody>
          </xdr:sp>
          <xdr:sp macro="" textlink="">
            <xdr:nvSpPr>
              <xdr:cNvPr id="3380" name="Option Button 308" hidden="1">
                <a:extLst>
                  <a:ext uri="{63B3BB69-23CF-44E3-9099-C40C66FF867C}">
                    <a14:compatExt spid="_x0000_s3380"/>
                  </a:ext>
                  <a:ext uri="{FF2B5EF4-FFF2-40B4-BE49-F238E27FC236}">
                    <a16:creationId xmlns:a16="http://schemas.microsoft.com/office/drawing/2014/main" id="{00000000-0008-0000-0300-0000340D0000}"/>
                  </a:ext>
                </a:extLst>
              </xdr:cNvPr>
              <xdr:cNvSpPr/>
            </xdr:nvSpPr>
            <xdr:spPr bwMode="auto">
              <a:xfrm>
                <a:off x="10756861" y="27495984"/>
                <a:ext cx="493495"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14年</a:t>
                </a:r>
              </a:p>
            </xdr:txBody>
          </xdr:sp>
          <xdr:sp macro="" textlink="">
            <xdr:nvSpPr>
              <xdr:cNvPr id="3381" name="Option Button 309" hidden="1">
                <a:extLst>
                  <a:ext uri="{63B3BB69-23CF-44E3-9099-C40C66FF867C}">
                    <a14:compatExt spid="_x0000_s3381"/>
                  </a:ext>
                  <a:ext uri="{FF2B5EF4-FFF2-40B4-BE49-F238E27FC236}">
                    <a16:creationId xmlns:a16="http://schemas.microsoft.com/office/drawing/2014/main" id="{00000000-0008-0000-0300-0000350D0000}"/>
                  </a:ext>
                </a:extLst>
              </xdr:cNvPr>
              <xdr:cNvSpPr/>
            </xdr:nvSpPr>
            <xdr:spPr bwMode="auto">
              <a:xfrm>
                <a:off x="11358441" y="27495984"/>
                <a:ext cx="496522"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15年</a:t>
                </a:r>
              </a:p>
            </xdr:txBody>
          </xdr:sp>
          <xdr:sp macro="" textlink="">
            <xdr:nvSpPr>
              <xdr:cNvPr id="3382" name="Option Button 310" hidden="1">
                <a:extLst>
                  <a:ext uri="{63B3BB69-23CF-44E3-9099-C40C66FF867C}">
                    <a14:compatExt spid="_x0000_s3382"/>
                  </a:ext>
                  <a:ext uri="{FF2B5EF4-FFF2-40B4-BE49-F238E27FC236}">
                    <a16:creationId xmlns:a16="http://schemas.microsoft.com/office/drawing/2014/main" id="{00000000-0008-0000-0300-0000360D0000}"/>
                  </a:ext>
                </a:extLst>
              </xdr:cNvPr>
              <xdr:cNvSpPr/>
            </xdr:nvSpPr>
            <xdr:spPr bwMode="auto">
              <a:xfrm>
                <a:off x="2855595" y="27742320"/>
                <a:ext cx="49667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16年</a:t>
                </a:r>
              </a:p>
            </xdr:txBody>
          </xdr:sp>
          <xdr:sp macro="" textlink="">
            <xdr:nvSpPr>
              <xdr:cNvPr id="3383" name="Option Button 311" hidden="1">
                <a:extLst>
                  <a:ext uri="{63B3BB69-23CF-44E3-9099-C40C66FF867C}">
                    <a14:compatExt spid="_x0000_s3383"/>
                  </a:ext>
                  <a:ext uri="{FF2B5EF4-FFF2-40B4-BE49-F238E27FC236}">
                    <a16:creationId xmlns:a16="http://schemas.microsoft.com/office/drawing/2014/main" id="{00000000-0008-0000-0300-0000370D0000}"/>
                  </a:ext>
                </a:extLst>
              </xdr:cNvPr>
              <xdr:cNvSpPr/>
            </xdr:nvSpPr>
            <xdr:spPr bwMode="auto">
              <a:xfrm>
                <a:off x="3471278" y="27742320"/>
                <a:ext cx="49551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17年</a:t>
                </a:r>
              </a:p>
            </xdr:txBody>
          </xdr:sp>
          <xdr:sp macro="" textlink="">
            <xdr:nvSpPr>
              <xdr:cNvPr id="3384" name="Option Button 312" hidden="1">
                <a:extLst>
                  <a:ext uri="{63B3BB69-23CF-44E3-9099-C40C66FF867C}">
                    <a14:compatExt spid="_x0000_s3384"/>
                  </a:ext>
                  <a:ext uri="{FF2B5EF4-FFF2-40B4-BE49-F238E27FC236}">
                    <a16:creationId xmlns:a16="http://schemas.microsoft.com/office/drawing/2014/main" id="{00000000-0008-0000-0300-0000380D0000}"/>
                  </a:ext>
                </a:extLst>
              </xdr:cNvPr>
              <xdr:cNvSpPr/>
            </xdr:nvSpPr>
            <xdr:spPr bwMode="auto">
              <a:xfrm>
                <a:off x="4072336" y="27742320"/>
                <a:ext cx="49307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18年</a:t>
                </a:r>
              </a:p>
            </xdr:txBody>
          </xdr:sp>
          <xdr:sp macro="" textlink="">
            <xdr:nvSpPr>
              <xdr:cNvPr id="3385" name="Option Button 313" hidden="1">
                <a:extLst>
                  <a:ext uri="{63B3BB69-23CF-44E3-9099-C40C66FF867C}">
                    <a14:compatExt spid="_x0000_s3385"/>
                  </a:ext>
                  <a:ext uri="{FF2B5EF4-FFF2-40B4-BE49-F238E27FC236}">
                    <a16:creationId xmlns:a16="http://schemas.microsoft.com/office/drawing/2014/main" id="{00000000-0008-0000-0300-0000390D0000}"/>
                  </a:ext>
                </a:extLst>
              </xdr:cNvPr>
              <xdr:cNvSpPr/>
            </xdr:nvSpPr>
            <xdr:spPr bwMode="auto">
              <a:xfrm>
                <a:off x="4672116" y="27742320"/>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19年</a:t>
                </a:r>
              </a:p>
            </xdr:txBody>
          </xdr:sp>
          <xdr:sp macro="" textlink="">
            <xdr:nvSpPr>
              <xdr:cNvPr id="3386" name="Option Button 314" hidden="1">
                <a:extLst>
                  <a:ext uri="{63B3BB69-23CF-44E3-9099-C40C66FF867C}">
                    <a14:compatExt spid="_x0000_s3386"/>
                  </a:ext>
                  <a:ext uri="{FF2B5EF4-FFF2-40B4-BE49-F238E27FC236}">
                    <a16:creationId xmlns:a16="http://schemas.microsoft.com/office/drawing/2014/main" id="{00000000-0008-0000-0300-00003A0D0000}"/>
                  </a:ext>
                </a:extLst>
              </xdr:cNvPr>
              <xdr:cNvSpPr/>
            </xdr:nvSpPr>
            <xdr:spPr bwMode="auto">
              <a:xfrm>
                <a:off x="5283709" y="27742320"/>
                <a:ext cx="49674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20年</a:t>
                </a:r>
              </a:p>
            </xdr:txBody>
          </xdr:sp>
          <xdr:sp macro="" textlink="">
            <xdr:nvSpPr>
              <xdr:cNvPr id="3387" name="Option Button 315" hidden="1">
                <a:extLst>
                  <a:ext uri="{63B3BB69-23CF-44E3-9099-C40C66FF867C}">
                    <a14:compatExt spid="_x0000_s3387"/>
                  </a:ext>
                  <a:ext uri="{FF2B5EF4-FFF2-40B4-BE49-F238E27FC236}">
                    <a16:creationId xmlns:a16="http://schemas.microsoft.com/office/drawing/2014/main" id="{00000000-0008-0000-0300-00003B0D0000}"/>
                  </a:ext>
                </a:extLst>
              </xdr:cNvPr>
              <xdr:cNvSpPr/>
            </xdr:nvSpPr>
            <xdr:spPr bwMode="auto">
              <a:xfrm>
                <a:off x="5907795" y="27742320"/>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21年</a:t>
                </a:r>
              </a:p>
            </xdr:txBody>
          </xdr:sp>
          <xdr:sp macro="" textlink="">
            <xdr:nvSpPr>
              <xdr:cNvPr id="3388" name="Option Button 316" hidden="1">
                <a:extLst>
                  <a:ext uri="{63B3BB69-23CF-44E3-9099-C40C66FF867C}">
                    <a14:compatExt spid="_x0000_s3388"/>
                  </a:ext>
                  <a:ext uri="{FF2B5EF4-FFF2-40B4-BE49-F238E27FC236}">
                    <a16:creationId xmlns:a16="http://schemas.microsoft.com/office/drawing/2014/main" id="{00000000-0008-0000-0300-00003C0D0000}"/>
                  </a:ext>
                </a:extLst>
              </xdr:cNvPr>
              <xdr:cNvSpPr/>
            </xdr:nvSpPr>
            <xdr:spPr bwMode="auto">
              <a:xfrm>
                <a:off x="6505067" y="27742320"/>
                <a:ext cx="49562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22年</a:t>
                </a:r>
              </a:p>
            </xdr:txBody>
          </xdr:sp>
          <xdr:sp macro="" textlink="">
            <xdr:nvSpPr>
              <xdr:cNvPr id="3389" name="Option Button 317" hidden="1">
                <a:extLst>
                  <a:ext uri="{63B3BB69-23CF-44E3-9099-C40C66FF867C}">
                    <a14:compatExt spid="_x0000_s3389"/>
                  </a:ext>
                  <a:ext uri="{FF2B5EF4-FFF2-40B4-BE49-F238E27FC236}">
                    <a16:creationId xmlns:a16="http://schemas.microsoft.com/office/drawing/2014/main" id="{00000000-0008-0000-0300-00003D0D0000}"/>
                  </a:ext>
                </a:extLst>
              </xdr:cNvPr>
              <xdr:cNvSpPr/>
            </xdr:nvSpPr>
            <xdr:spPr bwMode="auto">
              <a:xfrm>
                <a:off x="7117151" y="27742320"/>
                <a:ext cx="495807"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23年</a:t>
                </a:r>
              </a:p>
            </xdr:txBody>
          </xdr:sp>
          <xdr:sp macro="" textlink="">
            <xdr:nvSpPr>
              <xdr:cNvPr id="3390" name="Option Button 318" hidden="1">
                <a:extLst>
                  <a:ext uri="{63B3BB69-23CF-44E3-9099-C40C66FF867C}">
                    <a14:compatExt spid="_x0000_s3390"/>
                  </a:ext>
                  <a:ext uri="{FF2B5EF4-FFF2-40B4-BE49-F238E27FC236}">
                    <a16:creationId xmlns:a16="http://schemas.microsoft.com/office/drawing/2014/main" id="{00000000-0008-0000-0300-00003E0D0000}"/>
                  </a:ext>
                </a:extLst>
              </xdr:cNvPr>
              <xdr:cNvSpPr/>
            </xdr:nvSpPr>
            <xdr:spPr bwMode="auto">
              <a:xfrm>
                <a:off x="7719659" y="27742320"/>
                <a:ext cx="496450"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24年</a:t>
                </a:r>
              </a:p>
            </xdr:txBody>
          </xdr:sp>
          <xdr:sp macro="" textlink="">
            <xdr:nvSpPr>
              <xdr:cNvPr id="3391" name="Option Button 319" hidden="1">
                <a:extLst>
                  <a:ext uri="{63B3BB69-23CF-44E3-9099-C40C66FF867C}">
                    <a14:compatExt spid="_x0000_s3391"/>
                  </a:ext>
                  <a:ext uri="{FF2B5EF4-FFF2-40B4-BE49-F238E27FC236}">
                    <a16:creationId xmlns:a16="http://schemas.microsoft.com/office/drawing/2014/main" id="{00000000-0008-0000-0300-00003F0D0000}"/>
                  </a:ext>
                </a:extLst>
              </xdr:cNvPr>
              <xdr:cNvSpPr/>
            </xdr:nvSpPr>
            <xdr:spPr bwMode="auto">
              <a:xfrm>
                <a:off x="8335116" y="27742320"/>
                <a:ext cx="494476"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25年</a:t>
                </a:r>
              </a:p>
            </xdr:txBody>
          </xdr:sp>
          <xdr:sp macro="" textlink="">
            <xdr:nvSpPr>
              <xdr:cNvPr id="3397" name="Option Button 325" hidden="1">
                <a:extLst>
                  <a:ext uri="{63B3BB69-23CF-44E3-9099-C40C66FF867C}">
                    <a14:compatExt spid="_x0000_s3397"/>
                  </a:ext>
                  <a:ext uri="{FF2B5EF4-FFF2-40B4-BE49-F238E27FC236}">
                    <a16:creationId xmlns:a16="http://schemas.microsoft.com/office/drawing/2014/main" id="{00000000-0008-0000-0300-0000450D0000}"/>
                  </a:ext>
                </a:extLst>
              </xdr:cNvPr>
              <xdr:cNvSpPr/>
            </xdr:nvSpPr>
            <xdr:spPr bwMode="auto">
              <a:xfrm>
                <a:off x="1965713" y="27495984"/>
                <a:ext cx="853499" cy="2292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最大年限</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200025</xdr:rowOff>
        </xdr:from>
        <xdr:to>
          <xdr:col>2</xdr:col>
          <xdr:colOff>0</xdr:colOff>
          <xdr:row>11</xdr:row>
          <xdr:rowOff>0</xdr:rowOff>
        </xdr:to>
        <xdr:sp macro="" textlink="">
          <xdr:nvSpPr>
            <xdr:cNvPr id="3482" name="Group Box 410" hidden="1">
              <a:extLst>
                <a:ext uri="{63B3BB69-23CF-44E3-9099-C40C66FF867C}">
                  <a14:compatExt spid="_x0000_s3482"/>
                </a:ext>
                <a:ext uri="{FF2B5EF4-FFF2-40B4-BE49-F238E27FC236}">
                  <a16:creationId xmlns:a16="http://schemas.microsoft.com/office/drawing/2014/main" id="{00000000-0008-0000-0300-00009A0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94884</xdr:colOff>
          <xdr:row>6</xdr:row>
          <xdr:rowOff>38528</xdr:rowOff>
        </xdr:from>
        <xdr:to>
          <xdr:col>1</xdr:col>
          <xdr:colOff>819150</xdr:colOff>
          <xdr:row>7</xdr:row>
          <xdr:rowOff>199621</xdr:rowOff>
        </xdr:to>
        <xdr:grpSp>
          <xdr:nvGrpSpPr>
            <xdr:cNvPr id="7" name="群組 6">
              <a:extLst>
                <a:ext uri="{FF2B5EF4-FFF2-40B4-BE49-F238E27FC236}">
                  <a16:creationId xmlns:a16="http://schemas.microsoft.com/office/drawing/2014/main" id="{00000000-0008-0000-0300-000007000000}"/>
                </a:ext>
              </a:extLst>
            </xdr:cNvPr>
            <xdr:cNvGrpSpPr/>
          </xdr:nvGrpSpPr>
          <xdr:grpSpPr>
            <a:xfrm>
              <a:off x="1095009" y="1324403"/>
              <a:ext cx="724266" cy="389693"/>
              <a:chOff x="1056542" y="1322477"/>
              <a:chExt cx="763466" cy="389066"/>
            </a:xfrm>
          </xdr:grpSpPr>
          <xdr:sp macro="" textlink="">
            <xdr:nvSpPr>
              <xdr:cNvPr id="3485" name="Option Button 413" hidden="1">
                <a:extLst>
                  <a:ext uri="{63B3BB69-23CF-44E3-9099-C40C66FF867C}">
                    <a14:compatExt spid="_x0000_s3485"/>
                  </a:ext>
                  <a:ext uri="{FF2B5EF4-FFF2-40B4-BE49-F238E27FC236}">
                    <a16:creationId xmlns:a16="http://schemas.microsoft.com/office/drawing/2014/main" id="{00000000-0008-0000-0300-00009D0D0000}"/>
                  </a:ext>
                </a:extLst>
              </xdr:cNvPr>
              <xdr:cNvSpPr/>
            </xdr:nvSpPr>
            <xdr:spPr bwMode="auto">
              <a:xfrm>
                <a:off x="1056542" y="1322477"/>
                <a:ext cx="763466"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圖像設計</a:t>
                </a:r>
              </a:p>
            </xdr:txBody>
          </xdr:sp>
          <xdr:sp macro="" textlink="">
            <xdr:nvSpPr>
              <xdr:cNvPr id="3486" name="Option Button 414" hidden="1">
                <a:extLst>
                  <a:ext uri="{63B3BB69-23CF-44E3-9099-C40C66FF867C}">
                    <a14:compatExt spid="_x0000_s3486"/>
                  </a:ext>
                  <a:ext uri="{FF2B5EF4-FFF2-40B4-BE49-F238E27FC236}">
                    <a16:creationId xmlns:a16="http://schemas.microsoft.com/office/drawing/2014/main" id="{00000000-0008-0000-0300-00009E0D0000}"/>
                  </a:ext>
                </a:extLst>
              </xdr:cNvPr>
              <xdr:cNvSpPr/>
            </xdr:nvSpPr>
            <xdr:spPr bwMode="auto">
              <a:xfrm>
                <a:off x="1056542" y="1530568"/>
                <a:ext cx="763466"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物品設計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15</xdr:row>
          <xdr:rowOff>47625</xdr:rowOff>
        </xdr:from>
        <xdr:to>
          <xdr:col>2</xdr:col>
          <xdr:colOff>695325</xdr:colOff>
          <xdr:row>30</xdr:row>
          <xdr:rowOff>190500</xdr:rowOff>
        </xdr:to>
        <xdr:grpSp>
          <xdr:nvGrpSpPr>
            <xdr:cNvPr id="3" name="群組 2">
              <a:extLst>
                <a:ext uri="{FF2B5EF4-FFF2-40B4-BE49-F238E27FC236}">
                  <a16:creationId xmlns:a16="http://schemas.microsoft.com/office/drawing/2014/main" id="{13CAFACA-FF1A-20A6-36EA-0F61FC9F9E38}"/>
                </a:ext>
              </a:extLst>
            </xdr:cNvPr>
            <xdr:cNvGrpSpPr/>
          </xdr:nvGrpSpPr>
          <xdr:grpSpPr>
            <a:xfrm>
              <a:off x="2066925" y="3581400"/>
              <a:ext cx="523875" cy="3571875"/>
              <a:chOff x="2065244" y="3532658"/>
              <a:chExt cx="523875" cy="3504636"/>
            </a:xfrm>
          </xdr:grpSpPr>
          <xdr:sp macro="" textlink="">
            <xdr:nvSpPr>
              <xdr:cNvPr id="3518" name="Check Box 446" hidden="1">
                <a:extLst>
                  <a:ext uri="{63B3BB69-23CF-44E3-9099-C40C66FF867C}">
                    <a14:compatExt spid="_x0000_s3518"/>
                  </a:ext>
                  <a:ext uri="{FF2B5EF4-FFF2-40B4-BE49-F238E27FC236}">
                    <a16:creationId xmlns:a16="http://schemas.microsoft.com/office/drawing/2014/main" id="{00000000-0008-0000-0300-0000BE0D0000}"/>
                  </a:ext>
                </a:extLst>
              </xdr:cNvPr>
              <xdr:cNvSpPr/>
            </xdr:nvSpPr>
            <xdr:spPr bwMode="auto">
              <a:xfrm>
                <a:off x="2065244" y="353265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9" name="Check Box 447" hidden="1">
                <a:extLst>
                  <a:ext uri="{63B3BB69-23CF-44E3-9099-C40C66FF867C}">
                    <a14:compatExt spid="_x0000_s3519"/>
                  </a:ext>
                  <a:ext uri="{FF2B5EF4-FFF2-40B4-BE49-F238E27FC236}">
                    <a16:creationId xmlns:a16="http://schemas.microsoft.com/office/drawing/2014/main" id="{00000000-0008-0000-0300-0000BF0D0000}"/>
                  </a:ext>
                </a:extLst>
              </xdr:cNvPr>
              <xdr:cNvSpPr/>
            </xdr:nvSpPr>
            <xdr:spPr bwMode="auto">
              <a:xfrm>
                <a:off x="2065244" y="375677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0" name="Check Box 448" hidden="1">
                <a:extLst>
                  <a:ext uri="{63B3BB69-23CF-44E3-9099-C40C66FF867C}">
                    <a14:compatExt spid="_x0000_s3520"/>
                  </a:ext>
                  <a:ext uri="{FF2B5EF4-FFF2-40B4-BE49-F238E27FC236}">
                    <a16:creationId xmlns:a16="http://schemas.microsoft.com/office/drawing/2014/main" id="{00000000-0008-0000-0300-0000C00D0000}"/>
                  </a:ext>
                </a:extLst>
              </xdr:cNvPr>
              <xdr:cNvSpPr/>
            </xdr:nvSpPr>
            <xdr:spPr bwMode="auto">
              <a:xfrm>
                <a:off x="2065244" y="398089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1" name="Check Box 449" hidden="1">
                <a:extLst>
                  <a:ext uri="{63B3BB69-23CF-44E3-9099-C40C66FF867C}">
                    <a14:compatExt spid="_x0000_s3521"/>
                  </a:ext>
                  <a:ext uri="{FF2B5EF4-FFF2-40B4-BE49-F238E27FC236}">
                    <a16:creationId xmlns:a16="http://schemas.microsoft.com/office/drawing/2014/main" id="{00000000-0008-0000-0300-0000C10D0000}"/>
                  </a:ext>
                </a:extLst>
              </xdr:cNvPr>
              <xdr:cNvSpPr/>
            </xdr:nvSpPr>
            <xdr:spPr bwMode="auto">
              <a:xfrm>
                <a:off x="2065244" y="420500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2" name="Check Box 450" hidden="1">
                <a:extLst>
                  <a:ext uri="{63B3BB69-23CF-44E3-9099-C40C66FF867C}">
                    <a14:compatExt spid="_x0000_s3522"/>
                  </a:ext>
                  <a:ext uri="{FF2B5EF4-FFF2-40B4-BE49-F238E27FC236}">
                    <a16:creationId xmlns:a16="http://schemas.microsoft.com/office/drawing/2014/main" id="{00000000-0008-0000-0300-0000C20D0000}"/>
                  </a:ext>
                </a:extLst>
              </xdr:cNvPr>
              <xdr:cNvSpPr/>
            </xdr:nvSpPr>
            <xdr:spPr bwMode="auto">
              <a:xfrm>
                <a:off x="2065244" y="465324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3" name="Check Box 451" hidden="1">
                <a:extLst>
                  <a:ext uri="{63B3BB69-23CF-44E3-9099-C40C66FF867C}">
                    <a14:compatExt spid="_x0000_s3523"/>
                  </a:ext>
                  <a:ext uri="{FF2B5EF4-FFF2-40B4-BE49-F238E27FC236}">
                    <a16:creationId xmlns:a16="http://schemas.microsoft.com/office/drawing/2014/main" id="{00000000-0008-0000-0300-0000C30D0000}"/>
                  </a:ext>
                </a:extLst>
              </xdr:cNvPr>
              <xdr:cNvSpPr/>
            </xdr:nvSpPr>
            <xdr:spPr bwMode="auto">
              <a:xfrm>
                <a:off x="2065244" y="487736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4" name="Check Box 452" hidden="1">
                <a:extLst>
                  <a:ext uri="{63B3BB69-23CF-44E3-9099-C40C66FF867C}">
                    <a14:compatExt spid="_x0000_s3524"/>
                  </a:ext>
                  <a:ext uri="{FF2B5EF4-FFF2-40B4-BE49-F238E27FC236}">
                    <a16:creationId xmlns:a16="http://schemas.microsoft.com/office/drawing/2014/main" id="{00000000-0008-0000-0300-0000C40D0000}"/>
                  </a:ext>
                </a:extLst>
              </xdr:cNvPr>
              <xdr:cNvSpPr/>
            </xdr:nvSpPr>
            <xdr:spPr bwMode="auto">
              <a:xfrm>
                <a:off x="2065244" y="554971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5" name="Check Box 453" hidden="1">
                <a:extLst>
                  <a:ext uri="{63B3BB69-23CF-44E3-9099-C40C66FF867C}">
                    <a14:compatExt spid="_x0000_s3525"/>
                  </a:ext>
                  <a:ext uri="{FF2B5EF4-FFF2-40B4-BE49-F238E27FC236}">
                    <a16:creationId xmlns:a16="http://schemas.microsoft.com/office/drawing/2014/main" id="{00000000-0008-0000-0300-0000C50D0000}"/>
                  </a:ext>
                </a:extLst>
              </xdr:cNvPr>
              <xdr:cNvSpPr/>
            </xdr:nvSpPr>
            <xdr:spPr bwMode="auto">
              <a:xfrm>
                <a:off x="2065244" y="644618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6" name="Check Box 454" hidden="1">
                <a:extLst>
                  <a:ext uri="{63B3BB69-23CF-44E3-9099-C40C66FF867C}">
                    <a14:compatExt spid="_x0000_s3526"/>
                  </a:ext>
                  <a:ext uri="{FF2B5EF4-FFF2-40B4-BE49-F238E27FC236}">
                    <a16:creationId xmlns:a16="http://schemas.microsoft.com/office/drawing/2014/main" id="{00000000-0008-0000-0300-0000C60D0000}"/>
                  </a:ext>
                </a:extLst>
              </xdr:cNvPr>
              <xdr:cNvSpPr/>
            </xdr:nvSpPr>
            <xdr:spPr bwMode="auto">
              <a:xfrm>
                <a:off x="2065244" y="532559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7" name="Check Box 455" hidden="1">
                <a:extLst>
                  <a:ext uri="{63B3BB69-23CF-44E3-9099-C40C66FF867C}">
                    <a14:compatExt spid="_x0000_s3527"/>
                  </a:ext>
                  <a:ext uri="{FF2B5EF4-FFF2-40B4-BE49-F238E27FC236}">
                    <a16:creationId xmlns:a16="http://schemas.microsoft.com/office/drawing/2014/main" id="{00000000-0008-0000-0300-0000C70D0000}"/>
                  </a:ext>
                </a:extLst>
              </xdr:cNvPr>
              <xdr:cNvSpPr/>
            </xdr:nvSpPr>
            <xdr:spPr bwMode="auto">
              <a:xfrm>
                <a:off x="2065244" y="577383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8" name="Check Box 456" hidden="1">
                <a:extLst>
                  <a:ext uri="{63B3BB69-23CF-44E3-9099-C40C66FF867C}">
                    <a14:compatExt spid="_x0000_s3528"/>
                  </a:ext>
                  <a:ext uri="{FF2B5EF4-FFF2-40B4-BE49-F238E27FC236}">
                    <a16:creationId xmlns:a16="http://schemas.microsoft.com/office/drawing/2014/main" id="{00000000-0008-0000-0300-0000C80D0000}"/>
                  </a:ext>
                </a:extLst>
              </xdr:cNvPr>
              <xdr:cNvSpPr/>
            </xdr:nvSpPr>
            <xdr:spPr bwMode="auto">
              <a:xfrm>
                <a:off x="2065244" y="622206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29" name="Check Box 457" hidden="1">
                <a:extLst>
                  <a:ext uri="{63B3BB69-23CF-44E3-9099-C40C66FF867C}">
                    <a14:compatExt spid="_x0000_s3529"/>
                  </a:ext>
                  <a:ext uri="{FF2B5EF4-FFF2-40B4-BE49-F238E27FC236}">
                    <a16:creationId xmlns:a16="http://schemas.microsoft.com/office/drawing/2014/main" id="{00000000-0008-0000-0300-0000C90D0000}"/>
                  </a:ext>
                </a:extLst>
              </xdr:cNvPr>
              <xdr:cNvSpPr/>
            </xdr:nvSpPr>
            <xdr:spPr bwMode="auto">
              <a:xfrm>
                <a:off x="2065244" y="510147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0" name="Check Box 458" hidden="1">
                <a:extLst>
                  <a:ext uri="{63B3BB69-23CF-44E3-9099-C40C66FF867C}">
                    <a14:compatExt spid="_x0000_s3530"/>
                  </a:ext>
                  <a:ext uri="{FF2B5EF4-FFF2-40B4-BE49-F238E27FC236}">
                    <a16:creationId xmlns:a16="http://schemas.microsoft.com/office/drawing/2014/main" id="{00000000-0008-0000-0300-0000CA0D0000}"/>
                  </a:ext>
                </a:extLst>
              </xdr:cNvPr>
              <xdr:cNvSpPr/>
            </xdr:nvSpPr>
            <xdr:spPr bwMode="auto">
              <a:xfrm>
                <a:off x="2065244" y="599794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1" name="Check Box 459" hidden="1">
                <a:extLst>
                  <a:ext uri="{63B3BB69-23CF-44E3-9099-C40C66FF867C}">
                    <a14:compatExt spid="_x0000_s3531"/>
                  </a:ext>
                  <a:ext uri="{FF2B5EF4-FFF2-40B4-BE49-F238E27FC236}">
                    <a16:creationId xmlns:a16="http://schemas.microsoft.com/office/drawing/2014/main" id="{00000000-0008-0000-0300-0000CB0D0000}"/>
                  </a:ext>
                </a:extLst>
              </xdr:cNvPr>
              <xdr:cNvSpPr/>
            </xdr:nvSpPr>
            <xdr:spPr bwMode="auto">
              <a:xfrm>
                <a:off x="2065244" y="4429125"/>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2" name="Check Box 460" hidden="1">
                <a:extLst>
                  <a:ext uri="{63B3BB69-23CF-44E3-9099-C40C66FF867C}">
                    <a14:compatExt spid="_x0000_s3532"/>
                  </a:ext>
                  <a:ext uri="{FF2B5EF4-FFF2-40B4-BE49-F238E27FC236}">
                    <a16:creationId xmlns:a16="http://schemas.microsoft.com/office/drawing/2014/main" id="{00000000-0008-0000-0300-0000CC0D0000}"/>
                  </a:ext>
                </a:extLst>
              </xdr:cNvPr>
              <xdr:cNvSpPr/>
            </xdr:nvSpPr>
            <xdr:spPr bwMode="auto">
              <a:xfrm>
                <a:off x="2065244" y="667030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3" name="Check Box 461" hidden="1">
                <a:extLst>
                  <a:ext uri="{63B3BB69-23CF-44E3-9099-C40C66FF867C}">
                    <a14:compatExt spid="_x0000_s3533"/>
                  </a:ext>
                  <a:ext uri="{FF2B5EF4-FFF2-40B4-BE49-F238E27FC236}">
                    <a16:creationId xmlns:a16="http://schemas.microsoft.com/office/drawing/2014/main" id="{00000000-0008-0000-0300-0000CD0D0000}"/>
                  </a:ext>
                </a:extLst>
              </xdr:cNvPr>
              <xdr:cNvSpPr/>
            </xdr:nvSpPr>
            <xdr:spPr bwMode="auto">
              <a:xfrm>
                <a:off x="2065244" y="689441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55</xdr:row>
          <xdr:rowOff>47625</xdr:rowOff>
        </xdr:from>
        <xdr:to>
          <xdr:col>2</xdr:col>
          <xdr:colOff>695325</xdr:colOff>
          <xdr:row>70</xdr:row>
          <xdr:rowOff>190500</xdr:rowOff>
        </xdr:to>
        <xdr:grpSp>
          <xdr:nvGrpSpPr>
            <xdr:cNvPr id="4" name="群組 3">
              <a:extLst>
                <a:ext uri="{FF2B5EF4-FFF2-40B4-BE49-F238E27FC236}">
                  <a16:creationId xmlns:a16="http://schemas.microsoft.com/office/drawing/2014/main" id="{1B3DB342-C28E-2AAB-BDCA-1774D8B20E98}"/>
                </a:ext>
              </a:extLst>
            </xdr:cNvPr>
            <xdr:cNvGrpSpPr/>
          </xdr:nvGrpSpPr>
          <xdr:grpSpPr>
            <a:xfrm>
              <a:off x="2066925" y="12896850"/>
              <a:ext cx="523875" cy="3571875"/>
              <a:chOff x="2068167" y="13051328"/>
              <a:chExt cx="523875" cy="3621569"/>
            </a:xfrm>
          </xdr:grpSpPr>
          <xdr:sp macro="" textlink="">
            <xdr:nvSpPr>
              <xdr:cNvPr id="3503" name="Check Box 431" hidden="1">
                <a:extLst>
                  <a:ext uri="{63B3BB69-23CF-44E3-9099-C40C66FF867C}">
                    <a14:compatExt spid="_x0000_s3503"/>
                  </a:ext>
                  <a:ext uri="{FF2B5EF4-FFF2-40B4-BE49-F238E27FC236}">
                    <a16:creationId xmlns:a16="http://schemas.microsoft.com/office/drawing/2014/main" id="{00000000-0008-0000-0300-0000AF0D0000}"/>
                  </a:ext>
                </a:extLst>
              </xdr:cNvPr>
              <xdr:cNvSpPr/>
            </xdr:nvSpPr>
            <xdr:spPr bwMode="auto">
              <a:xfrm>
                <a:off x="2068167" y="1305132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4" name="Check Box 432" hidden="1">
                <a:extLst>
                  <a:ext uri="{63B3BB69-23CF-44E3-9099-C40C66FF867C}">
                    <a14:compatExt spid="_x0000_s3504"/>
                  </a:ext>
                  <a:ext uri="{FF2B5EF4-FFF2-40B4-BE49-F238E27FC236}">
                    <a16:creationId xmlns:a16="http://schemas.microsoft.com/office/drawing/2014/main" id="{00000000-0008-0000-0300-0000B00D0000}"/>
                  </a:ext>
                </a:extLst>
              </xdr:cNvPr>
              <xdr:cNvSpPr/>
            </xdr:nvSpPr>
            <xdr:spPr bwMode="auto">
              <a:xfrm>
                <a:off x="2068167" y="1328323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5" name="Check Box 433" hidden="1">
                <a:extLst>
                  <a:ext uri="{63B3BB69-23CF-44E3-9099-C40C66FF867C}">
                    <a14:compatExt spid="_x0000_s3505"/>
                  </a:ext>
                  <a:ext uri="{FF2B5EF4-FFF2-40B4-BE49-F238E27FC236}">
                    <a16:creationId xmlns:a16="http://schemas.microsoft.com/office/drawing/2014/main" id="{00000000-0008-0000-0300-0000B10D0000}"/>
                  </a:ext>
                </a:extLst>
              </xdr:cNvPr>
              <xdr:cNvSpPr/>
            </xdr:nvSpPr>
            <xdr:spPr bwMode="auto">
              <a:xfrm>
                <a:off x="2068167" y="1351514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6" name="Check Box 434" hidden="1">
                <a:extLst>
                  <a:ext uri="{63B3BB69-23CF-44E3-9099-C40C66FF867C}">
                    <a14:compatExt spid="_x0000_s3506"/>
                  </a:ext>
                  <a:ext uri="{FF2B5EF4-FFF2-40B4-BE49-F238E27FC236}">
                    <a16:creationId xmlns:a16="http://schemas.microsoft.com/office/drawing/2014/main" id="{00000000-0008-0000-0300-0000B20D0000}"/>
                  </a:ext>
                </a:extLst>
              </xdr:cNvPr>
              <xdr:cNvSpPr/>
            </xdr:nvSpPr>
            <xdr:spPr bwMode="auto">
              <a:xfrm>
                <a:off x="2068167" y="1374706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7" name="Check Box 435" hidden="1">
                <a:extLst>
                  <a:ext uri="{63B3BB69-23CF-44E3-9099-C40C66FF867C}">
                    <a14:compatExt spid="_x0000_s3507"/>
                  </a:ext>
                  <a:ext uri="{FF2B5EF4-FFF2-40B4-BE49-F238E27FC236}">
                    <a16:creationId xmlns:a16="http://schemas.microsoft.com/office/drawing/2014/main" id="{00000000-0008-0000-0300-0000B30D0000}"/>
                  </a:ext>
                </a:extLst>
              </xdr:cNvPr>
              <xdr:cNvSpPr/>
            </xdr:nvSpPr>
            <xdr:spPr bwMode="auto">
              <a:xfrm>
                <a:off x="2068167" y="1421088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8" name="Check Box 436" hidden="1">
                <a:extLst>
                  <a:ext uri="{63B3BB69-23CF-44E3-9099-C40C66FF867C}">
                    <a14:compatExt spid="_x0000_s3508"/>
                  </a:ext>
                  <a:ext uri="{FF2B5EF4-FFF2-40B4-BE49-F238E27FC236}">
                    <a16:creationId xmlns:a16="http://schemas.microsoft.com/office/drawing/2014/main" id="{00000000-0008-0000-0300-0000B40D0000}"/>
                  </a:ext>
                </a:extLst>
              </xdr:cNvPr>
              <xdr:cNvSpPr/>
            </xdr:nvSpPr>
            <xdr:spPr bwMode="auto">
              <a:xfrm>
                <a:off x="2068167" y="1444279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9" name="Check Box 437" hidden="1">
                <a:extLst>
                  <a:ext uri="{63B3BB69-23CF-44E3-9099-C40C66FF867C}">
                    <a14:compatExt spid="_x0000_s3509"/>
                  </a:ext>
                  <a:ext uri="{FF2B5EF4-FFF2-40B4-BE49-F238E27FC236}">
                    <a16:creationId xmlns:a16="http://schemas.microsoft.com/office/drawing/2014/main" id="{00000000-0008-0000-0300-0000B50D0000}"/>
                  </a:ext>
                </a:extLst>
              </xdr:cNvPr>
              <xdr:cNvSpPr/>
            </xdr:nvSpPr>
            <xdr:spPr bwMode="auto">
              <a:xfrm>
                <a:off x="2068167" y="1513853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0" name="Check Box 438" hidden="1">
                <a:extLst>
                  <a:ext uri="{63B3BB69-23CF-44E3-9099-C40C66FF867C}">
                    <a14:compatExt spid="_x0000_s3510"/>
                  </a:ext>
                  <a:ext uri="{FF2B5EF4-FFF2-40B4-BE49-F238E27FC236}">
                    <a16:creationId xmlns:a16="http://schemas.microsoft.com/office/drawing/2014/main" id="{00000000-0008-0000-0300-0000B60D0000}"/>
                  </a:ext>
                </a:extLst>
              </xdr:cNvPr>
              <xdr:cNvSpPr/>
            </xdr:nvSpPr>
            <xdr:spPr bwMode="auto">
              <a:xfrm>
                <a:off x="2068167" y="1606619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1" name="Check Box 439" hidden="1">
                <a:extLst>
                  <a:ext uri="{63B3BB69-23CF-44E3-9099-C40C66FF867C}">
                    <a14:compatExt spid="_x0000_s3511"/>
                  </a:ext>
                  <a:ext uri="{FF2B5EF4-FFF2-40B4-BE49-F238E27FC236}">
                    <a16:creationId xmlns:a16="http://schemas.microsoft.com/office/drawing/2014/main" id="{00000000-0008-0000-0300-0000B70D0000}"/>
                  </a:ext>
                </a:extLst>
              </xdr:cNvPr>
              <xdr:cNvSpPr/>
            </xdr:nvSpPr>
            <xdr:spPr bwMode="auto">
              <a:xfrm>
                <a:off x="2068167" y="14906625"/>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2" name="Check Box 440" hidden="1">
                <a:extLst>
                  <a:ext uri="{63B3BB69-23CF-44E3-9099-C40C66FF867C}">
                    <a14:compatExt spid="_x0000_s3512"/>
                  </a:ext>
                  <a:ext uri="{FF2B5EF4-FFF2-40B4-BE49-F238E27FC236}">
                    <a16:creationId xmlns:a16="http://schemas.microsoft.com/office/drawing/2014/main" id="{00000000-0008-0000-0300-0000B80D0000}"/>
                  </a:ext>
                </a:extLst>
              </xdr:cNvPr>
              <xdr:cNvSpPr/>
            </xdr:nvSpPr>
            <xdr:spPr bwMode="auto">
              <a:xfrm>
                <a:off x="2068167" y="1537045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3" name="Check Box 441" hidden="1">
                <a:extLst>
                  <a:ext uri="{63B3BB69-23CF-44E3-9099-C40C66FF867C}">
                    <a14:compatExt spid="_x0000_s3513"/>
                  </a:ext>
                  <a:ext uri="{FF2B5EF4-FFF2-40B4-BE49-F238E27FC236}">
                    <a16:creationId xmlns:a16="http://schemas.microsoft.com/office/drawing/2014/main" id="{00000000-0008-0000-0300-0000B90D0000}"/>
                  </a:ext>
                </a:extLst>
              </xdr:cNvPr>
              <xdr:cNvSpPr/>
            </xdr:nvSpPr>
            <xdr:spPr bwMode="auto">
              <a:xfrm>
                <a:off x="2068167" y="1583427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4" name="Check Box 442" hidden="1">
                <a:extLst>
                  <a:ext uri="{63B3BB69-23CF-44E3-9099-C40C66FF867C}">
                    <a14:compatExt spid="_x0000_s3514"/>
                  </a:ext>
                  <a:ext uri="{FF2B5EF4-FFF2-40B4-BE49-F238E27FC236}">
                    <a16:creationId xmlns:a16="http://schemas.microsoft.com/office/drawing/2014/main" id="{00000000-0008-0000-0300-0000BA0D0000}"/>
                  </a:ext>
                </a:extLst>
              </xdr:cNvPr>
              <xdr:cNvSpPr/>
            </xdr:nvSpPr>
            <xdr:spPr bwMode="auto">
              <a:xfrm>
                <a:off x="2068167" y="1467471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5" name="Check Box 443" hidden="1">
                <a:extLst>
                  <a:ext uri="{63B3BB69-23CF-44E3-9099-C40C66FF867C}">
                    <a14:compatExt spid="_x0000_s3515"/>
                  </a:ext>
                  <a:ext uri="{FF2B5EF4-FFF2-40B4-BE49-F238E27FC236}">
                    <a16:creationId xmlns:a16="http://schemas.microsoft.com/office/drawing/2014/main" id="{00000000-0008-0000-0300-0000BB0D0000}"/>
                  </a:ext>
                </a:extLst>
              </xdr:cNvPr>
              <xdr:cNvSpPr/>
            </xdr:nvSpPr>
            <xdr:spPr bwMode="auto">
              <a:xfrm>
                <a:off x="2068167" y="1560236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6" name="Check Box 444" hidden="1">
                <a:extLst>
                  <a:ext uri="{63B3BB69-23CF-44E3-9099-C40C66FF867C}">
                    <a14:compatExt spid="_x0000_s3516"/>
                  </a:ext>
                  <a:ext uri="{FF2B5EF4-FFF2-40B4-BE49-F238E27FC236}">
                    <a16:creationId xmlns:a16="http://schemas.microsoft.com/office/drawing/2014/main" id="{00000000-0008-0000-0300-0000BC0D0000}"/>
                  </a:ext>
                </a:extLst>
              </xdr:cNvPr>
              <xdr:cNvSpPr/>
            </xdr:nvSpPr>
            <xdr:spPr bwMode="auto">
              <a:xfrm>
                <a:off x="2068167" y="1397897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17" name="Check Box 445" hidden="1">
                <a:extLst>
                  <a:ext uri="{63B3BB69-23CF-44E3-9099-C40C66FF867C}">
                    <a14:compatExt spid="_x0000_s3517"/>
                  </a:ext>
                  <a:ext uri="{FF2B5EF4-FFF2-40B4-BE49-F238E27FC236}">
                    <a16:creationId xmlns:a16="http://schemas.microsoft.com/office/drawing/2014/main" id="{00000000-0008-0000-0300-0000BD0D0000}"/>
                  </a:ext>
                </a:extLst>
              </xdr:cNvPr>
              <xdr:cNvSpPr/>
            </xdr:nvSpPr>
            <xdr:spPr bwMode="auto">
              <a:xfrm>
                <a:off x="2068167" y="1629810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4" name="Check Box 462" hidden="1">
                <a:extLst>
                  <a:ext uri="{63B3BB69-23CF-44E3-9099-C40C66FF867C}">
                    <a14:compatExt spid="_x0000_s3534"/>
                  </a:ext>
                  <a:ext uri="{FF2B5EF4-FFF2-40B4-BE49-F238E27FC236}">
                    <a16:creationId xmlns:a16="http://schemas.microsoft.com/office/drawing/2014/main" id="{00000000-0008-0000-0300-0000CE0D0000}"/>
                  </a:ext>
                </a:extLst>
              </xdr:cNvPr>
              <xdr:cNvSpPr/>
            </xdr:nvSpPr>
            <xdr:spPr bwMode="auto">
              <a:xfrm>
                <a:off x="2068167" y="1653002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80</xdr:row>
          <xdr:rowOff>47625</xdr:rowOff>
        </xdr:from>
        <xdr:to>
          <xdr:col>2</xdr:col>
          <xdr:colOff>695325</xdr:colOff>
          <xdr:row>95</xdr:row>
          <xdr:rowOff>190500</xdr:rowOff>
        </xdr:to>
        <xdr:grpSp>
          <xdr:nvGrpSpPr>
            <xdr:cNvPr id="5" name="群組 4">
              <a:extLst>
                <a:ext uri="{FF2B5EF4-FFF2-40B4-BE49-F238E27FC236}">
                  <a16:creationId xmlns:a16="http://schemas.microsoft.com/office/drawing/2014/main" id="{B8031E7E-6587-B63D-DCEA-827208603185}"/>
                </a:ext>
              </a:extLst>
            </xdr:cNvPr>
            <xdr:cNvGrpSpPr/>
          </xdr:nvGrpSpPr>
          <xdr:grpSpPr>
            <a:xfrm>
              <a:off x="2066925" y="18716625"/>
              <a:ext cx="523875" cy="3571875"/>
              <a:chOff x="2068167" y="18915414"/>
              <a:chExt cx="523875" cy="3621568"/>
            </a:xfrm>
          </xdr:grpSpPr>
          <xdr:sp macro="" textlink="">
            <xdr:nvSpPr>
              <xdr:cNvPr id="3488" name="Check Box 416" hidden="1">
                <a:extLst>
                  <a:ext uri="{63B3BB69-23CF-44E3-9099-C40C66FF867C}">
                    <a14:compatExt spid="_x0000_s3488"/>
                  </a:ext>
                  <a:ext uri="{FF2B5EF4-FFF2-40B4-BE49-F238E27FC236}">
                    <a16:creationId xmlns:a16="http://schemas.microsoft.com/office/drawing/2014/main" id="{00000000-0008-0000-0300-0000A00D0000}"/>
                  </a:ext>
                </a:extLst>
              </xdr:cNvPr>
              <xdr:cNvSpPr/>
            </xdr:nvSpPr>
            <xdr:spPr bwMode="auto">
              <a:xfrm>
                <a:off x="2068167" y="1891541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89" name="Check Box 417" hidden="1">
                <a:extLst>
                  <a:ext uri="{63B3BB69-23CF-44E3-9099-C40C66FF867C}">
                    <a14:compatExt spid="_x0000_s3489"/>
                  </a:ext>
                  <a:ext uri="{FF2B5EF4-FFF2-40B4-BE49-F238E27FC236}">
                    <a16:creationId xmlns:a16="http://schemas.microsoft.com/office/drawing/2014/main" id="{00000000-0008-0000-0300-0000A10D0000}"/>
                  </a:ext>
                </a:extLst>
              </xdr:cNvPr>
              <xdr:cNvSpPr/>
            </xdr:nvSpPr>
            <xdr:spPr bwMode="auto">
              <a:xfrm>
                <a:off x="2068167" y="1914732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0" name="Check Box 418" hidden="1">
                <a:extLst>
                  <a:ext uri="{63B3BB69-23CF-44E3-9099-C40C66FF867C}">
                    <a14:compatExt spid="_x0000_s3490"/>
                  </a:ext>
                  <a:ext uri="{FF2B5EF4-FFF2-40B4-BE49-F238E27FC236}">
                    <a16:creationId xmlns:a16="http://schemas.microsoft.com/office/drawing/2014/main" id="{00000000-0008-0000-0300-0000A20D0000}"/>
                  </a:ext>
                </a:extLst>
              </xdr:cNvPr>
              <xdr:cNvSpPr/>
            </xdr:nvSpPr>
            <xdr:spPr bwMode="auto">
              <a:xfrm>
                <a:off x="2068167" y="1937923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1" name="Check Box 419" hidden="1">
                <a:extLst>
                  <a:ext uri="{63B3BB69-23CF-44E3-9099-C40C66FF867C}">
                    <a14:compatExt spid="_x0000_s3491"/>
                  </a:ext>
                  <a:ext uri="{FF2B5EF4-FFF2-40B4-BE49-F238E27FC236}">
                    <a16:creationId xmlns:a16="http://schemas.microsoft.com/office/drawing/2014/main" id="{00000000-0008-0000-0300-0000A30D0000}"/>
                  </a:ext>
                </a:extLst>
              </xdr:cNvPr>
              <xdr:cNvSpPr/>
            </xdr:nvSpPr>
            <xdr:spPr bwMode="auto">
              <a:xfrm>
                <a:off x="2068167" y="1961114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2" name="Check Box 420" hidden="1">
                <a:extLst>
                  <a:ext uri="{63B3BB69-23CF-44E3-9099-C40C66FF867C}">
                    <a14:compatExt spid="_x0000_s3492"/>
                  </a:ext>
                  <a:ext uri="{FF2B5EF4-FFF2-40B4-BE49-F238E27FC236}">
                    <a16:creationId xmlns:a16="http://schemas.microsoft.com/office/drawing/2014/main" id="{00000000-0008-0000-0300-0000A40D0000}"/>
                  </a:ext>
                </a:extLst>
              </xdr:cNvPr>
              <xdr:cNvSpPr/>
            </xdr:nvSpPr>
            <xdr:spPr bwMode="auto">
              <a:xfrm>
                <a:off x="2068167" y="2007497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3" name="Check Box 421" hidden="1">
                <a:extLst>
                  <a:ext uri="{63B3BB69-23CF-44E3-9099-C40C66FF867C}">
                    <a14:compatExt spid="_x0000_s3493"/>
                  </a:ext>
                  <a:ext uri="{FF2B5EF4-FFF2-40B4-BE49-F238E27FC236}">
                    <a16:creationId xmlns:a16="http://schemas.microsoft.com/office/drawing/2014/main" id="{00000000-0008-0000-0300-0000A50D0000}"/>
                  </a:ext>
                </a:extLst>
              </xdr:cNvPr>
              <xdr:cNvSpPr/>
            </xdr:nvSpPr>
            <xdr:spPr bwMode="auto">
              <a:xfrm>
                <a:off x="2068167" y="2030688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4" name="Check Box 422" hidden="1">
                <a:extLst>
                  <a:ext uri="{63B3BB69-23CF-44E3-9099-C40C66FF867C}">
                    <a14:compatExt spid="_x0000_s3494"/>
                  </a:ext>
                  <a:ext uri="{FF2B5EF4-FFF2-40B4-BE49-F238E27FC236}">
                    <a16:creationId xmlns:a16="http://schemas.microsoft.com/office/drawing/2014/main" id="{00000000-0008-0000-0300-0000A60D0000}"/>
                  </a:ext>
                </a:extLst>
              </xdr:cNvPr>
              <xdr:cNvSpPr/>
            </xdr:nvSpPr>
            <xdr:spPr bwMode="auto">
              <a:xfrm>
                <a:off x="2068167" y="21002625"/>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5" name="Check Box 423" hidden="1">
                <a:extLst>
                  <a:ext uri="{63B3BB69-23CF-44E3-9099-C40C66FF867C}">
                    <a14:compatExt spid="_x0000_s3495"/>
                  </a:ext>
                  <a:ext uri="{FF2B5EF4-FFF2-40B4-BE49-F238E27FC236}">
                    <a16:creationId xmlns:a16="http://schemas.microsoft.com/office/drawing/2014/main" id="{00000000-0008-0000-0300-0000A70D0000}"/>
                  </a:ext>
                </a:extLst>
              </xdr:cNvPr>
              <xdr:cNvSpPr/>
            </xdr:nvSpPr>
            <xdr:spPr bwMode="auto">
              <a:xfrm>
                <a:off x="2068167" y="2193027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6" name="Check Box 424" hidden="1">
                <a:extLst>
                  <a:ext uri="{63B3BB69-23CF-44E3-9099-C40C66FF867C}">
                    <a14:compatExt spid="_x0000_s3496"/>
                  </a:ext>
                  <a:ext uri="{FF2B5EF4-FFF2-40B4-BE49-F238E27FC236}">
                    <a16:creationId xmlns:a16="http://schemas.microsoft.com/office/drawing/2014/main" id="{00000000-0008-0000-0300-0000A80D0000}"/>
                  </a:ext>
                </a:extLst>
              </xdr:cNvPr>
              <xdr:cNvSpPr/>
            </xdr:nvSpPr>
            <xdr:spPr bwMode="auto">
              <a:xfrm>
                <a:off x="2068167" y="2077071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7" name="Check Box 425" hidden="1">
                <a:extLst>
                  <a:ext uri="{63B3BB69-23CF-44E3-9099-C40C66FF867C}">
                    <a14:compatExt spid="_x0000_s3497"/>
                  </a:ext>
                  <a:ext uri="{FF2B5EF4-FFF2-40B4-BE49-F238E27FC236}">
                    <a16:creationId xmlns:a16="http://schemas.microsoft.com/office/drawing/2014/main" id="{00000000-0008-0000-0300-0000A90D0000}"/>
                  </a:ext>
                </a:extLst>
              </xdr:cNvPr>
              <xdr:cNvSpPr/>
            </xdr:nvSpPr>
            <xdr:spPr bwMode="auto">
              <a:xfrm>
                <a:off x="2068167" y="2123453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8" name="Check Box 426" hidden="1">
                <a:extLst>
                  <a:ext uri="{63B3BB69-23CF-44E3-9099-C40C66FF867C}">
                    <a14:compatExt spid="_x0000_s3498"/>
                  </a:ext>
                  <a:ext uri="{FF2B5EF4-FFF2-40B4-BE49-F238E27FC236}">
                    <a16:creationId xmlns:a16="http://schemas.microsoft.com/office/drawing/2014/main" id="{00000000-0008-0000-0300-0000AA0D0000}"/>
                  </a:ext>
                </a:extLst>
              </xdr:cNvPr>
              <xdr:cNvSpPr/>
            </xdr:nvSpPr>
            <xdr:spPr bwMode="auto">
              <a:xfrm>
                <a:off x="2068167" y="2169836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99" name="Check Box 427" hidden="1">
                <a:extLst>
                  <a:ext uri="{63B3BB69-23CF-44E3-9099-C40C66FF867C}">
                    <a14:compatExt spid="_x0000_s3499"/>
                  </a:ext>
                  <a:ext uri="{FF2B5EF4-FFF2-40B4-BE49-F238E27FC236}">
                    <a16:creationId xmlns:a16="http://schemas.microsoft.com/office/drawing/2014/main" id="{00000000-0008-0000-0300-0000AB0D0000}"/>
                  </a:ext>
                </a:extLst>
              </xdr:cNvPr>
              <xdr:cNvSpPr/>
            </xdr:nvSpPr>
            <xdr:spPr bwMode="auto">
              <a:xfrm>
                <a:off x="2068167" y="2053879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0" name="Check Box 428" hidden="1">
                <a:extLst>
                  <a:ext uri="{63B3BB69-23CF-44E3-9099-C40C66FF867C}">
                    <a14:compatExt spid="_x0000_s3500"/>
                  </a:ext>
                  <a:ext uri="{FF2B5EF4-FFF2-40B4-BE49-F238E27FC236}">
                    <a16:creationId xmlns:a16="http://schemas.microsoft.com/office/drawing/2014/main" id="{00000000-0008-0000-0300-0000AC0D0000}"/>
                  </a:ext>
                </a:extLst>
              </xdr:cNvPr>
              <xdr:cNvSpPr/>
            </xdr:nvSpPr>
            <xdr:spPr bwMode="auto">
              <a:xfrm>
                <a:off x="2068167" y="2146645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1" name="Check Box 429" hidden="1">
                <a:extLst>
                  <a:ext uri="{63B3BB69-23CF-44E3-9099-C40C66FF867C}">
                    <a14:compatExt spid="_x0000_s3501"/>
                  </a:ext>
                  <a:ext uri="{FF2B5EF4-FFF2-40B4-BE49-F238E27FC236}">
                    <a16:creationId xmlns:a16="http://schemas.microsoft.com/office/drawing/2014/main" id="{00000000-0008-0000-0300-0000AD0D0000}"/>
                  </a:ext>
                </a:extLst>
              </xdr:cNvPr>
              <xdr:cNvSpPr/>
            </xdr:nvSpPr>
            <xdr:spPr bwMode="auto">
              <a:xfrm>
                <a:off x="2068167" y="1984306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02" name="Check Box 430" hidden="1">
                <a:extLst>
                  <a:ext uri="{63B3BB69-23CF-44E3-9099-C40C66FF867C}">
                    <a14:compatExt spid="_x0000_s3502"/>
                  </a:ext>
                  <a:ext uri="{FF2B5EF4-FFF2-40B4-BE49-F238E27FC236}">
                    <a16:creationId xmlns:a16="http://schemas.microsoft.com/office/drawing/2014/main" id="{00000000-0008-0000-0300-0000AE0D0000}"/>
                  </a:ext>
                </a:extLst>
              </xdr:cNvPr>
              <xdr:cNvSpPr/>
            </xdr:nvSpPr>
            <xdr:spPr bwMode="auto">
              <a:xfrm>
                <a:off x="2068167" y="2216219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5" name="Check Box 463" hidden="1">
                <a:extLst>
                  <a:ext uri="{63B3BB69-23CF-44E3-9099-C40C66FF867C}">
                    <a14:compatExt spid="_x0000_s3535"/>
                  </a:ext>
                  <a:ext uri="{FF2B5EF4-FFF2-40B4-BE49-F238E27FC236}">
                    <a16:creationId xmlns:a16="http://schemas.microsoft.com/office/drawing/2014/main" id="{00000000-0008-0000-0300-0000CF0D0000}"/>
                  </a:ext>
                </a:extLst>
              </xdr:cNvPr>
              <xdr:cNvSpPr/>
            </xdr:nvSpPr>
            <xdr:spPr bwMode="auto">
              <a:xfrm>
                <a:off x="2068167" y="2239410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108</xdr:row>
          <xdr:rowOff>47625</xdr:rowOff>
        </xdr:from>
        <xdr:to>
          <xdr:col>2</xdr:col>
          <xdr:colOff>695325</xdr:colOff>
          <xdr:row>123</xdr:row>
          <xdr:rowOff>190500</xdr:rowOff>
        </xdr:to>
        <xdr:grpSp>
          <xdr:nvGrpSpPr>
            <xdr:cNvPr id="8" name="群組 7">
              <a:extLst>
                <a:ext uri="{FF2B5EF4-FFF2-40B4-BE49-F238E27FC236}">
                  <a16:creationId xmlns:a16="http://schemas.microsoft.com/office/drawing/2014/main" id="{84C5E16A-B5B2-E3F1-9566-CBE1CD431126}"/>
                </a:ext>
              </a:extLst>
            </xdr:cNvPr>
            <xdr:cNvGrpSpPr/>
          </xdr:nvGrpSpPr>
          <xdr:grpSpPr>
            <a:xfrm>
              <a:off x="2066925" y="25184100"/>
              <a:ext cx="523875" cy="3571875"/>
              <a:chOff x="2068167" y="25425548"/>
              <a:chExt cx="523875" cy="3621570"/>
            </a:xfrm>
          </xdr:grpSpPr>
          <xdr:sp macro="" textlink="">
            <xdr:nvSpPr>
              <xdr:cNvPr id="3468" name="Check Box 396" hidden="1">
                <a:extLst>
                  <a:ext uri="{63B3BB69-23CF-44E3-9099-C40C66FF867C}">
                    <a14:compatExt spid="_x0000_s3468"/>
                  </a:ext>
                  <a:ext uri="{FF2B5EF4-FFF2-40B4-BE49-F238E27FC236}">
                    <a16:creationId xmlns:a16="http://schemas.microsoft.com/office/drawing/2014/main" id="{00000000-0008-0000-0300-00008C0D0000}"/>
                  </a:ext>
                </a:extLst>
              </xdr:cNvPr>
              <xdr:cNvSpPr/>
            </xdr:nvSpPr>
            <xdr:spPr bwMode="auto">
              <a:xfrm>
                <a:off x="2068167" y="2542554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69" name="Check Box 397" hidden="1">
                <a:extLst>
                  <a:ext uri="{63B3BB69-23CF-44E3-9099-C40C66FF867C}">
                    <a14:compatExt spid="_x0000_s3469"/>
                  </a:ext>
                  <a:ext uri="{FF2B5EF4-FFF2-40B4-BE49-F238E27FC236}">
                    <a16:creationId xmlns:a16="http://schemas.microsoft.com/office/drawing/2014/main" id="{00000000-0008-0000-0300-00008D0D0000}"/>
                  </a:ext>
                </a:extLst>
              </xdr:cNvPr>
              <xdr:cNvSpPr/>
            </xdr:nvSpPr>
            <xdr:spPr bwMode="auto">
              <a:xfrm>
                <a:off x="2068167" y="2565745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0" name="Check Box 398" hidden="1">
                <a:extLst>
                  <a:ext uri="{63B3BB69-23CF-44E3-9099-C40C66FF867C}">
                    <a14:compatExt spid="_x0000_s3470"/>
                  </a:ext>
                  <a:ext uri="{FF2B5EF4-FFF2-40B4-BE49-F238E27FC236}">
                    <a16:creationId xmlns:a16="http://schemas.microsoft.com/office/drawing/2014/main" id="{00000000-0008-0000-0300-00008E0D0000}"/>
                  </a:ext>
                </a:extLst>
              </xdr:cNvPr>
              <xdr:cNvSpPr/>
            </xdr:nvSpPr>
            <xdr:spPr bwMode="auto">
              <a:xfrm>
                <a:off x="2068167" y="2588936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1" name="Check Box 399" hidden="1">
                <a:extLst>
                  <a:ext uri="{63B3BB69-23CF-44E3-9099-C40C66FF867C}">
                    <a14:compatExt spid="_x0000_s3471"/>
                  </a:ext>
                  <a:ext uri="{FF2B5EF4-FFF2-40B4-BE49-F238E27FC236}">
                    <a16:creationId xmlns:a16="http://schemas.microsoft.com/office/drawing/2014/main" id="{00000000-0008-0000-0300-00008F0D0000}"/>
                  </a:ext>
                </a:extLst>
              </xdr:cNvPr>
              <xdr:cNvSpPr/>
            </xdr:nvSpPr>
            <xdr:spPr bwMode="auto">
              <a:xfrm>
                <a:off x="2068167" y="26121277"/>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2" name="Check Box 400" hidden="1">
                <a:extLst>
                  <a:ext uri="{63B3BB69-23CF-44E3-9099-C40C66FF867C}">
                    <a14:compatExt spid="_x0000_s3472"/>
                  </a:ext>
                  <a:ext uri="{FF2B5EF4-FFF2-40B4-BE49-F238E27FC236}">
                    <a16:creationId xmlns:a16="http://schemas.microsoft.com/office/drawing/2014/main" id="{00000000-0008-0000-0300-0000900D0000}"/>
                  </a:ext>
                </a:extLst>
              </xdr:cNvPr>
              <xdr:cNvSpPr/>
            </xdr:nvSpPr>
            <xdr:spPr bwMode="auto">
              <a:xfrm>
                <a:off x="2068167" y="2658510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3" name="Check Box 401" hidden="1">
                <a:extLst>
                  <a:ext uri="{63B3BB69-23CF-44E3-9099-C40C66FF867C}">
                    <a14:compatExt spid="_x0000_s3473"/>
                  </a:ext>
                  <a:ext uri="{FF2B5EF4-FFF2-40B4-BE49-F238E27FC236}">
                    <a16:creationId xmlns:a16="http://schemas.microsoft.com/office/drawing/2014/main" id="{00000000-0008-0000-0300-0000910D0000}"/>
                  </a:ext>
                </a:extLst>
              </xdr:cNvPr>
              <xdr:cNvSpPr/>
            </xdr:nvSpPr>
            <xdr:spPr bwMode="auto">
              <a:xfrm>
                <a:off x="2068167" y="2681701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4" name="Check Box 402" hidden="1">
                <a:extLst>
                  <a:ext uri="{63B3BB69-23CF-44E3-9099-C40C66FF867C}">
                    <a14:compatExt spid="_x0000_s3474"/>
                  </a:ext>
                  <a:ext uri="{FF2B5EF4-FFF2-40B4-BE49-F238E27FC236}">
                    <a16:creationId xmlns:a16="http://schemas.microsoft.com/office/drawing/2014/main" id="{00000000-0008-0000-0300-0000920D0000}"/>
                  </a:ext>
                </a:extLst>
              </xdr:cNvPr>
              <xdr:cNvSpPr/>
            </xdr:nvSpPr>
            <xdr:spPr bwMode="auto">
              <a:xfrm>
                <a:off x="2068167" y="27512755"/>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5" name="Check Box 403" hidden="1">
                <a:extLst>
                  <a:ext uri="{63B3BB69-23CF-44E3-9099-C40C66FF867C}">
                    <a14:compatExt spid="_x0000_s3475"/>
                  </a:ext>
                  <a:ext uri="{FF2B5EF4-FFF2-40B4-BE49-F238E27FC236}">
                    <a16:creationId xmlns:a16="http://schemas.microsoft.com/office/drawing/2014/main" id="{00000000-0008-0000-0300-0000930D0000}"/>
                  </a:ext>
                </a:extLst>
              </xdr:cNvPr>
              <xdr:cNvSpPr/>
            </xdr:nvSpPr>
            <xdr:spPr bwMode="auto">
              <a:xfrm>
                <a:off x="2068167" y="2844040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6" name="Check Box 404" hidden="1">
                <a:extLst>
                  <a:ext uri="{63B3BB69-23CF-44E3-9099-C40C66FF867C}">
                    <a14:compatExt spid="_x0000_s3476"/>
                  </a:ext>
                  <a:ext uri="{FF2B5EF4-FFF2-40B4-BE49-F238E27FC236}">
                    <a16:creationId xmlns:a16="http://schemas.microsoft.com/office/drawing/2014/main" id="{00000000-0008-0000-0300-0000940D0000}"/>
                  </a:ext>
                </a:extLst>
              </xdr:cNvPr>
              <xdr:cNvSpPr/>
            </xdr:nvSpPr>
            <xdr:spPr bwMode="auto">
              <a:xfrm>
                <a:off x="2068167" y="2728084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7" name="Check Box 405" hidden="1">
                <a:extLst>
                  <a:ext uri="{63B3BB69-23CF-44E3-9099-C40C66FF867C}">
                    <a14:compatExt spid="_x0000_s3477"/>
                  </a:ext>
                  <a:ext uri="{FF2B5EF4-FFF2-40B4-BE49-F238E27FC236}">
                    <a16:creationId xmlns:a16="http://schemas.microsoft.com/office/drawing/2014/main" id="{00000000-0008-0000-0300-0000950D0000}"/>
                  </a:ext>
                </a:extLst>
              </xdr:cNvPr>
              <xdr:cNvSpPr/>
            </xdr:nvSpPr>
            <xdr:spPr bwMode="auto">
              <a:xfrm>
                <a:off x="2068167" y="2774466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8" name="Check Box 406" hidden="1">
                <a:extLst>
                  <a:ext uri="{63B3BB69-23CF-44E3-9099-C40C66FF867C}">
                    <a14:compatExt spid="_x0000_s3478"/>
                  </a:ext>
                  <a:ext uri="{FF2B5EF4-FFF2-40B4-BE49-F238E27FC236}">
                    <a16:creationId xmlns:a16="http://schemas.microsoft.com/office/drawing/2014/main" id="{00000000-0008-0000-0300-0000960D0000}"/>
                  </a:ext>
                </a:extLst>
              </xdr:cNvPr>
              <xdr:cNvSpPr/>
            </xdr:nvSpPr>
            <xdr:spPr bwMode="auto">
              <a:xfrm>
                <a:off x="2068167" y="28208495"/>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79" name="Check Box 407" hidden="1">
                <a:extLst>
                  <a:ext uri="{63B3BB69-23CF-44E3-9099-C40C66FF867C}">
                    <a14:compatExt spid="_x0000_s3479"/>
                  </a:ext>
                  <a:ext uri="{FF2B5EF4-FFF2-40B4-BE49-F238E27FC236}">
                    <a16:creationId xmlns:a16="http://schemas.microsoft.com/office/drawing/2014/main" id="{00000000-0008-0000-0300-0000970D0000}"/>
                  </a:ext>
                </a:extLst>
              </xdr:cNvPr>
              <xdr:cNvSpPr/>
            </xdr:nvSpPr>
            <xdr:spPr bwMode="auto">
              <a:xfrm>
                <a:off x="2068167" y="2704892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80" name="Check Box 408" hidden="1">
                <a:extLst>
                  <a:ext uri="{63B3BB69-23CF-44E3-9099-C40C66FF867C}">
                    <a14:compatExt spid="_x0000_s3480"/>
                  </a:ext>
                  <a:ext uri="{FF2B5EF4-FFF2-40B4-BE49-F238E27FC236}">
                    <a16:creationId xmlns:a16="http://schemas.microsoft.com/office/drawing/2014/main" id="{00000000-0008-0000-0300-0000980D0000}"/>
                  </a:ext>
                </a:extLst>
              </xdr:cNvPr>
              <xdr:cNvSpPr/>
            </xdr:nvSpPr>
            <xdr:spPr bwMode="auto">
              <a:xfrm>
                <a:off x="2068167" y="2797658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81" name="Check Box 409" hidden="1">
                <a:extLst>
                  <a:ext uri="{63B3BB69-23CF-44E3-9099-C40C66FF867C}">
                    <a14:compatExt spid="_x0000_s3481"/>
                  </a:ext>
                  <a:ext uri="{FF2B5EF4-FFF2-40B4-BE49-F238E27FC236}">
                    <a16:creationId xmlns:a16="http://schemas.microsoft.com/office/drawing/2014/main" id="{00000000-0008-0000-0300-0000990D0000}"/>
                  </a:ext>
                </a:extLst>
              </xdr:cNvPr>
              <xdr:cNvSpPr/>
            </xdr:nvSpPr>
            <xdr:spPr bwMode="auto">
              <a:xfrm>
                <a:off x="2068167" y="2635319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487" name="Check Box 415" hidden="1">
                <a:extLst>
                  <a:ext uri="{63B3BB69-23CF-44E3-9099-C40C66FF867C}">
                    <a14:compatExt spid="_x0000_s3487"/>
                  </a:ext>
                  <a:ext uri="{FF2B5EF4-FFF2-40B4-BE49-F238E27FC236}">
                    <a16:creationId xmlns:a16="http://schemas.microsoft.com/office/drawing/2014/main" id="{00000000-0008-0000-0300-00009F0D0000}"/>
                  </a:ext>
                </a:extLst>
              </xdr:cNvPr>
              <xdr:cNvSpPr/>
            </xdr:nvSpPr>
            <xdr:spPr bwMode="auto">
              <a:xfrm>
                <a:off x="2068167" y="2867232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3536" name="Check Box 464" hidden="1">
                <a:extLst>
                  <a:ext uri="{63B3BB69-23CF-44E3-9099-C40C66FF867C}">
                    <a14:compatExt spid="_x0000_s3536"/>
                  </a:ext>
                  <a:ext uri="{FF2B5EF4-FFF2-40B4-BE49-F238E27FC236}">
                    <a16:creationId xmlns:a16="http://schemas.microsoft.com/office/drawing/2014/main" id="{00000000-0008-0000-0300-0000D00D0000}"/>
                  </a:ext>
                </a:extLst>
              </xdr:cNvPr>
              <xdr:cNvSpPr/>
            </xdr:nvSpPr>
            <xdr:spPr bwMode="auto">
              <a:xfrm>
                <a:off x="2068167" y="2890424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6</xdr:row>
          <xdr:rowOff>57150</xdr:rowOff>
        </xdr:from>
        <xdr:to>
          <xdr:col>2</xdr:col>
          <xdr:colOff>19050</xdr:colOff>
          <xdr:row>6</xdr:row>
          <xdr:rowOff>190500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圖像設計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38100</xdr:rowOff>
        </xdr:from>
        <xdr:to>
          <xdr:col>2</xdr:col>
          <xdr:colOff>19050</xdr:colOff>
          <xdr:row>7</xdr:row>
          <xdr:rowOff>180975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物品設計</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103" Type="http://schemas.openxmlformats.org/officeDocument/2006/relationships/ctrlProp" Target="../ctrlProps/ctrlProp99.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2.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11">
    <pageSetUpPr fitToPage="1"/>
  </sheetPr>
  <dimension ref="A1:DJ626"/>
  <sheetViews>
    <sheetView tabSelected="1" view="pageBreakPreview" zoomScaleNormal="115" zoomScaleSheetLayoutView="100" workbookViewId="0">
      <selection activeCell="M11" sqref="M11"/>
    </sheetView>
  </sheetViews>
  <sheetFormatPr defaultColWidth="9" defaultRowHeight="15.75" x14ac:dyDescent="0.25"/>
  <cols>
    <col min="1" max="1" width="13.125" style="39" customWidth="1"/>
    <col min="2" max="2" width="11.75" style="39" customWidth="1"/>
    <col min="3" max="3" width="11.625" style="39" customWidth="1"/>
    <col min="4" max="4" width="5.875" style="39" customWidth="1"/>
    <col min="5" max="6" width="13.625" style="39" customWidth="1"/>
    <col min="7" max="7" width="5.875" style="39" customWidth="1"/>
    <col min="8" max="11" width="13.625" style="39" customWidth="1"/>
    <col min="12" max="12" width="17.125" style="39" customWidth="1"/>
    <col min="13" max="13" width="12.125" style="39" customWidth="1"/>
    <col min="14" max="14" width="9" style="39"/>
    <col min="15" max="15" width="9" style="34"/>
    <col min="16" max="16" width="9.125" style="34" bestFit="1" customWidth="1"/>
    <col min="17" max="16384" width="9" style="34"/>
  </cols>
  <sheetData>
    <row r="1" spans="1:82" s="33" customFormat="1" ht="15.95" customHeight="1" x14ac:dyDescent="0.25">
      <c r="A1" s="35"/>
      <c r="B1" s="35"/>
      <c r="C1" s="35"/>
      <c r="D1" s="35"/>
      <c r="E1" s="35"/>
      <c r="F1" s="35"/>
      <c r="G1" s="35"/>
      <c r="H1" s="35"/>
      <c r="I1" s="35"/>
      <c r="J1" s="35"/>
      <c r="K1" s="35"/>
      <c r="L1" s="35"/>
      <c r="M1" s="35"/>
    </row>
    <row r="2" spans="1:82" ht="15.95" customHeight="1" x14ac:dyDescent="0.25">
      <c r="A2" s="48" t="s">
        <v>121</v>
      </c>
      <c r="B2" s="48"/>
      <c r="C2" s="48"/>
      <c r="D2" s="48"/>
      <c r="E2" s="48"/>
      <c r="F2" s="48"/>
      <c r="G2" s="48"/>
      <c r="H2" s="48"/>
      <c r="I2" s="48"/>
      <c r="J2" s="48"/>
      <c r="K2" s="48"/>
      <c r="L2" s="48"/>
      <c r="M2" s="35"/>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row>
    <row r="3" spans="1:82" ht="15.95" customHeight="1" x14ac:dyDescent="0.25">
      <c r="A3" s="48"/>
      <c r="B3" s="48"/>
      <c r="C3" s="48"/>
      <c r="D3" s="48"/>
      <c r="E3" s="48"/>
      <c r="F3" s="48"/>
      <c r="G3" s="48"/>
      <c r="H3" s="48"/>
      <c r="I3" s="48"/>
      <c r="J3" s="48"/>
      <c r="K3" s="48"/>
      <c r="L3" s="48"/>
      <c r="M3" s="35"/>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row>
    <row r="4" spans="1:82" ht="18" customHeight="1" x14ac:dyDescent="0.25">
      <c r="A4" s="202" t="s">
        <v>122</v>
      </c>
      <c r="B4" s="203"/>
      <c r="C4" s="48"/>
      <c r="D4" s="48"/>
      <c r="E4" s="117" t="s">
        <v>190</v>
      </c>
      <c r="F4" s="118" t="s">
        <v>123</v>
      </c>
      <c r="G4" s="48"/>
      <c r="H4" s="48"/>
      <c r="I4" s="48"/>
      <c r="J4" s="159" t="s">
        <v>124</v>
      </c>
      <c r="K4" s="159"/>
      <c r="L4" s="162"/>
      <c r="M4" s="162"/>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row>
    <row r="5" spans="1:82" ht="18" customHeight="1" x14ac:dyDescent="0.25">
      <c r="A5" s="119" t="s">
        <v>125</v>
      </c>
      <c r="B5" s="124">
        <v>1</v>
      </c>
      <c r="C5" s="103"/>
      <c r="D5" s="48"/>
      <c r="E5" s="120" t="s">
        <v>260</v>
      </c>
      <c r="F5" s="120" t="s">
        <v>126</v>
      </c>
      <c r="G5" s="48"/>
      <c r="H5" s="48"/>
      <c r="I5" s="48"/>
      <c r="J5" s="121" t="s">
        <v>127</v>
      </c>
      <c r="K5" s="46">
        <v>32.200000000000003</v>
      </c>
      <c r="L5" s="121" t="s">
        <v>128</v>
      </c>
      <c r="M5" s="46">
        <v>4.8499999999999996</v>
      </c>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row>
    <row r="6" spans="1:82" ht="18" customHeight="1" x14ac:dyDescent="0.25">
      <c r="A6" s="119" t="s">
        <v>129</v>
      </c>
      <c r="B6" s="124">
        <v>8</v>
      </c>
      <c r="C6" s="103"/>
      <c r="D6" s="48"/>
      <c r="E6" s="52"/>
      <c r="F6" s="52"/>
      <c r="G6" s="48"/>
      <c r="H6" s="48"/>
      <c r="I6" s="48"/>
      <c r="J6" s="121" t="s">
        <v>130</v>
      </c>
      <c r="K6" s="46">
        <v>37.5</v>
      </c>
      <c r="L6" s="121" t="s">
        <v>131</v>
      </c>
      <c r="M6" s="46">
        <v>25.4</v>
      </c>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82" ht="18" customHeight="1" x14ac:dyDescent="0.25">
      <c r="A7" s="204" t="s">
        <v>132</v>
      </c>
      <c r="B7" s="206"/>
      <c r="C7" s="103"/>
      <c r="D7" s="48"/>
      <c r="E7" s="52"/>
      <c r="F7" s="52"/>
      <c r="G7" s="48"/>
      <c r="H7" s="133"/>
      <c r="I7" s="48"/>
      <c r="J7" s="121" t="s">
        <v>133</v>
      </c>
      <c r="K7" s="46">
        <v>0.21</v>
      </c>
      <c r="L7" s="121" t="s">
        <v>134</v>
      </c>
      <c r="M7" s="46">
        <v>1.4E-3</v>
      </c>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row>
    <row r="8" spans="1:82" ht="18" customHeight="1" x14ac:dyDescent="0.25">
      <c r="A8" s="205"/>
      <c r="B8" s="207"/>
      <c r="C8" s="103"/>
      <c r="D8" s="48"/>
      <c r="E8" s="52"/>
      <c r="F8" s="52"/>
      <c r="G8" s="48"/>
      <c r="H8" s="133"/>
      <c r="I8" s="48"/>
      <c r="J8" s="121" t="s">
        <v>135</v>
      </c>
      <c r="K8" s="46">
        <v>2.5999999999999999E-2</v>
      </c>
      <c r="L8" s="121" t="s">
        <v>136</v>
      </c>
      <c r="M8" s="46">
        <v>8.3000000000000007</v>
      </c>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row>
    <row r="9" spans="1:82" ht="18" customHeight="1" x14ac:dyDescent="0.25">
      <c r="A9" s="119" t="s">
        <v>137</v>
      </c>
      <c r="B9" s="69" t="s">
        <v>305</v>
      </c>
      <c r="C9" s="103"/>
      <c r="D9" s="48"/>
      <c r="E9" s="52"/>
      <c r="F9" s="48"/>
      <c r="G9" s="48"/>
      <c r="H9" s="48"/>
      <c r="I9" s="48"/>
      <c r="J9" s="121" t="s">
        <v>138</v>
      </c>
      <c r="K9" s="46">
        <v>1.05</v>
      </c>
      <c r="L9" s="121" t="s">
        <v>139</v>
      </c>
      <c r="M9" s="46">
        <v>23.5</v>
      </c>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row>
    <row r="10" spans="1:82" ht="18" customHeight="1" x14ac:dyDescent="0.25">
      <c r="A10" s="119" t="s">
        <v>140</v>
      </c>
      <c r="B10" s="69" t="s">
        <v>165</v>
      </c>
      <c r="C10" s="103"/>
      <c r="D10" s="48"/>
      <c r="E10" s="48"/>
      <c r="F10" s="48"/>
      <c r="G10" s="48"/>
      <c r="H10" s="48"/>
      <c r="I10" s="48"/>
      <c r="J10" s="122" t="s">
        <v>228</v>
      </c>
      <c r="K10" s="46">
        <v>44</v>
      </c>
      <c r="L10" s="122" t="s">
        <v>316</v>
      </c>
      <c r="M10" s="46">
        <v>23.2</v>
      </c>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row>
    <row r="11" spans="1:82" ht="18" customHeight="1" x14ac:dyDescent="0.25">
      <c r="A11" s="129" t="s">
        <v>280</v>
      </c>
      <c r="B11" s="130">
        <f>B72</f>
        <v>16</v>
      </c>
      <c r="C11" s="48"/>
      <c r="D11" s="48"/>
      <c r="E11" s="48"/>
      <c r="F11" s="48"/>
      <c r="G11" s="48"/>
      <c r="H11" s="48"/>
      <c r="I11" s="48"/>
      <c r="J11" s="48"/>
      <c r="K11" s="48"/>
      <c r="L11" s="48"/>
      <c r="M11" s="48"/>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row>
    <row r="12" spans="1:82" ht="18" customHeight="1" x14ac:dyDescent="0.25">
      <c r="A12" s="48"/>
      <c r="B12" s="48"/>
      <c r="C12" s="48"/>
      <c r="D12" s="48"/>
      <c r="E12" s="48"/>
      <c r="F12" s="48"/>
      <c r="G12" s="48"/>
      <c r="H12" s="48"/>
      <c r="I12" s="48"/>
      <c r="J12" s="48"/>
      <c r="K12" s="48"/>
      <c r="L12" s="48"/>
      <c r="M12" s="48"/>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row>
    <row r="13" spans="1:82" s="64" customFormat="1" ht="18" customHeight="1" x14ac:dyDescent="0.25">
      <c r="A13" s="208" t="s">
        <v>230</v>
      </c>
      <c r="B13" s="209"/>
      <c r="C13" s="209"/>
      <c r="D13" s="209"/>
      <c r="E13" s="209"/>
      <c r="F13" s="209"/>
      <c r="G13" s="209"/>
      <c r="H13" s="209"/>
      <c r="I13" s="209"/>
      <c r="J13" s="209"/>
      <c r="K13" s="209"/>
      <c r="L13" s="209"/>
      <c r="M13" s="209"/>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row>
    <row r="14" spans="1:82" ht="33" customHeight="1" x14ac:dyDescent="0.25">
      <c r="A14" s="152" t="s">
        <v>141</v>
      </c>
      <c r="B14" s="152" t="s">
        <v>142</v>
      </c>
      <c r="C14" s="160" t="s">
        <v>143</v>
      </c>
      <c r="D14" s="153" t="s">
        <v>144</v>
      </c>
      <c r="E14" s="154"/>
      <c r="F14" s="155"/>
      <c r="G14" s="153" t="s">
        <v>145</v>
      </c>
      <c r="H14" s="154"/>
      <c r="I14" s="155"/>
      <c r="J14" s="99" t="s">
        <v>231</v>
      </c>
      <c r="K14" s="161" t="s">
        <v>192</v>
      </c>
      <c r="L14" s="161" t="s">
        <v>233</v>
      </c>
      <c r="M14" s="160" t="s">
        <v>141</v>
      </c>
      <c r="N14" s="40"/>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row>
    <row r="15" spans="1:82" ht="18" customHeight="1" x14ac:dyDescent="0.25">
      <c r="A15" s="152"/>
      <c r="B15" s="152"/>
      <c r="C15" s="152"/>
      <c r="D15" s="100" t="s">
        <v>146</v>
      </c>
      <c r="E15" s="100" t="s">
        <v>147</v>
      </c>
      <c r="F15" s="100" t="s">
        <v>148</v>
      </c>
      <c r="G15" s="100" t="s">
        <v>146</v>
      </c>
      <c r="H15" s="100" t="s">
        <v>147</v>
      </c>
      <c r="I15" s="100" t="s">
        <v>148</v>
      </c>
      <c r="J15" s="100" t="s">
        <v>148</v>
      </c>
      <c r="K15" s="152"/>
      <c r="L15" s="152"/>
      <c r="M15" s="152"/>
      <c r="N15" s="32"/>
      <c r="O15" s="33"/>
      <c r="P15" s="41"/>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row>
    <row r="16" spans="1:82" ht="18" customHeight="1" x14ac:dyDescent="0.25">
      <c r="A16" s="66" t="s">
        <v>2</v>
      </c>
      <c r="B16" s="60" t="s">
        <v>150</v>
      </c>
      <c r="C16" s="141"/>
      <c r="D16" s="60" t="s">
        <v>13</v>
      </c>
      <c r="E16" s="62">
        <f>D!I16</f>
        <v>2400</v>
      </c>
      <c r="F16" s="98">
        <f>E16</f>
        <v>2400</v>
      </c>
      <c r="G16" s="60" t="s">
        <v>13</v>
      </c>
      <c r="H16" s="62">
        <f>D!R16</f>
        <v>0</v>
      </c>
      <c r="I16" s="98">
        <f>H16</f>
        <v>0</v>
      </c>
      <c r="J16" s="98">
        <f>F16+I16</f>
        <v>2400</v>
      </c>
      <c r="K16" s="38">
        <f>D!Z16</f>
        <v>23000</v>
      </c>
      <c r="L16" s="98">
        <f>J16+K16</f>
        <v>25400</v>
      </c>
      <c r="M16" s="66" t="str">
        <f>A16</f>
        <v>台灣</v>
      </c>
      <c r="N16" s="32"/>
      <c r="O16" s="33"/>
      <c r="P16" s="42"/>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row>
    <row r="17" spans="1:82" ht="18" customHeight="1" x14ac:dyDescent="0.25">
      <c r="A17" s="66" t="s">
        <v>3</v>
      </c>
      <c r="B17" s="60" t="s">
        <v>150</v>
      </c>
      <c r="C17" s="141"/>
      <c r="D17" s="60" t="s">
        <v>14</v>
      </c>
      <c r="E17" s="62">
        <f>D!I17</f>
        <v>500</v>
      </c>
      <c r="F17" s="98">
        <f>E17*$M$5</f>
        <v>2425</v>
      </c>
      <c r="G17" s="60" t="s">
        <v>14</v>
      </c>
      <c r="H17" s="62">
        <f>D!R17</f>
        <v>950</v>
      </c>
      <c r="I17" s="98">
        <f>H17*$M$5</f>
        <v>4607.5</v>
      </c>
      <c r="J17" s="98">
        <f t="shared" ref="J17:J29" si="0">F17+I17</f>
        <v>7032.5</v>
      </c>
      <c r="K17" s="38">
        <f>D!Z17</f>
        <v>26000</v>
      </c>
      <c r="L17" s="98">
        <f t="shared" ref="L17:L29" si="1">J17+K17</f>
        <v>33032.5</v>
      </c>
      <c r="M17" s="66" t="str">
        <f t="shared" ref="M17:M29" si="2">A17</f>
        <v>大陸</v>
      </c>
      <c r="N17" s="32"/>
      <c r="O17" s="33"/>
      <c r="P17" s="42"/>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row>
    <row r="18" spans="1:82" ht="18" customHeight="1" x14ac:dyDescent="0.25">
      <c r="A18" s="66" t="s">
        <v>4</v>
      </c>
      <c r="B18" s="60" t="s">
        <v>150</v>
      </c>
      <c r="C18" s="141"/>
      <c r="D18" s="60" t="s">
        <v>15</v>
      </c>
      <c r="E18" s="62">
        <f>D!I18</f>
        <v>520</v>
      </c>
      <c r="F18" s="98">
        <f>E18*$K$5</f>
        <v>16744</v>
      </c>
      <c r="G18" s="60" t="s">
        <v>15</v>
      </c>
      <c r="H18" s="62">
        <f>D!R18</f>
        <v>650</v>
      </c>
      <c r="I18" s="98">
        <f>H18*$K$5</f>
        <v>20930.000000000004</v>
      </c>
      <c r="J18" s="98">
        <f t="shared" si="0"/>
        <v>37674</v>
      </c>
      <c r="K18" s="38">
        <f>D!Z18</f>
        <v>40000</v>
      </c>
      <c r="L18" s="98">
        <f t="shared" si="1"/>
        <v>77674</v>
      </c>
      <c r="M18" s="66" t="str">
        <f t="shared" si="2"/>
        <v>美國</v>
      </c>
      <c r="N18" s="32"/>
      <c r="O18" s="33"/>
      <c r="P18" s="42"/>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row>
    <row r="19" spans="1:82" ht="18" customHeight="1" x14ac:dyDescent="0.25">
      <c r="A19" s="66" t="s">
        <v>107</v>
      </c>
      <c r="B19" s="60" t="s">
        <v>150</v>
      </c>
      <c r="C19" s="141"/>
      <c r="D19" s="60" t="s">
        <v>16</v>
      </c>
      <c r="E19" s="62">
        <f>D!I19</f>
        <v>350</v>
      </c>
      <c r="F19" s="98">
        <f>E19*$K$6</f>
        <v>13125</v>
      </c>
      <c r="G19" s="60" t="s">
        <v>16</v>
      </c>
      <c r="H19" s="62">
        <f>D!R19</f>
        <v>150</v>
      </c>
      <c r="I19" s="98">
        <f>H19*$K$6</f>
        <v>5625</v>
      </c>
      <c r="J19" s="98">
        <f t="shared" si="0"/>
        <v>18750</v>
      </c>
      <c r="K19" s="38">
        <f>D!Z19</f>
        <v>30000</v>
      </c>
      <c r="L19" s="98">
        <f t="shared" si="1"/>
        <v>48750</v>
      </c>
      <c r="M19" s="66" t="str">
        <f t="shared" si="2"/>
        <v>歐盟</v>
      </c>
      <c r="N19" s="32"/>
      <c r="O19" s="33"/>
      <c r="P19" s="42"/>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row>
    <row r="20" spans="1:82" ht="18" customHeight="1" x14ac:dyDescent="0.25">
      <c r="A20" s="66" t="s">
        <v>224</v>
      </c>
      <c r="B20" s="60" t="s">
        <v>150</v>
      </c>
      <c r="C20" s="141"/>
      <c r="D20" s="60" t="s">
        <v>225</v>
      </c>
      <c r="E20" s="62">
        <f>D!I20</f>
        <v>50</v>
      </c>
      <c r="F20" s="98">
        <f>E20*$K$10</f>
        <v>2200</v>
      </c>
      <c r="G20" s="60" t="s">
        <v>16</v>
      </c>
      <c r="H20" s="62">
        <f>D!R20</f>
        <v>160</v>
      </c>
      <c r="I20" s="98">
        <f>H20*$K$6</f>
        <v>6000</v>
      </c>
      <c r="J20" s="98">
        <f t="shared" si="0"/>
        <v>8200</v>
      </c>
      <c r="K20" s="38">
        <f>D!Z20</f>
        <v>30000</v>
      </c>
      <c r="L20" s="98">
        <f t="shared" si="1"/>
        <v>38200</v>
      </c>
      <c r="M20" s="66" t="str">
        <f>A20</f>
        <v>英國</v>
      </c>
      <c r="N20" s="32"/>
      <c r="O20" s="33"/>
      <c r="P20" s="42"/>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row>
    <row r="21" spans="1:82" ht="18" customHeight="1" x14ac:dyDescent="0.25">
      <c r="A21" s="66" t="s">
        <v>5</v>
      </c>
      <c r="B21" s="60" t="s">
        <v>150</v>
      </c>
      <c r="C21" s="141"/>
      <c r="D21" s="60" t="s">
        <v>17</v>
      </c>
      <c r="E21" s="62">
        <f>D!I21</f>
        <v>16000</v>
      </c>
      <c r="F21" s="98">
        <f>E21*$K$7</f>
        <v>3360</v>
      </c>
      <c r="G21" s="60" t="s">
        <v>17</v>
      </c>
      <c r="H21" s="62">
        <f>D!R21</f>
        <v>93200</v>
      </c>
      <c r="I21" s="98">
        <f>H21*$K$7</f>
        <v>19572</v>
      </c>
      <c r="J21" s="98">
        <f t="shared" si="0"/>
        <v>22932</v>
      </c>
      <c r="K21" s="38">
        <f>D!Z21</f>
        <v>30000</v>
      </c>
      <c r="L21" s="98">
        <f t="shared" si="1"/>
        <v>52932</v>
      </c>
      <c r="M21" s="66" t="str">
        <f t="shared" si="2"/>
        <v>日本</v>
      </c>
      <c r="N21" s="32"/>
      <c r="O21" s="33"/>
      <c r="P21" s="42"/>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row>
    <row r="22" spans="1:82" ht="18" customHeight="1" x14ac:dyDescent="0.25">
      <c r="A22" s="66" t="s">
        <v>6</v>
      </c>
      <c r="B22" s="60" t="s">
        <v>150</v>
      </c>
      <c r="C22" s="141"/>
      <c r="D22" s="60" t="s">
        <v>18</v>
      </c>
      <c r="E22" s="62">
        <f>D!I22</f>
        <v>94000</v>
      </c>
      <c r="F22" s="98">
        <f>E22*$K$8</f>
        <v>2444</v>
      </c>
      <c r="G22" s="60" t="s">
        <v>15</v>
      </c>
      <c r="H22" s="62">
        <f>D!R22</f>
        <v>700</v>
      </c>
      <c r="I22" s="98">
        <f>H22*$K$5</f>
        <v>22540.000000000004</v>
      </c>
      <c r="J22" s="98">
        <f t="shared" si="0"/>
        <v>24984.000000000004</v>
      </c>
      <c r="K22" s="38">
        <f>D!Z22</f>
        <v>30000</v>
      </c>
      <c r="L22" s="98">
        <f t="shared" si="1"/>
        <v>54984</v>
      </c>
      <c r="M22" s="66" t="str">
        <f t="shared" si="2"/>
        <v>韓國</v>
      </c>
      <c r="N22" s="32"/>
      <c r="O22" s="33"/>
      <c r="P22" s="42"/>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row>
    <row r="23" spans="1:82" ht="18" customHeight="1" x14ac:dyDescent="0.25">
      <c r="A23" s="102" t="s">
        <v>35</v>
      </c>
      <c r="B23" s="101" t="s">
        <v>163</v>
      </c>
      <c r="C23" s="141"/>
      <c r="D23" s="60" t="s">
        <v>36</v>
      </c>
      <c r="E23" s="62">
        <f>D!I23</f>
        <v>591.95000000000005</v>
      </c>
      <c r="F23" s="98">
        <f>E23*$M$9</f>
        <v>13910.825000000001</v>
      </c>
      <c r="G23" s="60" t="s">
        <v>36</v>
      </c>
      <c r="H23" s="62">
        <f>D!R23</f>
        <v>915</v>
      </c>
      <c r="I23" s="98">
        <f>H23*$M$9</f>
        <v>21502.5</v>
      </c>
      <c r="J23" s="98">
        <f>F23+I23</f>
        <v>35413.324999999997</v>
      </c>
      <c r="K23" s="38">
        <f>D!Z23</f>
        <v>30000</v>
      </c>
      <c r="L23" s="98">
        <f>J23+K23</f>
        <v>65413.324999999997</v>
      </c>
      <c r="M23" s="102" t="str">
        <f>A23</f>
        <v>加拿大</v>
      </c>
      <c r="N23" s="37"/>
      <c r="O23" s="33"/>
      <c r="P23" s="4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row>
    <row r="24" spans="1:82" ht="18" customHeight="1" x14ac:dyDescent="0.25">
      <c r="A24" s="66" t="s">
        <v>315</v>
      </c>
      <c r="B24" s="60" t="s">
        <v>150</v>
      </c>
      <c r="C24" s="141"/>
      <c r="D24" s="60" t="s">
        <v>317</v>
      </c>
      <c r="E24" s="62">
        <f>D!I24</f>
        <v>200</v>
      </c>
      <c r="F24" s="98">
        <f>E24*$M$10</f>
        <v>4640</v>
      </c>
      <c r="G24" s="60" t="s">
        <v>317</v>
      </c>
      <c r="H24" s="62">
        <f>D!R24</f>
        <v>1390</v>
      </c>
      <c r="I24" s="98">
        <f>H24*$M$10</f>
        <v>32248</v>
      </c>
      <c r="J24" s="98">
        <f>F24+I24</f>
        <v>36888</v>
      </c>
      <c r="K24" s="38">
        <f>D!Z24</f>
        <v>30000</v>
      </c>
      <c r="L24" s="98">
        <f>J24+K24</f>
        <v>66888</v>
      </c>
      <c r="M24" s="66" t="str">
        <f>A24</f>
        <v>澳洲</v>
      </c>
      <c r="N24" s="131" t="str">
        <f>IF(D!$C$24=FALSE,"",IF(選項!$K$2=1,"注意：澳洲尚未開放申請各種「圖像設計」之設計專利",""))</f>
        <v/>
      </c>
      <c r="O24" s="33"/>
      <c r="P24" s="42"/>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row>
    <row r="25" spans="1:82" ht="18" customHeight="1" x14ac:dyDescent="0.25">
      <c r="A25" s="66" t="s">
        <v>7</v>
      </c>
      <c r="B25" s="60" t="s">
        <v>150</v>
      </c>
      <c r="C25" s="141"/>
      <c r="D25" s="60" t="s">
        <v>19</v>
      </c>
      <c r="E25" s="62">
        <f>D!I25</f>
        <v>200</v>
      </c>
      <c r="F25" s="98">
        <f>E25*$M$6</f>
        <v>5080</v>
      </c>
      <c r="G25" s="60" t="s">
        <v>19</v>
      </c>
      <c r="H25" s="62">
        <f>D!R25</f>
        <v>550</v>
      </c>
      <c r="I25" s="98">
        <f>H25*$M$6</f>
        <v>13970</v>
      </c>
      <c r="J25" s="98">
        <f t="shared" si="0"/>
        <v>19050</v>
      </c>
      <c r="K25" s="38">
        <f>D!Z25</f>
        <v>30000</v>
      </c>
      <c r="L25" s="98">
        <f t="shared" si="1"/>
        <v>49050</v>
      </c>
      <c r="M25" s="66" t="str">
        <f t="shared" si="2"/>
        <v>新加坡</v>
      </c>
      <c r="N25" s="32"/>
      <c r="O25" s="33"/>
      <c r="P25" s="42"/>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row>
    <row r="26" spans="1:82" ht="18" customHeight="1" x14ac:dyDescent="0.25">
      <c r="A26" s="66" t="s">
        <v>10</v>
      </c>
      <c r="B26" s="60" t="s">
        <v>150</v>
      </c>
      <c r="C26" s="141"/>
      <c r="D26" s="60" t="s">
        <v>22</v>
      </c>
      <c r="E26" s="62">
        <f>D!I26</f>
        <v>2100</v>
      </c>
      <c r="F26" s="98">
        <f>E26*$M$8</f>
        <v>17430</v>
      </c>
      <c r="G26" s="60" t="s">
        <v>22</v>
      </c>
      <c r="H26" s="62">
        <f>D!R26</f>
        <v>1100</v>
      </c>
      <c r="I26" s="98">
        <f>H26*$M$8</f>
        <v>9130</v>
      </c>
      <c r="J26" s="98">
        <f>F26+I26</f>
        <v>26560</v>
      </c>
      <c r="K26" s="38">
        <f>D!Z26</f>
        <v>30000</v>
      </c>
      <c r="L26" s="98">
        <f>J26+K26</f>
        <v>56560</v>
      </c>
      <c r="M26" s="66" t="str">
        <f>A26</f>
        <v>馬來西亞</v>
      </c>
      <c r="N26" s="131" t="str">
        <f>IF(D!$C$26=FALSE,"",IF(選項!$K$2=1,"注意：馬來西亞不允許申請「動態GUI」之設計專利",""))</f>
        <v/>
      </c>
      <c r="O26" s="33"/>
      <c r="P26" s="42"/>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row>
    <row r="27" spans="1:82" ht="18" customHeight="1" x14ac:dyDescent="0.25">
      <c r="A27" s="66" t="s">
        <v>116</v>
      </c>
      <c r="B27" s="60" t="s">
        <v>150</v>
      </c>
      <c r="C27" s="141"/>
      <c r="D27" s="60" t="s">
        <v>15</v>
      </c>
      <c r="E27" s="62">
        <f>D!I27</f>
        <v>103</v>
      </c>
      <c r="F27" s="98">
        <f>E27*$K$5</f>
        <v>3316.6000000000004</v>
      </c>
      <c r="G27" s="60" t="s">
        <v>15</v>
      </c>
      <c r="H27" s="62">
        <f>D!R27</f>
        <v>330</v>
      </c>
      <c r="I27" s="98">
        <f>H27*$K$5</f>
        <v>10626.000000000002</v>
      </c>
      <c r="J27" s="98">
        <f t="shared" si="0"/>
        <v>13942.600000000002</v>
      </c>
      <c r="K27" s="38">
        <f>D!Z27</f>
        <v>40000</v>
      </c>
      <c r="L27" s="98">
        <f t="shared" si="1"/>
        <v>53942.600000000006</v>
      </c>
      <c r="M27" s="66" t="str">
        <f>A27</f>
        <v>菲律賓</v>
      </c>
      <c r="N27" s="32"/>
      <c r="O27" s="33"/>
      <c r="P27" s="42"/>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row>
    <row r="28" spans="1:82" ht="18" customHeight="1" x14ac:dyDescent="0.25">
      <c r="A28" s="66" t="s">
        <v>96</v>
      </c>
      <c r="B28" s="60" t="s">
        <v>150</v>
      </c>
      <c r="C28" s="141"/>
      <c r="D28" s="60" t="s">
        <v>15</v>
      </c>
      <c r="E28" s="62">
        <f>D!I28</f>
        <v>80</v>
      </c>
      <c r="F28" s="98">
        <f>E28*$K$5</f>
        <v>2576</v>
      </c>
      <c r="G28" s="60" t="s">
        <v>15</v>
      </c>
      <c r="H28" s="62">
        <f>D!R28</f>
        <v>580</v>
      </c>
      <c r="I28" s="98">
        <f>H28*$K$5</f>
        <v>18676</v>
      </c>
      <c r="J28" s="98">
        <f>F28+I28</f>
        <v>21252</v>
      </c>
      <c r="K28" s="38">
        <f>D!Z28</f>
        <v>30000</v>
      </c>
      <c r="L28" s="98">
        <f>J28+K28</f>
        <v>51252</v>
      </c>
      <c r="M28" s="66" t="str">
        <f>A28</f>
        <v>印尼</v>
      </c>
      <c r="N28" s="32"/>
      <c r="O28" s="33"/>
      <c r="P28" s="42"/>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row>
    <row r="29" spans="1:82" ht="18" customHeight="1" x14ac:dyDescent="0.25">
      <c r="A29" s="66" t="s">
        <v>8</v>
      </c>
      <c r="B29" s="60" t="s">
        <v>150</v>
      </c>
      <c r="C29" s="141"/>
      <c r="D29" s="60" t="s">
        <v>20</v>
      </c>
      <c r="E29" s="62">
        <f>D!I29</f>
        <v>1870000</v>
      </c>
      <c r="F29" s="98">
        <f>E29*$M$7</f>
        <v>2618</v>
      </c>
      <c r="G29" s="60" t="s">
        <v>15</v>
      </c>
      <c r="H29" s="62">
        <f>D!R29</f>
        <v>539</v>
      </c>
      <c r="I29" s="98">
        <f>H29*$K$5</f>
        <v>17355.800000000003</v>
      </c>
      <c r="J29" s="98">
        <f t="shared" si="0"/>
        <v>19973.800000000003</v>
      </c>
      <c r="K29" s="38">
        <f>D!Z29</f>
        <v>30000</v>
      </c>
      <c r="L29" s="98">
        <f t="shared" si="1"/>
        <v>49973.8</v>
      </c>
      <c r="M29" s="66" t="str">
        <f t="shared" si="2"/>
        <v>越南</v>
      </c>
      <c r="N29" s="131" t="str">
        <f>IF(D!$C$29=FALSE,"",IF(選項!$K$2=1,"注意：越南尚未開放申請各種「圖像設計」之設計專利",""))</f>
        <v/>
      </c>
      <c r="O29" s="33"/>
      <c r="P29" s="42"/>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row>
    <row r="30" spans="1:82" ht="18" customHeight="1" x14ac:dyDescent="0.25">
      <c r="A30" s="66" t="s">
        <v>9</v>
      </c>
      <c r="B30" s="60" t="s">
        <v>150</v>
      </c>
      <c r="C30" s="141"/>
      <c r="D30" s="60" t="s">
        <v>21</v>
      </c>
      <c r="E30" s="62">
        <f>D!I30</f>
        <v>250</v>
      </c>
      <c r="F30" s="98">
        <f>E30*$K$9</f>
        <v>262.5</v>
      </c>
      <c r="G30" s="60" t="s">
        <v>21</v>
      </c>
      <c r="H30" s="62">
        <f>D!R30</f>
        <v>18500</v>
      </c>
      <c r="I30" s="98">
        <f>H30*$K$9</f>
        <v>19425</v>
      </c>
      <c r="J30" s="98">
        <f t="shared" ref="J30:J31" si="3">F30+I30</f>
        <v>19687.5</v>
      </c>
      <c r="K30" s="38">
        <f>D!Z30</f>
        <v>30000</v>
      </c>
      <c r="L30" s="98">
        <f t="shared" ref="L30:L31" si="4">J30+K30</f>
        <v>49687.5</v>
      </c>
      <c r="M30" s="66" t="str">
        <f t="shared" ref="M30:M31" si="5">A30</f>
        <v>泰國</v>
      </c>
      <c r="N30" s="131" t="str">
        <f>IF(D!$C$30=FALSE,"",IF(選項!$K$2=1,"注意：泰國不允許申請「動態GUI」之設計專利",""))</f>
        <v/>
      </c>
      <c r="O30" s="33"/>
      <c r="P30" s="42"/>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row>
    <row r="31" spans="1:82" ht="18" customHeight="1" x14ac:dyDescent="0.25">
      <c r="A31" s="66" t="s">
        <v>309</v>
      </c>
      <c r="B31" s="60" t="s">
        <v>150</v>
      </c>
      <c r="C31" s="141"/>
      <c r="D31" s="60" t="s">
        <v>15</v>
      </c>
      <c r="E31" s="62">
        <f>D!I31</f>
        <v>57</v>
      </c>
      <c r="F31" s="98">
        <f>E31*$K$5</f>
        <v>1835.4</v>
      </c>
      <c r="G31" s="60" t="s">
        <v>15</v>
      </c>
      <c r="H31" s="62">
        <f>D!R31</f>
        <v>250</v>
      </c>
      <c r="I31" s="98">
        <f>H31*$K$5</f>
        <v>8050.0000000000009</v>
      </c>
      <c r="J31" s="98">
        <f t="shared" si="3"/>
        <v>9885.4000000000015</v>
      </c>
      <c r="K31" s="38">
        <f>D!Z31</f>
        <v>30000</v>
      </c>
      <c r="L31" s="98">
        <f t="shared" si="4"/>
        <v>39885.4</v>
      </c>
      <c r="M31" s="66" t="str">
        <f t="shared" si="5"/>
        <v>印度</v>
      </c>
      <c r="N31" s="131"/>
      <c r="O31" s="33"/>
      <c r="P31" s="42"/>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row>
    <row r="32" spans="1:82" ht="18.75" x14ac:dyDescent="0.25">
      <c r="A32" s="66" t="s">
        <v>280</v>
      </c>
      <c r="B32" s="128">
        <f>B72</f>
        <v>16</v>
      </c>
      <c r="C32" s="53"/>
      <c r="D32" s="53"/>
      <c r="E32" s="54" t="s">
        <v>164</v>
      </c>
      <c r="F32" s="55">
        <f>SUM(F16:F31)</f>
        <v>94367.324999999997</v>
      </c>
      <c r="G32" s="53"/>
      <c r="H32" s="54" t="s">
        <v>164</v>
      </c>
      <c r="I32" s="56">
        <f>SUM(I16:I31)</f>
        <v>230257.8</v>
      </c>
      <c r="J32" s="57">
        <f>SUM(J16:J31)</f>
        <v>324625.12500000006</v>
      </c>
      <c r="K32" s="58">
        <f>SUM(K16:K31)</f>
        <v>489000</v>
      </c>
      <c r="L32" s="59">
        <f>SUM(L16:L31)</f>
        <v>813625.125</v>
      </c>
      <c r="M32" s="66"/>
      <c r="N32" s="32"/>
      <c r="O32" s="33"/>
      <c r="P32" s="4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row>
    <row r="33" spans="1:114" s="137" customFormat="1" ht="18" customHeight="1" x14ac:dyDescent="0.25">
      <c r="A33" s="103" t="s">
        <v>42</v>
      </c>
      <c r="B33" s="103"/>
      <c r="C33" s="103"/>
      <c r="D33" s="103"/>
      <c r="E33" s="103"/>
      <c r="F33" s="103"/>
      <c r="G33" s="103"/>
      <c r="H33" s="103"/>
      <c r="I33" s="103"/>
      <c r="J33" s="103"/>
      <c r="K33" s="103"/>
      <c r="L33" s="103"/>
      <c r="M33" s="103"/>
      <c r="N33" s="135"/>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row>
    <row r="34" spans="1:114" s="137" customFormat="1" ht="18" customHeight="1" x14ac:dyDescent="0.25">
      <c r="A34" s="104" t="s">
        <v>307</v>
      </c>
      <c r="B34" s="103"/>
      <c r="C34" s="103"/>
      <c r="D34" s="103"/>
      <c r="E34" s="103"/>
      <c r="F34" s="103"/>
      <c r="G34" s="103"/>
      <c r="H34" s="103"/>
      <c r="I34" s="103"/>
      <c r="J34" s="103"/>
      <c r="K34" s="103"/>
      <c r="L34" s="103"/>
      <c r="M34" s="103"/>
      <c r="N34" s="135"/>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c r="BY34" s="136"/>
      <c r="BZ34" s="136"/>
      <c r="CA34" s="136"/>
      <c r="CB34" s="136"/>
      <c r="CC34" s="136"/>
      <c r="CD34" s="136"/>
    </row>
    <row r="35" spans="1:114" s="137" customFormat="1" ht="18" customHeight="1" x14ac:dyDescent="0.25">
      <c r="A35" s="103" t="s">
        <v>290</v>
      </c>
      <c r="B35" s="103"/>
      <c r="C35" s="103"/>
      <c r="D35" s="103"/>
      <c r="E35" s="103"/>
      <c r="F35" s="103"/>
      <c r="G35" s="103"/>
      <c r="H35" s="103"/>
      <c r="I35" s="103"/>
      <c r="J35" s="103"/>
      <c r="K35" s="103"/>
      <c r="L35" s="103"/>
      <c r="M35" s="103"/>
      <c r="N35" s="135"/>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6"/>
      <c r="CD35" s="136"/>
    </row>
    <row r="36" spans="1:114" s="137" customFormat="1" ht="18" customHeight="1" x14ac:dyDescent="0.25">
      <c r="A36" s="103" t="s">
        <v>291</v>
      </c>
      <c r="B36" s="103"/>
      <c r="C36" s="103"/>
      <c r="D36" s="103"/>
      <c r="E36" s="103"/>
      <c r="F36" s="103"/>
      <c r="G36" s="103"/>
      <c r="H36" s="103"/>
      <c r="I36" s="103"/>
      <c r="J36" s="103"/>
      <c r="K36" s="103"/>
      <c r="L36" s="103"/>
      <c r="M36" s="103"/>
      <c r="N36" s="135"/>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row>
    <row r="37" spans="1:114" s="137" customFormat="1" ht="18" customHeight="1" x14ac:dyDescent="0.25">
      <c r="A37" s="103" t="s">
        <v>292</v>
      </c>
      <c r="B37" s="103"/>
      <c r="C37" s="103"/>
      <c r="D37" s="103"/>
      <c r="E37" s="103"/>
      <c r="F37" s="103"/>
      <c r="G37" s="103"/>
      <c r="H37" s="103"/>
      <c r="I37" s="103"/>
      <c r="J37" s="103"/>
      <c r="K37" s="103"/>
      <c r="L37" s="103"/>
      <c r="M37" s="103"/>
      <c r="N37" s="135"/>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6"/>
      <c r="BP37" s="136"/>
      <c r="BQ37" s="136"/>
      <c r="BR37" s="136"/>
      <c r="BS37" s="136"/>
      <c r="BT37" s="136"/>
      <c r="BU37" s="136"/>
      <c r="BV37" s="136"/>
      <c r="BW37" s="136"/>
      <c r="BX37" s="136"/>
      <c r="BY37" s="136"/>
      <c r="BZ37" s="136"/>
      <c r="CA37" s="136"/>
      <c r="CB37" s="136"/>
      <c r="CC37" s="136"/>
      <c r="CD37" s="136"/>
    </row>
    <row r="38" spans="1:114" s="137" customFormat="1" ht="18" customHeight="1" x14ac:dyDescent="0.25">
      <c r="A38" s="103" t="s">
        <v>293</v>
      </c>
      <c r="B38" s="103"/>
      <c r="C38" s="103"/>
      <c r="D38" s="103"/>
      <c r="E38" s="103"/>
      <c r="F38" s="103"/>
      <c r="G38" s="103"/>
      <c r="H38" s="103"/>
      <c r="I38" s="103"/>
      <c r="J38" s="103"/>
      <c r="K38" s="103"/>
      <c r="L38" s="103"/>
      <c r="M38" s="103"/>
      <c r="N38" s="134"/>
      <c r="O38" s="134"/>
      <c r="P38" s="134"/>
      <c r="Q38" s="134"/>
      <c r="R38" s="134"/>
      <c r="S38" s="134"/>
      <c r="T38" s="134"/>
      <c r="U38" s="134"/>
      <c r="V38" s="134"/>
      <c r="W38" s="134"/>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c r="BB38" s="136"/>
      <c r="BC38" s="136"/>
      <c r="BD38" s="136"/>
      <c r="BE38" s="136"/>
      <c r="BF38" s="136"/>
      <c r="BG38" s="136"/>
      <c r="BH38" s="136"/>
      <c r="BI38" s="136"/>
      <c r="BJ38" s="136"/>
      <c r="BK38" s="136"/>
      <c r="BL38" s="136"/>
      <c r="BM38" s="136"/>
      <c r="BN38" s="136"/>
      <c r="BO38" s="136"/>
      <c r="BP38" s="136"/>
      <c r="BQ38" s="136"/>
      <c r="BR38" s="136"/>
      <c r="BS38" s="136"/>
      <c r="BT38" s="136"/>
      <c r="BU38" s="136"/>
      <c r="BV38" s="136"/>
      <c r="BW38" s="136"/>
      <c r="BX38" s="136"/>
      <c r="BY38" s="136"/>
      <c r="BZ38" s="136"/>
      <c r="CA38" s="136"/>
      <c r="CB38" s="136"/>
      <c r="CC38" s="136"/>
      <c r="CD38" s="136"/>
    </row>
    <row r="39" spans="1:114" s="137" customFormat="1" ht="18" customHeight="1" x14ac:dyDescent="0.25">
      <c r="A39" s="105" t="s">
        <v>283</v>
      </c>
      <c r="B39" s="103"/>
      <c r="C39" s="103"/>
      <c r="D39" s="103"/>
      <c r="E39" s="103"/>
      <c r="F39" s="103"/>
      <c r="G39" s="103"/>
      <c r="H39" s="103"/>
      <c r="I39" s="103"/>
      <c r="J39" s="103"/>
      <c r="K39" s="103"/>
      <c r="L39" s="103"/>
      <c r="M39" s="103"/>
      <c r="N39" s="134"/>
      <c r="O39" s="134"/>
      <c r="P39" s="134"/>
      <c r="Q39" s="134"/>
      <c r="R39" s="134"/>
      <c r="S39" s="134"/>
      <c r="T39" s="134"/>
      <c r="U39" s="134"/>
      <c r="V39" s="134"/>
      <c r="W39" s="134"/>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6"/>
      <c r="BY39" s="136"/>
      <c r="BZ39" s="136"/>
      <c r="CA39" s="136"/>
      <c r="CB39" s="136"/>
      <c r="CC39" s="136"/>
      <c r="CD39" s="136"/>
    </row>
    <row r="40" spans="1:114" s="137" customFormat="1" ht="18" customHeight="1" x14ac:dyDescent="0.25">
      <c r="A40" s="103" t="s">
        <v>318</v>
      </c>
      <c r="B40" s="103"/>
      <c r="C40" s="103"/>
      <c r="D40" s="103"/>
      <c r="E40" s="103"/>
      <c r="F40" s="103"/>
      <c r="G40" s="103"/>
      <c r="H40" s="103"/>
      <c r="I40" s="103"/>
      <c r="J40" s="103"/>
      <c r="K40" s="103"/>
      <c r="L40" s="103"/>
      <c r="M40" s="103"/>
      <c r="N40" s="134"/>
      <c r="O40" s="134"/>
      <c r="P40" s="134"/>
      <c r="Q40" s="134"/>
      <c r="R40" s="134"/>
      <c r="S40" s="134"/>
      <c r="T40" s="134"/>
      <c r="U40" s="134"/>
      <c r="V40" s="134"/>
      <c r="W40" s="134"/>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c r="BQ40" s="136"/>
      <c r="BR40" s="136"/>
      <c r="BS40" s="136"/>
      <c r="BT40" s="136"/>
      <c r="BU40" s="136"/>
      <c r="BV40" s="136"/>
      <c r="BW40" s="136"/>
      <c r="BX40" s="136"/>
      <c r="BY40" s="136"/>
      <c r="BZ40" s="136"/>
      <c r="CA40" s="136"/>
      <c r="CB40" s="136"/>
      <c r="CC40" s="136"/>
      <c r="CD40" s="136"/>
    </row>
    <row r="41" spans="1:114" s="137" customFormat="1" ht="18" customHeight="1" x14ac:dyDescent="0.25">
      <c r="A41" s="103" t="s">
        <v>310</v>
      </c>
      <c r="B41" s="103"/>
      <c r="C41" s="103"/>
      <c r="D41" s="103"/>
      <c r="E41" s="103"/>
      <c r="F41" s="103"/>
      <c r="G41" s="103"/>
      <c r="H41" s="103"/>
      <c r="I41" s="103"/>
      <c r="J41" s="103"/>
      <c r="K41" s="103"/>
      <c r="L41" s="103"/>
      <c r="M41" s="103"/>
      <c r="N41" s="134"/>
      <c r="O41" s="134"/>
      <c r="P41" s="134"/>
      <c r="Q41" s="134"/>
      <c r="R41" s="134"/>
      <c r="S41" s="134"/>
      <c r="T41" s="134"/>
      <c r="U41" s="134"/>
      <c r="V41" s="134"/>
      <c r="W41" s="134"/>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6"/>
      <c r="BP41" s="136"/>
      <c r="BQ41" s="136"/>
      <c r="BR41" s="136"/>
      <c r="BS41" s="136"/>
      <c r="BT41" s="136"/>
      <c r="BU41" s="136"/>
      <c r="BV41" s="136"/>
      <c r="BW41" s="136"/>
      <c r="BX41" s="136"/>
      <c r="BY41" s="136"/>
      <c r="BZ41" s="136"/>
      <c r="CA41" s="136"/>
      <c r="CB41" s="136"/>
      <c r="CC41" s="136"/>
      <c r="CD41" s="136"/>
    </row>
    <row r="42" spans="1:114" s="137" customFormat="1" ht="18" customHeight="1" x14ac:dyDescent="0.25">
      <c r="A42" s="103" t="s">
        <v>284</v>
      </c>
      <c r="B42" s="103"/>
      <c r="C42" s="103"/>
      <c r="D42" s="103"/>
      <c r="E42" s="103"/>
      <c r="F42" s="103"/>
      <c r="G42" s="103"/>
      <c r="H42" s="103"/>
      <c r="I42" s="103"/>
      <c r="J42" s="103"/>
      <c r="K42" s="103"/>
      <c r="L42" s="103"/>
      <c r="M42" s="103"/>
      <c r="N42" s="134"/>
      <c r="O42" s="134"/>
      <c r="P42" s="134"/>
      <c r="Q42" s="134"/>
      <c r="R42" s="134"/>
      <c r="S42" s="134"/>
      <c r="T42" s="134"/>
      <c r="U42" s="134"/>
      <c r="V42" s="134"/>
      <c r="W42" s="134"/>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6"/>
      <c r="CB42" s="136"/>
      <c r="CC42" s="136"/>
      <c r="CD42" s="136"/>
    </row>
    <row r="43" spans="1:114" s="137" customFormat="1" ht="18" customHeight="1" x14ac:dyDescent="0.25">
      <c r="A43" s="103" t="s">
        <v>285</v>
      </c>
      <c r="B43" s="103"/>
      <c r="C43" s="103"/>
      <c r="D43" s="103"/>
      <c r="E43" s="103"/>
      <c r="F43" s="103"/>
      <c r="G43" s="103"/>
      <c r="H43" s="103"/>
      <c r="I43" s="103"/>
      <c r="J43" s="103"/>
      <c r="K43" s="103"/>
      <c r="L43" s="103"/>
      <c r="M43" s="103"/>
      <c r="N43" s="134"/>
      <c r="O43" s="134"/>
      <c r="P43" s="134"/>
      <c r="Q43" s="134"/>
      <c r="R43" s="134"/>
      <c r="S43" s="134"/>
      <c r="T43" s="134"/>
      <c r="U43" s="134"/>
      <c r="V43" s="134"/>
      <c r="W43" s="134"/>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c r="BC43" s="136"/>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row>
    <row r="44" spans="1:114" s="137" customFormat="1" ht="18" customHeight="1" x14ac:dyDescent="0.25">
      <c r="A44" s="106" t="s">
        <v>286</v>
      </c>
      <c r="B44" s="103"/>
      <c r="C44" s="103"/>
      <c r="D44" s="103"/>
      <c r="E44" s="103"/>
      <c r="F44" s="103"/>
      <c r="G44" s="103"/>
      <c r="H44" s="103"/>
      <c r="I44" s="103"/>
      <c r="J44" s="103"/>
      <c r="K44" s="103"/>
      <c r="L44" s="103"/>
      <c r="M44" s="103"/>
      <c r="N44" s="134"/>
      <c r="O44" s="134"/>
      <c r="P44" s="134"/>
      <c r="Q44" s="134"/>
      <c r="R44" s="134"/>
      <c r="S44" s="134"/>
      <c r="T44" s="134"/>
      <c r="U44" s="134"/>
      <c r="V44" s="134"/>
      <c r="W44" s="134"/>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row>
    <row r="45" spans="1:114" s="137" customFormat="1" ht="18" customHeight="1" x14ac:dyDescent="0.25">
      <c r="A45" s="106" t="s">
        <v>287</v>
      </c>
      <c r="B45" s="103"/>
      <c r="C45" s="103"/>
      <c r="D45" s="103"/>
      <c r="E45" s="103"/>
      <c r="F45" s="103"/>
      <c r="G45" s="103"/>
      <c r="H45" s="103"/>
      <c r="I45" s="103"/>
      <c r="J45" s="103"/>
      <c r="K45" s="103"/>
      <c r="L45" s="103"/>
      <c r="M45" s="103"/>
      <c r="N45" s="134"/>
      <c r="O45" s="134"/>
      <c r="P45" s="134"/>
      <c r="Q45" s="134"/>
      <c r="R45" s="134"/>
      <c r="S45" s="134"/>
      <c r="T45" s="134"/>
      <c r="U45" s="134"/>
      <c r="V45" s="134"/>
      <c r="W45" s="134"/>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row>
    <row r="46" spans="1:114" s="140" customFormat="1" ht="18" customHeight="1" x14ac:dyDescent="0.25">
      <c r="A46" s="106" t="s">
        <v>320</v>
      </c>
      <c r="B46" s="138"/>
      <c r="C46" s="139"/>
      <c r="D46" s="138"/>
      <c r="E46" s="138"/>
      <c r="F46" s="138"/>
      <c r="G46" s="138"/>
      <c r="H46" s="138"/>
      <c r="I46" s="138"/>
      <c r="J46" s="138"/>
      <c r="K46" s="138"/>
      <c r="L46" s="138"/>
      <c r="M46" s="138"/>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c r="BV46" s="134"/>
      <c r="BW46" s="134"/>
      <c r="BX46" s="134"/>
      <c r="BY46" s="134"/>
      <c r="BZ46" s="134"/>
      <c r="CA46" s="134"/>
      <c r="CB46" s="134"/>
      <c r="CC46" s="134"/>
      <c r="CD46" s="134"/>
    </row>
    <row r="47" spans="1:114" s="137" customFormat="1" ht="16.5" x14ac:dyDescent="0.25">
      <c r="A47" s="103" t="s">
        <v>311</v>
      </c>
      <c r="B47" s="103"/>
      <c r="C47" s="103"/>
      <c r="D47" s="103"/>
      <c r="E47" s="103"/>
      <c r="F47" s="103"/>
      <c r="G47" s="103"/>
      <c r="H47" s="103"/>
      <c r="I47" s="103"/>
      <c r="J47" s="103"/>
      <c r="K47" s="103"/>
      <c r="L47" s="103"/>
      <c r="M47" s="103"/>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136"/>
      <c r="DD47" s="136"/>
      <c r="DE47" s="136"/>
      <c r="DF47" s="136"/>
      <c r="DG47" s="136"/>
      <c r="DH47" s="136"/>
      <c r="DI47" s="136"/>
      <c r="DJ47" s="136"/>
    </row>
    <row r="48" spans="1:114" s="137" customFormat="1" ht="18" customHeight="1" x14ac:dyDescent="0.25">
      <c r="A48" s="103" t="s">
        <v>319</v>
      </c>
      <c r="B48" s="103"/>
      <c r="C48" s="103"/>
      <c r="D48" s="103"/>
      <c r="E48" s="103"/>
      <c r="F48" s="103"/>
      <c r="G48" s="103"/>
      <c r="H48" s="103"/>
      <c r="I48" s="103"/>
      <c r="J48" s="103"/>
      <c r="K48" s="103"/>
      <c r="L48" s="103"/>
      <c r="M48" s="103"/>
      <c r="N48" s="134"/>
      <c r="O48" s="134"/>
      <c r="P48" s="134"/>
      <c r="Q48" s="134"/>
      <c r="R48" s="134"/>
      <c r="S48" s="134"/>
      <c r="T48" s="134"/>
      <c r="U48" s="134"/>
      <c r="V48" s="134"/>
      <c r="W48" s="134"/>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row>
    <row r="49" spans="1:82" s="137" customFormat="1" ht="18" customHeight="1" x14ac:dyDescent="0.25">
      <c r="A49" s="103" t="s">
        <v>288</v>
      </c>
      <c r="B49" s="103"/>
      <c r="C49" s="103"/>
      <c r="D49" s="103"/>
      <c r="E49" s="103"/>
      <c r="F49" s="103"/>
      <c r="G49" s="103"/>
      <c r="H49" s="103"/>
      <c r="I49" s="103"/>
      <c r="J49" s="103"/>
      <c r="K49" s="103"/>
      <c r="L49" s="103"/>
      <c r="M49" s="103"/>
      <c r="N49" s="134"/>
      <c r="O49" s="134"/>
      <c r="P49" s="134"/>
      <c r="Q49" s="134"/>
      <c r="R49" s="134"/>
      <c r="S49" s="134"/>
      <c r="T49" s="134"/>
      <c r="U49" s="134"/>
      <c r="V49" s="134"/>
      <c r="W49" s="134"/>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row>
    <row r="50" spans="1:82" s="140" customFormat="1" ht="18" customHeight="1" x14ac:dyDescent="0.25">
      <c r="A50" s="106" t="s">
        <v>289</v>
      </c>
      <c r="B50" s="138"/>
      <c r="C50" s="139"/>
      <c r="D50" s="138"/>
      <c r="E50" s="138"/>
      <c r="F50" s="138"/>
      <c r="G50" s="138"/>
      <c r="H50" s="138"/>
      <c r="I50" s="138"/>
      <c r="J50" s="138"/>
      <c r="K50" s="138"/>
      <c r="L50" s="138"/>
      <c r="M50" s="138"/>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row>
    <row r="51" spans="1:82" ht="18" customHeight="1" x14ac:dyDescent="0.25">
      <c r="A51" s="35"/>
      <c r="B51" s="35"/>
      <c r="C51" s="45"/>
      <c r="D51" s="35"/>
      <c r="E51" s="35"/>
      <c r="F51" s="35"/>
      <c r="G51" s="35"/>
      <c r="H51" s="35"/>
      <c r="I51" s="35"/>
      <c r="J51" s="35"/>
      <c r="K51" s="35"/>
      <c r="L51" s="35"/>
      <c r="M51" s="35"/>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row>
    <row r="52" spans="1:82" ht="18" customHeight="1" x14ac:dyDescent="0.25">
      <c r="A52" s="35"/>
      <c r="B52" s="35"/>
      <c r="C52" s="45"/>
      <c r="D52" s="35"/>
      <c r="E52" s="35"/>
      <c r="F52" s="35"/>
      <c r="G52" s="35"/>
      <c r="H52" s="35"/>
      <c r="I52" s="35"/>
      <c r="J52" s="35"/>
      <c r="K52" s="35"/>
      <c r="L52" s="35"/>
      <c r="M52" s="35"/>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row>
    <row r="53" spans="1:82" s="64" customFormat="1" ht="18" customHeight="1" x14ac:dyDescent="0.25">
      <c r="A53" s="107" t="s">
        <v>261</v>
      </c>
      <c r="B53" s="108"/>
      <c r="C53" s="108"/>
      <c r="D53" s="108"/>
      <c r="E53" s="108"/>
      <c r="F53" s="108"/>
      <c r="G53" s="108"/>
      <c r="H53" s="108"/>
      <c r="I53" s="108"/>
      <c r="J53" s="108"/>
      <c r="K53" s="108"/>
      <c r="L53" s="108"/>
      <c r="M53" s="108"/>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row>
    <row r="54" spans="1:82" ht="32.25" customHeight="1" x14ac:dyDescent="0.25">
      <c r="A54" s="148" t="s">
        <v>141</v>
      </c>
      <c r="B54" s="157" t="s">
        <v>279</v>
      </c>
      <c r="C54" s="147" t="s">
        <v>143</v>
      </c>
      <c r="D54" s="212" t="s">
        <v>239</v>
      </c>
      <c r="E54" s="213"/>
      <c r="F54" s="214"/>
      <c r="G54" s="212" t="s">
        <v>240</v>
      </c>
      <c r="H54" s="213"/>
      <c r="I54" s="214"/>
      <c r="J54" s="109" t="s">
        <v>241</v>
      </c>
      <c r="K54" s="156" t="s">
        <v>242</v>
      </c>
      <c r="L54" s="156" t="s">
        <v>256</v>
      </c>
      <c r="M54" s="147" t="s">
        <v>141</v>
      </c>
      <c r="N54" s="32"/>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row>
    <row r="55" spans="1:82" ht="18" customHeight="1" x14ac:dyDescent="0.25">
      <c r="A55" s="148"/>
      <c r="B55" s="158"/>
      <c r="C55" s="148"/>
      <c r="D55" s="110" t="s">
        <v>146</v>
      </c>
      <c r="E55" s="110" t="s">
        <v>147</v>
      </c>
      <c r="F55" s="110" t="s">
        <v>148</v>
      </c>
      <c r="G55" s="110" t="s">
        <v>146</v>
      </c>
      <c r="H55" s="110" t="s">
        <v>147</v>
      </c>
      <c r="I55" s="110" t="s">
        <v>148</v>
      </c>
      <c r="J55" s="110" t="s">
        <v>148</v>
      </c>
      <c r="K55" s="148"/>
      <c r="L55" s="148"/>
      <c r="M55" s="148"/>
      <c r="N55" s="32"/>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row>
    <row r="56" spans="1:82" ht="18" customHeight="1" x14ac:dyDescent="0.25">
      <c r="A56" s="60" t="s">
        <v>149</v>
      </c>
      <c r="B56" s="142">
        <f>D!AH16</f>
        <v>1</v>
      </c>
      <c r="C56" s="141"/>
      <c r="D56" s="60" t="s">
        <v>13</v>
      </c>
      <c r="E56" s="62">
        <f>D!AM16</f>
        <v>1000</v>
      </c>
      <c r="F56" s="98">
        <f>E56</f>
        <v>1000</v>
      </c>
      <c r="G56" s="60" t="s">
        <v>13</v>
      </c>
      <c r="H56" s="62">
        <f>D!AS16</f>
        <v>0</v>
      </c>
      <c r="I56" s="98">
        <f>H56</f>
        <v>0</v>
      </c>
      <c r="J56" s="98">
        <f>F56+I56</f>
        <v>1000</v>
      </c>
      <c r="K56" s="38">
        <f>D!AW16</f>
        <v>0</v>
      </c>
      <c r="L56" s="98">
        <f>J56+K56</f>
        <v>1000</v>
      </c>
      <c r="M56" s="66" t="str">
        <f>A56</f>
        <v>台灣</v>
      </c>
      <c r="N56" s="32"/>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row>
    <row r="57" spans="1:82" ht="18" customHeight="1" x14ac:dyDescent="0.25">
      <c r="A57" s="60" t="s">
        <v>151</v>
      </c>
      <c r="B57" s="142">
        <f>D!AH17</f>
        <v>1</v>
      </c>
      <c r="C57" s="141"/>
      <c r="D57" s="60" t="s">
        <v>14</v>
      </c>
      <c r="E57" s="62">
        <f>D!AM17</f>
        <v>605</v>
      </c>
      <c r="F57" s="98">
        <f>E57*$M$5</f>
        <v>2934.25</v>
      </c>
      <c r="G57" s="60" t="s">
        <v>14</v>
      </c>
      <c r="H57" s="62">
        <f>D!AS17</f>
        <v>200</v>
      </c>
      <c r="I57" s="98">
        <f>H57*$M$5</f>
        <v>969.99999999999989</v>
      </c>
      <c r="J57" s="98">
        <f t="shared" ref="J57:J69" si="6">F57+I57</f>
        <v>3904.25</v>
      </c>
      <c r="K57" s="38">
        <f>D!AW17</f>
        <v>2000</v>
      </c>
      <c r="L57" s="98">
        <f t="shared" ref="L57:L69" si="7">J57+K57</f>
        <v>5904.25</v>
      </c>
      <c r="M57" s="66" t="str">
        <f t="shared" ref="M57:M69" si="8">A57</f>
        <v>大陸</v>
      </c>
      <c r="N57" s="32"/>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row>
    <row r="58" spans="1:82" ht="18" customHeight="1" x14ac:dyDescent="0.25">
      <c r="A58" s="60" t="s">
        <v>152</v>
      </c>
      <c r="B58" s="142">
        <f>D!AH18</f>
        <v>1</v>
      </c>
      <c r="C58" s="141"/>
      <c r="D58" s="60" t="s">
        <v>15</v>
      </c>
      <c r="E58" s="62">
        <f>D!AM18</f>
        <v>520</v>
      </c>
      <c r="F58" s="98">
        <f>E58*$K$5</f>
        <v>16744</v>
      </c>
      <c r="G58" s="60" t="s">
        <v>15</v>
      </c>
      <c r="H58" s="62">
        <f>D!AS18</f>
        <v>370</v>
      </c>
      <c r="I58" s="98">
        <f>H58*$K$5</f>
        <v>11914.000000000002</v>
      </c>
      <c r="J58" s="98">
        <f t="shared" si="6"/>
        <v>28658</v>
      </c>
      <c r="K58" s="38">
        <f>D!AW18</f>
        <v>2000</v>
      </c>
      <c r="L58" s="98">
        <f t="shared" si="7"/>
        <v>30658</v>
      </c>
      <c r="M58" s="66" t="str">
        <f t="shared" si="8"/>
        <v>美國</v>
      </c>
      <c r="N58" s="32"/>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row>
    <row r="59" spans="1:82" ht="18" customHeight="1" x14ac:dyDescent="0.25">
      <c r="A59" s="60" t="s">
        <v>153</v>
      </c>
      <c r="B59" s="142">
        <f>D!AH19</f>
        <v>1</v>
      </c>
      <c r="C59" s="141"/>
      <c r="D59" s="60" t="s">
        <v>16</v>
      </c>
      <c r="E59" s="62">
        <f>D!AM19</f>
        <v>0</v>
      </c>
      <c r="F59" s="98">
        <f>E59*$K$6</f>
        <v>0</v>
      </c>
      <c r="G59" s="60" t="s">
        <v>16</v>
      </c>
      <c r="H59" s="62">
        <f>D!AS19</f>
        <v>0</v>
      </c>
      <c r="I59" s="98">
        <f>H59*$K$6</f>
        <v>0</v>
      </c>
      <c r="J59" s="98">
        <f t="shared" si="6"/>
        <v>0</v>
      </c>
      <c r="K59" s="38">
        <f>D!AW19</f>
        <v>2000</v>
      </c>
      <c r="L59" s="98">
        <f t="shared" si="7"/>
        <v>2000</v>
      </c>
      <c r="M59" s="66" t="str">
        <f t="shared" si="8"/>
        <v>歐盟</v>
      </c>
      <c r="N59" s="32"/>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row>
    <row r="60" spans="1:82" ht="18" customHeight="1" x14ac:dyDescent="0.25">
      <c r="A60" s="66" t="s">
        <v>224</v>
      </c>
      <c r="B60" s="142">
        <f>D!AH20</f>
        <v>1</v>
      </c>
      <c r="C60" s="141"/>
      <c r="D60" s="60" t="s">
        <v>225</v>
      </c>
      <c r="E60" s="62">
        <f>D!AM20</f>
        <v>0</v>
      </c>
      <c r="F60" s="98">
        <f>E60*$K$10</f>
        <v>0</v>
      </c>
      <c r="G60" s="60" t="s">
        <v>16</v>
      </c>
      <c r="H60" s="62">
        <f>D!R59</f>
        <v>0</v>
      </c>
      <c r="I60" s="98">
        <f>H60*$K$6</f>
        <v>0</v>
      </c>
      <c r="J60" s="98">
        <f t="shared" si="6"/>
        <v>0</v>
      </c>
      <c r="K60" s="38">
        <f>D!AW20</f>
        <v>2000</v>
      </c>
      <c r="L60" s="98">
        <f t="shared" si="7"/>
        <v>2000</v>
      </c>
      <c r="M60" s="66" t="str">
        <f t="shared" si="8"/>
        <v>英國</v>
      </c>
      <c r="N60" s="32"/>
      <c r="O60" s="33"/>
      <c r="P60" s="42"/>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row>
    <row r="61" spans="1:82" ht="18" customHeight="1" x14ac:dyDescent="0.25">
      <c r="A61" s="60" t="s">
        <v>154</v>
      </c>
      <c r="B61" s="142">
        <f>D!AH21</f>
        <v>1</v>
      </c>
      <c r="C61" s="141"/>
      <c r="D61" s="60" t="s">
        <v>17</v>
      </c>
      <c r="E61" s="62">
        <f>D!AM21</f>
        <v>25500</v>
      </c>
      <c r="F61" s="98">
        <f>E61*$K$7</f>
        <v>5355</v>
      </c>
      <c r="G61" s="60" t="s">
        <v>17</v>
      </c>
      <c r="H61" s="62">
        <f>D!AS21</f>
        <v>8000</v>
      </c>
      <c r="I61" s="98">
        <f>H61*$K$7</f>
        <v>1680</v>
      </c>
      <c r="J61" s="98">
        <f t="shared" si="6"/>
        <v>7035</v>
      </c>
      <c r="K61" s="38">
        <f>D!AW21</f>
        <v>2000</v>
      </c>
      <c r="L61" s="98">
        <f t="shared" si="7"/>
        <v>9035</v>
      </c>
      <c r="M61" s="66" t="str">
        <f t="shared" si="8"/>
        <v>日本</v>
      </c>
      <c r="N61" s="32"/>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row>
    <row r="62" spans="1:82" ht="18" customHeight="1" x14ac:dyDescent="0.25">
      <c r="A62" s="60" t="s">
        <v>155</v>
      </c>
      <c r="B62" s="142">
        <f>D!AH22</f>
        <v>1</v>
      </c>
      <c r="C62" s="141"/>
      <c r="D62" s="60" t="s">
        <v>18</v>
      </c>
      <c r="E62" s="62">
        <f>D!AM22</f>
        <v>75000</v>
      </c>
      <c r="F62" s="98">
        <f>E62*$K$8</f>
        <v>1950</v>
      </c>
      <c r="G62" s="60" t="s">
        <v>15</v>
      </c>
      <c r="H62" s="62">
        <f>D!AS22</f>
        <v>200</v>
      </c>
      <c r="I62" s="98">
        <f>H62*$K$5</f>
        <v>6440.0000000000009</v>
      </c>
      <c r="J62" s="98">
        <f t="shared" si="6"/>
        <v>8390</v>
      </c>
      <c r="K62" s="38">
        <f>D!AW22</f>
        <v>2000</v>
      </c>
      <c r="L62" s="98">
        <f t="shared" si="7"/>
        <v>10390</v>
      </c>
      <c r="M62" s="66" t="str">
        <f t="shared" si="8"/>
        <v>韓國</v>
      </c>
      <c r="N62" s="32"/>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row>
    <row r="63" spans="1:82" ht="18" customHeight="1" x14ac:dyDescent="0.25">
      <c r="A63" s="101" t="s">
        <v>162</v>
      </c>
      <c r="B63" s="142">
        <f>D!AH23</f>
        <v>1</v>
      </c>
      <c r="C63" s="141"/>
      <c r="D63" s="60" t="s">
        <v>36</v>
      </c>
      <c r="E63" s="62">
        <f>D!AM23</f>
        <v>0</v>
      </c>
      <c r="F63" s="98">
        <f>E63*$M$9</f>
        <v>0</v>
      </c>
      <c r="G63" s="60" t="s">
        <v>36</v>
      </c>
      <c r="H63" s="62">
        <f>D!AS23</f>
        <v>315</v>
      </c>
      <c r="I63" s="98">
        <f>H63*$M$9</f>
        <v>7402.5</v>
      </c>
      <c r="J63" s="98">
        <f>F63+I63</f>
        <v>7402.5</v>
      </c>
      <c r="K63" s="38">
        <f>D!AW23</f>
        <v>2000</v>
      </c>
      <c r="L63" s="98">
        <f>J63+K63</f>
        <v>9402.5</v>
      </c>
      <c r="M63" s="102" t="str">
        <f>A63</f>
        <v>加拿大</v>
      </c>
      <c r="N63" s="37"/>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row>
    <row r="64" spans="1:82" ht="18" customHeight="1" x14ac:dyDescent="0.25">
      <c r="A64" s="66" t="s">
        <v>315</v>
      </c>
      <c r="B64" s="142">
        <f>D!AH24</f>
        <v>1</v>
      </c>
      <c r="C64" s="141"/>
      <c r="D64" s="60" t="s">
        <v>317</v>
      </c>
      <c r="E64" s="62">
        <f>D!AM24</f>
        <v>0</v>
      </c>
      <c r="F64" s="98">
        <f>E64*$M$10</f>
        <v>0</v>
      </c>
      <c r="G64" s="60" t="s">
        <v>317</v>
      </c>
      <c r="H64" s="62">
        <f>D!AS24</f>
        <v>555</v>
      </c>
      <c r="I64" s="98">
        <f>H64*$M$10</f>
        <v>12876</v>
      </c>
      <c r="J64" s="98">
        <f>F64+I64</f>
        <v>12876</v>
      </c>
      <c r="K64" s="38">
        <f>D!AW24</f>
        <v>2000</v>
      </c>
      <c r="L64" s="98">
        <f>J64+K64</f>
        <v>14876</v>
      </c>
      <c r="M64" s="66" t="str">
        <f>A64</f>
        <v>澳洲</v>
      </c>
      <c r="N64" s="131" t="str">
        <f>IF(D!$C$24=FALSE,"",IF(選項!$K$2=1,"注意：澳洲尚未開放申請各種「圖像設計」之設計專利",""))</f>
        <v/>
      </c>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row>
    <row r="65" spans="1:82" ht="18" customHeight="1" x14ac:dyDescent="0.25">
      <c r="A65" s="60" t="s">
        <v>156</v>
      </c>
      <c r="B65" s="142">
        <f>D!AH25</f>
        <v>1</v>
      </c>
      <c r="C65" s="141"/>
      <c r="D65" s="60" t="s">
        <v>19</v>
      </c>
      <c r="E65" s="62">
        <f>D!AM25</f>
        <v>0</v>
      </c>
      <c r="F65" s="98">
        <f>E65*$M$6</f>
        <v>0</v>
      </c>
      <c r="G65" s="60" t="s">
        <v>19</v>
      </c>
      <c r="H65" s="62">
        <f>D!AS25</f>
        <v>300</v>
      </c>
      <c r="I65" s="98">
        <f>H65*$M$6</f>
        <v>7620</v>
      </c>
      <c r="J65" s="98">
        <f t="shared" si="6"/>
        <v>7620</v>
      </c>
      <c r="K65" s="38">
        <f>D!AW25</f>
        <v>2000</v>
      </c>
      <c r="L65" s="98">
        <f t="shared" si="7"/>
        <v>9620</v>
      </c>
      <c r="M65" s="66" t="str">
        <f t="shared" si="8"/>
        <v>新加坡</v>
      </c>
      <c r="N65" s="32"/>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row>
    <row r="66" spans="1:82" ht="18" customHeight="1" x14ac:dyDescent="0.25">
      <c r="A66" s="60" t="s">
        <v>160</v>
      </c>
      <c r="B66" s="142">
        <f>D!AH26</f>
        <v>1</v>
      </c>
      <c r="C66" s="141"/>
      <c r="D66" s="60" t="s">
        <v>22</v>
      </c>
      <c r="E66" s="62">
        <f>D!AM26</f>
        <v>0</v>
      </c>
      <c r="F66" s="98">
        <f>E66*$M$8</f>
        <v>0</v>
      </c>
      <c r="G66" s="60" t="s">
        <v>22</v>
      </c>
      <c r="H66" s="62">
        <f>D!AS26</f>
        <v>500</v>
      </c>
      <c r="I66" s="98">
        <f>H66*$M$8</f>
        <v>4150</v>
      </c>
      <c r="J66" s="98">
        <f>F66+I66</f>
        <v>4150</v>
      </c>
      <c r="K66" s="38">
        <f>D!AW26</f>
        <v>2000</v>
      </c>
      <c r="L66" s="98">
        <f>J66+K66</f>
        <v>6150</v>
      </c>
      <c r="M66" s="66" t="str">
        <f>A66</f>
        <v>馬來西亞</v>
      </c>
      <c r="N66" s="131" t="str">
        <f>IF(D!$C$26=FALSE,"",IF(選項!$K$2=1,"注意：馬來西亞不允許申請「動態GUI」之設計專利",""))</f>
        <v/>
      </c>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row>
    <row r="67" spans="1:82" ht="18" customHeight="1" x14ac:dyDescent="0.25">
      <c r="A67" s="60" t="s">
        <v>157</v>
      </c>
      <c r="B67" s="142">
        <f>D!AH27</f>
        <v>1</v>
      </c>
      <c r="C67" s="141"/>
      <c r="D67" s="60" t="s">
        <v>15</v>
      </c>
      <c r="E67" s="62">
        <f>D!AM27</f>
        <v>49</v>
      </c>
      <c r="F67" s="98">
        <f>E67*$K$5</f>
        <v>1577.8000000000002</v>
      </c>
      <c r="G67" s="60" t="s">
        <v>15</v>
      </c>
      <c r="H67" s="62">
        <f>D!AS27</f>
        <v>250</v>
      </c>
      <c r="I67" s="98">
        <f>H67*$K$5</f>
        <v>8050.0000000000009</v>
      </c>
      <c r="J67" s="98">
        <f t="shared" si="6"/>
        <v>9627.8000000000011</v>
      </c>
      <c r="K67" s="38">
        <f>D!AW27</f>
        <v>2000</v>
      </c>
      <c r="L67" s="98">
        <f t="shared" si="7"/>
        <v>11627.800000000001</v>
      </c>
      <c r="M67" s="66" t="str">
        <f>A67</f>
        <v>菲律賓</v>
      </c>
      <c r="N67" s="32"/>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row>
    <row r="68" spans="1:82" ht="18" customHeight="1" x14ac:dyDescent="0.25">
      <c r="A68" s="60" t="s">
        <v>161</v>
      </c>
      <c r="B68" s="142">
        <f>D!AH28</f>
        <v>1</v>
      </c>
      <c r="C68" s="141"/>
      <c r="D68" s="60" t="s">
        <v>15</v>
      </c>
      <c r="E68" s="62">
        <f>D!AM28</f>
        <v>0</v>
      </c>
      <c r="F68" s="98">
        <f>E68*$K$5</f>
        <v>0</v>
      </c>
      <c r="G68" s="60" t="s">
        <v>15</v>
      </c>
      <c r="H68" s="62">
        <f>D!AS28</f>
        <v>150</v>
      </c>
      <c r="I68" s="98">
        <f>H68*$K$5</f>
        <v>4830</v>
      </c>
      <c r="J68" s="98">
        <f>F68+I68</f>
        <v>4830</v>
      </c>
      <c r="K68" s="38">
        <f>D!AW28</f>
        <v>2000</v>
      </c>
      <c r="L68" s="98">
        <f>J68+K68</f>
        <v>6830</v>
      </c>
      <c r="M68" s="66" t="str">
        <f>A68</f>
        <v>印尼</v>
      </c>
      <c r="N68" s="32"/>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row>
    <row r="69" spans="1:82" ht="18" customHeight="1" x14ac:dyDescent="0.25">
      <c r="A69" s="60" t="s">
        <v>158</v>
      </c>
      <c r="B69" s="142">
        <f>D!AH29</f>
        <v>1</v>
      </c>
      <c r="C69" s="141"/>
      <c r="D69" s="60" t="s">
        <v>20</v>
      </c>
      <c r="E69" s="62">
        <f>D!AM29</f>
        <v>780000</v>
      </c>
      <c r="F69" s="98">
        <f>E69*$M$7</f>
        <v>1092</v>
      </c>
      <c r="G69" s="60" t="s">
        <v>15</v>
      </c>
      <c r="H69" s="62">
        <f>D!AS29</f>
        <v>214</v>
      </c>
      <c r="I69" s="98">
        <f>H69*$K$5</f>
        <v>6890.8</v>
      </c>
      <c r="J69" s="98">
        <f t="shared" si="6"/>
        <v>7982.8</v>
      </c>
      <c r="K69" s="38">
        <f>D!AW29</f>
        <v>2000</v>
      </c>
      <c r="L69" s="98">
        <f t="shared" si="7"/>
        <v>9982.7999999999993</v>
      </c>
      <c r="M69" s="66" t="str">
        <f t="shared" si="8"/>
        <v>越南</v>
      </c>
      <c r="N69" s="131" t="str">
        <f>IF(D!$C$29=FALSE,"",IF(選項!$K$2=1,"注意：越南尚未開放申請各種「圖像設計」之設計專利",""))</f>
        <v/>
      </c>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row>
    <row r="70" spans="1:82" ht="18" customHeight="1" x14ac:dyDescent="0.25">
      <c r="A70" s="60" t="s">
        <v>159</v>
      </c>
      <c r="B70" s="142">
        <f>D!AH30</f>
        <v>1</v>
      </c>
      <c r="C70" s="141"/>
      <c r="D70" s="60" t="s">
        <v>21</v>
      </c>
      <c r="E70" s="62">
        <f>D!AM30</f>
        <v>500</v>
      </c>
      <c r="F70" s="98">
        <f>E70*$K$9</f>
        <v>525</v>
      </c>
      <c r="G70" s="60" t="s">
        <v>21</v>
      </c>
      <c r="H70" s="62">
        <f>D!AS30</f>
        <v>3500</v>
      </c>
      <c r="I70" s="98">
        <f>H70*$K$9</f>
        <v>3675</v>
      </c>
      <c r="J70" s="98">
        <f t="shared" ref="J70:J71" si="9">F70+I70</f>
        <v>4200</v>
      </c>
      <c r="K70" s="38">
        <f>D!AW30</f>
        <v>2000</v>
      </c>
      <c r="L70" s="98">
        <f t="shared" ref="L70:L71" si="10">J70+K70</f>
        <v>6200</v>
      </c>
      <c r="M70" s="66" t="str">
        <f t="shared" ref="M70:M71" si="11">A70</f>
        <v>泰國</v>
      </c>
      <c r="N70" s="131" t="str">
        <f>IF(D!$C$30=FALSE,"",IF(選項!$K$2=1,"注意：泰國不允許申請「動態GUI」之設計專利",""))</f>
        <v/>
      </c>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row>
    <row r="71" spans="1:82" ht="18" customHeight="1" x14ac:dyDescent="0.25">
      <c r="A71" s="66" t="s">
        <v>309</v>
      </c>
      <c r="B71" s="142">
        <f>D!AH31</f>
        <v>1</v>
      </c>
      <c r="C71" s="141"/>
      <c r="D71" s="60" t="s">
        <v>15</v>
      </c>
      <c r="E71" s="62">
        <f>D!AM31</f>
        <v>0</v>
      </c>
      <c r="F71" s="98">
        <f>E71*$K$5</f>
        <v>0</v>
      </c>
      <c r="G71" s="60" t="s">
        <v>15</v>
      </c>
      <c r="H71" s="62">
        <f>D!AS31</f>
        <v>100</v>
      </c>
      <c r="I71" s="98">
        <f>H71*$K$5</f>
        <v>3220.0000000000005</v>
      </c>
      <c r="J71" s="98">
        <f t="shared" si="9"/>
        <v>3220.0000000000005</v>
      </c>
      <c r="K71" s="38">
        <f>D!AW31</f>
        <v>2000</v>
      </c>
      <c r="L71" s="98">
        <f t="shared" si="10"/>
        <v>5220</v>
      </c>
      <c r="M71" s="66" t="str">
        <f t="shared" si="11"/>
        <v>印度</v>
      </c>
      <c r="N71" s="131"/>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row>
    <row r="72" spans="1:82" ht="20.100000000000001" customHeight="1" x14ac:dyDescent="0.25">
      <c r="A72" s="66" t="s">
        <v>280</v>
      </c>
      <c r="B72" s="128">
        <f>SUM(B56:B71)</f>
        <v>16</v>
      </c>
      <c r="C72" s="53"/>
      <c r="D72" s="53"/>
      <c r="E72" s="54" t="s">
        <v>164</v>
      </c>
      <c r="F72" s="55">
        <f>SUM(F56:F71)</f>
        <v>31178.05</v>
      </c>
      <c r="G72" s="53"/>
      <c r="H72" s="54" t="s">
        <v>164</v>
      </c>
      <c r="I72" s="56">
        <f>SUM(I56:I71)</f>
        <v>79718.3</v>
      </c>
      <c r="J72" s="57">
        <f>SUM(J56:J71)</f>
        <v>110896.35</v>
      </c>
      <c r="K72" s="58">
        <f>SUM(K56:K71)</f>
        <v>30000</v>
      </c>
      <c r="L72" s="61">
        <f>SUM(L56:L71)</f>
        <v>140896.35</v>
      </c>
      <c r="M72" s="66"/>
      <c r="N72" s="32"/>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row>
    <row r="73" spans="1:82" s="47" customFormat="1" ht="16.5" x14ac:dyDescent="0.25">
      <c r="A73" s="106" t="s">
        <v>259</v>
      </c>
      <c r="B73" s="48"/>
      <c r="C73" s="48"/>
      <c r="D73" s="48"/>
      <c r="E73" s="48"/>
      <c r="F73" s="48"/>
      <c r="G73" s="48"/>
      <c r="H73" s="48"/>
      <c r="I73" s="48"/>
      <c r="J73" s="48"/>
      <c r="K73" s="48"/>
      <c r="L73" s="48"/>
      <c r="M73" s="48"/>
      <c r="N73" s="40"/>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row>
    <row r="74" spans="1:82" s="47" customFormat="1" ht="16.5" x14ac:dyDescent="0.25">
      <c r="A74" s="106" t="s">
        <v>301</v>
      </c>
      <c r="B74" s="48"/>
      <c r="C74" s="48"/>
      <c r="D74" s="48"/>
      <c r="E74" s="48"/>
      <c r="F74" s="48"/>
      <c r="G74" s="48"/>
      <c r="H74" s="48"/>
      <c r="I74" s="48"/>
      <c r="J74" s="48"/>
      <c r="K74" s="48"/>
      <c r="L74" s="48"/>
      <c r="M74" s="48"/>
      <c r="N74" s="40"/>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row>
    <row r="75" spans="1:82" s="111" customFormat="1" ht="16.5" x14ac:dyDescent="0.25">
      <c r="A75" s="105"/>
      <c r="B75" s="35"/>
      <c r="C75" s="35"/>
      <c r="D75" s="35"/>
      <c r="E75" s="35"/>
      <c r="F75" s="35"/>
      <c r="G75" s="35"/>
      <c r="H75" s="35"/>
      <c r="I75" s="35"/>
      <c r="J75" s="35"/>
      <c r="K75" s="35"/>
      <c r="L75" s="35"/>
      <c r="M75" s="35"/>
      <c r="N75" s="35"/>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row>
    <row r="76" spans="1:82" s="111" customFormat="1" ht="16.5" x14ac:dyDescent="0.25">
      <c r="A76" s="105"/>
      <c r="B76" s="35"/>
      <c r="C76" s="35"/>
      <c r="D76" s="35"/>
      <c r="E76" s="35"/>
      <c r="F76" s="35"/>
      <c r="G76" s="35"/>
      <c r="H76" s="35"/>
      <c r="I76" s="35"/>
      <c r="J76" s="35"/>
      <c r="K76" s="35"/>
      <c r="L76" s="35"/>
      <c r="M76" s="35"/>
      <c r="N76" s="35"/>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row>
    <row r="77" spans="1:82" s="111" customFormat="1" ht="16.5" x14ac:dyDescent="0.25">
      <c r="A77" s="105"/>
      <c r="B77" s="35"/>
      <c r="C77" s="35"/>
      <c r="D77" s="35"/>
      <c r="E77" s="35"/>
      <c r="F77" s="35"/>
      <c r="G77" s="35"/>
      <c r="H77" s="35"/>
      <c r="I77" s="35"/>
      <c r="J77" s="35"/>
      <c r="K77" s="35"/>
      <c r="L77" s="35"/>
      <c r="M77" s="35"/>
      <c r="N77" s="35"/>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row>
    <row r="78" spans="1:82" s="113" customFormat="1" ht="18" customHeight="1" x14ac:dyDescent="0.25">
      <c r="A78" s="107" t="s">
        <v>262</v>
      </c>
      <c r="B78" s="108"/>
      <c r="C78" s="108"/>
      <c r="D78" s="108"/>
      <c r="E78" s="108"/>
      <c r="F78" s="108"/>
      <c r="G78" s="108"/>
      <c r="H78" s="108"/>
      <c r="I78" s="108"/>
      <c r="J78" s="108"/>
      <c r="K78" s="108"/>
      <c r="L78" s="108"/>
      <c r="M78" s="108"/>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c r="AV78" s="112"/>
      <c r="AW78" s="112"/>
      <c r="AX78" s="112"/>
      <c r="AY78" s="112"/>
      <c r="AZ78" s="112"/>
      <c r="BA78" s="112"/>
      <c r="BB78" s="112"/>
      <c r="BC78" s="112"/>
      <c r="BD78" s="112"/>
      <c r="BE78" s="112"/>
      <c r="BF78" s="112"/>
      <c r="BG78" s="112"/>
      <c r="BH78" s="112"/>
      <c r="BI78" s="112"/>
      <c r="BJ78" s="112"/>
      <c r="BK78" s="112"/>
      <c r="BL78" s="112"/>
      <c r="BM78" s="112"/>
      <c r="BN78" s="112"/>
      <c r="BO78" s="112"/>
      <c r="BP78" s="112"/>
      <c r="BQ78" s="112"/>
      <c r="BR78" s="112"/>
      <c r="BS78" s="112"/>
      <c r="BT78" s="112"/>
      <c r="BU78" s="112"/>
      <c r="BV78" s="112"/>
      <c r="BW78" s="112"/>
      <c r="BX78" s="112"/>
      <c r="BY78" s="112"/>
      <c r="BZ78" s="112"/>
      <c r="CA78" s="112"/>
      <c r="CB78" s="112"/>
      <c r="CC78" s="112"/>
      <c r="CD78" s="112"/>
    </row>
    <row r="79" spans="1:82" s="111" customFormat="1" ht="32.25" customHeight="1" x14ac:dyDescent="0.25">
      <c r="A79" s="148" t="s">
        <v>141</v>
      </c>
      <c r="B79" s="157" t="s">
        <v>274</v>
      </c>
      <c r="C79" s="147" t="s">
        <v>143</v>
      </c>
      <c r="D79" s="212" t="s">
        <v>197</v>
      </c>
      <c r="E79" s="213"/>
      <c r="F79" s="214"/>
      <c r="G79" s="212" t="s">
        <v>198</v>
      </c>
      <c r="H79" s="213"/>
      <c r="I79" s="214"/>
      <c r="J79" s="109" t="s">
        <v>199</v>
      </c>
      <c r="K79" s="156" t="s">
        <v>200</v>
      </c>
      <c r="L79" s="156" t="s">
        <v>234</v>
      </c>
      <c r="M79" s="147" t="s">
        <v>141</v>
      </c>
      <c r="N79" s="35"/>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row>
    <row r="80" spans="1:82" s="111" customFormat="1" ht="18" customHeight="1" x14ac:dyDescent="0.25">
      <c r="A80" s="148"/>
      <c r="B80" s="148"/>
      <c r="C80" s="148"/>
      <c r="D80" s="110" t="s">
        <v>146</v>
      </c>
      <c r="E80" s="110" t="s">
        <v>147</v>
      </c>
      <c r="F80" s="110" t="s">
        <v>148</v>
      </c>
      <c r="G80" s="110" t="s">
        <v>146</v>
      </c>
      <c r="H80" s="110" t="s">
        <v>147</v>
      </c>
      <c r="I80" s="110" t="s">
        <v>148</v>
      </c>
      <c r="J80" s="110" t="s">
        <v>148</v>
      </c>
      <c r="K80" s="148"/>
      <c r="L80" s="148"/>
      <c r="M80" s="148"/>
      <c r="N80" s="35"/>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row>
    <row r="81" spans="1:82" ht="18" customHeight="1" x14ac:dyDescent="0.25">
      <c r="A81" s="60" t="s">
        <v>149</v>
      </c>
      <c r="B81" s="125" t="s">
        <v>269</v>
      </c>
      <c r="C81" s="141"/>
      <c r="D81" s="60" t="s">
        <v>13</v>
      </c>
      <c r="E81" s="62">
        <f>D!I40</f>
        <v>0</v>
      </c>
      <c r="F81" s="98">
        <f>E81</f>
        <v>0</v>
      </c>
      <c r="G81" s="60" t="s">
        <v>13</v>
      </c>
      <c r="H81" s="62">
        <f>D!R40</f>
        <v>0</v>
      </c>
      <c r="I81" s="98">
        <f>H81</f>
        <v>0</v>
      </c>
      <c r="J81" s="98">
        <f>F81+I81</f>
        <v>0</v>
      </c>
      <c r="K81" s="38">
        <f>D!Z40</f>
        <v>20000</v>
      </c>
      <c r="L81" s="98">
        <f>J81+K81</f>
        <v>20000</v>
      </c>
      <c r="M81" s="66" t="str">
        <f>A81</f>
        <v>台灣</v>
      </c>
      <c r="N81" s="32"/>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row>
    <row r="82" spans="1:82" ht="18" customHeight="1" x14ac:dyDescent="0.25">
      <c r="A82" s="60" t="s">
        <v>151</v>
      </c>
      <c r="B82" s="125" t="s">
        <v>268</v>
      </c>
      <c r="C82" s="141"/>
      <c r="D82" s="60" t="s">
        <v>14</v>
      </c>
      <c r="E82" s="62">
        <f>D!I41</f>
        <v>0</v>
      </c>
      <c r="F82" s="98">
        <f>E82*$M$5</f>
        <v>0</v>
      </c>
      <c r="G82" s="60" t="s">
        <v>14</v>
      </c>
      <c r="H82" s="62">
        <f>D!R41</f>
        <v>0</v>
      </c>
      <c r="I82" s="98">
        <f>H82*$M$5</f>
        <v>0</v>
      </c>
      <c r="J82" s="98">
        <f t="shared" ref="J82:J94" si="12">F82+I82</f>
        <v>0</v>
      </c>
      <c r="K82" s="38">
        <f>D!Z41</f>
        <v>0</v>
      </c>
      <c r="L82" s="98">
        <f t="shared" ref="L82:L94" si="13">J82+K82</f>
        <v>0</v>
      </c>
      <c r="M82" s="66" t="str">
        <f t="shared" ref="M82:M94" si="14">A82</f>
        <v>大陸</v>
      </c>
      <c r="N82" s="32"/>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row>
    <row r="83" spans="1:82" ht="18" customHeight="1" x14ac:dyDescent="0.25">
      <c r="A83" s="60" t="s">
        <v>152</v>
      </c>
      <c r="B83" s="125" t="s">
        <v>269</v>
      </c>
      <c r="C83" s="141"/>
      <c r="D83" s="60" t="s">
        <v>15</v>
      </c>
      <c r="E83" s="62">
        <f>D!I42</f>
        <v>0</v>
      </c>
      <c r="F83" s="98">
        <f>E83*$K$5</f>
        <v>0</v>
      </c>
      <c r="G83" s="60" t="s">
        <v>15</v>
      </c>
      <c r="H83" s="62">
        <f>D!R42</f>
        <v>1235</v>
      </c>
      <c r="I83" s="98">
        <f>H83*$K$5</f>
        <v>39767</v>
      </c>
      <c r="J83" s="98">
        <f t="shared" si="12"/>
        <v>39767</v>
      </c>
      <c r="K83" s="38">
        <f>D!Z42</f>
        <v>25000</v>
      </c>
      <c r="L83" s="98">
        <f t="shared" si="13"/>
        <v>64767</v>
      </c>
      <c r="M83" s="66" t="str">
        <f t="shared" si="14"/>
        <v>美國</v>
      </c>
      <c r="N83" s="32"/>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row>
    <row r="84" spans="1:82" ht="18" customHeight="1" x14ac:dyDescent="0.25">
      <c r="A84" s="60" t="s">
        <v>153</v>
      </c>
      <c r="B84" s="125" t="s">
        <v>268</v>
      </c>
      <c r="C84" s="141"/>
      <c r="D84" s="60" t="s">
        <v>16</v>
      </c>
      <c r="E84" s="62">
        <f>D!I43</f>
        <v>0</v>
      </c>
      <c r="F84" s="98">
        <f>E84*$K$6</f>
        <v>0</v>
      </c>
      <c r="G84" s="60" t="s">
        <v>16</v>
      </c>
      <c r="H84" s="62">
        <f>D!R43</f>
        <v>0</v>
      </c>
      <c r="I84" s="98">
        <f>H84*$K$6</f>
        <v>0</v>
      </c>
      <c r="J84" s="98">
        <f t="shared" si="12"/>
        <v>0</v>
      </c>
      <c r="K84" s="38">
        <f>D!Z43</f>
        <v>0</v>
      </c>
      <c r="L84" s="98">
        <f t="shared" si="13"/>
        <v>0</v>
      </c>
      <c r="M84" s="66" t="str">
        <f t="shared" si="14"/>
        <v>歐盟</v>
      </c>
      <c r="N84" s="32"/>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row>
    <row r="85" spans="1:82" ht="18" customHeight="1" x14ac:dyDescent="0.25">
      <c r="A85" s="66" t="s">
        <v>224</v>
      </c>
      <c r="B85" s="125" t="s">
        <v>268</v>
      </c>
      <c r="C85" s="141"/>
      <c r="D85" s="60" t="s">
        <v>225</v>
      </c>
      <c r="E85" s="62">
        <f>D!I44</f>
        <v>0</v>
      </c>
      <c r="F85" s="98">
        <f>E85*$K$10</f>
        <v>0</v>
      </c>
      <c r="G85" s="60" t="s">
        <v>16</v>
      </c>
      <c r="H85" s="62">
        <f>D!R44</f>
        <v>0</v>
      </c>
      <c r="I85" s="98">
        <f>H85*$K$6</f>
        <v>0</v>
      </c>
      <c r="J85" s="98">
        <f t="shared" si="12"/>
        <v>0</v>
      </c>
      <c r="K85" s="38">
        <f>D!Z44</f>
        <v>0</v>
      </c>
      <c r="L85" s="98">
        <f t="shared" si="13"/>
        <v>0</v>
      </c>
      <c r="M85" s="66" t="str">
        <f t="shared" si="14"/>
        <v>英國</v>
      </c>
      <c r="N85" s="32"/>
      <c r="O85" s="33"/>
      <c r="P85" s="4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row>
    <row r="86" spans="1:82" ht="18" customHeight="1" x14ac:dyDescent="0.25">
      <c r="A86" s="60" t="s">
        <v>154</v>
      </c>
      <c r="B86" s="125" t="s">
        <v>269</v>
      </c>
      <c r="C86" s="141"/>
      <c r="D86" s="60" t="s">
        <v>17</v>
      </c>
      <c r="E86" s="62">
        <f>D!I45</f>
        <v>0</v>
      </c>
      <c r="F86" s="98">
        <f>E86*$K$7</f>
        <v>0</v>
      </c>
      <c r="G86" s="60" t="s">
        <v>17</v>
      </c>
      <c r="H86" s="62">
        <f>D!R45</f>
        <v>110000</v>
      </c>
      <c r="I86" s="98">
        <f>H86*$K$7</f>
        <v>23100</v>
      </c>
      <c r="J86" s="98">
        <f t="shared" si="12"/>
        <v>23100</v>
      </c>
      <c r="K86" s="38">
        <f>D!Z45</f>
        <v>25000</v>
      </c>
      <c r="L86" s="98">
        <f t="shared" si="13"/>
        <v>48100</v>
      </c>
      <c r="M86" s="66" t="str">
        <f t="shared" si="14"/>
        <v>日本</v>
      </c>
      <c r="N86" s="32"/>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row>
    <row r="87" spans="1:82" ht="18" customHeight="1" x14ac:dyDescent="0.25">
      <c r="A87" s="60" t="s">
        <v>155</v>
      </c>
      <c r="B87" s="125" t="s">
        <v>269</v>
      </c>
      <c r="C87" s="141"/>
      <c r="D87" s="60" t="s">
        <v>18</v>
      </c>
      <c r="E87" s="62">
        <f>D!I46</f>
        <v>0</v>
      </c>
      <c r="F87" s="98">
        <f>E87*$K$8</f>
        <v>0</v>
      </c>
      <c r="G87" s="60" t="s">
        <v>15</v>
      </c>
      <c r="H87" s="62">
        <f>D!R46</f>
        <v>2800</v>
      </c>
      <c r="I87" s="98">
        <f>H87*$K$5</f>
        <v>90160.000000000015</v>
      </c>
      <c r="J87" s="98">
        <f t="shared" si="12"/>
        <v>90160.000000000015</v>
      </c>
      <c r="K87" s="38">
        <f>D!Z46</f>
        <v>25000</v>
      </c>
      <c r="L87" s="98">
        <f t="shared" si="13"/>
        <v>115160.00000000001</v>
      </c>
      <c r="M87" s="66" t="str">
        <f t="shared" si="14"/>
        <v>韓國</v>
      </c>
      <c r="N87" s="32"/>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row>
    <row r="88" spans="1:82" ht="18" customHeight="1" x14ac:dyDescent="0.25">
      <c r="A88" s="101" t="s">
        <v>162</v>
      </c>
      <c r="B88" s="125" t="s">
        <v>269</v>
      </c>
      <c r="C88" s="141"/>
      <c r="D88" s="60" t="s">
        <v>36</v>
      </c>
      <c r="E88" s="62">
        <f>D!I47</f>
        <v>0</v>
      </c>
      <c r="F88" s="98">
        <f>E88*$M$9</f>
        <v>0</v>
      </c>
      <c r="G88" s="60" t="s">
        <v>36</v>
      </c>
      <c r="H88" s="62">
        <f>D!R47</f>
        <v>800</v>
      </c>
      <c r="I88" s="98">
        <f>H88*$M$9</f>
        <v>18800</v>
      </c>
      <c r="J88" s="98">
        <f>F88+I88</f>
        <v>18800</v>
      </c>
      <c r="K88" s="38">
        <f>D!Z47</f>
        <v>25000</v>
      </c>
      <c r="L88" s="98">
        <f>J88+K88</f>
        <v>43800</v>
      </c>
      <c r="M88" s="102" t="str">
        <f>A88</f>
        <v>加拿大</v>
      </c>
      <c r="N88" s="37"/>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row>
    <row r="89" spans="1:82" ht="18" customHeight="1" x14ac:dyDescent="0.25">
      <c r="A89" s="66" t="s">
        <v>315</v>
      </c>
      <c r="B89" s="125" t="s">
        <v>269</v>
      </c>
      <c r="C89" s="141"/>
      <c r="D89" s="60" t="s">
        <v>317</v>
      </c>
      <c r="E89" s="62">
        <f>D!I48</f>
        <v>0</v>
      </c>
      <c r="F89" s="98">
        <f>E89*$M$10</f>
        <v>0</v>
      </c>
      <c r="G89" s="60" t="s">
        <v>317</v>
      </c>
      <c r="H89" s="62">
        <f>D!R48</f>
        <v>985</v>
      </c>
      <c r="I89" s="98">
        <f>H89*$M$10</f>
        <v>22852</v>
      </c>
      <c r="J89" s="98">
        <f>F89+I89</f>
        <v>22852</v>
      </c>
      <c r="K89" s="38">
        <f>D!Z48</f>
        <v>25000</v>
      </c>
      <c r="L89" s="98">
        <f>J89+K89</f>
        <v>47852</v>
      </c>
      <c r="M89" s="66" t="str">
        <f>A89</f>
        <v>澳洲</v>
      </c>
      <c r="N89" s="131" t="str">
        <f>IF(D!$C$24=FALSE,"",IF(選項!$K$2=1,"注意：澳洲尚未開放申請各種「圖像設計」之設計專利",""))</f>
        <v/>
      </c>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row>
    <row r="90" spans="1:82" ht="18" customHeight="1" x14ac:dyDescent="0.25">
      <c r="A90" s="60" t="s">
        <v>156</v>
      </c>
      <c r="B90" s="125" t="s">
        <v>268</v>
      </c>
      <c r="C90" s="141"/>
      <c r="D90" s="60" t="s">
        <v>19</v>
      </c>
      <c r="E90" s="62">
        <f>D!I49</f>
        <v>0</v>
      </c>
      <c r="F90" s="98">
        <f>E90*$M$6</f>
        <v>0</v>
      </c>
      <c r="G90" s="60" t="s">
        <v>19</v>
      </c>
      <c r="H90" s="62">
        <f>D!R49</f>
        <v>0</v>
      </c>
      <c r="I90" s="98">
        <f>H90*$M$6</f>
        <v>0</v>
      </c>
      <c r="J90" s="98">
        <f t="shared" si="12"/>
        <v>0</v>
      </c>
      <c r="K90" s="38">
        <f>D!Z49</f>
        <v>0</v>
      </c>
      <c r="L90" s="98">
        <f t="shared" si="13"/>
        <v>0</v>
      </c>
      <c r="M90" s="66" t="str">
        <f t="shared" si="14"/>
        <v>新加坡</v>
      </c>
      <c r="N90" s="32"/>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row>
    <row r="91" spans="1:82" ht="18" customHeight="1" x14ac:dyDescent="0.25">
      <c r="A91" s="60" t="s">
        <v>160</v>
      </c>
      <c r="B91" s="125" t="s">
        <v>269</v>
      </c>
      <c r="C91" s="141"/>
      <c r="D91" s="60" t="s">
        <v>22</v>
      </c>
      <c r="E91" s="62">
        <f>D!I50</f>
        <v>0</v>
      </c>
      <c r="F91" s="98">
        <f>E91*$M$8</f>
        <v>0</v>
      </c>
      <c r="G91" s="60" t="s">
        <v>22</v>
      </c>
      <c r="H91" s="62">
        <f>D!R50</f>
        <v>1300</v>
      </c>
      <c r="I91" s="98">
        <f>H91*$M$8</f>
        <v>10790.000000000002</v>
      </c>
      <c r="J91" s="98">
        <f>F91+I91</f>
        <v>10790.000000000002</v>
      </c>
      <c r="K91" s="38">
        <f>D!Z50</f>
        <v>25000</v>
      </c>
      <c r="L91" s="98">
        <f>J91+K91</f>
        <v>35790</v>
      </c>
      <c r="M91" s="66" t="str">
        <f>A91</f>
        <v>馬來西亞</v>
      </c>
      <c r="N91" s="131" t="str">
        <f>IF(D!$C$26=FALSE,"",IF(選項!$K$2=1,"注意：馬來西亞不允許申請「動態GUI」之設計專利",""))</f>
        <v/>
      </c>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row>
    <row r="92" spans="1:82" ht="18" customHeight="1" x14ac:dyDescent="0.25">
      <c r="A92" s="60" t="s">
        <v>157</v>
      </c>
      <c r="B92" s="125" t="s">
        <v>268</v>
      </c>
      <c r="C92" s="141"/>
      <c r="D92" s="60" t="s">
        <v>15</v>
      </c>
      <c r="E92" s="62">
        <f>D!I51</f>
        <v>0</v>
      </c>
      <c r="F92" s="98">
        <f>E92*$K$5</f>
        <v>0</v>
      </c>
      <c r="G92" s="60" t="s">
        <v>15</v>
      </c>
      <c r="H92" s="62">
        <f>D!R51</f>
        <v>0</v>
      </c>
      <c r="I92" s="98">
        <f>H92*$K$5</f>
        <v>0</v>
      </c>
      <c r="J92" s="98">
        <f t="shared" si="12"/>
        <v>0</v>
      </c>
      <c r="K92" s="38">
        <f>D!Z51</f>
        <v>0</v>
      </c>
      <c r="L92" s="98">
        <f t="shared" si="13"/>
        <v>0</v>
      </c>
      <c r="M92" s="66" t="str">
        <f t="shared" si="14"/>
        <v>菲律賓</v>
      </c>
      <c r="N92" s="32"/>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row>
    <row r="93" spans="1:82" ht="18" customHeight="1" x14ac:dyDescent="0.25">
      <c r="A93" s="60" t="s">
        <v>161</v>
      </c>
      <c r="B93" s="125" t="s">
        <v>269</v>
      </c>
      <c r="C93" s="141"/>
      <c r="D93" s="60" t="s">
        <v>15</v>
      </c>
      <c r="E93" s="62">
        <f>D!I52</f>
        <v>100</v>
      </c>
      <c r="F93" s="98">
        <f>E93*$K$5</f>
        <v>3220.0000000000005</v>
      </c>
      <c r="G93" s="60" t="s">
        <v>15</v>
      </c>
      <c r="H93" s="62">
        <f>D!R52</f>
        <v>450</v>
      </c>
      <c r="I93" s="98">
        <f>H93*$K$5</f>
        <v>14490.000000000002</v>
      </c>
      <c r="J93" s="98">
        <f>F93+I93</f>
        <v>17710.000000000004</v>
      </c>
      <c r="K93" s="38">
        <f>D!Z52</f>
        <v>25000</v>
      </c>
      <c r="L93" s="98">
        <f>J93+K93</f>
        <v>42710</v>
      </c>
      <c r="M93" s="66" t="str">
        <f>A93</f>
        <v>印尼</v>
      </c>
      <c r="N93" s="32"/>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row>
    <row r="94" spans="1:82" ht="18" customHeight="1" x14ac:dyDescent="0.25">
      <c r="A94" s="60" t="s">
        <v>158</v>
      </c>
      <c r="B94" s="125" t="s">
        <v>269</v>
      </c>
      <c r="C94" s="141"/>
      <c r="D94" s="60" t="s">
        <v>20</v>
      </c>
      <c r="E94" s="62">
        <f>D!I53</f>
        <v>160000</v>
      </c>
      <c r="F94" s="98">
        <f>E94*$M$7</f>
        <v>224</v>
      </c>
      <c r="G94" s="60" t="s">
        <v>15</v>
      </c>
      <c r="H94" s="62">
        <f>D!R53</f>
        <v>1110</v>
      </c>
      <c r="I94" s="98">
        <f>H94*$K$5</f>
        <v>35742</v>
      </c>
      <c r="J94" s="98">
        <f t="shared" si="12"/>
        <v>35966</v>
      </c>
      <c r="K94" s="38">
        <f>D!Z53</f>
        <v>25000</v>
      </c>
      <c r="L94" s="98">
        <f t="shared" si="13"/>
        <v>60966</v>
      </c>
      <c r="M94" s="66" t="str">
        <f t="shared" si="14"/>
        <v>越南</v>
      </c>
      <c r="N94" s="131" t="str">
        <f>IF(D!$C$29=FALSE,"",IF(選項!$K$2=1,"注意：越南尚未開放申請各種「圖像設計」之設計專利",""))</f>
        <v/>
      </c>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row>
    <row r="95" spans="1:82" ht="18" customHeight="1" x14ac:dyDescent="0.25">
      <c r="A95" s="60" t="s">
        <v>159</v>
      </c>
      <c r="B95" s="125" t="s">
        <v>269</v>
      </c>
      <c r="C95" s="141"/>
      <c r="D95" s="60" t="s">
        <v>21</v>
      </c>
      <c r="E95" s="62">
        <f>D!I54</f>
        <v>50</v>
      </c>
      <c r="F95" s="98">
        <f>E95*$K$9</f>
        <v>52.5</v>
      </c>
      <c r="G95" s="60" t="s">
        <v>21</v>
      </c>
      <c r="H95" s="62">
        <f>D!R54</f>
        <v>14800</v>
      </c>
      <c r="I95" s="98">
        <f>H95*$K$9</f>
        <v>15540</v>
      </c>
      <c r="J95" s="98">
        <f t="shared" ref="J95:J96" si="15">F95+I95</f>
        <v>15592.5</v>
      </c>
      <c r="K95" s="38">
        <f>D!Z54</f>
        <v>25000</v>
      </c>
      <c r="L95" s="98">
        <f t="shared" ref="L95:L96" si="16">J95+K95</f>
        <v>40592.5</v>
      </c>
      <c r="M95" s="66" t="str">
        <f t="shared" ref="M95:M96" si="17">A95</f>
        <v>泰國</v>
      </c>
      <c r="N95" s="131" t="str">
        <f>IF(D!$C$30=FALSE,"",IF(選項!$K$2=1,"注意：泰國不允許申請「動態GUI」之設計專利",""))</f>
        <v/>
      </c>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row>
    <row r="96" spans="1:82" ht="18" customHeight="1" x14ac:dyDescent="0.25">
      <c r="A96" s="66" t="s">
        <v>309</v>
      </c>
      <c r="B96" s="125" t="s">
        <v>269</v>
      </c>
      <c r="C96" s="141"/>
      <c r="D96" s="60" t="s">
        <v>15</v>
      </c>
      <c r="E96" s="62">
        <f>D!I55</f>
        <v>0</v>
      </c>
      <c r="F96" s="98">
        <f>E96*$K$5</f>
        <v>0</v>
      </c>
      <c r="G96" s="60" t="s">
        <v>15</v>
      </c>
      <c r="H96" s="62">
        <f>D!R55</f>
        <v>450</v>
      </c>
      <c r="I96" s="98">
        <f>H96*$K$5</f>
        <v>14490.000000000002</v>
      </c>
      <c r="J96" s="98">
        <f t="shared" si="15"/>
        <v>14490.000000000002</v>
      </c>
      <c r="K96" s="38">
        <f>D!Z55</f>
        <v>25000</v>
      </c>
      <c r="L96" s="98">
        <f t="shared" si="16"/>
        <v>39490</v>
      </c>
      <c r="M96" s="66" t="str">
        <f t="shared" si="17"/>
        <v>印度</v>
      </c>
      <c r="N96" s="131"/>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row>
    <row r="97" spans="1:114" ht="20.100000000000001" customHeight="1" x14ac:dyDescent="0.25">
      <c r="A97" s="66" t="s">
        <v>280</v>
      </c>
      <c r="B97" s="128">
        <f>B72</f>
        <v>16</v>
      </c>
      <c r="C97" s="53"/>
      <c r="D97" s="53"/>
      <c r="E97" s="54" t="s">
        <v>164</v>
      </c>
      <c r="F97" s="55">
        <f>SUM(F81:F96)</f>
        <v>3496.5000000000005</v>
      </c>
      <c r="G97" s="53"/>
      <c r="H97" s="54" t="s">
        <v>164</v>
      </c>
      <c r="I97" s="56">
        <f>SUM(I81:I96)</f>
        <v>285731</v>
      </c>
      <c r="J97" s="57">
        <f>SUM(J81:J96)</f>
        <v>289227.5</v>
      </c>
      <c r="K97" s="58">
        <f>SUM(K81:K96)</f>
        <v>270000</v>
      </c>
      <c r="L97" s="61">
        <f>SUM(L81:L96)</f>
        <v>559227.5</v>
      </c>
      <c r="M97" s="66"/>
      <c r="N97" s="32"/>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row>
    <row r="98" spans="1:114" s="115" customFormat="1" ht="16.5" x14ac:dyDescent="0.25">
      <c r="A98" s="106" t="s">
        <v>259</v>
      </c>
      <c r="B98" s="48"/>
      <c r="C98" s="48"/>
      <c r="D98" s="48"/>
      <c r="E98" s="48"/>
      <c r="F98" s="48"/>
      <c r="G98" s="48"/>
      <c r="H98" s="48"/>
      <c r="I98" s="48"/>
      <c r="J98" s="48"/>
      <c r="K98" s="48"/>
      <c r="L98" s="48"/>
      <c r="M98" s="48"/>
      <c r="N98" s="48"/>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14"/>
      <c r="BN98" s="114"/>
      <c r="BO98" s="114"/>
      <c r="BP98" s="114"/>
      <c r="BQ98" s="114"/>
      <c r="BR98" s="114"/>
      <c r="BS98" s="114"/>
      <c r="BT98" s="114"/>
      <c r="BU98" s="114"/>
      <c r="BV98" s="114"/>
      <c r="BW98" s="114"/>
      <c r="BX98" s="114"/>
      <c r="BY98" s="114"/>
      <c r="BZ98" s="114"/>
      <c r="CA98" s="114"/>
      <c r="CB98" s="114"/>
      <c r="CC98" s="114"/>
      <c r="CD98" s="114"/>
    </row>
    <row r="99" spans="1:114" s="115" customFormat="1" ht="16.5" x14ac:dyDescent="0.25">
      <c r="A99" s="103" t="s">
        <v>298</v>
      </c>
      <c r="B99" s="48"/>
      <c r="C99" s="48"/>
      <c r="D99" s="48"/>
      <c r="E99" s="48"/>
      <c r="F99" s="48"/>
      <c r="G99" s="48"/>
      <c r="H99" s="48"/>
      <c r="I99" s="48"/>
      <c r="J99" s="48"/>
      <c r="K99" s="48"/>
      <c r="L99" s="48"/>
      <c r="M99" s="48"/>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c r="AW99" s="114"/>
      <c r="AX99" s="114"/>
      <c r="AY99" s="114"/>
      <c r="AZ99" s="114"/>
      <c r="BA99" s="114"/>
      <c r="BB99" s="114"/>
      <c r="BC99" s="114"/>
      <c r="BD99" s="114"/>
      <c r="BE99" s="114"/>
      <c r="BF99" s="114"/>
      <c r="BG99" s="114"/>
      <c r="BH99" s="114"/>
      <c r="BI99" s="114"/>
      <c r="BJ99" s="114"/>
      <c r="BK99" s="114"/>
      <c r="BL99" s="114"/>
      <c r="BM99" s="114"/>
      <c r="BN99" s="114"/>
      <c r="BO99" s="114"/>
      <c r="BP99" s="114"/>
      <c r="BQ99" s="114"/>
      <c r="BR99" s="114"/>
      <c r="BS99" s="114"/>
      <c r="BT99" s="114"/>
      <c r="BU99" s="114"/>
      <c r="BV99" s="114"/>
      <c r="BW99" s="114"/>
      <c r="BX99" s="114"/>
      <c r="BY99" s="114"/>
      <c r="BZ99" s="114"/>
      <c r="CA99" s="114"/>
      <c r="CB99" s="114"/>
      <c r="CC99" s="114"/>
      <c r="CD99" s="114"/>
      <c r="CE99" s="114"/>
      <c r="CF99" s="114"/>
      <c r="CG99" s="114"/>
      <c r="CH99" s="114"/>
      <c r="CI99" s="114"/>
      <c r="CJ99" s="114"/>
      <c r="CK99" s="114"/>
      <c r="CL99" s="114"/>
      <c r="CM99" s="114"/>
      <c r="CN99" s="114"/>
      <c r="CO99" s="114"/>
      <c r="CP99" s="114"/>
      <c r="CQ99" s="114"/>
      <c r="CR99" s="114"/>
      <c r="CS99" s="114"/>
      <c r="CT99" s="114"/>
      <c r="CU99" s="114"/>
      <c r="CV99" s="114"/>
      <c r="CW99" s="114"/>
      <c r="CX99" s="114"/>
      <c r="CY99" s="114"/>
      <c r="CZ99" s="114"/>
      <c r="DA99" s="114"/>
      <c r="DB99" s="114"/>
      <c r="DC99" s="114"/>
      <c r="DD99" s="114"/>
      <c r="DE99" s="114"/>
      <c r="DF99" s="114"/>
      <c r="DG99" s="114"/>
      <c r="DH99" s="114"/>
      <c r="DI99" s="114"/>
      <c r="DJ99" s="114"/>
    </row>
    <row r="100" spans="1:114" s="115" customFormat="1" ht="16.5" x14ac:dyDescent="0.25">
      <c r="A100" s="103" t="s">
        <v>294</v>
      </c>
      <c r="B100" s="48"/>
      <c r="C100" s="48"/>
      <c r="D100" s="48"/>
      <c r="E100" s="48"/>
      <c r="F100" s="48"/>
      <c r="G100" s="48"/>
      <c r="H100" s="48"/>
      <c r="I100" s="48"/>
      <c r="J100" s="48"/>
      <c r="K100" s="48"/>
      <c r="L100" s="48"/>
      <c r="M100" s="48"/>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c r="CG100" s="114"/>
      <c r="CH100" s="114"/>
      <c r="CI100" s="114"/>
      <c r="CJ100" s="114"/>
      <c r="CK100" s="114"/>
      <c r="CL100" s="114"/>
      <c r="CM100" s="114"/>
      <c r="CN100" s="114"/>
      <c r="CO100" s="114"/>
      <c r="CP100" s="114"/>
      <c r="CQ100" s="114"/>
      <c r="CR100" s="114"/>
      <c r="CS100" s="114"/>
      <c r="CT100" s="114"/>
      <c r="CU100" s="114"/>
      <c r="CV100" s="114"/>
      <c r="CW100" s="114"/>
      <c r="CX100" s="114"/>
      <c r="CY100" s="114"/>
      <c r="CZ100" s="114"/>
      <c r="DA100" s="114"/>
      <c r="DB100" s="114"/>
      <c r="DC100" s="114"/>
      <c r="DD100" s="114"/>
      <c r="DE100" s="114"/>
      <c r="DF100" s="114"/>
      <c r="DG100" s="114"/>
      <c r="DH100" s="114"/>
      <c r="DI100" s="114"/>
      <c r="DJ100" s="114"/>
    </row>
    <row r="101" spans="1:114" s="115" customFormat="1" ht="18" customHeight="1" x14ac:dyDescent="0.25">
      <c r="A101" s="103" t="s">
        <v>296</v>
      </c>
      <c r="B101" s="48"/>
      <c r="C101" s="48"/>
      <c r="D101" s="48"/>
      <c r="E101" s="48"/>
      <c r="F101" s="48"/>
      <c r="G101" s="48"/>
      <c r="H101" s="48"/>
      <c r="I101" s="48"/>
      <c r="J101" s="48"/>
      <c r="K101" s="48"/>
      <c r="L101" s="48"/>
      <c r="M101" s="48"/>
      <c r="N101" s="43"/>
      <c r="O101" s="43"/>
      <c r="P101" s="43"/>
      <c r="Q101" s="43"/>
      <c r="R101" s="43"/>
      <c r="S101" s="43"/>
      <c r="T101" s="43"/>
      <c r="U101" s="43"/>
      <c r="V101" s="43"/>
      <c r="W101" s="43"/>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4"/>
      <c r="BR101" s="114"/>
      <c r="BS101" s="114"/>
      <c r="BT101" s="114"/>
      <c r="BU101" s="114"/>
      <c r="BV101" s="114"/>
      <c r="BW101" s="114"/>
      <c r="BX101" s="114"/>
      <c r="BY101" s="114"/>
      <c r="BZ101" s="114"/>
      <c r="CA101" s="114"/>
      <c r="CB101" s="114"/>
      <c r="CC101" s="114"/>
      <c r="CD101" s="114"/>
    </row>
    <row r="102" spans="1:114" s="115" customFormat="1" ht="16.5" x14ac:dyDescent="0.25">
      <c r="A102" s="103" t="s">
        <v>295</v>
      </c>
      <c r="B102" s="48"/>
      <c r="C102" s="48"/>
      <c r="D102" s="48"/>
      <c r="E102" s="48"/>
      <c r="F102" s="48"/>
      <c r="G102" s="48"/>
      <c r="H102" s="48"/>
      <c r="I102" s="48"/>
      <c r="J102" s="48"/>
      <c r="K102" s="48"/>
      <c r="L102" s="48"/>
      <c r="M102" s="48"/>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4"/>
      <c r="BR102" s="114"/>
      <c r="BS102" s="114"/>
      <c r="BT102" s="114"/>
      <c r="BU102" s="114"/>
      <c r="BV102" s="114"/>
      <c r="BW102" s="114"/>
      <c r="BX102" s="114"/>
      <c r="BY102" s="114"/>
      <c r="BZ102" s="114"/>
      <c r="CA102" s="114"/>
      <c r="CB102" s="114"/>
      <c r="CC102" s="114"/>
      <c r="CD102" s="114"/>
      <c r="CE102" s="114"/>
      <c r="CF102" s="114"/>
      <c r="CG102" s="114"/>
      <c r="CH102" s="114"/>
      <c r="CI102" s="114"/>
      <c r="CJ102" s="114"/>
      <c r="CK102" s="114"/>
      <c r="CL102" s="114"/>
      <c r="CM102" s="114"/>
      <c r="CN102" s="114"/>
      <c r="CO102" s="114"/>
      <c r="CP102" s="114"/>
      <c r="CQ102" s="114"/>
      <c r="CR102" s="114"/>
      <c r="CS102" s="114"/>
      <c r="CT102" s="114"/>
      <c r="CU102" s="114"/>
      <c r="CV102" s="114"/>
      <c r="CW102" s="114"/>
      <c r="CX102" s="114"/>
      <c r="CY102" s="114"/>
      <c r="CZ102" s="114"/>
      <c r="DA102" s="114"/>
      <c r="DB102" s="114"/>
      <c r="DC102" s="114"/>
      <c r="DD102" s="114"/>
      <c r="DE102" s="114"/>
      <c r="DF102" s="114"/>
      <c r="DG102" s="114"/>
      <c r="DH102" s="114"/>
      <c r="DI102" s="114"/>
      <c r="DJ102" s="114"/>
    </row>
    <row r="103" spans="1:114" s="115" customFormat="1" ht="16.5" x14ac:dyDescent="0.25">
      <c r="A103" s="103" t="s">
        <v>297</v>
      </c>
      <c r="B103" s="48"/>
      <c r="C103" s="48"/>
      <c r="D103" s="48"/>
      <c r="E103" s="48"/>
      <c r="F103" s="48"/>
      <c r="G103" s="48"/>
      <c r="H103" s="48"/>
      <c r="I103" s="48"/>
      <c r="J103" s="48"/>
      <c r="K103" s="48"/>
      <c r="L103" s="48"/>
      <c r="M103" s="48"/>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c r="CG103" s="114"/>
      <c r="CH103" s="114"/>
      <c r="CI103" s="114"/>
      <c r="CJ103" s="114"/>
      <c r="CK103" s="114"/>
      <c r="CL103" s="114"/>
      <c r="CM103" s="114"/>
      <c r="CN103" s="114"/>
      <c r="CO103" s="114"/>
      <c r="CP103" s="114"/>
      <c r="CQ103" s="114"/>
      <c r="CR103" s="114"/>
      <c r="CS103" s="114"/>
      <c r="CT103" s="114"/>
      <c r="CU103" s="114"/>
      <c r="CV103" s="114"/>
      <c r="CW103" s="114"/>
      <c r="CX103" s="114"/>
      <c r="CY103" s="114"/>
      <c r="CZ103" s="114"/>
      <c r="DA103" s="114"/>
      <c r="DB103" s="114"/>
      <c r="DC103" s="114"/>
      <c r="DD103" s="114"/>
      <c r="DE103" s="114"/>
      <c r="DF103" s="114"/>
      <c r="DG103" s="114"/>
      <c r="DH103" s="114"/>
      <c r="DI103" s="114"/>
      <c r="DJ103" s="114"/>
    </row>
    <row r="104" spans="1:114" s="115" customFormat="1" ht="16.5" x14ac:dyDescent="0.25">
      <c r="A104" s="103"/>
      <c r="B104" s="48"/>
      <c r="C104" s="48"/>
      <c r="D104" s="48"/>
      <c r="E104" s="48"/>
      <c r="F104" s="48"/>
      <c r="G104" s="48"/>
      <c r="H104" s="48"/>
      <c r="I104" s="48"/>
      <c r="J104" s="48"/>
      <c r="K104" s="48"/>
      <c r="L104" s="48"/>
      <c r="M104" s="48"/>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row>
    <row r="105" spans="1:114" s="111" customFormat="1" ht="16.5" x14ac:dyDescent="0.25">
      <c r="A105" s="103"/>
      <c r="B105" s="35"/>
      <c r="C105" s="35"/>
      <c r="D105" s="35"/>
      <c r="E105" s="35"/>
      <c r="F105" s="35"/>
      <c r="G105" s="35"/>
      <c r="H105" s="35"/>
      <c r="I105" s="35"/>
      <c r="J105" s="35"/>
      <c r="K105" s="35"/>
      <c r="L105" s="35"/>
      <c r="M105" s="35"/>
      <c r="N105" s="35"/>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row>
    <row r="106" spans="1:114" s="113" customFormat="1" ht="18" customHeight="1" x14ac:dyDescent="0.25">
      <c r="A106" s="107" t="s">
        <v>263</v>
      </c>
      <c r="B106" s="108"/>
      <c r="C106" s="108"/>
      <c r="D106" s="108"/>
      <c r="E106" s="108"/>
      <c r="F106" s="108"/>
      <c r="G106" s="108"/>
      <c r="H106" s="108"/>
      <c r="I106" s="108"/>
      <c r="J106" s="108"/>
      <c r="K106" s="108"/>
      <c r="L106" s="108"/>
      <c r="M106" s="108"/>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c r="AX106" s="112"/>
      <c r="AY106" s="112"/>
      <c r="AZ106" s="112"/>
      <c r="BA106" s="112"/>
      <c r="BB106" s="112"/>
      <c r="BC106" s="112"/>
      <c r="BD106" s="112"/>
      <c r="BE106" s="112"/>
      <c r="BF106" s="112"/>
      <c r="BG106" s="112"/>
      <c r="BH106" s="112"/>
      <c r="BI106" s="112"/>
      <c r="BJ106" s="112"/>
      <c r="BK106" s="112"/>
      <c r="BL106" s="112"/>
      <c r="BM106" s="112"/>
      <c r="BN106" s="112"/>
      <c r="BO106" s="112"/>
      <c r="BP106" s="112"/>
      <c r="BQ106" s="112"/>
      <c r="BR106" s="112"/>
      <c r="BS106" s="112"/>
      <c r="BT106" s="112"/>
      <c r="BU106" s="112"/>
      <c r="BV106" s="112"/>
      <c r="BW106" s="112"/>
      <c r="BX106" s="112"/>
      <c r="BY106" s="112"/>
      <c r="BZ106" s="112"/>
      <c r="CA106" s="112"/>
      <c r="CB106" s="112"/>
      <c r="CC106" s="112"/>
      <c r="CD106" s="112"/>
    </row>
    <row r="107" spans="1:114" s="111" customFormat="1" ht="32.25" customHeight="1" x14ac:dyDescent="0.25">
      <c r="A107" s="148" t="s">
        <v>141</v>
      </c>
      <c r="B107" s="157" t="s">
        <v>275</v>
      </c>
      <c r="C107" s="147" t="s">
        <v>143</v>
      </c>
      <c r="D107" s="212" t="s">
        <v>193</v>
      </c>
      <c r="E107" s="213"/>
      <c r="F107" s="214"/>
      <c r="G107" s="212" t="s">
        <v>194</v>
      </c>
      <c r="H107" s="213"/>
      <c r="I107" s="214"/>
      <c r="J107" s="109" t="s">
        <v>195</v>
      </c>
      <c r="K107" s="156" t="s">
        <v>196</v>
      </c>
      <c r="L107" s="163" t="s">
        <v>232</v>
      </c>
      <c r="M107" s="147" t="s">
        <v>141</v>
      </c>
      <c r="N107" s="35"/>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row>
    <row r="108" spans="1:114" s="111" customFormat="1" ht="18" customHeight="1" x14ac:dyDescent="0.25">
      <c r="A108" s="148"/>
      <c r="B108" s="148"/>
      <c r="C108" s="148"/>
      <c r="D108" s="110" t="s">
        <v>146</v>
      </c>
      <c r="E108" s="110" t="s">
        <v>147</v>
      </c>
      <c r="F108" s="110" t="s">
        <v>148</v>
      </c>
      <c r="G108" s="110" t="s">
        <v>146</v>
      </c>
      <c r="H108" s="110" t="s">
        <v>147</v>
      </c>
      <c r="I108" s="110" t="s">
        <v>148</v>
      </c>
      <c r="J108" s="110" t="s">
        <v>148</v>
      </c>
      <c r="K108" s="148"/>
      <c r="L108" s="164"/>
      <c r="M108" s="148"/>
      <c r="N108" s="35"/>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row>
    <row r="109" spans="1:114" ht="18" customHeight="1" x14ac:dyDescent="0.25">
      <c r="A109" s="60" t="s">
        <v>149</v>
      </c>
      <c r="B109" s="126" t="s">
        <v>270</v>
      </c>
      <c r="C109" s="141"/>
      <c r="D109" s="60" t="s">
        <v>13</v>
      </c>
      <c r="E109" s="62">
        <f>D!AM40</f>
        <v>29400</v>
      </c>
      <c r="F109" s="98">
        <f>E109</f>
        <v>29400</v>
      </c>
      <c r="G109" s="60" t="s">
        <v>13</v>
      </c>
      <c r="H109" s="62">
        <f>D!AS40</f>
        <v>0</v>
      </c>
      <c r="I109" s="98">
        <f>H109</f>
        <v>0</v>
      </c>
      <c r="J109" s="98">
        <f>F109+I109</f>
        <v>29400</v>
      </c>
      <c r="K109" s="38">
        <f>D!AW40</f>
        <v>36000</v>
      </c>
      <c r="L109" s="98">
        <f>J109+K109</f>
        <v>65400</v>
      </c>
      <c r="M109" s="66" t="str">
        <f>A109</f>
        <v>台灣</v>
      </c>
      <c r="N109" s="32"/>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row>
    <row r="110" spans="1:114" ht="18" customHeight="1" x14ac:dyDescent="0.25">
      <c r="A110" s="60" t="s">
        <v>151</v>
      </c>
      <c r="B110" s="126" t="s">
        <v>270</v>
      </c>
      <c r="C110" s="141"/>
      <c r="D110" s="60" t="s">
        <v>14</v>
      </c>
      <c r="E110" s="62">
        <f>D!AM41</f>
        <v>25600</v>
      </c>
      <c r="F110" s="98">
        <f>E110*$M$5</f>
        <v>124159.99999999999</v>
      </c>
      <c r="G110" s="60" t="s">
        <v>14</v>
      </c>
      <c r="H110" s="62">
        <f>D!AS41</f>
        <v>2800</v>
      </c>
      <c r="I110" s="98">
        <f>H110*$M$5</f>
        <v>13579.999999999998</v>
      </c>
      <c r="J110" s="98">
        <f t="shared" ref="J110:J122" si="18">F110+I110</f>
        <v>137739.99999999997</v>
      </c>
      <c r="K110" s="38">
        <f>D!AW41</f>
        <v>42000</v>
      </c>
      <c r="L110" s="98">
        <f t="shared" ref="L110:L122" si="19">J110+K110</f>
        <v>179739.99999999997</v>
      </c>
      <c r="M110" s="66" t="str">
        <f t="shared" ref="M110:M122" si="20">A110</f>
        <v>大陸</v>
      </c>
      <c r="N110" s="32"/>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row>
    <row r="111" spans="1:114" ht="18" customHeight="1" x14ac:dyDescent="0.25">
      <c r="A111" s="60" t="s">
        <v>152</v>
      </c>
      <c r="B111" s="126" t="s">
        <v>270</v>
      </c>
      <c r="C111" s="141"/>
      <c r="D111" s="60" t="s">
        <v>15</v>
      </c>
      <c r="E111" s="62">
        <f>D!AM42</f>
        <v>0</v>
      </c>
      <c r="F111" s="98">
        <f>E111*$K$5</f>
        <v>0</v>
      </c>
      <c r="G111" s="60" t="s">
        <v>15</v>
      </c>
      <c r="H111" s="62">
        <f>D!AS42</f>
        <v>0</v>
      </c>
      <c r="I111" s="98">
        <f>H111*$K$5</f>
        <v>0</v>
      </c>
      <c r="J111" s="98">
        <f t="shared" si="18"/>
        <v>0</v>
      </c>
      <c r="K111" s="38">
        <f>D!AW42</f>
        <v>0</v>
      </c>
      <c r="L111" s="98">
        <f t="shared" si="19"/>
        <v>0</v>
      </c>
      <c r="M111" s="66" t="str">
        <f t="shared" si="20"/>
        <v>美國</v>
      </c>
      <c r="N111" s="32"/>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row>
    <row r="112" spans="1:114" ht="18" customHeight="1" x14ac:dyDescent="0.25">
      <c r="A112" s="60" t="s">
        <v>153</v>
      </c>
      <c r="B112" s="126" t="s">
        <v>273</v>
      </c>
      <c r="C112" s="141"/>
      <c r="D112" s="60" t="s">
        <v>16</v>
      </c>
      <c r="E112" s="62">
        <f>D!AM43</f>
        <v>1500</v>
      </c>
      <c r="F112" s="98">
        <f>E112*$K$6</f>
        <v>56250</v>
      </c>
      <c r="G112" s="60" t="s">
        <v>16</v>
      </c>
      <c r="H112" s="62">
        <f>D!AS43</f>
        <v>400</v>
      </c>
      <c r="I112" s="98">
        <f>H112*$K$6</f>
        <v>15000</v>
      </c>
      <c r="J112" s="98">
        <f t="shared" si="18"/>
        <v>71250</v>
      </c>
      <c r="K112" s="38">
        <f>D!AW43</f>
        <v>20000</v>
      </c>
      <c r="L112" s="98">
        <f t="shared" si="19"/>
        <v>91250</v>
      </c>
      <c r="M112" s="66" t="str">
        <f t="shared" si="20"/>
        <v>歐盟</v>
      </c>
      <c r="N112" s="32"/>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row>
    <row r="113" spans="1:82" ht="18" customHeight="1" x14ac:dyDescent="0.25">
      <c r="A113" s="66" t="s">
        <v>224</v>
      </c>
      <c r="B113" s="126" t="s">
        <v>273</v>
      </c>
      <c r="C113" s="141"/>
      <c r="D113" s="60" t="s">
        <v>16</v>
      </c>
      <c r="E113" s="62">
        <f>D!AM44</f>
        <v>520</v>
      </c>
      <c r="F113" s="98">
        <f>E113*$K$6</f>
        <v>19500</v>
      </c>
      <c r="G113" s="60" t="s">
        <v>16</v>
      </c>
      <c r="H113" s="62">
        <f>D!AS44</f>
        <v>600</v>
      </c>
      <c r="I113" s="98">
        <f>H113*$K$6</f>
        <v>22500</v>
      </c>
      <c r="J113" s="98">
        <f t="shared" si="18"/>
        <v>42000</v>
      </c>
      <c r="K113" s="38">
        <f>D!AW44</f>
        <v>20000</v>
      </c>
      <c r="L113" s="98">
        <f t="shared" si="19"/>
        <v>62000</v>
      </c>
      <c r="M113" s="66" t="str">
        <f t="shared" si="20"/>
        <v>英國</v>
      </c>
      <c r="N113" s="32"/>
      <c r="O113" s="33"/>
      <c r="P113" s="42"/>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row>
    <row r="114" spans="1:82" ht="18" customHeight="1" x14ac:dyDescent="0.25">
      <c r="A114" s="60" t="s">
        <v>154</v>
      </c>
      <c r="B114" s="126" t="s">
        <v>273</v>
      </c>
      <c r="C114" s="141"/>
      <c r="D114" s="60" t="s">
        <v>17</v>
      </c>
      <c r="E114" s="62">
        <f>D!AM45</f>
        <v>371800</v>
      </c>
      <c r="F114" s="98">
        <f>E114*$K$7</f>
        <v>78078</v>
      </c>
      <c r="G114" s="60" t="s">
        <v>17</v>
      </c>
      <c r="H114" s="62">
        <f>D!AS45</f>
        <v>213000</v>
      </c>
      <c r="I114" s="98">
        <f>H114*$K$7</f>
        <v>44730</v>
      </c>
      <c r="J114" s="98">
        <f t="shared" si="18"/>
        <v>122808</v>
      </c>
      <c r="K114" s="38">
        <f>D!AW45</f>
        <v>110000</v>
      </c>
      <c r="L114" s="98">
        <f t="shared" si="19"/>
        <v>232808</v>
      </c>
      <c r="M114" s="66" t="str">
        <f t="shared" si="20"/>
        <v>日本</v>
      </c>
      <c r="N114" s="32"/>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row>
    <row r="115" spans="1:82" ht="18" customHeight="1" x14ac:dyDescent="0.25">
      <c r="A115" s="60" t="s">
        <v>155</v>
      </c>
      <c r="B115" s="126" t="s">
        <v>272</v>
      </c>
      <c r="C115" s="141"/>
      <c r="D115" s="60" t="s">
        <v>18</v>
      </c>
      <c r="E115" s="62">
        <f>D!AM46</f>
        <v>2415000</v>
      </c>
      <c r="F115" s="98">
        <f>E115*$K$8</f>
        <v>62790</v>
      </c>
      <c r="G115" s="60" t="s">
        <v>15</v>
      </c>
      <c r="H115" s="62">
        <f>D!AS46</f>
        <v>3210</v>
      </c>
      <c r="I115" s="98">
        <f>H115*$K$5</f>
        <v>103362.00000000001</v>
      </c>
      <c r="J115" s="98">
        <f t="shared" si="18"/>
        <v>166152</v>
      </c>
      <c r="K115" s="38">
        <f>D!AW46</f>
        <v>85000</v>
      </c>
      <c r="L115" s="98">
        <f t="shared" si="19"/>
        <v>251152</v>
      </c>
      <c r="M115" s="66" t="str">
        <f t="shared" si="20"/>
        <v>韓國</v>
      </c>
      <c r="N115" s="32"/>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row>
    <row r="116" spans="1:82" ht="18" customHeight="1" x14ac:dyDescent="0.25">
      <c r="A116" s="101" t="s">
        <v>162</v>
      </c>
      <c r="B116" s="126" t="s">
        <v>271</v>
      </c>
      <c r="C116" s="141"/>
      <c r="D116" s="60" t="s">
        <v>36</v>
      </c>
      <c r="E116" s="62">
        <f>D!AM47</f>
        <v>517.82000000000005</v>
      </c>
      <c r="F116" s="98">
        <f>E116*$M$9</f>
        <v>12168.77</v>
      </c>
      <c r="G116" s="60" t="s">
        <v>36</v>
      </c>
      <c r="H116" s="62">
        <f>D!AS47</f>
        <v>315</v>
      </c>
      <c r="I116" s="98">
        <f>H116*$M$9</f>
        <v>7402.5</v>
      </c>
      <c r="J116" s="98">
        <f>F116+I116</f>
        <v>19571.27</v>
      </c>
      <c r="K116" s="38">
        <f>D!AW47</f>
        <v>5000</v>
      </c>
      <c r="L116" s="98">
        <f>J116+K116</f>
        <v>24571.27</v>
      </c>
      <c r="M116" s="102" t="str">
        <f>A116</f>
        <v>加拿大</v>
      </c>
      <c r="N116" s="37"/>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row>
    <row r="117" spans="1:82" ht="18" customHeight="1" x14ac:dyDescent="0.25">
      <c r="A117" s="66" t="s">
        <v>315</v>
      </c>
      <c r="B117" s="126" t="s">
        <v>271</v>
      </c>
      <c r="C117" s="141"/>
      <c r="D117" s="60" t="s">
        <v>317</v>
      </c>
      <c r="E117" s="62">
        <f>D!AM48</f>
        <v>400</v>
      </c>
      <c r="F117" s="98">
        <f>E117*$M$10</f>
        <v>9280</v>
      </c>
      <c r="G117" s="60" t="s">
        <v>317</v>
      </c>
      <c r="H117" s="62">
        <f>D!AS48</f>
        <v>570</v>
      </c>
      <c r="I117" s="98">
        <f>H117*$M$10</f>
        <v>13224</v>
      </c>
      <c r="J117" s="98">
        <f>F117+I117</f>
        <v>22504</v>
      </c>
      <c r="K117" s="38">
        <f>D!AW48</f>
        <v>5000</v>
      </c>
      <c r="L117" s="98">
        <f>J117+K117</f>
        <v>27504</v>
      </c>
      <c r="M117" s="66" t="str">
        <f>A117</f>
        <v>澳洲</v>
      </c>
      <c r="N117" s="131" t="str">
        <f>IF(D!$C$24=FALSE,"",IF(選項!$K$2=1,"注意：澳洲尚未開放申請各種「圖像設計」之設計專利",""))</f>
        <v/>
      </c>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row>
    <row r="118" spans="1:82" ht="18" customHeight="1" x14ac:dyDescent="0.25">
      <c r="A118" s="60" t="s">
        <v>156</v>
      </c>
      <c r="B118" s="126" t="s">
        <v>270</v>
      </c>
      <c r="C118" s="141"/>
      <c r="D118" s="60" t="s">
        <v>19</v>
      </c>
      <c r="E118" s="62">
        <f>D!AM49</f>
        <v>550</v>
      </c>
      <c r="F118" s="98">
        <f>E118*$M$6</f>
        <v>13970</v>
      </c>
      <c r="G118" s="60" t="s">
        <v>19</v>
      </c>
      <c r="H118" s="62">
        <f>D!AS49</f>
        <v>900</v>
      </c>
      <c r="I118" s="98">
        <f>H118*$M$6</f>
        <v>22860</v>
      </c>
      <c r="J118" s="98">
        <f t="shared" si="18"/>
        <v>36830</v>
      </c>
      <c r="K118" s="38">
        <f>D!AW49</f>
        <v>10000</v>
      </c>
      <c r="L118" s="98">
        <f t="shared" si="19"/>
        <v>46830</v>
      </c>
      <c r="M118" s="66" t="str">
        <f t="shared" si="20"/>
        <v>新加坡</v>
      </c>
      <c r="N118" s="32"/>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row>
    <row r="119" spans="1:82" ht="18" customHeight="1" x14ac:dyDescent="0.25">
      <c r="A119" s="60" t="s">
        <v>160</v>
      </c>
      <c r="B119" s="126" t="s">
        <v>273</v>
      </c>
      <c r="C119" s="141"/>
      <c r="D119" s="60" t="s">
        <v>22</v>
      </c>
      <c r="E119" s="62">
        <f>D!AM50</f>
        <v>3200</v>
      </c>
      <c r="F119" s="98">
        <f>E119*$M$8</f>
        <v>26560.000000000004</v>
      </c>
      <c r="G119" s="60" t="s">
        <v>22</v>
      </c>
      <c r="H119" s="62">
        <f>D!AS50</f>
        <v>2400</v>
      </c>
      <c r="I119" s="98">
        <f>H119*$M$8</f>
        <v>19920</v>
      </c>
      <c r="J119" s="98">
        <f>F119+I119</f>
        <v>46480</v>
      </c>
      <c r="K119" s="38">
        <f>D!AW50</f>
        <v>20000</v>
      </c>
      <c r="L119" s="98">
        <f>J119+K119</f>
        <v>66480</v>
      </c>
      <c r="M119" s="66" t="str">
        <f>A119</f>
        <v>馬來西亞</v>
      </c>
      <c r="N119" s="131" t="str">
        <f>IF(D!$C$26=FALSE,"",IF(選項!$K$2=1,"注意：馬來西亞不允許申請「動態GUI」之設計專利",""))</f>
        <v/>
      </c>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row>
    <row r="120" spans="1:82" ht="18" customHeight="1" x14ac:dyDescent="0.25">
      <c r="A120" s="60" t="s">
        <v>157</v>
      </c>
      <c r="B120" s="126" t="s">
        <v>270</v>
      </c>
      <c r="C120" s="141"/>
      <c r="D120" s="60" t="s">
        <v>15</v>
      </c>
      <c r="E120" s="62">
        <f>D!AM51</f>
        <v>190</v>
      </c>
      <c r="F120" s="98">
        <f>E120*$K$5</f>
        <v>6118.0000000000009</v>
      </c>
      <c r="G120" s="60" t="s">
        <v>15</v>
      </c>
      <c r="H120" s="62">
        <f>D!AS51</f>
        <v>200</v>
      </c>
      <c r="I120" s="98">
        <f>H120*$K$5</f>
        <v>6440.0000000000009</v>
      </c>
      <c r="J120" s="98">
        <f t="shared" si="18"/>
        <v>12558.000000000002</v>
      </c>
      <c r="K120" s="38">
        <f>D!AW51</f>
        <v>10000</v>
      </c>
      <c r="L120" s="98">
        <f t="shared" si="19"/>
        <v>22558</v>
      </c>
      <c r="M120" s="66" t="str">
        <f t="shared" si="20"/>
        <v>菲律賓</v>
      </c>
      <c r="N120" s="32"/>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row>
    <row r="121" spans="1:82" ht="18" customHeight="1" x14ac:dyDescent="0.25">
      <c r="A121" s="60" t="s">
        <v>161</v>
      </c>
      <c r="B121" s="126" t="s">
        <v>271</v>
      </c>
      <c r="C121" s="141"/>
      <c r="D121" s="60" t="s">
        <v>15</v>
      </c>
      <c r="E121" s="62">
        <f>D!AM52</f>
        <v>0</v>
      </c>
      <c r="F121" s="98">
        <f>E121*$K$5</f>
        <v>0</v>
      </c>
      <c r="G121" s="60" t="s">
        <v>15</v>
      </c>
      <c r="H121" s="62">
        <f>D!AS52</f>
        <v>0</v>
      </c>
      <c r="I121" s="98">
        <f>H121*$K$5</f>
        <v>0</v>
      </c>
      <c r="J121" s="98">
        <f>F121+I121</f>
        <v>0</v>
      </c>
      <c r="K121" s="38">
        <f>D!AW52</f>
        <v>0</v>
      </c>
      <c r="L121" s="98">
        <f>J121+K121</f>
        <v>0</v>
      </c>
      <c r="M121" s="66" t="str">
        <f>A121</f>
        <v>印尼</v>
      </c>
      <c r="N121" s="32"/>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row>
    <row r="122" spans="1:82" ht="18" customHeight="1" x14ac:dyDescent="0.25">
      <c r="A122" s="60" t="s">
        <v>158</v>
      </c>
      <c r="B122" s="126" t="s">
        <v>270</v>
      </c>
      <c r="C122" s="141"/>
      <c r="D122" s="60" t="s">
        <v>20</v>
      </c>
      <c r="E122" s="62">
        <f>D!AM53</f>
        <v>2400000</v>
      </c>
      <c r="F122" s="98">
        <f>E122*$M$7</f>
        <v>3360</v>
      </c>
      <c r="G122" s="60" t="s">
        <v>15</v>
      </c>
      <c r="H122" s="62">
        <f>D!AS53</f>
        <v>320</v>
      </c>
      <c r="I122" s="98">
        <f>H122*$K$5</f>
        <v>10304</v>
      </c>
      <c r="J122" s="98">
        <f t="shared" si="18"/>
        <v>13664</v>
      </c>
      <c r="K122" s="38">
        <f>D!AW53</f>
        <v>10000</v>
      </c>
      <c r="L122" s="98">
        <f t="shared" si="19"/>
        <v>23664</v>
      </c>
      <c r="M122" s="66" t="str">
        <f t="shared" si="20"/>
        <v>越南</v>
      </c>
      <c r="N122" s="131" t="str">
        <f>IF(D!$C$29=FALSE,"",IF(選項!$K$2=1,"注意：越南尚未開放申請各種「圖像設計」之設計專利",""))</f>
        <v/>
      </c>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row>
    <row r="123" spans="1:82" ht="18" customHeight="1" x14ac:dyDescent="0.25">
      <c r="A123" s="60" t="s">
        <v>159</v>
      </c>
      <c r="B123" s="126" t="s">
        <v>271</v>
      </c>
      <c r="C123" s="141"/>
      <c r="D123" s="60" t="s">
        <v>21</v>
      </c>
      <c r="E123" s="62">
        <f>D!AM54</f>
        <v>8250</v>
      </c>
      <c r="F123" s="98">
        <f>E123*$K$9</f>
        <v>8662.5</v>
      </c>
      <c r="G123" s="60" t="s">
        <v>21</v>
      </c>
      <c r="H123" s="62">
        <f>D!AS54</f>
        <v>19200</v>
      </c>
      <c r="I123" s="98">
        <f>H123*$K$9</f>
        <v>20160</v>
      </c>
      <c r="J123" s="98">
        <f t="shared" ref="J123:J124" si="21">F123+I123</f>
        <v>28822.5</v>
      </c>
      <c r="K123" s="38">
        <f>D!AW54</f>
        <v>30000</v>
      </c>
      <c r="L123" s="98">
        <f t="shared" ref="L123:L124" si="22">J123+K123</f>
        <v>58822.5</v>
      </c>
      <c r="M123" s="66" t="str">
        <f t="shared" ref="M123:M124" si="23">A123</f>
        <v>泰國</v>
      </c>
      <c r="N123" s="131" t="str">
        <f>IF(D!$C$30=FALSE,"",IF(選項!$K$2=1,"注意：泰國不允許申請「動態GUI」之設計專利",""))</f>
        <v/>
      </c>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row>
    <row r="124" spans="1:82" ht="18" customHeight="1" x14ac:dyDescent="0.25">
      <c r="A124" s="66" t="s">
        <v>309</v>
      </c>
      <c r="B124" s="126" t="s">
        <v>312</v>
      </c>
      <c r="C124" s="141"/>
      <c r="D124" s="60" t="s">
        <v>15</v>
      </c>
      <c r="E124" s="62">
        <f>D!AM55</f>
        <v>114</v>
      </c>
      <c r="F124" s="98">
        <f>E124*$K$5</f>
        <v>3670.8</v>
      </c>
      <c r="G124" s="60" t="s">
        <v>15</v>
      </c>
      <c r="H124" s="62">
        <f>D!AS55</f>
        <v>100</v>
      </c>
      <c r="I124" s="98">
        <f>H124*$K$5</f>
        <v>3220.0000000000005</v>
      </c>
      <c r="J124" s="98">
        <f t="shared" si="21"/>
        <v>6890.8000000000011</v>
      </c>
      <c r="K124" s="38">
        <f>D!AW55</f>
        <v>5000</v>
      </c>
      <c r="L124" s="98">
        <f t="shared" si="22"/>
        <v>11890.800000000001</v>
      </c>
      <c r="M124" s="66" t="str">
        <f t="shared" si="23"/>
        <v>印度</v>
      </c>
      <c r="N124" s="131"/>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row>
    <row r="125" spans="1:82" ht="20.100000000000001" customHeight="1" x14ac:dyDescent="0.25">
      <c r="A125" s="66" t="s">
        <v>280</v>
      </c>
      <c r="B125" s="128">
        <f>B72</f>
        <v>16</v>
      </c>
      <c r="C125" s="53"/>
      <c r="D125" s="53"/>
      <c r="E125" s="54" t="s">
        <v>164</v>
      </c>
      <c r="F125" s="55">
        <f>SUM(F109:F124)</f>
        <v>453968.07</v>
      </c>
      <c r="G125" s="53"/>
      <c r="H125" s="54" t="s">
        <v>164</v>
      </c>
      <c r="I125" s="56">
        <f>SUM(I109:I124)</f>
        <v>302702.5</v>
      </c>
      <c r="J125" s="57">
        <f>SUM(J109:J124)</f>
        <v>756670.57000000007</v>
      </c>
      <c r="K125" s="58">
        <f>SUM(K109:K124)</f>
        <v>408000</v>
      </c>
      <c r="L125" s="61">
        <f>SUM(L109:L124)</f>
        <v>1164670.57</v>
      </c>
      <c r="M125" s="66"/>
      <c r="N125" s="32"/>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row>
    <row r="126" spans="1:82" ht="40.15" customHeight="1" x14ac:dyDescent="0.25">
      <c r="A126" s="215" t="s">
        <v>265</v>
      </c>
      <c r="B126" s="216"/>
      <c r="C126" s="217"/>
      <c r="D126" s="216"/>
      <c r="E126" s="216"/>
      <c r="F126" s="216"/>
      <c r="G126" s="216"/>
      <c r="H126" s="216"/>
      <c r="I126" s="216"/>
      <c r="J126" s="216"/>
      <c r="K126" s="216"/>
      <c r="L126" s="216"/>
      <c r="M126" s="216"/>
      <c r="N126" s="32"/>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row>
    <row r="127" spans="1:82" s="115" customFormat="1" ht="16.5" x14ac:dyDescent="0.25">
      <c r="A127" s="106" t="s">
        <v>259</v>
      </c>
      <c r="B127" s="48"/>
      <c r="C127" s="48"/>
      <c r="D127" s="48"/>
      <c r="E127" s="48"/>
      <c r="F127" s="48"/>
      <c r="G127" s="48"/>
      <c r="H127" s="48"/>
      <c r="I127" s="48"/>
      <c r="J127" s="48"/>
      <c r="K127" s="48"/>
      <c r="L127" s="48"/>
      <c r="M127" s="48"/>
      <c r="N127" s="48"/>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row>
    <row r="128" spans="1:82" s="115" customFormat="1" ht="18" customHeight="1" x14ac:dyDescent="0.25">
      <c r="A128" s="103" t="s">
        <v>299</v>
      </c>
      <c r="B128" s="48"/>
      <c r="C128" s="48"/>
      <c r="D128" s="48"/>
      <c r="E128" s="48"/>
      <c r="F128" s="48"/>
      <c r="G128" s="48"/>
      <c r="H128" s="48"/>
      <c r="I128" s="48"/>
      <c r="J128" s="48"/>
      <c r="K128" s="48"/>
      <c r="L128" s="48"/>
      <c r="M128" s="48"/>
      <c r="N128" s="43"/>
      <c r="O128" s="43"/>
      <c r="P128" s="43"/>
      <c r="Q128" s="43"/>
      <c r="R128" s="43"/>
      <c r="S128" s="43"/>
      <c r="T128" s="43"/>
      <c r="U128" s="43"/>
      <c r="V128" s="43"/>
      <c r="W128" s="43"/>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14"/>
      <c r="BR128" s="114"/>
      <c r="BS128" s="114"/>
      <c r="BT128" s="114"/>
      <c r="BU128" s="114"/>
      <c r="BV128" s="114"/>
      <c r="BW128" s="114"/>
      <c r="BX128" s="114"/>
      <c r="BY128" s="114"/>
      <c r="BZ128" s="114"/>
      <c r="CA128" s="114"/>
      <c r="CB128" s="114"/>
      <c r="CC128" s="114"/>
      <c r="CD128" s="114"/>
    </row>
    <row r="129" spans="1:82" s="115" customFormat="1" ht="16.5" x14ac:dyDescent="0.25">
      <c r="A129" s="103" t="s">
        <v>300</v>
      </c>
      <c r="B129" s="48"/>
      <c r="C129" s="48"/>
      <c r="D129" s="48"/>
      <c r="E129" s="48"/>
      <c r="F129" s="48"/>
      <c r="G129" s="48"/>
      <c r="H129" s="48"/>
      <c r="I129" s="48"/>
      <c r="J129" s="48"/>
      <c r="K129" s="48"/>
      <c r="L129" s="48"/>
      <c r="M129" s="48"/>
      <c r="N129" s="48"/>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c r="BY129" s="114"/>
      <c r="BZ129" s="114"/>
      <c r="CA129" s="114"/>
      <c r="CB129" s="114"/>
      <c r="CC129" s="114"/>
      <c r="CD129" s="114"/>
    </row>
    <row r="130" spans="1:82" s="115" customFormat="1" ht="16.5" x14ac:dyDescent="0.25">
      <c r="A130" s="103"/>
      <c r="B130" s="48"/>
      <c r="C130" s="48"/>
      <c r="D130" s="48"/>
      <c r="E130" s="48"/>
      <c r="F130" s="48"/>
      <c r="G130" s="48"/>
      <c r="H130" s="48"/>
      <c r="I130" s="48"/>
      <c r="J130" s="48"/>
      <c r="K130" s="48"/>
      <c r="L130" s="48"/>
      <c r="M130" s="48"/>
      <c r="N130" s="48"/>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c r="AQ130" s="114"/>
      <c r="AR130" s="114"/>
      <c r="AS130" s="114"/>
      <c r="AT130" s="114"/>
      <c r="AU130" s="114"/>
      <c r="AV130" s="114"/>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14"/>
      <c r="BR130" s="114"/>
      <c r="BS130" s="114"/>
      <c r="BT130" s="114"/>
      <c r="BU130" s="114"/>
      <c r="BV130" s="114"/>
      <c r="BW130" s="114"/>
      <c r="BX130" s="114"/>
      <c r="BY130" s="114"/>
      <c r="BZ130" s="114"/>
      <c r="CA130" s="114"/>
      <c r="CB130" s="114"/>
      <c r="CC130" s="114"/>
      <c r="CD130" s="114"/>
    </row>
    <row r="131" spans="1:82" s="111" customFormat="1" x14ac:dyDescent="0.25">
      <c r="A131" s="35"/>
      <c r="B131" s="35"/>
      <c r="C131" s="35"/>
      <c r="D131" s="35"/>
      <c r="E131" s="35"/>
      <c r="F131" s="35"/>
      <c r="G131" s="35"/>
      <c r="H131" s="35"/>
      <c r="I131" s="35"/>
      <c r="J131" s="35"/>
      <c r="K131" s="35"/>
      <c r="L131" s="35"/>
      <c r="M131" s="35"/>
      <c r="N131" s="35"/>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row>
    <row r="132" spans="1:82" s="113" customFormat="1" ht="18" customHeight="1" x14ac:dyDescent="0.25">
      <c r="A132" s="107" t="s">
        <v>302</v>
      </c>
      <c r="B132" s="108"/>
      <c r="C132" s="108"/>
      <c r="D132" s="108"/>
      <c r="E132" s="108"/>
      <c r="F132" s="108"/>
      <c r="G132" s="108"/>
      <c r="H132" s="108"/>
      <c r="I132" s="108"/>
      <c r="J132" s="108"/>
      <c r="K132" s="108"/>
      <c r="L132" s="108"/>
      <c r="M132" s="108"/>
      <c r="N132" s="116"/>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c r="AV132" s="112"/>
      <c r="AW132" s="112"/>
      <c r="AX132" s="112"/>
      <c r="AY132" s="112"/>
      <c r="AZ132" s="112"/>
      <c r="BA132" s="112"/>
      <c r="BB132" s="112"/>
      <c r="BC132" s="112"/>
      <c r="BD132" s="112"/>
      <c r="BE132" s="112"/>
      <c r="BF132" s="112"/>
      <c r="BG132" s="112"/>
      <c r="BH132" s="112"/>
      <c r="BI132" s="112"/>
      <c r="BJ132" s="112"/>
      <c r="BK132" s="112"/>
      <c r="BL132" s="112"/>
      <c r="BM132" s="112"/>
      <c r="BN132" s="112"/>
      <c r="BO132" s="112"/>
      <c r="BP132" s="112"/>
      <c r="BQ132" s="112"/>
      <c r="BR132" s="112"/>
      <c r="BS132" s="112"/>
      <c r="BT132" s="112"/>
      <c r="BU132" s="112"/>
      <c r="BV132" s="112"/>
      <c r="BW132" s="112"/>
      <c r="BX132" s="112"/>
      <c r="BY132" s="112"/>
      <c r="BZ132" s="112"/>
      <c r="CA132" s="112"/>
      <c r="CB132" s="112"/>
      <c r="CC132" s="112"/>
      <c r="CD132" s="112"/>
    </row>
    <row r="133" spans="1:82" x14ac:dyDescent="0.25">
      <c r="A133" s="32"/>
      <c r="B133" s="32"/>
      <c r="C133" s="32"/>
      <c r="D133" s="32"/>
      <c r="E133" s="32"/>
      <c r="F133" s="32"/>
      <c r="G133" s="32"/>
      <c r="H133" s="32"/>
      <c r="I133" s="32"/>
      <c r="J133" s="32"/>
      <c r="K133" s="32"/>
      <c r="L133" s="32"/>
      <c r="M133" s="32"/>
      <c r="N133" s="32"/>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row>
    <row r="134" spans="1:82" x14ac:dyDescent="0.25">
      <c r="A134" s="32"/>
      <c r="B134" s="32"/>
      <c r="C134" s="32"/>
      <c r="D134" s="32"/>
      <c r="E134" s="32"/>
      <c r="F134" s="32"/>
      <c r="G134" s="32"/>
      <c r="H134" s="32"/>
      <c r="I134" s="32"/>
      <c r="J134" s="32"/>
      <c r="K134" s="32"/>
      <c r="L134" s="32"/>
      <c r="M134" s="32"/>
      <c r="N134" s="32"/>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row>
    <row r="135" spans="1:82" x14ac:dyDescent="0.25">
      <c r="A135" s="32"/>
      <c r="B135" s="32"/>
      <c r="C135" s="32"/>
      <c r="D135" s="32"/>
      <c r="E135" s="32"/>
      <c r="F135" s="32"/>
      <c r="G135" s="32"/>
      <c r="H135" s="32"/>
      <c r="I135" s="32"/>
      <c r="J135" s="32"/>
      <c r="K135" s="32"/>
      <c r="L135" s="32"/>
      <c r="M135" s="32"/>
      <c r="N135" s="32"/>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row>
    <row r="136" spans="1:82" x14ac:dyDescent="0.25">
      <c r="A136" s="32"/>
      <c r="B136" s="32"/>
      <c r="C136" s="32"/>
      <c r="D136" s="32"/>
      <c r="E136" s="32"/>
      <c r="F136" s="32"/>
      <c r="G136" s="32"/>
      <c r="H136" s="32"/>
      <c r="I136" s="32"/>
      <c r="J136" s="32"/>
      <c r="K136" s="32"/>
      <c r="L136" s="32"/>
      <c r="M136" s="32"/>
      <c r="N136" s="32"/>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row>
    <row r="137" spans="1:82" x14ac:dyDescent="0.25">
      <c r="A137" s="32"/>
      <c r="B137" s="32"/>
      <c r="C137" s="32"/>
      <c r="D137" s="32"/>
      <c r="E137" s="32"/>
      <c r="F137" s="32"/>
      <c r="G137" s="32"/>
      <c r="H137" s="32"/>
      <c r="I137" s="32"/>
      <c r="J137" s="32"/>
      <c r="K137" s="32"/>
      <c r="L137" s="32"/>
      <c r="M137" s="32"/>
      <c r="N137" s="32"/>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row>
    <row r="138" spans="1:82" x14ac:dyDescent="0.25">
      <c r="A138" s="32"/>
      <c r="B138" s="32"/>
      <c r="C138" s="32"/>
      <c r="D138" s="32"/>
      <c r="E138" s="32"/>
      <c r="F138" s="32"/>
      <c r="G138" s="32"/>
      <c r="H138" s="32"/>
      <c r="I138" s="32"/>
      <c r="J138" s="32"/>
      <c r="K138" s="32"/>
      <c r="L138" s="32"/>
      <c r="M138" s="32"/>
      <c r="N138" s="32"/>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row>
    <row r="139" spans="1:82" x14ac:dyDescent="0.25">
      <c r="A139" s="32"/>
      <c r="B139" s="32"/>
      <c r="C139" s="32"/>
      <c r="D139" s="32"/>
      <c r="E139" s="32"/>
      <c r="F139" s="32"/>
      <c r="G139" s="32"/>
      <c r="H139" s="32"/>
      <c r="I139" s="32"/>
      <c r="J139" s="32"/>
      <c r="K139" s="32"/>
      <c r="L139" s="32"/>
      <c r="M139" s="32"/>
      <c r="N139" s="32"/>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row>
    <row r="140" spans="1:82" x14ac:dyDescent="0.25">
      <c r="A140" s="32"/>
      <c r="B140" s="32"/>
      <c r="C140" s="32"/>
      <c r="D140" s="32"/>
      <c r="E140" s="32"/>
      <c r="F140" s="32"/>
      <c r="G140" s="32"/>
      <c r="H140" s="32"/>
      <c r="I140" s="32"/>
      <c r="J140" s="32"/>
      <c r="K140" s="32"/>
      <c r="L140" s="32"/>
      <c r="M140" s="32"/>
      <c r="N140" s="32"/>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row>
    <row r="141" spans="1:82" x14ac:dyDescent="0.25">
      <c r="A141" s="32"/>
      <c r="B141" s="32"/>
      <c r="C141" s="32"/>
      <c r="D141" s="32"/>
      <c r="E141" s="32"/>
      <c r="F141" s="32"/>
      <c r="G141" s="32"/>
      <c r="H141" s="32"/>
      <c r="I141" s="32"/>
      <c r="J141" s="32"/>
      <c r="K141" s="32"/>
      <c r="L141" s="32"/>
      <c r="M141" s="32"/>
      <c r="N141" s="32"/>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row>
    <row r="142" spans="1:82" x14ac:dyDescent="0.25">
      <c r="A142" s="32"/>
      <c r="B142" s="32"/>
      <c r="C142" s="32"/>
      <c r="D142" s="32"/>
      <c r="E142" s="32"/>
      <c r="F142" s="32"/>
      <c r="G142" s="32"/>
      <c r="H142" s="32"/>
      <c r="I142" s="32"/>
      <c r="J142" s="32"/>
      <c r="K142" s="32"/>
      <c r="L142" s="32"/>
      <c r="M142" s="32"/>
      <c r="N142" s="32"/>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row>
    <row r="143" spans="1:82" x14ac:dyDescent="0.25">
      <c r="A143" s="32"/>
      <c r="B143" s="32"/>
      <c r="C143" s="32"/>
      <c r="D143" s="32"/>
      <c r="E143" s="32"/>
      <c r="F143" s="32"/>
      <c r="G143" s="32"/>
      <c r="H143" s="32"/>
      <c r="I143" s="32"/>
      <c r="J143" s="32"/>
      <c r="K143" s="32"/>
      <c r="L143" s="32"/>
      <c r="M143" s="32"/>
      <c r="N143" s="32"/>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row>
    <row r="144" spans="1:82" x14ac:dyDescent="0.25">
      <c r="A144" s="32"/>
      <c r="B144" s="32"/>
      <c r="C144" s="32"/>
      <c r="D144" s="32"/>
      <c r="E144" s="32"/>
      <c r="F144" s="32"/>
      <c r="G144" s="32"/>
      <c r="H144" s="32"/>
      <c r="I144" s="32"/>
      <c r="J144" s="32"/>
      <c r="K144" s="32"/>
      <c r="L144" s="32"/>
      <c r="M144" s="32"/>
      <c r="N144" s="32"/>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row>
    <row r="145" spans="1:82" x14ac:dyDescent="0.25">
      <c r="A145" s="32"/>
      <c r="B145" s="32"/>
      <c r="C145" s="32"/>
      <c r="D145" s="32"/>
      <c r="E145" s="32"/>
      <c r="F145" s="32"/>
      <c r="G145" s="32"/>
      <c r="H145" s="32"/>
      <c r="I145" s="32"/>
      <c r="J145" s="32"/>
      <c r="K145" s="32"/>
      <c r="L145" s="32"/>
      <c r="M145" s="32"/>
      <c r="N145" s="32"/>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row>
    <row r="146" spans="1:82" x14ac:dyDescent="0.25">
      <c r="A146" s="32"/>
      <c r="B146" s="32"/>
      <c r="C146" s="32"/>
      <c r="D146" s="32"/>
      <c r="E146" s="32"/>
      <c r="F146" s="32"/>
      <c r="G146" s="32"/>
      <c r="H146" s="32"/>
      <c r="I146" s="32"/>
      <c r="J146" s="32"/>
      <c r="K146" s="32"/>
      <c r="L146" s="32"/>
      <c r="M146" s="32"/>
      <c r="N146" s="32"/>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row>
    <row r="147" spans="1:82" x14ac:dyDescent="0.25">
      <c r="A147" s="32"/>
      <c r="B147" s="32"/>
      <c r="C147" s="32"/>
      <c r="D147" s="32"/>
      <c r="E147" s="32"/>
      <c r="F147" s="32"/>
      <c r="G147" s="32"/>
      <c r="H147" s="32"/>
      <c r="I147" s="32"/>
      <c r="J147" s="32"/>
      <c r="K147" s="32"/>
      <c r="L147" s="32"/>
      <c r="M147" s="32"/>
      <c r="N147" s="32"/>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row>
    <row r="148" spans="1:82" x14ac:dyDescent="0.25">
      <c r="A148" s="32"/>
      <c r="B148" s="32"/>
      <c r="C148" s="32"/>
      <c r="D148" s="32"/>
      <c r="E148" s="32"/>
      <c r="F148" s="32"/>
      <c r="G148" s="32"/>
      <c r="H148" s="32"/>
      <c r="I148" s="32"/>
      <c r="J148" s="32"/>
      <c r="K148" s="32"/>
      <c r="L148" s="32"/>
      <c r="M148" s="32"/>
      <c r="N148" s="32"/>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row>
    <row r="149" spans="1:82" x14ac:dyDescent="0.25">
      <c r="A149" s="32"/>
      <c r="B149" s="32"/>
      <c r="C149" s="32"/>
      <c r="D149" s="32"/>
      <c r="E149" s="32"/>
      <c r="F149" s="32"/>
      <c r="G149" s="32"/>
      <c r="H149" s="32"/>
      <c r="I149" s="32"/>
      <c r="J149" s="32"/>
      <c r="K149" s="32"/>
      <c r="L149" s="32"/>
      <c r="M149" s="32"/>
      <c r="N149" s="32"/>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row>
    <row r="150" spans="1:82" x14ac:dyDescent="0.25">
      <c r="A150" s="32"/>
      <c r="B150" s="32"/>
      <c r="C150" s="32"/>
      <c r="D150" s="32"/>
      <c r="E150" s="32"/>
      <c r="F150" s="32"/>
      <c r="G150" s="32"/>
      <c r="H150" s="32"/>
      <c r="I150" s="32"/>
      <c r="J150" s="32"/>
      <c r="K150" s="32"/>
      <c r="L150" s="32"/>
      <c r="M150" s="32"/>
      <c r="N150" s="32"/>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row>
    <row r="151" spans="1:82" x14ac:dyDescent="0.25">
      <c r="A151" s="32"/>
      <c r="B151" s="32"/>
      <c r="C151" s="32"/>
      <c r="D151" s="32"/>
      <c r="E151" s="32"/>
      <c r="F151" s="32"/>
      <c r="G151" s="32"/>
      <c r="H151" s="32"/>
      <c r="I151" s="32"/>
      <c r="J151" s="32"/>
      <c r="K151" s="32"/>
      <c r="L151" s="32"/>
      <c r="M151" s="32"/>
      <c r="N151" s="32"/>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row>
    <row r="152" spans="1:82" x14ac:dyDescent="0.25">
      <c r="A152" s="32"/>
      <c r="B152" s="32"/>
      <c r="C152" s="32"/>
      <c r="D152" s="32"/>
      <c r="E152" s="32"/>
      <c r="F152" s="32"/>
      <c r="G152" s="32"/>
      <c r="H152" s="32"/>
      <c r="I152" s="32"/>
      <c r="J152" s="32"/>
      <c r="K152" s="32"/>
      <c r="L152" s="32"/>
      <c r="M152" s="32"/>
      <c r="N152" s="32"/>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c r="CB152" s="33"/>
      <c r="CC152" s="33"/>
      <c r="CD152" s="33"/>
    </row>
    <row r="153" spans="1:82" x14ac:dyDescent="0.25">
      <c r="A153" s="32"/>
      <c r="B153" s="32"/>
      <c r="C153" s="32"/>
      <c r="D153" s="32"/>
      <c r="E153" s="32"/>
      <c r="F153" s="32"/>
      <c r="G153" s="32"/>
      <c r="H153" s="32"/>
      <c r="I153" s="32"/>
      <c r="J153" s="32"/>
      <c r="K153" s="32"/>
      <c r="L153" s="32"/>
      <c r="M153" s="32"/>
      <c r="N153" s="32"/>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c r="CB153" s="33"/>
      <c r="CC153" s="33"/>
      <c r="CD153" s="33"/>
    </row>
    <row r="154" spans="1:82" x14ac:dyDescent="0.25">
      <c r="A154" s="32"/>
      <c r="B154" s="32"/>
      <c r="C154" s="32"/>
      <c r="D154" s="32"/>
      <c r="E154" s="32"/>
      <c r="F154" s="32"/>
      <c r="G154" s="32"/>
      <c r="H154" s="32"/>
      <c r="I154" s="32"/>
      <c r="J154" s="32"/>
      <c r="K154" s="32"/>
      <c r="L154" s="32"/>
      <c r="M154" s="32"/>
      <c r="N154" s="32"/>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row>
    <row r="155" spans="1:82" x14ac:dyDescent="0.25">
      <c r="A155" s="32"/>
      <c r="B155" s="32"/>
      <c r="C155" s="32"/>
      <c r="D155" s="32"/>
      <c r="E155" s="32"/>
      <c r="F155" s="32"/>
      <c r="G155" s="32"/>
      <c r="H155" s="32"/>
      <c r="I155" s="32"/>
      <c r="J155" s="32"/>
      <c r="K155" s="32"/>
      <c r="L155" s="32"/>
      <c r="M155" s="32"/>
      <c r="N155" s="32"/>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c r="CB155" s="33"/>
      <c r="CC155" s="33"/>
      <c r="CD155" s="33"/>
    </row>
    <row r="156" spans="1:82" x14ac:dyDescent="0.25">
      <c r="A156" s="32"/>
      <c r="B156" s="32"/>
      <c r="C156" s="32"/>
      <c r="D156" s="32"/>
      <c r="E156" s="32"/>
      <c r="F156" s="32"/>
      <c r="G156" s="32"/>
      <c r="H156" s="32"/>
      <c r="I156" s="32"/>
      <c r="J156" s="32"/>
      <c r="K156" s="32"/>
      <c r="L156" s="32"/>
      <c r="M156" s="32"/>
      <c r="N156" s="32"/>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c r="CB156" s="33"/>
      <c r="CC156" s="33"/>
      <c r="CD156" s="33"/>
    </row>
    <row r="157" spans="1:82" x14ac:dyDescent="0.25">
      <c r="A157" s="32"/>
      <c r="B157" s="32"/>
      <c r="C157" s="32"/>
      <c r="D157" s="32"/>
      <c r="E157" s="32"/>
      <c r="F157" s="32"/>
      <c r="G157" s="32"/>
      <c r="H157" s="32"/>
      <c r="I157" s="32"/>
      <c r="J157" s="32"/>
      <c r="K157" s="32"/>
      <c r="L157" s="32"/>
      <c r="M157" s="32"/>
      <c r="N157" s="32"/>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c r="CB157" s="33"/>
      <c r="CC157" s="33"/>
      <c r="CD157" s="33"/>
    </row>
    <row r="158" spans="1:82" x14ac:dyDescent="0.25">
      <c r="A158" s="32"/>
      <c r="B158" s="32"/>
      <c r="C158" s="32"/>
      <c r="D158" s="32"/>
      <c r="E158" s="32"/>
      <c r="F158" s="32"/>
      <c r="G158" s="32"/>
      <c r="H158" s="32"/>
      <c r="I158" s="32"/>
      <c r="J158" s="32"/>
      <c r="K158" s="32"/>
      <c r="L158" s="32"/>
      <c r="M158" s="32"/>
      <c r="N158" s="32"/>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row>
    <row r="159" spans="1:82" x14ac:dyDescent="0.25">
      <c r="A159" s="32"/>
      <c r="B159" s="32"/>
      <c r="C159" s="32"/>
      <c r="D159" s="32"/>
      <c r="E159" s="32"/>
      <c r="F159" s="32"/>
      <c r="G159" s="32"/>
      <c r="H159" s="32"/>
      <c r="I159" s="32"/>
      <c r="J159" s="32"/>
      <c r="K159" s="32"/>
      <c r="L159" s="32"/>
      <c r="M159" s="32"/>
      <c r="N159" s="32"/>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row>
    <row r="160" spans="1:82" x14ac:dyDescent="0.25">
      <c r="A160" s="32"/>
      <c r="B160" s="32"/>
      <c r="C160" s="32"/>
      <c r="D160" s="32"/>
      <c r="E160" s="32"/>
      <c r="F160" s="32"/>
      <c r="G160" s="32"/>
      <c r="H160" s="32"/>
      <c r="I160" s="32"/>
      <c r="J160" s="32"/>
      <c r="K160" s="32"/>
      <c r="L160" s="32"/>
      <c r="M160" s="32"/>
      <c r="N160" s="32"/>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row>
    <row r="161" spans="1:82" x14ac:dyDescent="0.25">
      <c r="A161" s="32"/>
      <c r="B161" s="32"/>
      <c r="C161" s="32"/>
      <c r="D161" s="32"/>
      <c r="E161" s="32"/>
      <c r="F161" s="32"/>
      <c r="G161" s="32"/>
      <c r="H161" s="32"/>
      <c r="I161" s="32"/>
      <c r="J161" s="32"/>
      <c r="K161" s="32"/>
      <c r="L161" s="32"/>
      <c r="M161" s="32"/>
      <c r="N161" s="32"/>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c r="CB161" s="33"/>
      <c r="CC161" s="33"/>
      <c r="CD161" s="33"/>
    </row>
    <row r="162" spans="1:82" x14ac:dyDescent="0.25">
      <c r="A162" s="32"/>
      <c r="B162" s="32"/>
      <c r="C162" s="32"/>
      <c r="D162" s="32"/>
      <c r="E162" s="32"/>
      <c r="F162" s="32"/>
      <c r="G162" s="32"/>
      <c r="H162" s="32"/>
      <c r="I162" s="32"/>
      <c r="J162" s="32"/>
      <c r="K162" s="32"/>
      <c r="L162" s="32"/>
      <c r="M162" s="32"/>
      <c r="N162" s="32"/>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c r="CB162" s="33"/>
      <c r="CC162" s="33"/>
      <c r="CD162" s="33"/>
    </row>
    <row r="163" spans="1:82" x14ac:dyDescent="0.25">
      <c r="A163" s="32"/>
      <c r="B163" s="32"/>
      <c r="C163" s="32"/>
      <c r="D163" s="32"/>
      <c r="E163" s="32"/>
      <c r="F163" s="32"/>
      <c r="G163" s="32"/>
      <c r="H163" s="32"/>
      <c r="I163" s="32"/>
      <c r="J163" s="32"/>
      <c r="K163" s="32"/>
      <c r="L163" s="32"/>
      <c r="M163" s="32"/>
      <c r="N163" s="32"/>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c r="CB163" s="33"/>
      <c r="CC163" s="33"/>
      <c r="CD163" s="33"/>
    </row>
    <row r="164" spans="1:82" x14ac:dyDescent="0.25">
      <c r="A164" s="32"/>
      <c r="B164" s="32"/>
      <c r="C164" s="32"/>
      <c r="D164" s="32"/>
      <c r="E164" s="32"/>
      <c r="F164" s="32"/>
      <c r="G164" s="32"/>
      <c r="H164" s="32"/>
      <c r="I164" s="32"/>
      <c r="J164" s="32"/>
      <c r="K164" s="32"/>
      <c r="L164" s="32"/>
      <c r="M164" s="32"/>
      <c r="N164" s="32"/>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c r="CB164" s="33"/>
      <c r="CC164" s="33"/>
      <c r="CD164" s="33"/>
    </row>
    <row r="165" spans="1:82" x14ac:dyDescent="0.25">
      <c r="A165" s="32"/>
      <c r="B165" s="32"/>
      <c r="C165" s="32"/>
      <c r="D165" s="32"/>
      <c r="E165" s="32"/>
      <c r="F165" s="32"/>
      <c r="G165" s="32"/>
      <c r="H165" s="32"/>
      <c r="I165" s="32"/>
      <c r="J165" s="32"/>
      <c r="K165" s="32"/>
      <c r="L165" s="32"/>
      <c r="M165" s="32"/>
      <c r="N165" s="32"/>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row>
    <row r="166" spans="1:82" x14ac:dyDescent="0.25">
      <c r="A166" s="32"/>
      <c r="B166" s="32"/>
      <c r="C166" s="32"/>
      <c r="D166" s="32"/>
      <c r="E166" s="32"/>
      <c r="F166" s="32"/>
      <c r="G166" s="32"/>
      <c r="H166" s="32"/>
      <c r="I166" s="32"/>
      <c r="J166" s="32"/>
      <c r="K166" s="32"/>
      <c r="L166" s="32"/>
      <c r="M166" s="32"/>
      <c r="N166" s="32"/>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row>
    <row r="167" spans="1:82" x14ac:dyDescent="0.25">
      <c r="A167" s="32"/>
      <c r="B167" s="32"/>
      <c r="C167" s="32"/>
      <c r="D167" s="32"/>
      <c r="E167" s="32"/>
      <c r="F167" s="32"/>
      <c r="G167" s="32"/>
      <c r="H167" s="32"/>
      <c r="I167" s="32"/>
      <c r="J167" s="32"/>
      <c r="K167" s="32"/>
      <c r="L167" s="32"/>
      <c r="M167" s="32"/>
      <c r="N167" s="32"/>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c r="CB167" s="33"/>
      <c r="CC167" s="33"/>
      <c r="CD167" s="33"/>
    </row>
    <row r="168" spans="1:82" x14ac:dyDescent="0.25">
      <c r="A168" s="32"/>
      <c r="B168" s="32"/>
      <c r="C168" s="32"/>
      <c r="D168" s="32"/>
      <c r="E168" s="32"/>
      <c r="F168" s="32"/>
      <c r="G168" s="32"/>
      <c r="H168" s="32"/>
      <c r="I168" s="32"/>
      <c r="J168" s="32"/>
      <c r="K168" s="32"/>
      <c r="L168" s="32"/>
      <c r="M168" s="32"/>
      <c r="N168" s="32"/>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c r="CB168" s="33"/>
      <c r="CC168" s="33"/>
      <c r="CD168" s="33"/>
    </row>
    <row r="169" spans="1:82" x14ac:dyDescent="0.25">
      <c r="A169" s="32"/>
      <c r="B169" s="32"/>
      <c r="C169" s="32"/>
      <c r="D169" s="32"/>
      <c r="E169" s="32"/>
      <c r="F169" s="32"/>
      <c r="G169" s="32"/>
      <c r="H169" s="32"/>
      <c r="I169" s="32"/>
      <c r="J169" s="32"/>
      <c r="K169" s="32"/>
      <c r="L169" s="32"/>
      <c r="M169" s="32"/>
      <c r="N169" s="32"/>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c r="CB169" s="33"/>
      <c r="CC169" s="33"/>
      <c r="CD169" s="33"/>
    </row>
    <row r="170" spans="1:82" x14ac:dyDescent="0.25">
      <c r="A170" s="32"/>
      <c r="B170" s="32"/>
      <c r="C170" s="32"/>
      <c r="D170" s="32"/>
      <c r="E170" s="32"/>
      <c r="F170" s="32"/>
      <c r="G170" s="32"/>
      <c r="H170" s="32"/>
      <c r="I170" s="32"/>
      <c r="J170" s="32"/>
      <c r="K170" s="32"/>
      <c r="L170" s="32"/>
      <c r="M170" s="32"/>
      <c r="N170" s="32"/>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c r="CB170" s="33"/>
      <c r="CC170" s="33"/>
      <c r="CD170" s="33"/>
    </row>
    <row r="171" spans="1:82" x14ac:dyDescent="0.25">
      <c r="A171" s="32"/>
      <c r="B171" s="32"/>
      <c r="C171" s="32"/>
      <c r="D171" s="32"/>
      <c r="E171" s="32"/>
      <c r="F171" s="32"/>
      <c r="G171" s="32"/>
      <c r="H171" s="32"/>
      <c r="I171" s="32"/>
      <c r="J171" s="32"/>
      <c r="K171" s="32"/>
      <c r="L171" s="32"/>
      <c r="M171" s="32"/>
      <c r="N171" s="32"/>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c r="CB171" s="33"/>
      <c r="CC171" s="33"/>
      <c r="CD171" s="33"/>
    </row>
    <row r="172" spans="1:82" x14ac:dyDescent="0.25">
      <c r="A172" s="32"/>
      <c r="B172" s="32"/>
      <c r="C172" s="32"/>
      <c r="D172" s="32"/>
      <c r="E172" s="32"/>
      <c r="F172" s="32"/>
      <c r="G172" s="32"/>
      <c r="H172" s="32"/>
      <c r="I172" s="32"/>
      <c r="J172" s="32"/>
      <c r="K172" s="32"/>
      <c r="L172" s="32"/>
      <c r="M172" s="32"/>
      <c r="N172" s="32"/>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row>
    <row r="173" spans="1:82" x14ac:dyDescent="0.25">
      <c r="A173" s="32"/>
      <c r="B173" s="32"/>
      <c r="C173" s="32"/>
      <c r="D173" s="32"/>
      <c r="E173" s="32"/>
      <c r="F173" s="32"/>
      <c r="G173" s="32"/>
      <c r="H173" s="32"/>
      <c r="I173" s="32"/>
      <c r="J173" s="32"/>
      <c r="K173" s="32"/>
      <c r="L173" s="32"/>
      <c r="M173" s="32"/>
      <c r="N173" s="32"/>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row>
    <row r="174" spans="1:82" x14ac:dyDescent="0.25">
      <c r="A174" s="32"/>
      <c r="B174" s="32"/>
      <c r="C174" s="32"/>
      <c r="D174" s="32"/>
      <c r="E174" s="32"/>
      <c r="F174" s="32"/>
      <c r="G174" s="32"/>
      <c r="H174" s="32"/>
      <c r="I174" s="32"/>
      <c r="J174" s="32"/>
      <c r="K174" s="32"/>
      <c r="L174" s="32"/>
      <c r="M174" s="32"/>
      <c r="N174" s="32"/>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row>
    <row r="175" spans="1:82" x14ac:dyDescent="0.25">
      <c r="A175" s="32"/>
      <c r="B175" s="32"/>
      <c r="C175" s="32"/>
      <c r="D175" s="32"/>
      <c r="E175" s="32"/>
      <c r="F175" s="32"/>
      <c r="G175" s="32"/>
      <c r="H175" s="32"/>
      <c r="I175" s="32"/>
      <c r="J175" s="32"/>
      <c r="K175" s="32"/>
      <c r="L175" s="32"/>
      <c r="M175" s="32"/>
      <c r="N175" s="32"/>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row>
    <row r="176" spans="1:82" x14ac:dyDescent="0.25">
      <c r="A176" s="32"/>
      <c r="B176" s="32"/>
      <c r="C176" s="32"/>
      <c r="D176" s="32"/>
      <c r="E176" s="32"/>
      <c r="F176" s="32"/>
      <c r="G176" s="32"/>
      <c r="H176" s="32"/>
      <c r="I176" s="32"/>
      <c r="J176" s="32"/>
      <c r="K176" s="32"/>
      <c r="L176" s="32"/>
      <c r="M176" s="32"/>
      <c r="N176" s="32"/>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row>
    <row r="177" spans="1:82" x14ac:dyDescent="0.25">
      <c r="A177" s="32"/>
      <c r="B177" s="32"/>
      <c r="C177" s="32"/>
      <c r="D177" s="32"/>
      <c r="E177" s="32"/>
      <c r="F177" s="32"/>
      <c r="G177" s="32"/>
      <c r="H177" s="32"/>
      <c r="I177" s="32"/>
      <c r="J177" s="32"/>
      <c r="K177" s="32"/>
      <c r="L177" s="32"/>
      <c r="M177" s="32"/>
      <c r="N177" s="32"/>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row>
    <row r="178" spans="1:82" x14ac:dyDescent="0.25">
      <c r="A178" s="32"/>
      <c r="B178" s="32"/>
      <c r="C178" s="32"/>
      <c r="D178" s="32"/>
      <c r="E178" s="32"/>
      <c r="F178" s="32"/>
      <c r="G178" s="32"/>
      <c r="H178" s="32"/>
      <c r="I178" s="32"/>
      <c r="J178" s="32"/>
      <c r="K178" s="32"/>
      <c r="L178" s="32"/>
      <c r="M178" s="32"/>
      <c r="N178" s="32"/>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c r="CB178" s="33"/>
      <c r="CC178" s="33"/>
      <c r="CD178" s="33"/>
    </row>
    <row r="179" spans="1:82" x14ac:dyDescent="0.25">
      <c r="A179" s="32"/>
      <c r="B179" s="32"/>
      <c r="C179" s="32"/>
      <c r="D179" s="32"/>
      <c r="E179" s="32"/>
      <c r="F179" s="32"/>
      <c r="G179" s="32"/>
      <c r="H179" s="32"/>
      <c r="I179" s="32"/>
      <c r="J179" s="32"/>
      <c r="K179" s="32"/>
      <c r="L179" s="32"/>
      <c r="M179" s="32"/>
      <c r="N179" s="32"/>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33"/>
      <c r="CC179" s="33"/>
      <c r="CD179" s="33"/>
    </row>
    <row r="180" spans="1:82" x14ac:dyDescent="0.25">
      <c r="A180" s="32"/>
      <c r="B180" s="32"/>
      <c r="C180" s="32"/>
      <c r="D180" s="32"/>
      <c r="E180" s="32"/>
      <c r="F180" s="32"/>
      <c r="G180" s="32"/>
      <c r="H180" s="32"/>
      <c r="I180" s="32"/>
      <c r="J180" s="32"/>
      <c r="K180" s="32"/>
      <c r="L180" s="32"/>
      <c r="M180" s="32"/>
      <c r="N180" s="32"/>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row>
    <row r="181" spans="1:82" x14ac:dyDescent="0.25">
      <c r="A181" s="32"/>
      <c r="B181" s="32"/>
      <c r="C181" s="32"/>
      <c r="D181" s="32"/>
      <c r="E181" s="32"/>
      <c r="F181" s="32"/>
      <c r="G181" s="32"/>
      <c r="H181" s="32"/>
      <c r="I181" s="32"/>
      <c r="J181" s="32"/>
      <c r="K181" s="32"/>
      <c r="L181" s="32"/>
      <c r="M181" s="32"/>
      <c r="N181" s="32"/>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row>
    <row r="182" spans="1:82" x14ac:dyDescent="0.25">
      <c r="A182" s="32"/>
      <c r="B182" s="32"/>
      <c r="C182" s="32"/>
      <c r="D182" s="32"/>
      <c r="E182" s="32"/>
      <c r="F182" s="32"/>
      <c r="G182" s="32"/>
      <c r="H182" s="32"/>
      <c r="I182" s="32"/>
      <c r="J182" s="32"/>
      <c r="K182" s="32"/>
      <c r="L182" s="32"/>
      <c r="M182" s="32"/>
      <c r="N182" s="32"/>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row>
    <row r="183" spans="1:82" x14ac:dyDescent="0.25">
      <c r="A183" s="32"/>
      <c r="B183" s="32"/>
      <c r="C183" s="32"/>
      <c r="D183" s="32"/>
      <c r="E183" s="32"/>
      <c r="F183" s="32"/>
      <c r="G183" s="32"/>
      <c r="H183" s="32"/>
      <c r="I183" s="32"/>
      <c r="J183" s="32"/>
      <c r="K183" s="32"/>
      <c r="L183" s="32"/>
      <c r="M183" s="32"/>
      <c r="N183" s="32"/>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c r="CB183" s="33"/>
      <c r="CC183" s="33"/>
      <c r="CD183" s="33"/>
    </row>
    <row r="184" spans="1:82" x14ac:dyDescent="0.25">
      <c r="A184" s="32"/>
      <c r="B184" s="32"/>
      <c r="C184" s="32"/>
      <c r="D184" s="32"/>
      <c r="E184" s="32"/>
      <c r="F184" s="32"/>
      <c r="G184" s="32"/>
      <c r="H184" s="32"/>
      <c r="I184" s="32"/>
      <c r="J184" s="32"/>
      <c r="K184" s="32"/>
      <c r="L184" s="32"/>
      <c r="M184" s="32"/>
      <c r="N184" s="32"/>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c r="CB184" s="33"/>
      <c r="CC184" s="33"/>
      <c r="CD184" s="33"/>
    </row>
    <row r="185" spans="1:82" x14ac:dyDescent="0.25">
      <c r="A185" s="32"/>
      <c r="B185" s="32"/>
      <c r="C185" s="32"/>
      <c r="D185" s="32"/>
      <c r="E185" s="32"/>
      <c r="F185" s="32"/>
      <c r="G185" s="32"/>
      <c r="H185" s="32"/>
      <c r="I185" s="32"/>
      <c r="J185" s="32"/>
      <c r="K185" s="32"/>
      <c r="L185" s="32"/>
      <c r="M185" s="32"/>
      <c r="N185" s="32"/>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c r="CB185" s="33"/>
      <c r="CC185" s="33"/>
      <c r="CD185" s="33"/>
    </row>
    <row r="186" spans="1:82" x14ac:dyDescent="0.25">
      <c r="A186" s="32"/>
      <c r="B186" s="32"/>
      <c r="C186" s="32"/>
      <c r="D186" s="32"/>
      <c r="E186" s="32"/>
      <c r="F186" s="32"/>
      <c r="G186" s="32"/>
      <c r="H186" s="32"/>
      <c r="I186" s="32"/>
      <c r="J186" s="32"/>
      <c r="K186" s="32"/>
      <c r="L186" s="32"/>
      <c r="M186" s="32"/>
      <c r="N186" s="32"/>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c r="CB186" s="33"/>
      <c r="CC186" s="33"/>
      <c r="CD186" s="33"/>
    </row>
    <row r="187" spans="1:82" x14ac:dyDescent="0.25">
      <c r="A187" s="32"/>
      <c r="B187" s="32"/>
      <c r="C187" s="32"/>
      <c r="D187" s="32"/>
      <c r="E187" s="32"/>
      <c r="F187" s="32"/>
      <c r="G187" s="32"/>
      <c r="H187" s="32"/>
      <c r="I187" s="32"/>
      <c r="J187" s="32"/>
      <c r="K187" s="32"/>
      <c r="L187" s="32"/>
      <c r="M187" s="32"/>
      <c r="N187" s="32"/>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c r="CB187" s="33"/>
      <c r="CC187" s="33"/>
      <c r="CD187" s="33"/>
    </row>
    <row r="188" spans="1:82" x14ac:dyDescent="0.25">
      <c r="A188" s="32"/>
      <c r="B188" s="32"/>
      <c r="C188" s="32"/>
      <c r="D188" s="32"/>
      <c r="E188" s="32"/>
      <c r="F188" s="32"/>
      <c r="G188" s="32"/>
      <c r="H188" s="32"/>
      <c r="I188" s="32"/>
      <c r="J188" s="32"/>
      <c r="K188" s="32"/>
      <c r="L188" s="32"/>
      <c r="M188" s="32"/>
      <c r="N188" s="32"/>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c r="CB188" s="33"/>
      <c r="CC188" s="33"/>
      <c r="CD188" s="33"/>
    </row>
    <row r="189" spans="1:82" x14ac:dyDescent="0.25">
      <c r="A189" s="32"/>
      <c r="B189" s="32"/>
      <c r="C189" s="32"/>
      <c r="D189" s="32"/>
      <c r="E189" s="32"/>
      <c r="F189" s="32"/>
      <c r="G189" s="32"/>
      <c r="H189" s="32"/>
      <c r="I189" s="32"/>
      <c r="J189" s="32"/>
      <c r="K189" s="32"/>
      <c r="L189" s="32"/>
      <c r="M189" s="32"/>
      <c r="N189" s="32"/>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c r="CB189" s="33"/>
      <c r="CC189" s="33"/>
      <c r="CD189" s="33"/>
    </row>
    <row r="190" spans="1:82" x14ac:dyDescent="0.25">
      <c r="A190" s="32"/>
      <c r="B190" s="32"/>
      <c r="C190" s="32"/>
      <c r="D190" s="32"/>
      <c r="E190" s="32"/>
      <c r="F190" s="32"/>
      <c r="G190" s="32"/>
      <c r="H190" s="32"/>
      <c r="I190" s="32"/>
      <c r="J190" s="32"/>
      <c r="K190" s="32"/>
      <c r="L190" s="32"/>
      <c r="M190" s="32"/>
      <c r="N190" s="32"/>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c r="CB190" s="33"/>
      <c r="CC190" s="33"/>
      <c r="CD190" s="33"/>
    </row>
    <row r="191" spans="1:82" x14ac:dyDescent="0.25">
      <c r="A191" s="32"/>
      <c r="B191" s="32"/>
      <c r="C191" s="32"/>
      <c r="D191" s="32"/>
      <c r="E191" s="32"/>
      <c r="F191" s="32"/>
      <c r="G191" s="32"/>
      <c r="H191" s="32"/>
      <c r="I191" s="32"/>
      <c r="J191" s="32"/>
      <c r="K191" s="32"/>
      <c r="L191" s="32"/>
      <c r="M191" s="32"/>
      <c r="N191" s="32"/>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c r="CB191" s="33"/>
      <c r="CC191" s="33"/>
      <c r="CD191" s="33"/>
    </row>
    <row r="192" spans="1:82" x14ac:dyDescent="0.25">
      <c r="A192" s="32"/>
      <c r="B192" s="32"/>
      <c r="C192" s="32"/>
      <c r="D192" s="32"/>
      <c r="E192" s="32"/>
      <c r="F192" s="32"/>
      <c r="G192" s="32"/>
      <c r="H192" s="32"/>
      <c r="I192" s="32"/>
      <c r="J192" s="32"/>
      <c r="K192" s="32"/>
      <c r="L192" s="32"/>
      <c r="M192" s="32"/>
      <c r="N192" s="32"/>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row>
    <row r="193" spans="1:82" x14ac:dyDescent="0.25">
      <c r="A193" s="32"/>
      <c r="B193" s="32"/>
      <c r="C193" s="32"/>
      <c r="D193" s="32"/>
      <c r="E193" s="32"/>
      <c r="F193" s="32"/>
      <c r="G193" s="32"/>
      <c r="H193" s="32"/>
      <c r="I193" s="32"/>
      <c r="J193" s="32"/>
      <c r="K193" s="32"/>
      <c r="L193" s="32"/>
      <c r="M193" s="32"/>
      <c r="N193" s="32"/>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33"/>
      <c r="CC193" s="33"/>
      <c r="CD193" s="33"/>
    </row>
    <row r="194" spans="1:82" x14ac:dyDescent="0.25">
      <c r="A194" s="32"/>
      <c r="B194" s="32"/>
      <c r="C194" s="32"/>
      <c r="D194" s="32"/>
      <c r="E194" s="32"/>
      <c r="F194" s="32"/>
      <c r="G194" s="32"/>
      <c r="H194" s="32"/>
      <c r="I194" s="32"/>
      <c r="J194" s="32"/>
      <c r="K194" s="32"/>
      <c r="L194" s="32"/>
      <c r="M194" s="32"/>
      <c r="N194" s="32"/>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c r="CB194" s="33"/>
      <c r="CC194" s="33"/>
      <c r="CD194" s="33"/>
    </row>
    <row r="195" spans="1:82" x14ac:dyDescent="0.25">
      <c r="A195" s="32"/>
      <c r="B195" s="32"/>
      <c r="C195" s="32"/>
      <c r="D195" s="32"/>
      <c r="E195" s="32"/>
      <c r="F195" s="32"/>
      <c r="G195" s="32"/>
      <c r="H195" s="32"/>
      <c r="I195" s="32"/>
      <c r="J195" s="32"/>
      <c r="K195" s="32"/>
      <c r="L195" s="32"/>
      <c r="M195" s="32"/>
      <c r="N195" s="32"/>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c r="CB195" s="33"/>
      <c r="CC195" s="33"/>
      <c r="CD195" s="33"/>
    </row>
    <row r="196" spans="1:82" x14ac:dyDescent="0.25">
      <c r="A196" s="32"/>
      <c r="B196" s="32"/>
      <c r="C196" s="32"/>
      <c r="D196" s="32"/>
      <c r="E196" s="32"/>
      <c r="F196" s="32"/>
      <c r="G196" s="32"/>
      <c r="H196" s="32"/>
      <c r="I196" s="32"/>
      <c r="J196" s="32"/>
      <c r="K196" s="32"/>
      <c r="L196" s="32"/>
      <c r="M196" s="32"/>
      <c r="N196" s="32"/>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c r="CB196" s="33"/>
      <c r="CC196" s="33"/>
      <c r="CD196" s="33"/>
    </row>
    <row r="197" spans="1:82" x14ac:dyDescent="0.25">
      <c r="A197" s="32"/>
      <c r="B197" s="32"/>
      <c r="C197" s="32"/>
      <c r="D197" s="32"/>
      <c r="E197" s="32"/>
      <c r="F197" s="32"/>
      <c r="G197" s="32"/>
      <c r="H197" s="32"/>
      <c r="I197" s="32"/>
      <c r="J197" s="32"/>
      <c r="K197" s="32"/>
      <c r="L197" s="32"/>
      <c r="M197" s="32"/>
      <c r="N197" s="32"/>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c r="CB197" s="33"/>
      <c r="CC197" s="33"/>
      <c r="CD197" s="33"/>
    </row>
    <row r="198" spans="1:82" x14ac:dyDescent="0.25">
      <c r="A198" s="32"/>
      <c r="B198" s="32"/>
      <c r="C198" s="32"/>
      <c r="D198" s="32"/>
      <c r="E198" s="32"/>
      <c r="F198" s="32"/>
      <c r="G198" s="32"/>
      <c r="H198" s="32"/>
      <c r="I198" s="32"/>
      <c r="J198" s="32"/>
      <c r="K198" s="32"/>
      <c r="L198" s="32"/>
      <c r="M198" s="32"/>
      <c r="N198" s="32"/>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c r="CB198" s="33"/>
      <c r="CC198" s="33"/>
      <c r="CD198" s="33"/>
    </row>
    <row r="199" spans="1:82" x14ac:dyDescent="0.25">
      <c r="A199" s="32"/>
      <c r="B199" s="32"/>
      <c r="C199" s="32"/>
      <c r="D199" s="32"/>
      <c r="E199" s="32"/>
      <c r="F199" s="32"/>
      <c r="G199" s="32"/>
      <c r="H199" s="32"/>
      <c r="I199" s="32"/>
      <c r="J199" s="32"/>
      <c r="K199" s="32"/>
      <c r="L199" s="32"/>
      <c r="M199" s="32"/>
      <c r="N199" s="32"/>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c r="CB199" s="33"/>
      <c r="CC199" s="33"/>
      <c r="CD199" s="33"/>
    </row>
    <row r="200" spans="1:82" x14ac:dyDescent="0.25">
      <c r="A200" s="32"/>
      <c r="B200" s="32"/>
      <c r="C200" s="32"/>
      <c r="D200" s="32"/>
      <c r="E200" s="32"/>
      <c r="F200" s="32"/>
      <c r="G200" s="32"/>
      <c r="H200" s="32"/>
      <c r="I200" s="32"/>
      <c r="J200" s="32"/>
      <c r="K200" s="32"/>
      <c r="L200" s="32"/>
      <c r="M200" s="32"/>
      <c r="N200" s="32"/>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c r="CB200" s="33"/>
      <c r="CC200" s="33"/>
      <c r="CD200" s="33"/>
    </row>
    <row r="201" spans="1:82" x14ac:dyDescent="0.25">
      <c r="A201" s="32"/>
      <c r="B201" s="32"/>
      <c r="C201" s="32"/>
      <c r="D201" s="32"/>
      <c r="E201" s="32"/>
      <c r="F201" s="32"/>
      <c r="G201" s="32"/>
      <c r="H201" s="32"/>
      <c r="I201" s="32"/>
      <c r="J201" s="32"/>
      <c r="K201" s="32"/>
      <c r="L201" s="32"/>
      <c r="M201" s="32"/>
      <c r="N201" s="32"/>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c r="CB201" s="33"/>
      <c r="CC201" s="33"/>
      <c r="CD201" s="33"/>
    </row>
    <row r="202" spans="1:82" x14ac:dyDescent="0.25">
      <c r="A202" s="32"/>
      <c r="B202" s="32"/>
      <c r="C202" s="32"/>
      <c r="D202" s="32"/>
      <c r="E202" s="32"/>
      <c r="F202" s="32"/>
      <c r="G202" s="32"/>
      <c r="H202" s="32"/>
      <c r="I202" s="32"/>
      <c r="J202" s="32"/>
      <c r="K202" s="32"/>
      <c r="L202" s="32"/>
      <c r="M202" s="32"/>
      <c r="N202" s="32"/>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c r="CB202" s="33"/>
      <c r="CC202" s="33"/>
      <c r="CD202" s="33"/>
    </row>
    <row r="203" spans="1:82" x14ac:dyDescent="0.25">
      <c r="A203" s="32"/>
      <c r="B203" s="32"/>
      <c r="C203" s="32"/>
      <c r="D203" s="32"/>
      <c r="E203" s="32"/>
      <c r="F203" s="32"/>
      <c r="G203" s="32"/>
      <c r="H203" s="32"/>
      <c r="I203" s="32"/>
      <c r="J203" s="32"/>
      <c r="K203" s="32"/>
      <c r="L203" s="32"/>
      <c r="M203" s="32"/>
      <c r="N203" s="32"/>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c r="CB203" s="33"/>
      <c r="CC203" s="33"/>
      <c r="CD203" s="33"/>
    </row>
    <row r="204" spans="1:82" x14ac:dyDescent="0.25">
      <c r="A204" s="32"/>
      <c r="B204" s="32"/>
      <c r="C204" s="32"/>
      <c r="D204" s="32"/>
      <c r="E204" s="32"/>
      <c r="F204" s="32"/>
      <c r="G204" s="32"/>
      <c r="H204" s="32"/>
      <c r="I204" s="32"/>
      <c r="J204" s="32"/>
      <c r="K204" s="32"/>
      <c r="L204" s="32"/>
      <c r="M204" s="32"/>
      <c r="N204" s="32"/>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c r="CB204" s="33"/>
      <c r="CC204" s="33"/>
      <c r="CD204" s="33"/>
    </row>
    <row r="205" spans="1:82" x14ac:dyDescent="0.25">
      <c r="A205" s="32"/>
      <c r="B205" s="32"/>
      <c r="C205" s="32"/>
      <c r="D205" s="32"/>
      <c r="E205" s="32"/>
      <c r="F205" s="32"/>
      <c r="G205" s="32"/>
      <c r="H205" s="32"/>
      <c r="I205" s="32"/>
      <c r="J205" s="32"/>
      <c r="K205" s="32"/>
      <c r="L205" s="32"/>
      <c r="M205" s="32"/>
      <c r="N205" s="32"/>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c r="CB205" s="33"/>
      <c r="CC205" s="33"/>
      <c r="CD205" s="33"/>
    </row>
    <row r="206" spans="1:82" x14ac:dyDescent="0.25">
      <c r="A206" s="32"/>
      <c r="B206" s="32"/>
      <c r="C206" s="32"/>
      <c r="D206" s="32"/>
      <c r="E206" s="32"/>
      <c r="F206" s="32"/>
      <c r="G206" s="32"/>
      <c r="H206" s="32"/>
      <c r="I206" s="32"/>
      <c r="J206" s="32"/>
      <c r="K206" s="32"/>
      <c r="L206" s="32"/>
      <c r="M206" s="32"/>
      <c r="N206" s="32"/>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c r="CB206" s="33"/>
      <c r="CC206" s="33"/>
      <c r="CD206" s="33"/>
    </row>
    <row r="207" spans="1:82" x14ac:dyDescent="0.25">
      <c r="A207" s="32"/>
      <c r="B207" s="32"/>
      <c r="C207" s="32"/>
      <c r="D207" s="32"/>
      <c r="E207" s="32"/>
      <c r="F207" s="32"/>
      <c r="G207" s="32"/>
      <c r="H207" s="32"/>
      <c r="I207" s="32"/>
      <c r="J207" s="32"/>
      <c r="K207" s="32"/>
      <c r="L207" s="32"/>
      <c r="M207" s="32"/>
      <c r="N207" s="32"/>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c r="CB207" s="33"/>
      <c r="CC207" s="33"/>
      <c r="CD207" s="33"/>
    </row>
    <row r="208" spans="1:82" x14ac:dyDescent="0.25">
      <c r="A208" s="32"/>
      <c r="B208" s="32"/>
      <c r="C208" s="32"/>
      <c r="D208" s="32"/>
      <c r="E208" s="32"/>
      <c r="F208" s="32"/>
      <c r="G208" s="32"/>
      <c r="H208" s="32"/>
      <c r="I208" s="32"/>
      <c r="J208" s="32"/>
      <c r="K208" s="32"/>
      <c r="L208" s="32"/>
      <c r="M208" s="32"/>
      <c r="N208" s="32"/>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c r="CB208" s="33"/>
      <c r="CC208" s="33"/>
      <c r="CD208" s="33"/>
    </row>
    <row r="209" spans="1:82" x14ac:dyDescent="0.25">
      <c r="A209" s="32"/>
      <c r="B209" s="32"/>
      <c r="C209" s="32"/>
      <c r="D209" s="32"/>
      <c r="E209" s="32"/>
      <c r="F209" s="32"/>
      <c r="G209" s="32"/>
      <c r="H209" s="32"/>
      <c r="I209" s="32"/>
      <c r="J209" s="32"/>
      <c r="K209" s="32"/>
      <c r="L209" s="32"/>
      <c r="M209" s="32"/>
      <c r="N209" s="32"/>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c r="CB209" s="33"/>
      <c r="CC209" s="33"/>
      <c r="CD209" s="33"/>
    </row>
    <row r="210" spans="1:82" x14ac:dyDescent="0.25">
      <c r="A210" s="32"/>
      <c r="B210" s="32"/>
      <c r="C210" s="32"/>
      <c r="D210" s="32"/>
      <c r="E210" s="32"/>
      <c r="F210" s="32"/>
      <c r="G210" s="32"/>
      <c r="H210" s="32"/>
      <c r="I210" s="32"/>
      <c r="J210" s="32"/>
      <c r="K210" s="32"/>
      <c r="L210" s="32"/>
      <c r="M210" s="32"/>
      <c r="N210" s="32"/>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c r="CB210" s="33"/>
      <c r="CC210" s="33"/>
      <c r="CD210" s="33"/>
    </row>
    <row r="211" spans="1:82" x14ac:dyDescent="0.25">
      <c r="A211" s="32"/>
      <c r="B211" s="32"/>
      <c r="C211" s="32"/>
      <c r="D211" s="32"/>
      <c r="E211" s="32"/>
      <c r="F211" s="32"/>
      <c r="G211" s="32"/>
      <c r="H211" s="32"/>
      <c r="I211" s="32"/>
      <c r="J211" s="32"/>
      <c r="K211" s="32"/>
      <c r="L211" s="32"/>
      <c r="M211" s="32"/>
      <c r="N211" s="32"/>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row>
    <row r="212" spans="1:82" x14ac:dyDescent="0.25">
      <c r="A212" s="32"/>
      <c r="B212" s="32"/>
      <c r="C212" s="32"/>
      <c r="D212" s="32"/>
      <c r="E212" s="32"/>
      <c r="F212" s="32"/>
      <c r="G212" s="32"/>
      <c r="H212" s="32"/>
      <c r="I212" s="32"/>
      <c r="J212" s="32"/>
      <c r="K212" s="32"/>
      <c r="L212" s="32"/>
      <c r="M212" s="32"/>
      <c r="N212" s="32"/>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c r="CB212" s="33"/>
      <c r="CC212" s="33"/>
      <c r="CD212" s="33"/>
    </row>
    <row r="213" spans="1:82" x14ac:dyDescent="0.25">
      <c r="A213" s="32"/>
      <c r="B213" s="32"/>
      <c r="C213" s="32"/>
      <c r="D213" s="32"/>
      <c r="E213" s="32"/>
      <c r="F213" s="32"/>
      <c r="G213" s="32"/>
      <c r="H213" s="32"/>
      <c r="I213" s="32"/>
      <c r="J213" s="32"/>
      <c r="K213" s="32"/>
      <c r="L213" s="32"/>
      <c r="M213" s="32"/>
      <c r="N213" s="32"/>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c r="CB213" s="33"/>
      <c r="CC213" s="33"/>
      <c r="CD213" s="33"/>
    </row>
    <row r="214" spans="1:82" x14ac:dyDescent="0.25">
      <c r="A214" s="32"/>
      <c r="B214" s="32"/>
      <c r="C214" s="32"/>
      <c r="D214" s="32"/>
      <c r="E214" s="32"/>
      <c r="F214" s="32"/>
      <c r="G214" s="32"/>
      <c r="H214" s="32"/>
      <c r="I214" s="32"/>
      <c r="J214" s="32"/>
      <c r="K214" s="32"/>
      <c r="L214" s="32"/>
      <c r="M214" s="32"/>
      <c r="N214" s="32"/>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c r="CB214" s="33"/>
      <c r="CC214" s="33"/>
      <c r="CD214" s="33"/>
    </row>
    <row r="215" spans="1:82" x14ac:dyDescent="0.25">
      <c r="A215" s="32"/>
      <c r="B215" s="32"/>
      <c r="C215" s="32"/>
      <c r="D215" s="32"/>
      <c r="E215" s="32"/>
      <c r="F215" s="32"/>
      <c r="G215" s="32"/>
      <c r="H215" s="32"/>
      <c r="I215" s="32"/>
      <c r="J215" s="32"/>
      <c r="K215" s="32"/>
      <c r="L215" s="32"/>
      <c r="M215" s="32"/>
      <c r="N215" s="32"/>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c r="CB215" s="33"/>
      <c r="CC215" s="33"/>
      <c r="CD215" s="33"/>
    </row>
    <row r="216" spans="1:82" x14ac:dyDescent="0.25">
      <c r="A216" s="32"/>
      <c r="B216" s="32"/>
      <c r="C216" s="32"/>
      <c r="D216" s="32"/>
      <c r="E216" s="32"/>
      <c r="F216" s="32"/>
      <c r="G216" s="32"/>
      <c r="H216" s="32"/>
      <c r="I216" s="32"/>
      <c r="J216" s="32"/>
      <c r="K216" s="32"/>
      <c r="L216" s="32"/>
      <c r="M216" s="32"/>
      <c r="N216" s="32"/>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c r="CB216" s="33"/>
      <c r="CC216" s="33"/>
      <c r="CD216" s="33"/>
    </row>
    <row r="217" spans="1:82" x14ac:dyDescent="0.25">
      <c r="A217" s="32"/>
      <c r="B217" s="32"/>
      <c r="C217" s="32"/>
      <c r="D217" s="32"/>
      <c r="E217" s="32"/>
      <c r="F217" s="32"/>
      <c r="G217" s="32"/>
      <c r="H217" s="32"/>
      <c r="I217" s="32"/>
      <c r="J217" s="32"/>
      <c r="K217" s="32"/>
      <c r="L217" s="32"/>
      <c r="M217" s="32"/>
      <c r="N217" s="32"/>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c r="CB217" s="33"/>
      <c r="CC217" s="33"/>
      <c r="CD217" s="33"/>
    </row>
    <row r="218" spans="1:82" x14ac:dyDescent="0.25">
      <c r="A218" s="32"/>
      <c r="B218" s="32"/>
      <c r="C218" s="32"/>
      <c r="D218" s="32"/>
      <c r="E218" s="32"/>
      <c r="F218" s="32"/>
      <c r="G218" s="32"/>
      <c r="H218" s="32"/>
      <c r="I218" s="32"/>
      <c r="J218" s="32"/>
      <c r="K218" s="32"/>
      <c r="L218" s="32"/>
      <c r="M218" s="32"/>
      <c r="N218" s="32"/>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c r="CB218" s="33"/>
      <c r="CC218" s="33"/>
      <c r="CD218" s="33"/>
    </row>
    <row r="219" spans="1:82" x14ac:dyDescent="0.25">
      <c r="A219" s="32"/>
      <c r="B219" s="32"/>
      <c r="C219" s="32"/>
      <c r="D219" s="32"/>
      <c r="E219" s="32"/>
      <c r="F219" s="32"/>
      <c r="G219" s="32"/>
      <c r="H219" s="32"/>
      <c r="I219" s="32"/>
      <c r="J219" s="32"/>
      <c r="K219" s="32"/>
      <c r="L219" s="32"/>
      <c r="M219" s="32"/>
      <c r="N219" s="32"/>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c r="CB219" s="33"/>
      <c r="CC219" s="33"/>
      <c r="CD219" s="33"/>
    </row>
    <row r="220" spans="1:82" x14ac:dyDescent="0.25">
      <c r="A220" s="32"/>
      <c r="B220" s="32"/>
      <c r="C220" s="32"/>
      <c r="D220" s="32"/>
      <c r="E220" s="32"/>
      <c r="F220" s="32"/>
      <c r="G220" s="32"/>
      <c r="H220" s="32"/>
      <c r="I220" s="32"/>
      <c r="J220" s="32"/>
      <c r="K220" s="32"/>
      <c r="L220" s="32"/>
      <c r="M220" s="32"/>
      <c r="N220" s="32"/>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c r="CB220" s="33"/>
      <c r="CC220" s="33"/>
      <c r="CD220" s="33"/>
    </row>
    <row r="221" spans="1:82" x14ac:dyDescent="0.25">
      <c r="A221" s="32"/>
      <c r="B221" s="32"/>
      <c r="C221" s="32"/>
      <c r="D221" s="32"/>
      <c r="E221" s="32"/>
      <c r="F221" s="32"/>
      <c r="G221" s="32"/>
      <c r="H221" s="32"/>
      <c r="I221" s="32"/>
      <c r="J221" s="32"/>
      <c r="K221" s="32"/>
      <c r="L221" s="32"/>
      <c r="M221" s="32"/>
      <c r="N221" s="32"/>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c r="CB221" s="33"/>
      <c r="CC221" s="33"/>
      <c r="CD221" s="33"/>
    </row>
    <row r="222" spans="1:82" x14ac:dyDescent="0.25">
      <c r="A222" s="32"/>
      <c r="B222" s="32"/>
      <c r="C222" s="32"/>
      <c r="D222" s="32"/>
      <c r="E222" s="32"/>
      <c r="F222" s="32"/>
      <c r="G222" s="32"/>
      <c r="H222" s="32"/>
      <c r="I222" s="32"/>
      <c r="J222" s="32"/>
      <c r="K222" s="32"/>
      <c r="L222" s="32"/>
      <c r="M222" s="32"/>
      <c r="N222" s="32"/>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c r="CB222" s="33"/>
      <c r="CC222" s="33"/>
      <c r="CD222" s="33"/>
    </row>
    <row r="223" spans="1:82" x14ac:dyDescent="0.25">
      <c r="A223" s="32"/>
      <c r="B223" s="32"/>
      <c r="C223" s="32"/>
      <c r="D223" s="32"/>
      <c r="E223" s="32"/>
      <c r="F223" s="32"/>
      <c r="G223" s="32"/>
      <c r="H223" s="32"/>
      <c r="I223" s="32"/>
      <c r="J223" s="32"/>
      <c r="K223" s="32"/>
      <c r="L223" s="32"/>
      <c r="M223" s="32"/>
      <c r="N223" s="32"/>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c r="CB223" s="33"/>
      <c r="CC223" s="33"/>
      <c r="CD223" s="33"/>
    </row>
    <row r="224" spans="1:82" x14ac:dyDescent="0.25">
      <c r="A224" s="32"/>
      <c r="B224" s="32"/>
      <c r="C224" s="32"/>
      <c r="D224" s="32"/>
      <c r="E224" s="32"/>
      <c r="F224" s="32"/>
      <c r="G224" s="32"/>
      <c r="H224" s="32"/>
      <c r="I224" s="32"/>
      <c r="J224" s="32"/>
      <c r="K224" s="32"/>
      <c r="L224" s="32"/>
      <c r="M224" s="32"/>
      <c r="N224" s="32"/>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c r="CB224" s="33"/>
      <c r="CC224" s="33"/>
      <c r="CD224" s="33"/>
    </row>
    <row r="225" spans="1:82" x14ac:dyDescent="0.25">
      <c r="A225" s="32"/>
      <c r="B225" s="32"/>
      <c r="C225" s="32"/>
      <c r="D225" s="32"/>
      <c r="E225" s="32"/>
      <c r="F225" s="32"/>
      <c r="G225" s="32"/>
      <c r="H225" s="32"/>
      <c r="I225" s="32"/>
      <c r="J225" s="32"/>
      <c r="K225" s="32"/>
      <c r="L225" s="32"/>
      <c r="M225" s="32"/>
      <c r="N225" s="32"/>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c r="CB225" s="33"/>
      <c r="CC225" s="33"/>
      <c r="CD225" s="33"/>
    </row>
    <row r="226" spans="1:82" x14ac:dyDescent="0.25">
      <c r="A226" s="32"/>
      <c r="B226" s="32"/>
      <c r="C226" s="32"/>
      <c r="D226" s="32"/>
      <c r="E226" s="32"/>
      <c r="F226" s="32"/>
      <c r="G226" s="32"/>
      <c r="H226" s="32"/>
      <c r="I226" s="32"/>
      <c r="J226" s="32"/>
      <c r="K226" s="32"/>
      <c r="L226" s="32"/>
      <c r="M226" s="32"/>
      <c r="N226" s="32"/>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row>
    <row r="227" spans="1:82" x14ac:dyDescent="0.25">
      <c r="A227" s="32"/>
      <c r="B227" s="32"/>
      <c r="C227" s="32"/>
      <c r="D227" s="32"/>
      <c r="E227" s="32"/>
      <c r="F227" s="32"/>
      <c r="G227" s="32"/>
      <c r="H227" s="32"/>
      <c r="I227" s="32"/>
      <c r="J227" s="32"/>
      <c r="K227" s="32"/>
      <c r="L227" s="32"/>
      <c r="M227" s="32"/>
      <c r="N227" s="32"/>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c r="CB227" s="33"/>
      <c r="CC227" s="33"/>
      <c r="CD227" s="33"/>
    </row>
    <row r="228" spans="1:82" x14ac:dyDescent="0.25">
      <c r="A228" s="32"/>
      <c r="B228" s="32"/>
      <c r="C228" s="32"/>
      <c r="D228" s="32"/>
      <c r="E228" s="32"/>
      <c r="F228" s="32"/>
      <c r="G228" s="32"/>
      <c r="H228" s="32"/>
      <c r="I228" s="32"/>
      <c r="J228" s="32"/>
      <c r="K228" s="32"/>
      <c r="L228" s="32"/>
      <c r="M228" s="32"/>
      <c r="N228" s="32"/>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c r="CB228" s="33"/>
      <c r="CC228" s="33"/>
      <c r="CD228" s="33"/>
    </row>
    <row r="229" spans="1:82" x14ac:dyDescent="0.25">
      <c r="A229" s="32"/>
      <c r="B229" s="32"/>
      <c r="C229" s="32"/>
      <c r="D229" s="32"/>
      <c r="E229" s="32"/>
      <c r="F229" s="32"/>
      <c r="G229" s="32"/>
      <c r="H229" s="32"/>
      <c r="I229" s="32"/>
      <c r="J229" s="32"/>
      <c r="K229" s="32"/>
      <c r="L229" s="32"/>
      <c r="M229" s="32"/>
      <c r="N229" s="32"/>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c r="CB229" s="33"/>
      <c r="CC229" s="33"/>
      <c r="CD229" s="33"/>
    </row>
    <row r="230" spans="1:82" x14ac:dyDescent="0.25">
      <c r="A230" s="32"/>
      <c r="B230" s="32"/>
      <c r="C230" s="32"/>
      <c r="D230" s="32"/>
      <c r="E230" s="32"/>
      <c r="F230" s="32"/>
      <c r="G230" s="32"/>
      <c r="H230" s="32"/>
      <c r="I230" s="32"/>
      <c r="J230" s="32"/>
      <c r="K230" s="32"/>
      <c r="L230" s="32"/>
      <c r="M230" s="32"/>
      <c r="N230" s="32"/>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c r="CB230" s="33"/>
      <c r="CC230" s="33"/>
      <c r="CD230" s="33"/>
    </row>
    <row r="231" spans="1:82" x14ac:dyDescent="0.25">
      <c r="A231" s="32"/>
      <c r="B231" s="32"/>
      <c r="C231" s="32"/>
      <c r="D231" s="32"/>
      <c r="E231" s="32"/>
      <c r="F231" s="32"/>
      <c r="G231" s="32"/>
      <c r="H231" s="32"/>
      <c r="I231" s="32"/>
      <c r="J231" s="32"/>
      <c r="K231" s="32"/>
      <c r="L231" s="32"/>
      <c r="M231" s="32"/>
      <c r="N231" s="35"/>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c r="CB231" s="33"/>
      <c r="CC231" s="33"/>
      <c r="CD231" s="33"/>
    </row>
    <row r="232" spans="1:82" x14ac:dyDescent="0.25">
      <c r="A232" s="32"/>
      <c r="B232" s="32"/>
      <c r="C232" s="32"/>
      <c r="D232" s="32"/>
      <c r="E232" s="32"/>
      <c r="F232" s="32"/>
      <c r="G232" s="32"/>
      <c r="H232" s="32"/>
      <c r="I232" s="32"/>
      <c r="J232" s="32"/>
      <c r="K232" s="32"/>
      <c r="L232" s="32"/>
      <c r="M232" s="32"/>
      <c r="N232" s="35"/>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c r="CB232" s="33"/>
      <c r="CC232" s="33"/>
      <c r="CD232" s="33"/>
    </row>
    <row r="233" spans="1:82" x14ac:dyDescent="0.25">
      <c r="A233" s="32"/>
      <c r="B233" s="32"/>
      <c r="C233" s="32"/>
      <c r="D233" s="32"/>
      <c r="E233" s="32"/>
      <c r="F233" s="32"/>
      <c r="G233" s="32"/>
      <c r="H233" s="32"/>
      <c r="I233" s="32"/>
      <c r="J233" s="32"/>
      <c r="K233" s="32"/>
      <c r="L233" s="32"/>
      <c r="M233" s="32"/>
      <c r="N233" s="35"/>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c r="CB233" s="33"/>
      <c r="CC233" s="33"/>
      <c r="CD233" s="33"/>
    </row>
    <row r="234" spans="1:82" x14ac:dyDescent="0.25">
      <c r="A234" s="32"/>
      <c r="B234" s="32"/>
      <c r="C234" s="32"/>
      <c r="D234" s="32"/>
      <c r="E234" s="32"/>
      <c r="F234" s="32"/>
      <c r="G234" s="32"/>
      <c r="H234" s="32"/>
      <c r="I234" s="32"/>
      <c r="J234" s="32"/>
      <c r="K234" s="32"/>
      <c r="L234" s="32"/>
      <c r="M234" s="32"/>
      <c r="N234" s="35"/>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c r="CB234" s="33"/>
      <c r="CC234" s="33"/>
      <c r="CD234" s="33"/>
    </row>
    <row r="235" spans="1:82" x14ac:dyDescent="0.25">
      <c r="A235" s="32"/>
      <c r="B235" s="32"/>
      <c r="C235" s="32"/>
      <c r="D235" s="32"/>
      <c r="E235" s="32"/>
      <c r="F235" s="32"/>
      <c r="G235" s="32"/>
      <c r="H235" s="32"/>
      <c r="I235" s="32"/>
      <c r="J235" s="32"/>
      <c r="K235" s="32"/>
      <c r="L235" s="32"/>
      <c r="M235" s="32"/>
      <c r="N235" s="35"/>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c r="CB235" s="33"/>
      <c r="CC235" s="33"/>
      <c r="CD235" s="33"/>
    </row>
    <row r="236" spans="1:82" x14ac:dyDescent="0.25">
      <c r="A236" s="32"/>
      <c r="B236" s="32"/>
      <c r="C236" s="32"/>
      <c r="D236" s="32"/>
      <c r="E236" s="32"/>
      <c r="F236" s="32"/>
      <c r="G236" s="32"/>
      <c r="H236" s="32"/>
      <c r="I236" s="32"/>
      <c r="J236" s="32"/>
      <c r="K236" s="32"/>
      <c r="L236" s="32"/>
      <c r="M236" s="32"/>
      <c r="N236" s="35"/>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c r="CB236" s="33"/>
      <c r="CC236" s="33"/>
      <c r="CD236" s="33"/>
    </row>
    <row r="237" spans="1:82" x14ac:dyDescent="0.25">
      <c r="A237" s="32"/>
      <c r="B237" s="32"/>
      <c r="C237" s="32"/>
      <c r="D237" s="32"/>
      <c r="E237" s="32"/>
      <c r="F237" s="32"/>
      <c r="G237" s="32"/>
      <c r="H237" s="32"/>
      <c r="I237" s="32"/>
      <c r="J237" s="32"/>
      <c r="K237" s="32"/>
      <c r="L237" s="32"/>
      <c r="M237" s="32"/>
      <c r="N237" s="35"/>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c r="CB237" s="33"/>
      <c r="CC237" s="33"/>
      <c r="CD237" s="33"/>
    </row>
    <row r="238" spans="1:82" x14ac:dyDescent="0.25">
      <c r="A238" s="32"/>
      <c r="B238" s="32"/>
      <c r="C238" s="32"/>
      <c r="D238" s="32"/>
      <c r="E238" s="32"/>
      <c r="F238" s="32"/>
      <c r="G238" s="32"/>
      <c r="H238" s="32"/>
      <c r="I238" s="32"/>
      <c r="J238" s="32"/>
      <c r="K238" s="32"/>
      <c r="L238" s="32"/>
      <c r="M238" s="32"/>
      <c r="N238" s="35"/>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row>
    <row r="239" spans="1:82" ht="19.5" x14ac:dyDescent="0.25">
      <c r="A239" s="67" t="str">
        <f>IF(AND(D!$C$16=FALSE,D!$C$17=FALSE,D!$C$18=FALSE,D!$C$19=FALSE,D!$C$21=FALSE,D!$C$22=FALSE,D!$C$25=FALSE,D!$C$29=FALSE,D!$C$24=FALSE,D!$C$26=FALSE,D!$C$23=FALSE),"","總結：")</f>
        <v>總結：</v>
      </c>
      <c r="B239" s="32"/>
      <c r="C239" s="32"/>
      <c r="D239" s="32"/>
      <c r="E239" s="32"/>
      <c r="F239" s="32"/>
      <c r="G239" s="32"/>
      <c r="H239" s="32"/>
      <c r="I239" s="32"/>
      <c r="J239" s="32"/>
      <c r="K239" s="32"/>
      <c r="L239" s="32"/>
      <c r="M239" s="32"/>
      <c r="N239" s="32"/>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row>
    <row r="240" spans="1:82" x14ac:dyDescent="0.25">
      <c r="A240" s="210" t="str">
        <f>IF(AND(D!$C$16=FALSE,D!$C$17=FALSE,D!$C$18=FALSE,D!$C$19=FALSE,D!$C$20=FALSE,D!$C$21=FALSE,D!$C$22=FALSE,D!$C$25=FALSE,D!$C$29=FALSE,D!$C$24=FALSE,D!$C$26=FALSE,D!$C$23=FALSE),"","1.在設計專利佈局的總投資成本中，多數地區長期下來的後續年費(M)都比前期的申請費用(A)更高，但美國、加拿大、菲律賓、印尼、越南、泰國、印度等地區是例外，這些地區的設計專利佈局成本較低，值得留意。")</f>
        <v>1.在設計專利佈局的總投資成本中，多數地區長期下來的後續年費(M)都比前期的申請費用(A)更高，但美國、加拿大、菲律賓、印尼、越南、泰國、印度等地區是例外，這些地區的設計專利佈局成本較低，值得留意。</v>
      </c>
      <c r="B240" s="211"/>
      <c r="C240" s="211"/>
      <c r="D240" s="211"/>
      <c r="E240" s="211"/>
      <c r="F240" s="211"/>
      <c r="G240" s="211"/>
      <c r="H240" s="211"/>
      <c r="I240" s="211"/>
      <c r="J240" s="211"/>
      <c r="K240" s="211"/>
      <c r="L240" s="211"/>
      <c r="M240" s="211"/>
      <c r="N240" s="32"/>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c r="CB240" s="33"/>
      <c r="CC240" s="33"/>
      <c r="CD240" s="33"/>
    </row>
    <row r="241" spans="1:82" x14ac:dyDescent="0.25">
      <c r="A241" s="211"/>
      <c r="B241" s="211"/>
      <c r="C241" s="211"/>
      <c r="D241" s="211"/>
      <c r="E241" s="211"/>
      <c r="F241" s="211"/>
      <c r="G241" s="211"/>
      <c r="H241" s="211"/>
      <c r="I241" s="211"/>
      <c r="J241" s="211"/>
      <c r="K241" s="211"/>
      <c r="L241" s="211"/>
      <c r="M241" s="211"/>
      <c r="N241" s="32"/>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c r="CB241" s="33"/>
      <c r="CC241" s="33"/>
      <c r="CD241" s="33"/>
    </row>
    <row r="242" spans="1:82" x14ac:dyDescent="0.25">
      <c r="A242" s="211"/>
      <c r="B242" s="211"/>
      <c r="C242" s="211"/>
      <c r="D242" s="211"/>
      <c r="E242" s="211"/>
      <c r="F242" s="211"/>
      <c r="G242" s="211"/>
      <c r="H242" s="211"/>
      <c r="I242" s="211"/>
      <c r="J242" s="211"/>
      <c r="K242" s="211"/>
      <c r="L242" s="211"/>
      <c r="M242" s="211"/>
      <c r="N242" s="32"/>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c r="CB242" s="33"/>
      <c r="CC242" s="33"/>
      <c r="CD242" s="33"/>
    </row>
    <row r="243" spans="1:82" x14ac:dyDescent="0.25">
      <c r="A243" s="35"/>
      <c r="B243" s="35"/>
      <c r="C243" s="35"/>
      <c r="D243" s="35"/>
      <c r="E243" s="35"/>
      <c r="F243" s="35"/>
      <c r="G243" s="35"/>
      <c r="H243" s="35"/>
      <c r="I243" s="35"/>
      <c r="J243" s="35"/>
      <c r="K243" s="35"/>
      <c r="L243" s="35"/>
      <c r="M243" s="35"/>
      <c r="N243" s="32"/>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c r="CB243" s="33"/>
      <c r="CC243" s="33"/>
      <c r="CD243" s="33"/>
    </row>
    <row r="244" spans="1:82" x14ac:dyDescent="0.25">
      <c r="A244" s="35"/>
      <c r="B244" s="35"/>
      <c r="C244" s="35"/>
      <c r="D244" s="35"/>
      <c r="E244" s="35"/>
      <c r="F244" s="35"/>
      <c r="G244" s="35"/>
      <c r="H244" s="35"/>
      <c r="I244" s="35"/>
      <c r="J244" s="35"/>
      <c r="K244" s="35"/>
      <c r="L244" s="35"/>
      <c r="M244" s="35"/>
      <c r="N244" s="32"/>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row>
    <row r="245" spans="1:82" x14ac:dyDescent="0.25">
      <c r="A245" s="32"/>
      <c r="B245" s="32"/>
      <c r="C245" s="32"/>
      <c r="D245" s="32"/>
      <c r="E245" s="32"/>
      <c r="F245" s="32"/>
      <c r="G245" s="32"/>
      <c r="H245" s="32"/>
      <c r="I245" s="32"/>
      <c r="J245" s="32"/>
      <c r="K245" s="32"/>
      <c r="L245" s="32"/>
      <c r="M245" s="32"/>
      <c r="N245" s="32"/>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c r="CB245" s="33"/>
      <c r="CC245" s="33"/>
      <c r="CD245" s="33"/>
    </row>
    <row r="246" spans="1:82" x14ac:dyDescent="0.25">
      <c r="A246" s="32"/>
      <c r="B246" s="32"/>
      <c r="C246" s="32"/>
      <c r="D246" s="32"/>
      <c r="E246" s="32"/>
      <c r="F246" s="32"/>
      <c r="G246" s="32"/>
      <c r="H246" s="32"/>
      <c r="I246" s="32"/>
      <c r="J246" s="32"/>
      <c r="K246" s="32"/>
      <c r="L246" s="32"/>
      <c r="M246" s="32"/>
      <c r="N246" s="32"/>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c r="CB246" s="33"/>
      <c r="CC246" s="33"/>
      <c r="CD246" s="33"/>
    </row>
    <row r="247" spans="1:82" x14ac:dyDescent="0.25">
      <c r="A247" s="32"/>
      <c r="B247" s="32"/>
      <c r="C247" s="32"/>
      <c r="D247" s="32"/>
      <c r="E247" s="32"/>
      <c r="F247" s="32"/>
      <c r="G247" s="32"/>
      <c r="H247" s="32"/>
      <c r="I247" s="32"/>
      <c r="J247" s="32"/>
      <c r="K247" s="32"/>
      <c r="L247" s="32"/>
      <c r="M247" s="32"/>
      <c r="N247" s="32"/>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c r="CB247" s="33"/>
      <c r="CC247" s="33"/>
      <c r="CD247" s="33"/>
    </row>
    <row r="248" spans="1:82" x14ac:dyDescent="0.25">
      <c r="A248" s="32"/>
      <c r="B248" s="32"/>
      <c r="C248" s="32"/>
      <c r="D248" s="32"/>
      <c r="E248" s="32"/>
      <c r="F248" s="32"/>
      <c r="G248" s="32"/>
      <c r="H248" s="32"/>
      <c r="I248" s="32"/>
      <c r="J248" s="32"/>
      <c r="K248" s="32"/>
      <c r="L248" s="32"/>
      <c r="M248" s="32"/>
      <c r="N248" s="32"/>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c r="CB248" s="33"/>
      <c r="CC248" s="33"/>
      <c r="CD248" s="33"/>
    </row>
    <row r="249" spans="1:82" x14ac:dyDescent="0.25">
      <c r="A249" s="32"/>
      <c r="B249" s="32"/>
      <c r="C249" s="32"/>
      <c r="D249" s="32"/>
      <c r="E249" s="32"/>
      <c r="F249" s="32"/>
      <c r="G249" s="32"/>
      <c r="H249" s="32"/>
      <c r="I249" s="32"/>
      <c r="J249" s="32"/>
      <c r="K249" s="32"/>
      <c r="L249" s="32"/>
      <c r="M249" s="32"/>
      <c r="N249" s="32"/>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c r="CB249" s="33"/>
      <c r="CC249" s="33"/>
      <c r="CD249" s="33"/>
    </row>
    <row r="250" spans="1:82" x14ac:dyDescent="0.25">
      <c r="A250" s="32"/>
      <c r="B250" s="32"/>
      <c r="C250" s="32"/>
      <c r="D250" s="32"/>
      <c r="E250" s="32"/>
      <c r="F250" s="32"/>
      <c r="G250" s="32"/>
      <c r="H250" s="32"/>
      <c r="I250" s="32"/>
      <c r="J250" s="32"/>
      <c r="K250" s="32"/>
      <c r="L250" s="32"/>
      <c r="M250" s="32"/>
      <c r="N250" s="32"/>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c r="CB250" s="33"/>
      <c r="CC250" s="33"/>
      <c r="CD250" s="33"/>
    </row>
    <row r="251" spans="1:82" x14ac:dyDescent="0.25">
      <c r="A251" s="32"/>
      <c r="B251" s="32"/>
      <c r="C251" s="32"/>
      <c r="D251" s="32"/>
      <c r="E251" s="32"/>
      <c r="F251" s="32"/>
      <c r="G251" s="32"/>
      <c r="H251" s="32"/>
      <c r="I251" s="32"/>
      <c r="J251" s="32"/>
      <c r="K251" s="32"/>
      <c r="L251" s="32"/>
      <c r="M251" s="32"/>
      <c r="N251" s="32"/>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M251" s="33"/>
      <c r="BN251" s="33"/>
      <c r="BO251" s="33"/>
      <c r="BP251" s="33"/>
      <c r="BQ251" s="33"/>
      <c r="BR251" s="33"/>
      <c r="BS251" s="33"/>
      <c r="BT251" s="33"/>
      <c r="BU251" s="33"/>
      <c r="BV251" s="33"/>
      <c r="BW251" s="33"/>
      <c r="BX251" s="33"/>
      <c r="BY251" s="33"/>
      <c r="BZ251" s="33"/>
      <c r="CA251" s="33"/>
      <c r="CB251" s="33"/>
      <c r="CC251" s="33"/>
      <c r="CD251" s="33"/>
    </row>
    <row r="252" spans="1:82" x14ac:dyDescent="0.25">
      <c r="A252" s="32"/>
      <c r="B252" s="32"/>
      <c r="C252" s="32"/>
      <c r="D252" s="32"/>
      <c r="E252" s="32"/>
      <c r="F252" s="32"/>
      <c r="G252" s="32"/>
      <c r="H252" s="32"/>
      <c r="I252" s="32"/>
      <c r="J252" s="32"/>
      <c r="K252" s="32"/>
      <c r="L252" s="32"/>
      <c r="M252" s="32"/>
      <c r="N252" s="32"/>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3"/>
      <c r="BU252" s="33"/>
      <c r="BV252" s="33"/>
      <c r="BW252" s="33"/>
      <c r="BX252" s="33"/>
      <c r="BY252" s="33"/>
      <c r="BZ252" s="33"/>
      <c r="CA252" s="33"/>
      <c r="CB252" s="33"/>
      <c r="CC252" s="33"/>
      <c r="CD252" s="33"/>
    </row>
    <row r="253" spans="1:82" x14ac:dyDescent="0.25">
      <c r="A253" s="32"/>
      <c r="B253" s="32"/>
      <c r="C253" s="32"/>
      <c r="D253" s="32"/>
      <c r="E253" s="32"/>
      <c r="F253" s="32"/>
      <c r="G253" s="32"/>
      <c r="H253" s="32"/>
      <c r="I253" s="32"/>
      <c r="J253" s="32"/>
      <c r="K253" s="32"/>
      <c r="L253" s="32"/>
      <c r="M253" s="32"/>
      <c r="N253" s="32"/>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3"/>
      <c r="BU253" s="33"/>
      <c r="BV253" s="33"/>
      <c r="BW253" s="33"/>
      <c r="BX253" s="33"/>
      <c r="BY253" s="33"/>
      <c r="BZ253" s="33"/>
      <c r="CA253" s="33"/>
      <c r="CB253" s="33"/>
      <c r="CC253" s="33"/>
      <c r="CD253" s="33"/>
    </row>
    <row r="254" spans="1:82" x14ac:dyDescent="0.25">
      <c r="A254" s="32"/>
      <c r="B254" s="32"/>
      <c r="C254" s="32"/>
      <c r="D254" s="32"/>
      <c r="E254" s="32"/>
      <c r="F254" s="32"/>
      <c r="G254" s="32"/>
      <c r="H254" s="32"/>
      <c r="I254" s="32"/>
      <c r="J254" s="32"/>
      <c r="K254" s="32"/>
      <c r="L254" s="32"/>
      <c r="M254" s="32"/>
      <c r="N254" s="32"/>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3"/>
      <c r="BU254" s="33"/>
      <c r="BV254" s="33"/>
      <c r="BW254" s="33"/>
      <c r="BX254" s="33"/>
      <c r="BY254" s="33"/>
      <c r="BZ254" s="33"/>
      <c r="CA254" s="33"/>
      <c r="CB254" s="33"/>
      <c r="CC254" s="33"/>
      <c r="CD254" s="33"/>
    </row>
    <row r="255" spans="1:82" x14ac:dyDescent="0.25">
      <c r="A255" s="32"/>
      <c r="B255" s="32"/>
      <c r="C255" s="32"/>
      <c r="D255" s="32"/>
      <c r="E255" s="32"/>
      <c r="F255" s="32"/>
      <c r="G255" s="32"/>
      <c r="H255" s="32"/>
      <c r="I255" s="32"/>
      <c r="J255" s="32"/>
      <c r="K255" s="32"/>
      <c r="L255" s="32"/>
      <c r="M255" s="32"/>
      <c r="N255" s="32"/>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3"/>
      <c r="BU255" s="33"/>
      <c r="BV255" s="33"/>
      <c r="BW255" s="33"/>
      <c r="BX255" s="33"/>
      <c r="BY255" s="33"/>
      <c r="BZ255" s="33"/>
      <c r="CA255" s="33"/>
      <c r="CB255" s="33"/>
      <c r="CC255" s="33"/>
      <c r="CD255" s="33"/>
    </row>
    <row r="256" spans="1:82" x14ac:dyDescent="0.25">
      <c r="A256" s="32"/>
      <c r="B256" s="32"/>
      <c r="C256" s="32"/>
      <c r="D256" s="32"/>
      <c r="E256" s="32"/>
      <c r="F256" s="32"/>
      <c r="G256" s="32"/>
      <c r="H256" s="32"/>
      <c r="I256" s="32"/>
      <c r="J256" s="32"/>
      <c r="K256" s="32"/>
      <c r="L256" s="32"/>
      <c r="M256" s="32"/>
      <c r="N256" s="32"/>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3"/>
      <c r="BU256" s="33"/>
      <c r="BV256" s="33"/>
      <c r="BW256" s="33"/>
      <c r="BX256" s="33"/>
      <c r="BY256" s="33"/>
      <c r="BZ256" s="33"/>
      <c r="CA256" s="33"/>
      <c r="CB256" s="33"/>
      <c r="CC256" s="33"/>
      <c r="CD256" s="33"/>
    </row>
    <row r="257" spans="1:82" x14ac:dyDescent="0.25">
      <c r="A257" s="32"/>
      <c r="B257" s="32"/>
      <c r="C257" s="32"/>
      <c r="D257" s="32"/>
      <c r="E257" s="32"/>
      <c r="F257" s="32"/>
      <c r="G257" s="32"/>
      <c r="H257" s="32"/>
      <c r="I257" s="32"/>
      <c r="J257" s="32"/>
      <c r="K257" s="32"/>
      <c r="L257" s="32"/>
      <c r="M257" s="32"/>
      <c r="N257" s="32"/>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c r="BS257" s="33"/>
      <c r="BT257" s="33"/>
      <c r="BU257" s="33"/>
      <c r="BV257" s="33"/>
      <c r="BW257" s="33"/>
      <c r="BX257" s="33"/>
      <c r="BY257" s="33"/>
      <c r="BZ257" s="33"/>
      <c r="CA257" s="33"/>
      <c r="CB257" s="33"/>
      <c r="CC257" s="33"/>
      <c r="CD257" s="33"/>
    </row>
    <row r="258" spans="1:82" x14ac:dyDescent="0.25">
      <c r="A258" s="32"/>
      <c r="B258" s="32"/>
      <c r="C258" s="32"/>
      <c r="D258" s="32"/>
      <c r="E258" s="32"/>
      <c r="F258" s="32"/>
      <c r="G258" s="32"/>
      <c r="H258" s="32"/>
      <c r="I258" s="32"/>
      <c r="J258" s="32"/>
      <c r="K258" s="32"/>
      <c r="L258" s="32"/>
      <c r="M258" s="32"/>
      <c r="N258" s="32"/>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33"/>
      <c r="BU258" s="33"/>
      <c r="BV258" s="33"/>
      <c r="BW258" s="33"/>
      <c r="BX258" s="33"/>
      <c r="BY258" s="33"/>
      <c r="BZ258" s="33"/>
      <c r="CA258" s="33"/>
      <c r="CB258" s="33"/>
      <c r="CC258" s="33"/>
      <c r="CD258" s="33"/>
    </row>
    <row r="259" spans="1:82" x14ac:dyDescent="0.25">
      <c r="A259" s="32"/>
      <c r="B259" s="32"/>
      <c r="C259" s="32"/>
      <c r="D259" s="32"/>
      <c r="E259" s="32"/>
      <c r="F259" s="32"/>
      <c r="G259" s="32"/>
      <c r="H259" s="32"/>
      <c r="I259" s="32"/>
      <c r="J259" s="32"/>
      <c r="K259" s="32"/>
      <c r="L259" s="32"/>
      <c r="M259" s="32"/>
      <c r="N259" s="32"/>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3"/>
      <c r="BU259" s="33"/>
      <c r="BV259" s="33"/>
      <c r="BW259" s="33"/>
      <c r="BX259" s="33"/>
      <c r="BY259" s="33"/>
      <c r="BZ259" s="33"/>
      <c r="CA259" s="33"/>
      <c r="CB259" s="33"/>
      <c r="CC259" s="33"/>
      <c r="CD259" s="33"/>
    </row>
    <row r="260" spans="1:82" x14ac:dyDescent="0.25">
      <c r="A260" s="32"/>
      <c r="B260" s="32"/>
      <c r="C260" s="32"/>
      <c r="D260" s="32"/>
      <c r="E260" s="32"/>
      <c r="F260" s="32"/>
      <c r="G260" s="32"/>
      <c r="H260" s="32"/>
      <c r="I260" s="32"/>
      <c r="J260" s="32"/>
      <c r="K260" s="32"/>
      <c r="L260" s="32"/>
      <c r="M260" s="32"/>
      <c r="N260" s="32"/>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33"/>
      <c r="BU260" s="33"/>
      <c r="BV260" s="33"/>
      <c r="BW260" s="33"/>
      <c r="BX260" s="33"/>
      <c r="BY260" s="33"/>
      <c r="BZ260" s="33"/>
      <c r="CA260" s="33"/>
      <c r="CB260" s="33"/>
      <c r="CC260" s="33"/>
      <c r="CD260" s="33"/>
    </row>
    <row r="261" spans="1:82" x14ac:dyDescent="0.25">
      <c r="A261" s="32"/>
      <c r="B261" s="32"/>
      <c r="C261" s="32"/>
      <c r="D261" s="32"/>
      <c r="E261" s="32"/>
      <c r="F261" s="32"/>
      <c r="G261" s="32"/>
      <c r="H261" s="32"/>
      <c r="I261" s="32"/>
      <c r="J261" s="32"/>
      <c r="K261" s="32"/>
      <c r="L261" s="32"/>
      <c r="M261" s="32"/>
      <c r="N261" s="32"/>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c r="CB261" s="33"/>
      <c r="CC261" s="33"/>
      <c r="CD261" s="33"/>
    </row>
    <row r="262" spans="1:82" x14ac:dyDescent="0.25">
      <c r="A262" s="32"/>
      <c r="B262" s="32"/>
      <c r="C262" s="32"/>
      <c r="D262" s="32"/>
      <c r="E262" s="32"/>
      <c r="F262" s="32"/>
      <c r="G262" s="32"/>
      <c r="H262" s="32"/>
      <c r="I262" s="32"/>
      <c r="J262" s="32"/>
      <c r="K262" s="32"/>
      <c r="L262" s="32"/>
      <c r="M262" s="32"/>
      <c r="N262" s="32"/>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33"/>
    </row>
    <row r="263" spans="1:82" x14ac:dyDescent="0.25">
      <c r="A263" s="32"/>
      <c r="B263" s="32"/>
      <c r="C263" s="32"/>
      <c r="D263" s="32"/>
      <c r="E263" s="32"/>
      <c r="F263" s="32"/>
      <c r="G263" s="32"/>
      <c r="H263" s="32"/>
      <c r="I263" s="32"/>
      <c r="J263" s="32"/>
      <c r="K263" s="32"/>
      <c r="L263" s="32"/>
      <c r="M263" s="32"/>
      <c r="N263" s="32"/>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c r="BM263" s="33"/>
      <c r="BN263" s="33"/>
      <c r="BO263" s="33"/>
      <c r="BP263" s="33"/>
      <c r="BQ263" s="33"/>
      <c r="BR263" s="33"/>
      <c r="BS263" s="33"/>
      <c r="BT263" s="33"/>
      <c r="BU263" s="33"/>
      <c r="BV263" s="33"/>
      <c r="BW263" s="33"/>
      <c r="BX263" s="33"/>
      <c r="BY263" s="33"/>
      <c r="BZ263" s="33"/>
      <c r="CA263" s="33"/>
      <c r="CB263" s="33"/>
      <c r="CC263" s="33"/>
      <c r="CD263" s="33"/>
    </row>
    <row r="264" spans="1:82" x14ac:dyDescent="0.25">
      <c r="A264" s="32"/>
      <c r="B264" s="32"/>
      <c r="C264" s="32"/>
      <c r="D264" s="32"/>
      <c r="E264" s="32"/>
      <c r="F264" s="32"/>
      <c r="G264" s="32"/>
      <c r="H264" s="32"/>
      <c r="I264" s="32"/>
      <c r="J264" s="32"/>
      <c r="K264" s="32"/>
      <c r="L264" s="32"/>
      <c r="M264" s="32"/>
      <c r="N264" s="32"/>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c r="BM264" s="33"/>
      <c r="BN264" s="33"/>
      <c r="BO264" s="33"/>
      <c r="BP264" s="33"/>
      <c r="BQ264" s="33"/>
      <c r="BR264" s="33"/>
      <c r="BS264" s="33"/>
      <c r="BT264" s="33"/>
      <c r="BU264" s="33"/>
      <c r="BV264" s="33"/>
      <c r="BW264" s="33"/>
      <c r="BX264" s="33"/>
      <c r="BY264" s="33"/>
      <c r="BZ264" s="33"/>
      <c r="CA264" s="33"/>
      <c r="CB264" s="33"/>
      <c r="CC264" s="33"/>
      <c r="CD264" s="33"/>
    </row>
    <row r="265" spans="1:82" x14ac:dyDescent="0.25">
      <c r="A265" s="32"/>
      <c r="B265" s="32"/>
      <c r="C265" s="32"/>
      <c r="D265" s="32"/>
      <c r="E265" s="32"/>
      <c r="F265" s="32"/>
      <c r="G265" s="32"/>
      <c r="H265" s="32"/>
      <c r="I265" s="32"/>
      <c r="J265" s="32"/>
      <c r="K265" s="32"/>
      <c r="L265" s="32"/>
      <c r="M265" s="32"/>
      <c r="N265" s="32"/>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3"/>
      <c r="BU265" s="33"/>
      <c r="BV265" s="33"/>
      <c r="BW265" s="33"/>
      <c r="BX265" s="33"/>
      <c r="BY265" s="33"/>
      <c r="BZ265" s="33"/>
      <c r="CA265" s="33"/>
      <c r="CB265" s="33"/>
      <c r="CC265" s="33"/>
      <c r="CD265" s="33"/>
    </row>
    <row r="266" spans="1:82" x14ac:dyDescent="0.25">
      <c r="A266" s="32"/>
      <c r="B266" s="32"/>
      <c r="C266" s="32"/>
      <c r="D266" s="32"/>
      <c r="E266" s="32"/>
      <c r="F266" s="32"/>
      <c r="G266" s="32"/>
      <c r="H266" s="32"/>
      <c r="I266" s="32"/>
      <c r="J266" s="32"/>
      <c r="K266" s="32"/>
      <c r="L266" s="32"/>
      <c r="M266" s="32"/>
      <c r="N266" s="32"/>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3"/>
      <c r="BU266" s="33"/>
      <c r="BV266" s="33"/>
      <c r="BW266" s="33"/>
      <c r="BX266" s="33"/>
      <c r="BY266" s="33"/>
      <c r="BZ266" s="33"/>
      <c r="CA266" s="33"/>
      <c r="CB266" s="33"/>
      <c r="CC266" s="33"/>
      <c r="CD266" s="33"/>
    </row>
    <row r="267" spans="1:82" x14ac:dyDescent="0.25">
      <c r="A267" s="32"/>
      <c r="B267" s="32"/>
      <c r="C267" s="32"/>
      <c r="D267" s="32"/>
      <c r="E267" s="32"/>
      <c r="F267" s="32"/>
      <c r="G267" s="32"/>
      <c r="H267" s="32"/>
      <c r="I267" s="32"/>
      <c r="J267" s="32"/>
      <c r="K267" s="32"/>
      <c r="L267" s="32"/>
      <c r="M267" s="32"/>
      <c r="N267" s="32"/>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c r="BZ267" s="33"/>
      <c r="CA267" s="33"/>
      <c r="CB267" s="33"/>
      <c r="CC267" s="33"/>
      <c r="CD267" s="33"/>
    </row>
    <row r="268" spans="1:82" x14ac:dyDescent="0.25">
      <c r="A268" s="32"/>
      <c r="B268" s="32"/>
      <c r="C268" s="32"/>
      <c r="D268" s="32"/>
      <c r="E268" s="32"/>
      <c r="F268" s="32"/>
      <c r="G268" s="32"/>
      <c r="H268" s="32"/>
      <c r="I268" s="32"/>
      <c r="J268" s="32"/>
      <c r="K268" s="32"/>
      <c r="L268" s="32"/>
      <c r="M268" s="32"/>
      <c r="N268" s="32"/>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3"/>
      <c r="BU268" s="33"/>
      <c r="BV268" s="33"/>
      <c r="BW268" s="33"/>
      <c r="BX268" s="33"/>
      <c r="BY268" s="33"/>
      <c r="BZ268" s="33"/>
      <c r="CA268" s="33"/>
      <c r="CB268" s="33"/>
      <c r="CC268" s="33"/>
      <c r="CD268" s="33"/>
    </row>
    <row r="269" spans="1:82" x14ac:dyDescent="0.25">
      <c r="A269" s="32"/>
      <c r="B269" s="32"/>
      <c r="C269" s="32"/>
      <c r="D269" s="32"/>
      <c r="E269" s="32"/>
      <c r="F269" s="32"/>
      <c r="G269" s="32"/>
      <c r="H269" s="32"/>
      <c r="I269" s="32"/>
      <c r="J269" s="32"/>
      <c r="K269" s="32"/>
      <c r="L269" s="32"/>
      <c r="M269" s="32"/>
      <c r="N269" s="32"/>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3"/>
      <c r="BU269" s="33"/>
      <c r="BV269" s="33"/>
      <c r="BW269" s="33"/>
      <c r="BX269" s="33"/>
      <c r="BY269" s="33"/>
      <c r="BZ269" s="33"/>
      <c r="CA269" s="33"/>
      <c r="CB269" s="33"/>
      <c r="CC269" s="33"/>
      <c r="CD269" s="33"/>
    </row>
    <row r="270" spans="1:82" x14ac:dyDescent="0.25">
      <c r="A270" s="32"/>
      <c r="B270" s="32"/>
      <c r="C270" s="32"/>
      <c r="D270" s="32"/>
      <c r="E270" s="32"/>
      <c r="F270" s="32"/>
      <c r="G270" s="32"/>
      <c r="H270" s="32"/>
      <c r="I270" s="32"/>
      <c r="J270" s="32"/>
      <c r="K270" s="32"/>
      <c r="L270" s="32"/>
      <c r="M270" s="32"/>
      <c r="N270" s="32"/>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3"/>
      <c r="BU270" s="33"/>
      <c r="BV270" s="33"/>
      <c r="BW270" s="33"/>
      <c r="BX270" s="33"/>
      <c r="BY270" s="33"/>
      <c r="BZ270" s="33"/>
      <c r="CA270" s="33"/>
      <c r="CB270" s="33"/>
      <c r="CC270" s="33"/>
      <c r="CD270" s="33"/>
    </row>
    <row r="271" spans="1:82" x14ac:dyDescent="0.25">
      <c r="A271" s="32"/>
      <c r="B271" s="32"/>
      <c r="C271" s="32"/>
      <c r="D271" s="32"/>
      <c r="E271" s="32"/>
      <c r="F271" s="32"/>
      <c r="G271" s="32"/>
      <c r="H271" s="32"/>
      <c r="I271" s="32"/>
      <c r="J271" s="32"/>
      <c r="K271" s="32"/>
      <c r="L271" s="32"/>
      <c r="M271" s="32"/>
      <c r="N271" s="32"/>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c r="CB271" s="33"/>
      <c r="CC271" s="33"/>
      <c r="CD271" s="33"/>
    </row>
    <row r="272" spans="1:82" x14ac:dyDescent="0.25">
      <c r="A272" s="32"/>
      <c r="B272" s="32"/>
      <c r="C272" s="32"/>
      <c r="D272" s="32"/>
      <c r="E272" s="32"/>
      <c r="F272" s="32"/>
      <c r="G272" s="32"/>
      <c r="H272" s="32"/>
      <c r="I272" s="32"/>
      <c r="J272" s="32"/>
      <c r="K272" s="32"/>
      <c r="L272" s="32"/>
      <c r="M272" s="32"/>
      <c r="N272" s="32"/>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c r="BM272" s="33"/>
      <c r="BN272" s="33"/>
      <c r="BO272" s="33"/>
      <c r="BP272" s="33"/>
      <c r="BQ272" s="33"/>
      <c r="BR272" s="33"/>
      <c r="BS272" s="33"/>
      <c r="BT272" s="33"/>
      <c r="BU272" s="33"/>
      <c r="BV272" s="33"/>
      <c r="BW272" s="33"/>
      <c r="BX272" s="33"/>
      <c r="BY272" s="33"/>
      <c r="BZ272" s="33"/>
      <c r="CA272" s="33"/>
      <c r="CB272" s="33"/>
      <c r="CC272" s="33"/>
      <c r="CD272" s="33"/>
    </row>
    <row r="273" spans="1:82" x14ac:dyDescent="0.25">
      <c r="A273" s="32"/>
      <c r="B273" s="32"/>
      <c r="C273" s="32"/>
      <c r="D273" s="32"/>
      <c r="E273" s="32"/>
      <c r="F273" s="32"/>
      <c r="G273" s="32"/>
      <c r="H273" s="32"/>
      <c r="I273" s="32"/>
      <c r="J273" s="32"/>
      <c r="K273" s="32"/>
      <c r="L273" s="32"/>
      <c r="M273" s="32"/>
      <c r="N273" s="32"/>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c r="CB273" s="33"/>
      <c r="CC273" s="33"/>
      <c r="CD273" s="33"/>
    </row>
    <row r="274" spans="1:82" x14ac:dyDescent="0.25">
      <c r="A274" s="32"/>
      <c r="B274" s="32"/>
      <c r="C274" s="32"/>
      <c r="D274" s="32"/>
      <c r="E274" s="32"/>
      <c r="F274" s="32"/>
      <c r="G274" s="32"/>
      <c r="H274" s="32"/>
      <c r="I274" s="32"/>
      <c r="J274" s="32"/>
      <c r="K274" s="32"/>
      <c r="L274" s="32"/>
      <c r="M274" s="32"/>
      <c r="N274" s="32"/>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c r="BM274" s="33"/>
      <c r="BN274" s="33"/>
      <c r="BO274" s="33"/>
      <c r="BP274" s="33"/>
      <c r="BQ274" s="33"/>
      <c r="BR274" s="33"/>
      <c r="BS274" s="33"/>
      <c r="BT274" s="33"/>
      <c r="BU274" s="33"/>
      <c r="BV274" s="33"/>
      <c r="BW274" s="33"/>
      <c r="BX274" s="33"/>
      <c r="BY274" s="33"/>
      <c r="BZ274" s="33"/>
      <c r="CA274" s="33"/>
      <c r="CB274" s="33"/>
      <c r="CC274" s="33"/>
      <c r="CD274" s="33"/>
    </row>
    <row r="275" spans="1:82" x14ac:dyDescent="0.25">
      <c r="A275" s="32"/>
      <c r="B275" s="32"/>
      <c r="C275" s="32"/>
      <c r="D275" s="32"/>
      <c r="E275" s="32"/>
      <c r="F275" s="32"/>
      <c r="G275" s="32"/>
      <c r="H275" s="32"/>
      <c r="I275" s="32"/>
      <c r="J275" s="32"/>
      <c r="K275" s="32"/>
      <c r="L275" s="32"/>
      <c r="M275" s="32"/>
      <c r="N275" s="32"/>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3"/>
      <c r="BU275" s="33"/>
      <c r="BV275" s="33"/>
      <c r="BW275" s="33"/>
      <c r="BX275" s="33"/>
      <c r="BY275" s="33"/>
      <c r="BZ275" s="33"/>
      <c r="CA275" s="33"/>
      <c r="CB275" s="33"/>
      <c r="CC275" s="33"/>
      <c r="CD275" s="33"/>
    </row>
    <row r="276" spans="1:82" x14ac:dyDescent="0.25">
      <c r="A276" s="32"/>
      <c r="B276" s="32"/>
      <c r="C276" s="32"/>
      <c r="D276" s="32"/>
      <c r="E276" s="32"/>
      <c r="F276" s="32"/>
      <c r="G276" s="32"/>
      <c r="H276" s="32"/>
      <c r="I276" s="32"/>
      <c r="J276" s="32"/>
      <c r="K276" s="32"/>
      <c r="L276" s="32"/>
      <c r="M276" s="32"/>
      <c r="N276" s="32"/>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c r="BM276" s="33"/>
      <c r="BN276" s="33"/>
      <c r="BO276" s="33"/>
      <c r="BP276" s="33"/>
      <c r="BQ276" s="33"/>
      <c r="BR276" s="33"/>
      <c r="BS276" s="33"/>
      <c r="BT276" s="33"/>
      <c r="BU276" s="33"/>
      <c r="BV276" s="33"/>
      <c r="BW276" s="33"/>
      <c r="BX276" s="33"/>
      <c r="BY276" s="33"/>
      <c r="BZ276" s="33"/>
      <c r="CA276" s="33"/>
      <c r="CB276" s="33"/>
      <c r="CC276" s="33"/>
      <c r="CD276" s="33"/>
    </row>
    <row r="277" spans="1:82" x14ac:dyDescent="0.25">
      <c r="A277" s="32"/>
      <c r="B277" s="32"/>
      <c r="C277" s="32"/>
      <c r="D277" s="32"/>
      <c r="E277" s="32"/>
      <c r="F277" s="32"/>
      <c r="G277" s="32"/>
      <c r="H277" s="32"/>
      <c r="I277" s="32"/>
      <c r="J277" s="32"/>
      <c r="K277" s="32"/>
      <c r="L277" s="32"/>
      <c r="M277" s="32"/>
      <c r="N277" s="32"/>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3"/>
      <c r="BU277" s="33"/>
      <c r="BV277" s="33"/>
      <c r="BW277" s="33"/>
      <c r="BX277" s="33"/>
      <c r="BY277" s="33"/>
      <c r="BZ277" s="33"/>
      <c r="CA277" s="33"/>
      <c r="CB277" s="33"/>
      <c r="CC277" s="33"/>
      <c r="CD277" s="33"/>
    </row>
    <row r="278" spans="1:82" x14ac:dyDescent="0.25">
      <c r="A278" s="32"/>
      <c r="B278" s="32"/>
      <c r="C278" s="32"/>
      <c r="D278" s="32"/>
      <c r="E278" s="32"/>
      <c r="F278" s="32"/>
      <c r="G278" s="32"/>
      <c r="H278" s="32"/>
      <c r="I278" s="32"/>
      <c r="J278" s="32"/>
      <c r="K278" s="32"/>
      <c r="L278" s="32"/>
      <c r="M278" s="32"/>
      <c r="N278" s="32"/>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c r="BM278" s="33"/>
      <c r="BN278" s="33"/>
      <c r="BO278" s="33"/>
      <c r="BP278" s="33"/>
      <c r="BQ278" s="33"/>
      <c r="BR278" s="33"/>
      <c r="BS278" s="33"/>
      <c r="BT278" s="33"/>
      <c r="BU278" s="33"/>
      <c r="BV278" s="33"/>
      <c r="BW278" s="33"/>
      <c r="BX278" s="33"/>
      <c r="BY278" s="33"/>
      <c r="BZ278" s="33"/>
      <c r="CA278" s="33"/>
      <c r="CB278" s="33"/>
      <c r="CC278" s="33"/>
      <c r="CD278" s="33"/>
    </row>
    <row r="279" spans="1:82" x14ac:dyDescent="0.25">
      <c r="A279" s="32"/>
      <c r="B279" s="32"/>
      <c r="C279" s="32"/>
      <c r="D279" s="32"/>
      <c r="E279" s="32"/>
      <c r="F279" s="32"/>
      <c r="G279" s="32"/>
      <c r="H279" s="32"/>
      <c r="I279" s="32"/>
      <c r="J279" s="32"/>
      <c r="K279" s="32"/>
      <c r="L279" s="32"/>
      <c r="M279" s="32"/>
      <c r="N279" s="32"/>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c r="CB279" s="33"/>
      <c r="CC279" s="33"/>
      <c r="CD279" s="33"/>
    </row>
    <row r="280" spans="1:82" x14ac:dyDescent="0.25">
      <c r="A280" s="32"/>
      <c r="B280" s="32"/>
      <c r="C280" s="32"/>
      <c r="D280" s="32"/>
      <c r="E280" s="32"/>
      <c r="F280" s="32"/>
      <c r="G280" s="32"/>
      <c r="H280" s="32"/>
      <c r="I280" s="32"/>
      <c r="J280" s="32"/>
      <c r="K280" s="32"/>
      <c r="L280" s="32"/>
      <c r="M280" s="32"/>
      <c r="N280" s="32"/>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c r="BM280" s="33"/>
      <c r="BN280" s="33"/>
      <c r="BO280" s="33"/>
      <c r="BP280" s="33"/>
      <c r="BQ280" s="33"/>
      <c r="BR280" s="33"/>
      <c r="BS280" s="33"/>
      <c r="BT280" s="33"/>
      <c r="BU280" s="33"/>
      <c r="BV280" s="33"/>
      <c r="BW280" s="33"/>
      <c r="BX280" s="33"/>
      <c r="BY280" s="33"/>
      <c r="BZ280" s="33"/>
      <c r="CA280" s="33"/>
      <c r="CB280" s="33"/>
      <c r="CC280" s="33"/>
      <c r="CD280" s="33"/>
    </row>
    <row r="281" spans="1:82" x14ac:dyDescent="0.25">
      <c r="A281" s="32"/>
      <c r="B281" s="32"/>
      <c r="C281" s="32"/>
      <c r="D281" s="32"/>
      <c r="E281" s="32"/>
      <c r="F281" s="32"/>
      <c r="G281" s="32"/>
      <c r="H281" s="32"/>
      <c r="I281" s="32"/>
      <c r="J281" s="32"/>
      <c r="K281" s="32"/>
      <c r="L281" s="32"/>
      <c r="M281" s="32"/>
      <c r="N281" s="32"/>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c r="BM281" s="33"/>
      <c r="BN281" s="33"/>
      <c r="BO281" s="33"/>
      <c r="BP281" s="33"/>
      <c r="BQ281" s="33"/>
      <c r="BR281" s="33"/>
      <c r="BS281" s="33"/>
      <c r="BT281" s="33"/>
      <c r="BU281" s="33"/>
      <c r="BV281" s="33"/>
      <c r="BW281" s="33"/>
      <c r="BX281" s="33"/>
      <c r="BY281" s="33"/>
      <c r="BZ281" s="33"/>
      <c r="CA281" s="33"/>
      <c r="CB281" s="33"/>
      <c r="CC281" s="33"/>
      <c r="CD281" s="33"/>
    </row>
    <row r="282" spans="1:82" x14ac:dyDescent="0.25">
      <c r="A282" s="32"/>
      <c r="B282" s="32"/>
      <c r="C282" s="32"/>
      <c r="D282" s="32"/>
      <c r="E282" s="32"/>
      <c r="F282" s="32"/>
      <c r="G282" s="32"/>
      <c r="H282" s="32"/>
      <c r="I282" s="32"/>
      <c r="J282" s="32"/>
      <c r="K282" s="32"/>
      <c r="L282" s="32"/>
      <c r="M282" s="32"/>
      <c r="N282" s="32"/>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c r="BM282" s="33"/>
      <c r="BN282" s="33"/>
      <c r="BO282" s="33"/>
      <c r="BP282" s="33"/>
      <c r="BQ282" s="33"/>
      <c r="BR282" s="33"/>
      <c r="BS282" s="33"/>
      <c r="BT282" s="33"/>
      <c r="BU282" s="33"/>
      <c r="BV282" s="33"/>
      <c r="BW282" s="33"/>
      <c r="BX282" s="33"/>
      <c r="BY282" s="33"/>
      <c r="BZ282" s="33"/>
      <c r="CA282" s="33"/>
      <c r="CB282" s="33"/>
      <c r="CC282" s="33"/>
      <c r="CD282" s="33"/>
    </row>
    <row r="283" spans="1:82" x14ac:dyDescent="0.25">
      <c r="A283" s="32"/>
      <c r="B283" s="32"/>
      <c r="C283" s="32"/>
      <c r="D283" s="32"/>
      <c r="E283" s="32"/>
      <c r="F283" s="32"/>
      <c r="G283" s="32"/>
      <c r="H283" s="32"/>
      <c r="I283" s="32"/>
      <c r="J283" s="32"/>
      <c r="K283" s="32"/>
      <c r="L283" s="32"/>
      <c r="M283" s="32"/>
      <c r="N283" s="32"/>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c r="BM283" s="33"/>
      <c r="BN283" s="33"/>
      <c r="BO283" s="33"/>
      <c r="BP283" s="33"/>
      <c r="BQ283" s="33"/>
      <c r="BR283" s="33"/>
      <c r="BS283" s="33"/>
      <c r="BT283" s="33"/>
      <c r="BU283" s="33"/>
      <c r="BV283" s="33"/>
      <c r="BW283" s="33"/>
      <c r="BX283" s="33"/>
      <c r="BY283" s="33"/>
      <c r="BZ283" s="33"/>
      <c r="CA283" s="33"/>
      <c r="CB283" s="33"/>
      <c r="CC283" s="33"/>
      <c r="CD283" s="33"/>
    </row>
    <row r="284" spans="1:82" x14ac:dyDescent="0.25">
      <c r="A284" s="32"/>
      <c r="B284" s="32"/>
      <c r="C284" s="32"/>
      <c r="D284" s="32"/>
      <c r="E284" s="32"/>
      <c r="F284" s="32"/>
      <c r="G284" s="32"/>
      <c r="H284" s="32"/>
      <c r="I284" s="32"/>
      <c r="J284" s="32"/>
      <c r="K284" s="32"/>
      <c r="L284" s="32"/>
      <c r="M284" s="32"/>
      <c r="N284" s="32"/>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c r="BM284" s="33"/>
      <c r="BN284" s="33"/>
      <c r="BO284" s="33"/>
      <c r="BP284" s="33"/>
      <c r="BQ284" s="33"/>
      <c r="BR284" s="33"/>
      <c r="BS284" s="33"/>
      <c r="BT284" s="33"/>
      <c r="BU284" s="33"/>
      <c r="BV284" s="33"/>
      <c r="BW284" s="33"/>
      <c r="BX284" s="33"/>
      <c r="BY284" s="33"/>
      <c r="BZ284" s="33"/>
      <c r="CA284" s="33"/>
      <c r="CB284" s="33"/>
      <c r="CC284" s="33"/>
      <c r="CD284" s="33"/>
    </row>
    <row r="285" spans="1:82" x14ac:dyDescent="0.25">
      <c r="A285" s="32"/>
      <c r="B285" s="32"/>
      <c r="C285" s="32"/>
      <c r="D285" s="32"/>
      <c r="E285" s="32"/>
      <c r="F285" s="32"/>
      <c r="G285" s="32"/>
      <c r="H285" s="32"/>
      <c r="I285" s="32"/>
      <c r="J285" s="32"/>
      <c r="K285" s="32"/>
      <c r="L285" s="32"/>
      <c r="M285" s="32"/>
      <c r="N285" s="32"/>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c r="BM285" s="33"/>
      <c r="BN285" s="33"/>
      <c r="BO285" s="33"/>
      <c r="BP285" s="33"/>
      <c r="BQ285" s="33"/>
      <c r="BR285" s="33"/>
      <c r="BS285" s="33"/>
      <c r="BT285" s="33"/>
      <c r="BU285" s="33"/>
      <c r="BV285" s="33"/>
      <c r="BW285" s="33"/>
      <c r="BX285" s="33"/>
      <c r="BY285" s="33"/>
      <c r="BZ285" s="33"/>
      <c r="CA285" s="33"/>
      <c r="CB285" s="33"/>
      <c r="CC285" s="33"/>
      <c r="CD285" s="33"/>
    </row>
    <row r="286" spans="1:82" x14ac:dyDescent="0.25">
      <c r="A286" s="32"/>
      <c r="B286" s="32"/>
      <c r="C286" s="32"/>
      <c r="D286" s="32"/>
      <c r="E286" s="32"/>
      <c r="F286" s="32"/>
      <c r="G286" s="32"/>
      <c r="H286" s="32"/>
      <c r="I286" s="32"/>
      <c r="J286" s="32"/>
      <c r="K286" s="32"/>
      <c r="L286" s="32"/>
      <c r="M286" s="32"/>
      <c r="N286" s="32"/>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c r="BM286" s="33"/>
      <c r="BN286" s="33"/>
      <c r="BO286" s="33"/>
      <c r="BP286" s="33"/>
      <c r="BQ286" s="33"/>
      <c r="BR286" s="33"/>
      <c r="BS286" s="33"/>
      <c r="BT286" s="33"/>
      <c r="BU286" s="33"/>
      <c r="BV286" s="33"/>
      <c r="BW286" s="33"/>
      <c r="BX286" s="33"/>
      <c r="BY286" s="33"/>
      <c r="BZ286" s="33"/>
      <c r="CA286" s="33"/>
      <c r="CB286" s="33"/>
      <c r="CC286" s="33"/>
      <c r="CD286" s="33"/>
    </row>
    <row r="287" spans="1:82" x14ac:dyDescent="0.25">
      <c r="A287" s="32"/>
      <c r="B287" s="32"/>
      <c r="C287" s="32"/>
      <c r="D287" s="32"/>
      <c r="E287" s="32"/>
      <c r="F287" s="32"/>
      <c r="G287" s="32"/>
      <c r="H287" s="32"/>
      <c r="I287" s="32"/>
      <c r="J287" s="32"/>
      <c r="K287" s="32"/>
      <c r="L287" s="32"/>
      <c r="M287" s="32"/>
      <c r="N287" s="32"/>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33"/>
      <c r="BP287" s="33"/>
      <c r="BQ287" s="33"/>
      <c r="BR287" s="33"/>
      <c r="BS287" s="33"/>
      <c r="BT287" s="33"/>
      <c r="BU287" s="33"/>
      <c r="BV287" s="33"/>
      <c r="BW287" s="33"/>
      <c r="BX287" s="33"/>
      <c r="BY287" s="33"/>
      <c r="BZ287" s="33"/>
      <c r="CA287" s="33"/>
      <c r="CB287" s="33"/>
      <c r="CC287" s="33"/>
      <c r="CD287" s="33"/>
    </row>
    <row r="288" spans="1:82" x14ac:dyDescent="0.25">
      <c r="A288" s="32"/>
      <c r="B288" s="32"/>
      <c r="C288" s="32"/>
      <c r="D288" s="32"/>
      <c r="E288" s="32"/>
      <c r="F288" s="32"/>
      <c r="G288" s="32"/>
      <c r="H288" s="32"/>
      <c r="I288" s="32"/>
      <c r="J288" s="32"/>
      <c r="K288" s="32"/>
      <c r="L288" s="32"/>
      <c r="M288" s="32"/>
      <c r="N288" s="32"/>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33"/>
      <c r="BP288" s="33"/>
      <c r="BQ288" s="33"/>
      <c r="BR288" s="33"/>
      <c r="BS288" s="33"/>
      <c r="BT288" s="33"/>
      <c r="BU288" s="33"/>
      <c r="BV288" s="33"/>
      <c r="BW288" s="33"/>
      <c r="BX288" s="33"/>
      <c r="BY288" s="33"/>
      <c r="BZ288" s="33"/>
      <c r="CA288" s="33"/>
      <c r="CB288" s="33"/>
      <c r="CC288" s="33"/>
      <c r="CD288" s="33"/>
    </row>
    <row r="289" spans="1:82" x14ac:dyDescent="0.25">
      <c r="A289" s="32"/>
      <c r="B289" s="32"/>
      <c r="C289" s="32"/>
      <c r="D289" s="32"/>
      <c r="E289" s="32"/>
      <c r="F289" s="32"/>
      <c r="G289" s="32"/>
      <c r="H289" s="32"/>
      <c r="I289" s="32"/>
      <c r="J289" s="32"/>
      <c r="K289" s="32"/>
      <c r="L289" s="32"/>
      <c r="M289" s="32"/>
      <c r="N289" s="32"/>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c r="BT289" s="33"/>
      <c r="BU289" s="33"/>
      <c r="BV289" s="33"/>
      <c r="BW289" s="33"/>
      <c r="BX289" s="33"/>
      <c r="BY289" s="33"/>
      <c r="BZ289" s="33"/>
      <c r="CA289" s="33"/>
      <c r="CB289" s="33"/>
      <c r="CC289" s="33"/>
      <c r="CD289" s="33"/>
    </row>
    <row r="290" spans="1:82" x14ac:dyDescent="0.25">
      <c r="A290" s="32"/>
      <c r="B290" s="32"/>
      <c r="C290" s="32"/>
      <c r="D290" s="32"/>
      <c r="E290" s="32"/>
      <c r="F290" s="32"/>
      <c r="G290" s="32"/>
      <c r="H290" s="32"/>
      <c r="I290" s="32"/>
      <c r="J290" s="32"/>
      <c r="K290" s="32"/>
      <c r="L290" s="32"/>
      <c r="M290" s="32"/>
      <c r="N290" s="32"/>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c r="CB290" s="33"/>
      <c r="CC290" s="33"/>
      <c r="CD290" s="33"/>
    </row>
    <row r="291" spans="1:82" x14ac:dyDescent="0.25">
      <c r="A291" s="32"/>
      <c r="B291" s="32"/>
      <c r="C291" s="32"/>
      <c r="D291" s="32"/>
      <c r="E291" s="32"/>
      <c r="F291" s="32"/>
      <c r="G291" s="32"/>
      <c r="H291" s="32"/>
      <c r="I291" s="32"/>
      <c r="J291" s="32"/>
      <c r="K291" s="32"/>
      <c r="L291" s="32"/>
      <c r="M291" s="32"/>
      <c r="N291" s="32"/>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c r="BM291" s="33"/>
      <c r="BN291" s="33"/>
      <c r="BO291" s="33"/>
      <c r="BP291" s="33"/>
      <c r="BQ291" s="33"/>
      <c r="BR291" s="33"/>
      <c r="BS291" s="33"/>
      <c r="BT291" s="33"/>
      <c r="BU291" s="33"/>
      <c r="BV291" s="33"/>
      <c r="BW291" s="33"/>
      <c r="BX291" s="33"/>
      <c r="BY291" s="33"/>
      <c r="BZ291" s="33"/>
      <c r="CA291" s="33"/>
      <c r="CB291" s="33"/>
      <c r="CC291" s="33"/>
      <c r="CD291" s="33"/>
    </row>
    <row r="292" spans="1:82" x14ac:dyDescent="0.25">
      <c r="A292" s="32"/>
      <c r="B292" s="32"/>
      <c r="C292" s="32"/>
      <c r="D292" s="32"/>
      <c r="E292" s="32"/>
      <c r="F292" s="32"/>
      <c r="G292" s="32"/>
      <c r="H292" s="32"/>
      <c r="I292" s="32"/>
      <c r="J292" s="32"/>
      <c r="K292" s="32"/>
      <c r="L292" s="32"/>
      <c r="M292" s="32"/>
      <c r="N292" s="32"/>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c r="BM292" s="33"/>
      <c r="BN292" s="33"/>
      <c r="BO292" s="33"/>
      <c r="BP292" s="33"/>
      <c r="BQ292" s="33"/>
      <c r="BR292" s="33"/>
      <c r="BS292" s="33"/>
      <c r="BT292" s="33"/>
      <c r="BU292" s="33"/>
      <c r="BV292" s="33"/>
      <c r="BW292" s="33"/>
      <c r="BX292" s="33"/>
      <c r="BY292" s="33"/>
      <c r="BZ292" s="33"/>
      <c r="CA292" s="33"/>
      <c r="CB292" s="33"/>
      <c r="CC292" s="33"/>
      <c r="CD292" s="33"/>
    </row>
    <row r="293" spans="1:82" x14ac:dyDescent="0.25">
      <c r="A293" s="32"/>
      <c r="B293" s="32"/>
      <c r="C293" s="32"/>
      <c r="D293" s="32"/>
      <c r="E293" s="32"/>
      <c r="F293" s="32"/>
      <c r="G293" s="32"/>
      <c r="H293" s="32"/>
      <c r="I293" s="32"/>
      <c r="J293" s="32"/>
      <c r="K293" s="32"/>
      <c r="L293" s="32"/>
      <c r="M293" s="32"/>
      <c r="N293" s="32"/>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c r="BM293" s="33"/>
      <c r="BN293" s="33"/>
      <c r="BO293" s="33"/>
      <c r="BP293" s="33"/>
      <c r="BQ293" s="33"/>
      <c r="BR293" s="33"/>
      <c r="BS293" s="33"/>
      <c r="BT293" s="33"/>
      <c r="BU293" s="33"/>
      <c r="BV293" s="33"/>
      <c r="BW293" s="33"/>
      <c r="BX293" s="33"/>
      <c r="BY293" s="33"/>
      <c r="BZ293" s="33"/>
      <c r="CA293" s="33"/>
      <c r="CB293" s="33"/>
      <c r="CC293" s="33"/>
      <c r="CD293" s="33"/>
    </row>
    <row r="294" spans="1:82" x14ac:dyDescent="0.25">
      <c r="A294" s="32"/>
      <c r="B294" s="32"/>
      <c r="C294" s="32"/>
      <c r="D294" s="32"/>
      <c r="E294" s="32"/>
      <c r="F294" s="32"/>
      <c r="G294" s="32"/>
      <c r="H294" s="32"/>
      <c r="I294" s="32"/>
      <c r="J294" s="32"/>
      <c r="K294" s="32"/>
      <c r="L294" s="32"/>
      <c r="M294" s="32"/>
      <c r="N294" s="32"/>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c r="BM294" s="33"/>
      <c r="BN294" s="33"/>
      <c r="BO294" s="33"/>
      <c r="BP294" s="33"/>
      <c r="BQ294" s="33"/>
      <c r="BR294" s="33"/>
      <c r="BS294" s="33"/>
      <c r="BT294" s="33"/>
      <c r="BU294" s="33"/>
      <c r="BV294" s="33"/>
      <c r="BW294" s="33"/>
      <c r="BX294" s="33"/>
      <c r="BY294" s="33"/>
      <c r="BZ294" s="33"/>
      <c r="CA294" s="33"/>
      <c r="CB294" s="33"/>
      <c r="CC294" s="33"/>
      <c r="CD294" s="33"/>
    </row>
    <row r="295" spans="1:82" x14ac:dyDescent="0.25">
      <c r="A295" s="32"/>
      <c r="B295" s="32"/>
      <c r="C295" s="32"/>
      <c r="D295" s="32"/>
      <c r="E295" s="32"/>
      <c r="F295" s="32"/>
      <c r="G295" s="32"/>
      <c r="H295" s="32"/>
      <c r="I295" s="32"/>
      <c r="J295" s="32"/>
      <c r="K295" s="32"/>
      <c r="L295" s="32"/>
      <c r="M295" s="32"/>
      <c r="N295" s="32"/>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c r="CB295" s="33"/>
      <c r="CC295" s="33"/>
      <c r="CD295" s="33"/>
    </row>
    <row r="296" spans="1:82" x14ac:dyDescent="0.25">
      <c r="A296" s="32"/>
      <c r="B296" s="32"/>
      <c r="C296" s="32"/>
      <c r="D296" s="32"/>
      <c r="E296" s="32"/>
      <c r="F296" s="32"/>
      <c r="G296" s="32"/>
      <c r="H296" s="32"/>
      <c r="I296" s="32"/>
      <c r="J296" s="32"/>
      <c r="K296" s="32"/>
      <c r="L296" s="32"/>
      <c r="M296" s="32"/>
      <c r="N296" s="32"/>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c r="BM296" s="33"/>
      <c r="BN296" s="33"/>
      <c r="BO296" s="33"/>
      <c r="BP296" s="33"/>
      <c r="BQ296" s="33"/>
      <c r="BR296" s="33"/>
      <c r="BS296" s="33"/>
      <c r="BT296" s="33"/>
      <c r="BU296" s="33"/>
      <c r="BV296" s="33"/>
      <c r="BW296" s="33"/>
      <c r="BX296" s="33"/>
      <c r="BY296" s="33"/>
      <c r="BZ296" s="33"/>
      <c r="CA296" s="33"/>
      <c r="CB296" s="33"/>
      <c r="CC296" s="33"/>
      <c r="CD296" s="33"/>
    </row>
    <row r="297" spans="1:82" x14ac:dyDescent="0.25">
      <c r="A297" s="32"/>
      <c r="B297" s="32"/>
      <c r="C297" s="32"/>
      <c r="D297" s="32"/>
      <c r="E297" s="32"/>
      <c r="F297" s="32"/>
      <c r="G297" s="32"/>
      <c r="H297" s="32"/>
      <c r="I297" s="32"/>
      <c r="J297" s="32"/>
      <c r="K297" s="32"/>
      <c r="L297" s="32"/>
      <c r="M297" s="32"/>
      <c r="N297" s="32"/>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c r="BM297" s="33"/>
      <c r="BN297" s="33"/>
      <c r="BO297" s="33"/>
      <c r="BP297" s="33"/>
      <c r="BQ297" s="33"/>
      <c r="BR297" s="33"/>
      <c r="BS297" s="33"/>
      <c r="BT297" s="33"/>
      <c r="BU297" s="33"/>
      <c r="BV297" s="33"/>
      <c r="BW297" s="33"/>
      <c r="BX297" s="33"/>
      <c r="BY297" s="33"/>
      <c r="BZ297" s="33"/>
      <c r="CA297" s="33"/>
      <c r="CB297" s="33"/>
      <c r="CC297" s="33"/>
      <c r="CD297" s="33"/>
    </row>
    <row r="298" spans="1:82" x14ac:dyDescent="0.25">
      <c r="A298" s="32"/>
      <c r="B298" s="32"/>
      <c r="C298" s="32"/>
      <c r="D298" s="32"/>
      <c r="E298" s="32"/>
      <c r="F298" s="32"/>
      <c r="G298" s="32"/>
      <c r="H298" s="32"/>
      <c r="I298" s="32"/>
      <c r="J298" s="32"/>
      <c r="K298" s="32"/>
      <c r="L298" s="32"/>
      <c r="M298" s="32"/>
      <c r="N298" s="32"/>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c r="BM298" s="33"/>
      <c r="BN298" s="33"/>
      <c r="BO298" s="33"/>
      <c r="BP298" s="33"/>
      <c r="BQ298" s="33"/>
      <c r="BR298" s="33"/>
      <c r="BS298" s="33"/>
      <c r="BT298" s="33"/>
      <c r="BU298" s="33"/>
      <c r="BV298" s="33"/>
      <c r="BW298" s="33"/>
      <c r="BX298" s="33"/>
      <c r="BY298" s="33"/>
      <c r="BZ298" s="33"/>
      <c r="CA298" s="33"/>
      <c r="CB298" s="33"/>
      <c r="CC298" s="33"/>
      <c r="CD298" s="33"/>
    </row>
    <row r="299" spans="1:82" x14ac:dyDescent="0.25">
      <c r="A299" s="32"/>
      <c r="B299" s="32"/>
      <c r="C299" s="32"/>
      <c r="D299" s="32"/>
      <c r="E299" s="32"/>
      <c r="F299" s="32"/>
      <c r="G299" s="32"/>
      <c r="H299" s="32"/>
      <c r="I299" s="32"/>
      <c r="J299" s="32"/>
      <c r="K299" s="32"/>
      <c r="L299" s="32"/>
      <c r="M299" s="32"/>
      <c r="N299" s="32"/>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c r="BM299" s="33"/>
      <c r="BN299" s="33"/>
      <c r="BO299" s="33"/>
      <c r="BP299" s="33"/>
      <c r="BQ299" s="33"/>
      <c r="BR299" s="33"/>
      <c r="BS299" s="33"/>
      <c r="BT299" s="33"/>
      <c r="BU299" s="33"/>
      <c r="BV299" s="33"/>
      <c r="BW299" s="33"/>
      <c r="BX299" s="33"/>
      <c r="BY299" s="33"/>
      <c r="BZ299" s="33"/>
      <c r="CA299" s="33"/>
      <c r="CB299" s="33"/>
      <c r="CC299" s="33"/>
      <c r="CD299" s="33"/>
    </row>
    <row r="300" spans="1:82" x14ac:dyDescent="0.25">
      <c r="A300" s="32"/>
      <c r="B300" s="32"/>
      <c r="C300" s="32"/>
      <c r="D300" s="32"/>
      <c r="E300" s="32"/>
      <c r="F300" s="32"/>
      <c r="G300" s="32"/>
      <c r="H300" s="32"/>
      <c r="I300" s="32"/>
      <c r="J300" s="32"/>
      <c r="K300" s="32"/>
      <c r="L300" s="32"/>
      <c r="M300" s="32"/>
      <c r="N300" s="32"/>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c r="BM300" s="33"/>
      <c r="BN300" s="33"/>
      <c r="BO300" s="33"/>
      <c r="BP300" s="33"/>
      <c r="BQ300" s="33"/>
      <c r="BR300" s="33"/>
      <c r="BS300" s="33"/>
      <c r="BT300" s="33"/>
      <c r="BU300" s="33"/>
      <c r="BV300" s="33"/>
      <c r="BW300" s="33"/>
      <c r="BX300" s="33"/>
      <c r="BY300" s="33"/>
      <c r="BZ300" s="33"/>
      <c r="CA300" s="33"/>
      <c r="CB300" s="33"/>
      <c r="CC300" s="33"/>
      <c r="CD300" s="33"/>
    </row>
    <row r="301" spans="1:82" x14ac:dyDescent="0.25">
      <c r="A301" s="32"/>
      <c r="B301" s="32"/>
      <c r="C301" s="32"/>
      <c r="D301" s="32"/>
      <c r="E301" s="32"/>
      <c r="F301" s="32"/>
      <c r="G301" s="32"/>
      <c r="H301" s="32"/>
      <c r="I301" s="32"/>
      <c r="J301" s="32"/>
      <c r="K301" s="32"/>
      <c r="L301" s="32"/>
      <c r="M301" s="32"/>
      <c r="N301" s="32"/>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c r="BM301" s="33"/>
      <c r="BN301" s="33"/>
      <c r="BO301" s="33"/>
      <c r="BP301" s="33"/>
      <c r="BQ301" s="33"/>
      <c r="BR301" s="33"/>
      <c r="BS301" s="33"/>
      <c r="BT301" s="33"/>
      <c r="BU301" s="33"/>
      <c r="BV301" s="33"/>
      <c r="BW301" s="33"/>
      <c r="BX301" s="33"/>
      <c r="BY301" s="33"/>
      <c r="BZ301" s="33"/>
      <c r="CA301" s="33"/>
      <c r="CB301" s="33"/>
      <c r="CC301" s="33"/>
      <c r="CD301" s="33"/>
    </row>
    <row r="302" spans="1:82" x14ac:dyDescent="0.25">
      <c r="A302" s="32"/>
      <c r="B302" s="32"/>
      <c r="C302" s="32"/>
      <c r="D302" s="32"/>
      <c r="E302" s="32"/>
      <c r="F302" s="32"/>
      <c r="G302" s="32"/>
      <c r="H302" s="32"/>
      <c r="I302" s="32"/>
      <c r="J302" s="32"/>
      <c r="K302" s="32"/>
      <c r="L302" s="32"/>
      <c r="M302" s="32"/>
      <c r="N302" s="32"/>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c r="BM302" s="33"/>
      <c r="BN302" s="33"/>
      <c r="BO302" s="33"/>
      <c r="BP302" s="33"/>
      <c r="BQ302" s="33"/>
      <c r="BR302" s="33"/>
      <c r="BS302" s="33"/>
      <c r="BT302" s="33"/>
      <c r="BU302" s="33"/>
      <c r="BV302" s="33"/>
      <c r="BW302" s="33"/>
      <c r="BX302" s="33"/>
      <c r="BY302" s="33"/>
      <c r="BZ302" s="33"/>
      <c r="CA302" s="33"/>
      <c r="CB302" s="33"/>
      <c r="CC302" s="33"/>
      <c r="CD302" s="33"/>
    </row>
    <row r="303" spans="1:82" x14ac:dyDescent="0.25">
      <c r="A303" s="32"/>
      <c r="B303" s="32"/>
      <c r="C303" s="32"/>
      <c r="D303" s="32"/>
      <c r="E303" s="32"/>
      <c r="F303" s="32"/>
      <c r="G303" s="32"/>
      <c r="H303" s="32"/>
      <c r="I303" s="32"/>
      <c r="J303" s="32"/>
      <c r="K303" s="32"/>
      <c r="L303" s="32"/>
      <c r="M303" s="32"/>
      <c r="N303" s="32"/>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c r="BM303" s="33"/>
      <c r="BN303" s="33"/>
      <c r="BO303" s="33"/>
      <c r="BP303" s="33"/>
      <c r="BQ303" s="33"/>
      <c r="BR303" s="33"/>
      <c r="BS303" s="33"/>
      <c r="BT303" s="33"/>
      <c r="BU303" s="33"/>
      <c r="BV303" s="33"/>
      <c r="BW303" s="33"/>
      <c r="BX303" s="33"/>
      <c r="BY303" s="33"/>
      <c r="BZ303" s="33"/>
      <c r="CA303" s="33"/>
      <c r="CB303" s="33"/>
      <c r="CC303" s="33"/>
      <c r="CD303" s="33"/>
    </row>
    <row r="304" spans="1:82" x14ac:dyDescent="0.25">
      <c r="A304" s="32"/>
      <c r="B304" s="32"/>
      <c r="C304" s="32"/>
      <c r="D304" s="32"/>
      <c r="E304" s="32"/>
      <c r="F304" s="32"/>
      <c r="G304" s="32"/>
      <c r="H304" s="32"/>
      <c r="I304" s="32"/>
      <c r="J304" s="32"/>
      <c r="K304" s="32"/>
      <c r="L304" s="32"/>
      <c r="M304" s="32"/>
      <c r="N304" s="32"/>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c r="BM304" s="33"/>
      <c r="BN304" s="33"/>
      <c r="BO304" s="33"/>
      <c r="BP304" s="33"/>
      <c r="BQ304" s="33"/>
      <c r="BR304" s="33"/>
      <c r="BS304" s="33"/>
      <c r="BT304" s="33"/>
      <c r="BU304" s="33"/>
      <c r="BV304" s="33"/>
      <c r="BW304" s="33"/>
      <c r="BX304" s="33"/>
      <c r="BY304" s="33"/>
      <c r="BZ304" s="33"/>
      <c r="CA304" s="33"/>
      <c r="CB304" s="33"/>
      <c r="CC304" s="33"/>
      <c r="CD304" s="33"/>
    </row>
    <row r="305" spans="1:82" x14ac:dyDescent="0.25">
      <c r="A305" s="32"/>
      <c r="B305" s="32"/>
      <c r="C305" s="32"/>
      <c r="D305" s="32"/>
      <c r="E305" s="32"/>
      <c r="F305" s="32"/>
      <c r="G305" s="32"/>
      <c r="H305" s="32"/>
      <c r="I305" s="32"/>
      <c r="J305" s="32"/>
      <c r="K305" s="32"/>
      <c r="L305" s="32"/>
      <c r="M305" s="32"/>
      <c r="N305" s="32"/>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c r="CB305" s="33"/>
      <c r="CC305" s="33"/>
      <c r="CD305" s="33"/>
    </row>
    <row r="306" spans="1:82" x14ac:dyDescent="0.25">
      <c r="A306" s="32"/>
      <c r="B306" s="32"/>
      <c r="C306" s="32"/>
      <c r="D306" s="32"/>
      <c r="E306" s="32"/>
      <c r="F306" s="32"/>
      <c r="G306" s="32"/>
      <c r="H306" s="32"/>
      <c r="I306" s="32"/>
      <c r="J306" s="32"/>
      <c r="K306" s="32"/>
      <c r="L306" s="32"/>
      <c r="M306" s="32"/>
      <c r="N306" s="32"/>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c r="CB306" s="33"/>
      <c r="CC306" s="33"/>
      <c r="CD306" s="33"/>
    </row>
    <row r="307" spans="1:82" x14ac:dyDescent="0.25">
      <c r="A307" s="32"/>
      <c r="B307" s="32"/>
      <c r="C307" s="32"/>
      <c r="D307" s="32"/>
      <c r="E307" s="32"/>
      <c r="F307" s="32"/>
      <c r="G307" s="32"/>
      <c r="H307" s="32"/>
      <c r="I307" s="32"/>
      <c r="J307" s="32"/>
      <c r="K307" s="32"/>
      <c r="L307" s="32"/>
      <c r="M307" s="32"/>
      <c r="N307" s="32"/>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c r="CB307" s="33"/>
      <c r="CC307" s="33"/>
      <c r="CD307" s="33"/>
    </row>
    <row r="308" spans="1:82" x14ac:dyDescent="0.25">
      <c r="A308" s="32"/>
      <c r="B308" s="32"/>
      <c r="C308" s="32"/>
      <c r="D308" s="32"/>
      <c r="E308" s="32"/>
      <c r="F308" s="32"/>
      <c r="G308" s="32"/>
      <c r="H308" s="32"/>
      <c r="I308" s="32"/>
      <c r="J308" s="32"/>
      <c r="K308" s="32"/>
      <c r="L308" s="32"/>
      <c r="M308" s="32"/>
      <c r="N308" s="32"/>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row>
    <row r="309" spans="1:82" x14ac:dyDescent="0.25">
      <c r="A309" s="32"/>
      <c r="B309" s="32"/>
      <c r="C309" s="32"/>
      <c r="D309" s="32"/>
      <c r="E309" s="32"/>
      <c r="F309" s="32"/>
      <c r="G309" s="32"/>
      <c r="H309" s="32"/>
      <c r="I309" s="32"/>
      <c r="J309" s="32"/>
      <c r="K309" s="32"/>
      <c r="L309" s="32"/>
      <c r="M309" s="32"/>
      <c r="N309" s="32"/>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c r="CB309" s="33"/>
      <c r="CC309" s="33"/>
      <c r="CD309" s="33"/>
    </row>
    <row r="310" spans="1:82" x14ac:dyDescent="0.25">
      <c r="A310" s="32"/>
      <c r="B310" s="32"/>
      <c r="C310" s="32"/>
      <c r="D310" s="32"/>
      <c r="E310" s="32"/>
      <c r="F310" s="32"/>
      <c r="G310" s="32"/>
      <c r="H310" s="32"/>
      <c r="I310" s="32"/>
      <c r="J310" s="32"/>
      <c r="K310" s="32"/>
      <c r="L310" s="32"/>
      <c r="M310" s="32"/>
      <c r="N310" s="32"/>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c r="CB310" s="33"/>
      <c r="CC310" s="33"/>
      <c r="CD310" s="33"/>
    </row>
    <row r="311" spans="1:82" x14ac:dyDescent="0.25">
      <c r="A311" s="32"/>
      <c r="B311" s="32"/>
      <c r="C311" s="32"/>
      <c r="D311" s="32"/>
      <c r="E311" s="32"/>
      <c r="F311" s="32"/>
      <c r="G311" s="32"/>
      <c r="H311" s="32"/>
      <c r="I311" s="32"/>
      <c r="J311" s="32"/>
      <c r="K311" s="32"/>
      <c r="L311" s="32"/>
      <c r="M311" s="32"/>
      <c r="N311" s="32"/>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c r="CB311" s="33"/>
      <c r="CC311" s="33"/>
      <c r="CD311" s="33"/>
    </row>
    <row r="312" spans="1:82" x14ac:dyDescent="0.25">
      <c r="A312" s="32"/>
      <c r="B312" s="32"/>
      <c r="C312" s="32"/>
      <c r="D312" s="32"/>
      <c r="E312" s="32"/>
      <c r="F312" s="32"/>
      <c r="G312" s="32"/>
      <c r="H312" s="32"/>
      <c r="I312" s="32"/>
      <c r="J312" s="32"/>
      <c r="K312" s="32"/>
      <c r="L312" s="32"/>
      <c r="M312" s="32"/>
      <c r="N312" s="32"/>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c r="CB312" s="33"/>
      <c r="CC312" s="33"/>
      <c r="CD312" s="33"/>
    </row>
    <row r="313" spans="1:82" x14ac:dyDescent="0.25">
      <c r="A313" s="32"/>
      <c r="B313" s="32"/>
      <c r="C313" s="32"/>
      <c r="D313" s="32"/>
      <c r="E313" s="32"/>
      <c r="F313" s="32"/>
      <c r="G313" s="32"/>
      <c r="H313" s="32"/>
      <c r="I313" s="32"/>
      <c r="J313" s="32"/>
      <c r="K313" s="32"/>
      <c r="L313" s="32"/>
      <c r="M313" s="32"/>
      <c r="N313" s="32"/>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c r="CB313" s="33"/>
      <c r="CC313" s="33"/>
      <c r="CD313" s="33"/>
    </row>
    <row r="314" spans="1:82" x14ac:dyDescent="0.25">
      <c r="A314" s="32"/>
      <c r="B314" s="32"/>
      <c r="C314" s="32"/>
      <c r="D314" s="32"/>
      <c r="E314" s="32"/>
      <c r="F314" s="32"/>
      <c r="G314" s="32"/>
      <c r="H314" s="32"/>
      <c r="I314" s="32"/>
      <c r="J314" s="32"/>
      <c r="K314" s="32"/>
      <c r="L314" s="32"/>
      <c r="M314" s="32"/>
      <c r="N314" s="32"/>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row>
    <row r="315" spans="1:82" x14ac:dyDescent="0.25">
      <c r="A315" s="32"/>
      <c r="B315" s="32"/>
      <c r="C315" s="32"/>
      <c r="D315" s="32"/>
      <c r="E315" s="32"/>
      <c r="F315" s="32"/>
      <c r="G315" s="32"/>
      <c r="H315" s="32"/>
      <c r="I315" s="32"/>
      <c r="J315" s="32"/>
      <c r="K315" s="32"/>
      <c r="L315" s="32"/>
      <c r="M315" s="32"/>
      <c r="N315" s="32"/>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c r="CB315" s="33"/>
      <c r="CC315" s="33"/>
      <c r="CD315" s="33"/>
    </row>
    <row r="316" spans="1:82" x14ac:dyDescent="0.25">
      <c r="A316" s="32"/>
      <c r="B316" s="32"/>
      <c r="C316" s="32"/>
      <c r="D316" s="32"/>
      <c r="E316" s="32"/>
      <c r="F316" s="32"/>
      <c r="G316" s="32"/>
      <c r="H316" s="32"/>
      <c r="I316" s="32"/>
      <c r="J316" s="32"/>
      <c r="K316" s="32"/>
      <c r="L316" s="32"/>
      <c r="M316" s="32"/>
      <c r="N316" s="32"/>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33"/>
      <c r="BO316" s="33"/>
      <c r="BP316" s="33"/>
      <c r="BQ316" s="33"/>
      <c r="BR316" s="33"/>
      <c r="BS316" s="33"/>
      <c r="BT316" s="33"/>
      <c r="BU316" s="33"/>
      <c r="BV316" s="33"/>
      <c r="BW316" s="33"/>
      <c r="BX316" s="33"/>
      <c r="BY316" s="33"/>
      <c r="BZ316" s="33"/>
      <c r="CA316" s="33"/>
      <c r="CB316" s="33"/>
      <c r="CC316" s="33"/>
      <c r="CD316" s="33"/>
    </row>
    <row r="317" spans="1:82" x14ac:dyDescent="0.25">
      <c r="A317" s="32"/>
      <c r="B317" s="32"/>
      <c r="C317" s="32"/>
      <c r="D317" s="32"/>
      <c r="E317" s="32"/>
      <c r="F317" s="32"/>
      <c r="G317" s="32"/>
      <c r="H317" s="32"/>
      <c r="I317" s="32"/>
      <c r="J317" s="32"/>
      <c r="K317" s="32"/>
      <c r="L317" s="32"/>
      <c r="M317" s="32"/>
      <c r="N317" s="32"/>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33"/>
      <c r="BO317" s="33"/>
      <c r="BP317" s="33"/>
      <c r="BQ317" s="33"/>
      <c r="BR317" s="33"/>
      <c r="BS317" s="33"/>
      <c r="BT317" s="33"/>
      <c r="BU317" s="33"/>
      <c r="BV317" s="33"/>
      <c r="BW317" s="33"/>
      <c r="BX317" s="33"/>
      <c r="BY317" s="33"/>
      <c r="BZ317" s="33"/>
      <c r="CA317" s="33"/>
      <c r="CB317" s="33"/>
      <c r="CC317" s="33"/>
      <c r="CD317" s="33"/>
    </row>
    <row r="318" spans="1:82" x14ac:dyDescent="0.25">
      <c r="A318" s="32"/>
      <c r="B318" s="32"/>
      <c r="C318" s="32"/>
      <c r="D318" s="32"/>
      <c r="E318" s="32"/>
      <c r="F318" s="32"/>
      <c r="G318" s="32"/>
      <c r="H318" s="32"/>
      <c r="I318" s="32"/>
      <c r="J318" s="32"/>
      <c r="K318" s="32"/>
      <c r="L318" s="32"/>
      <c r="M318" s="32"/>
      <c r="N318" s="32"/>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c r="BM318" s="33"/>
      <c r="BN318" s="33"/>
      <c r="BO318" s="33"/>
      <c r="BP318" s="33"/>
      <c r="BQ318" s="33"/>
      <c r="BR318" s="33"/>
      <c r="BS318" s="33"/>
      <c r="BT318" s="33"/>
      <c r="BU318" s="33"/>
      <c r="BV318" s="33"/>
      <c r="BW318" s="33"/>
      <c r="BX318" s="33"/>
      <c r="BY318" s="33"/>
      <c r="BZ318" s="33"/>
      <c r="CA318" s="33"/>
      <c r="CB318" s="33"/>
      <c r="CC318" s="33"/>
      <c r="CD318" s="33"/>
    </row>
    <row r="319" spans="1:82" x14ac:dyDescent="0.25">
      <c r="A319" s="32"/>
      <c r="B319" s="32"/>
      <c r="C319" s="32"/>
      <c r="D319" s="32"/>
      <c r="E319" s="32"/>
      <c r="F319" s="32"/>
      <c r="G319" s="32"/>
      <c r="H319" s="32"/>
      <c r="I319" s="32"/>
      <c r="J319" s="32"/>
      <c r="K319" s="32"/>
      <c r="L319" s="32"/>
      <c r="M319" s="32"/>
      <c r="N319" s="32"/>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row>
    <row r="320" spans="1:82" x14ac:dyDescent="0.25">
      <c r="A320" s="32"/>
      <c r="B320" s="32"/>
      <c r="C320" s="32"/>
      <c r="D320" s="32"/>
      <c r="E320" s="32"/>
      <c r="F320" s="32"/>
      <c r="G320" s="32"/>
      <c r="H320" s="32"/>
      <c r="I320" s="32"/>
      <c r="J320" s="32"/>
      <c r="K320" s="32"/>
      <c r="L320" s="32"/>
      <c r="M320" s="32"/>
      <c r="N320" s="32"/>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33"/>
      <c r="CC320" s="33"/>
      <c r="CD320" s="33"/>
    </row>
    <row r="321" spans="1:82" x14ac:dyDescent="0.25">
      <c r="A321" s="32"/>
      <c r="B321" s="32"/>
      <c r="C321" s="32"/>
      <c r="D321" s="32"/>
      <c r="E321" s="32"/>
      <c r="F321" s="32"/>
      <c r="G321" s="32"/>
      <c r="H321" s="32"/>
      <c r="I321" s="32"/>
      <c r="J321" s="32"/>
      <c r="K321" s="32"/>
      <c r="L321" s="32"/>
      <c r="M321" s="32"/>
      <c r="N321" s="32"/>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c r="BR321" s="33"/>
      <c r="BS321" s="33"/>
      <c r="BT321" s="33"/>
      <c r="BU321" s="33"/>
      <c r="BV321" s="33"/>
      <c r="BW321" s="33"/>
      <c r="BX321" s="33"/>
      <c r="BY321" s="33"/>
      <c r="BZ321" s="33"/>
      <c r="CA321" s="33"/>
      <c r="CB321" s="33"/>
      <c r="CC321" s="33"/>
      <c r="CD321" s="33"/>
    </row>
    <row r="322" spans="1:82" x14ac:dyDescent="0.25">
      <c r="A322" s="32"/>
      <c r="B322" s="32"/>
      <c r="C322" s="32"/>
      <c r="D322" s="32"/>
      <c r="E322" s="32"/>
      <c r="F322" s="32"/>
      <c r="G322" s="32"/>
      <c r="H322" s="32"/>
      <c r="I322" s="32"/>
      <c r="J322" s="32"/>
      <c r="K322" s="32"/>
      <c r="L322" s="32"/>
      <c r="M322" s="32"/>
      <c r="N322" s="32"/>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33"/>
      <c r="BS322" s="33"/>
      <c r="BT322" s="33"/>
      <c r="BU322" s="33"/>
      <c r="BV322" s="33"/>
      <c r="BW322" s="33"/>
      <c r="BX322" s="33"/>
      <c r="BY322" s="33"/>
      <c r="BZ322" s="33"/>
      <c r="CA322" s="33"/>
      <c r="CB322" s="33"/>
      <c r="CC322" s="33"/>
      <c r="CD322" s="33"/>
    </row>
    <row r="323" spans="1:82" x14ac:dyDescent="0.25">
      <c r="A323" s="32"/>
      <c r="B323" s="32"/>
      <c r="C323" s="32"/>
      <c r="D323" s="32"/>
      <c r="E323" s="32"/>
      <c r="F323" s="32"/>
      <c r="G323" s="32"/>
      <c r="H323" s="32"/>
      <c r="I323" s="32"/>
      <c r="J323" s="32"/>
      <c r="K323" s="32"/>
      <c r="L323" s="32"/>
      <c r="M323" s="32"/>
      <c r="N323" s="32"/>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33"/>
      <c r="BS323" s="33"/>
      <c r="BT323" s="33"/>
      <c r="BU323" s="33"/>
      <c r="BV323" s="33"/>
      <c r="BW323" s="33"/>
      <c r="BX323" s="33"/>
      <c r="BY323" s="33"/>
      <c r="BZ323" s="33"/>
      <c r="CA323" s="33"/>
      <c r="CB323" s="33"/>
      <c r="CC323" s="33"/>
      <c r="CD323" s="33"/>
    </row>
    <row r="324" spans="1:82" x14ac:dyDescent="0.25">
      <c r="A324" s="32"/>
      <c r="B324" s="32"/>
      <c r="C324" s="32"/>
      <c r="D324" s="32"/>
      <c r="E324" s="32"/>
      <c r="F324" s="32"/>
      <c r="G324" s="32"/>
      <c r="H324" s="32"/>
      <c r="I324" s="32"/>
      <c r="J324" s="32"/>
      <c r="K324" s="32"/>
      <c r="L324" s="32"/>
      <c r="M324" s="32"/>
      <c r="N324" s="32"/>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row>
    <row r="325" spans="1:82" x14ac:dyDescent="0.25">
      <c r="A325" s="32"/>
      <c r="B325" s="32"/>
      <c r="C325" s="32"/>
      <c r="D325" s="32"/>
      <c r="E325" s="32"/>
      <c r="F325" s="32"/>
      <c r="G325" s="32"/>
      <c r="H325" s="32"/>
      <c r="I325" s="32"/>
      <c r="J325" s="32"/>
      <c r="K325" s="32"/>
      <c r="L325" s="32"/>
      <c r="M325" s="32"/>
      <c r="N325" s="32"/>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c r="BE325" s="33"/>
      <c r="BF325" s="33"/>
      <c r="BG325" s="33"/>
      <c r="BH325" s="33"/>
      <c r="BI325" s="33"/>
      <c r="BJ325" s="33"/>
      <c r="BK325" s="33"/>
      <c r="BL325" s="33"/>
      <c r="BM325" s="33"/>
      <c r="BN325" s="33"/>
      <c r="BO325" s="33"/>
      <c r="BP325" s="33"/>
      <c r="BQ325" s="33"/>
      <c r="BR325" s="33"/>
      <c r="BS325" s="33"/>
      <c r="BT325" s="33"/>
      <c r="BU325" s="33"/>
      <c r="BV325" s="33"/>
      <c r="BW325" s="33"/>
      <c r="BX325" s="33"/>
      <c r="BY325" s="33"/>
      <c r="BZ325" s="33"/>
      <c r="CA325" s="33"/>
      <c r="CB325" s="33"/>
      <c r="CC325" s="33"/>
      <c r="CD325" s="33"/>
    </row>
    <row r="326" spans="1:82" x14ac:dyDescent="0.25">
      <c r="A326" s="32"/>
      <c r="B326" s="32"/>
      <c r="C326" s="32"/>
      <c r="D326" s="32"/>
      <c r="E326" s="32"/>
      <c r="F326" s="32"/>
      <c r="G326" s="32"/>
      <c r="H326" s="32"/>
      <c r="I326" s="32"/>
      <c r="J326" s="32"/>
      <c r="K326" s="32"/>
      <c r="L326" s="32"/>
      <c r="M326" s="32"/>
      <c r="N326" s="32"/>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c r="BE326" s="33"/>
      <c r="BF326" s="33"/>
      <c r="BG326" s="33"/>
      <c r="BH326" s="33"/>
      <c r="BI326" s="33"/>
      <c r="BJ326" s="33"/>
      <c r="BK326" s="33"/>
      <c r="BL326" s="33"/>
      <c r="BM326" s="33"/>
      <c r="BN326" s="33"/>
      <c r="BO326" s="33"/>
      <c r="BP326" s="33"/>
      <c r="BQ326" s="33"/>
      <c r="BR326" s="33"/>
      <c r="BS326" s="33"/>
      <c r="BT326" s="33"/>
      <c r="BU326" s="33"/>
      <c r="BV326" s="33"/>
      <c r="BW326" s="33"/>
      <c r="BX326" s="33"/>
      <c r="BY326" s="33"/>
      <c r="BZ326" s="33"/>
      <c r="CA326" s="33"/>
      <c r="CB326" s="33"/>
      <c r="CC326" s="33"/>
      <c r="CD326" s="33"/>
    </row>
    <row r="327" spans="1:82" x14ac:dyDescent="0.25">
      <c r="A327" s="32"/>
      <c r="B327" s="32"/>
      <c r="C327" s="32"/>
      <c r="D327" s="32"/>
      <c r="E327" s="32"/>
      <c r="F327" s="32"/>
      <c r="G327" s="32"/>
      <c r="H327" s="32"/>
      <c r="I327" s="32"/>
      <c r="J327" s="32"/>
      <c r="K327" s="32"/>
      <c r="L327" s="32"/>
      <c r="M327" s="32"/>
      <c r="N327" s="32"/>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c r="BB327" s="33"/>
      <c r="BC327" s="33"/>
      <c r="BD327" s="33"/>
      <c r="BE327" s="33"/>
      <c r="BF327" s="33"/>
      <c r="BG327" s="33"/>
      <c r="BH327" s="33"/>
      <c r="BI327" s="33"/>
      <c r="BJ327" s="33"/>
      <c r="BK327" s="33"/>
      <c r="BL327" s="33"/>
      <c r="BM327" s="33"/>
      <c r="BN327" s="33"/>
      <c r="BO327" s="33"/>
      <c r="BP327" s="33"/>
      <c r="BQ327" s="33"/>
      <c r="BR327" s="33"/>
      <c r="BS327" s="33"/>
      <c r="BT327" s="33"/>
      <c r="BU327" s="33"/>
      <c r="BV327" s="33"/>
      <c r="BW327" s="33"/>
      <c r="BX327" s="33"/>
      <c r="BY327" s="33"/>
      <c r="BZ327" s="33"/>
      <c r="CA327" s="33"/>
      <c r="CB327" s="33"/>
      <c r="CC327" s="33"/>
      <c r="CD327" s="33"/>
    </row>
    <row r="328" spans="1:82" x14ac:dyDescent="0.25">
      <c r="A328" s="32"/>
      <c r="B328" s="32"/>
      <c r="C328" s="32"/>
      <c r="D328" s="32"/>
      <c r="E328" s="32"/>
      <c r="F328" s="32"/>
      <c r="G328" s="32"/>
      <c r="H328" s="32"/>
      <c r="I328" s="32"/>
      <c r="J328" s="32"/>
      <c r="K328" s="32"/>
      <c r="L328" s="32"/>
      <c r="M328" s="32"/>
      <c r="N328" s="32"/>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c r="BB328" s="33"/>
      <c r="BC328" s="33"/>
      <c r="BD328" s="33"/>
      <c r="BE328" s="33"/>
      <c r="BF328" s="33"/>
      <c r="BG328" s="33"/>
      <c r="BH328" s="33"/>
      <c r="BI328" s="33"/>
      <c r="BJ328" s="33"/>
      <c r="BK328" s="33"/>
      <c r="BL328" s="33"/>
      <c r="BM328" s="33"/>
      <c r="BN328" s="33"/>
      <c r="BO328" s="33"/>
      <c r="BP328" s="33"/>
      <c r="BQ328" s="33"/>
      <c r="BR328" s="33"/>
      <c r="BS328" s="33"/>
      <c r="BT328" s="33"/>
      <c r="BU328" s="33"/>
      <c r="BV328" s="33"/>
      <c r="BW328" s="33"/>
      <c r="BX328" s="33"/>
      <c r="BY328" s="33"/>
      <c r="BZ328" s="33"/>
      <c r="CA328" s="33"/>
      <c r="CB328" s="33"/>
      <c r="CC328" s="33"/>
      <c r="CD328" s="33"/>
    </row>
    <row r="329" spans="1:82" x14ac:dyDescent="0.25">
      <c r="A329" s="32"/>
      <c r="B329" s="32"/>
      <c r="C329" s="32"/>
      <c r="D329" s="32"/>
      <c r="E329" s="32"/>
      <c r="F329" s="32"/>
      <c r="G329" s="32"/>
      <c r="H329" s="32"/>
      <c r="I329" s="32"/>
      <c r="J329" s="32"/>
      <c r="K329" s="32"/>
      <c r="L329" s="32"/>
      <c r="M329" s="32"/>
      <c r="N329" s="32"/>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c r="BB329" s="33"/>
      <c r="BC329" s="33"/>
      <c r="BD329" s="33"/>
      <c r="BE329" s="33"/>
      <c r="BF329" s="33"/>
      <c r="BG329" s="33"/>
      <c r="BH329" s="33"/>
      <c r="BI329" s="33"/>
      <c r="BJ329" s="33"/>
      <c r="BK329" s="33"/>
      <c r="BL329" s="33"/>
      <c r="BM329" s="33"/>
      <c r="BN329" s="33"/>
      <c r="BO329" s="33"/>
      <c r="BP329" s="33"/>
      <c r="BQ329" s="33"/>
      <c r="BR329" s="33"/>
      <c r="BS329" s="33"/>
      <c r="BT329" s="33"/>
      <c r="BU329" s="33"/>
      <c r="BV329" s="33"/>
      <c r="BW329" s="33"/>
      <c r="BX329" s="33"/>
      <c r="BY329" s="33"/>
      <c r="BZ329" s="33"/>
      <c r="CA329" s="33"/>
      <c r="CB329" s="33"/>
      <c r="CC329" s="33"/>
      <c r="CD329" s="33"/>
    </row>
    <row r="330" spans="1:82" x14ac:dyDescent="0.25">
      <c r="A330" s="32"/>
      <c r="B330" s="32"/>
      <c r="C330" s="32"/>
      <c r="D330" s="32"/>
      <c r="E330" s="32"/>
      <c r="F330" s="32"/>
      <c r="G330" s="32"/>
      <c r="H330" s="32"/>
      <c r="I330" s="32"/>
      <c r="J330" s="32"/>
      <c r="K330" s="32"/>
      <c r="L330" s="32"/>
      <c r="M330" s="32"/>
      <c r="N330" s="32"/>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3"/>
      <c r="BQ330" s="33"/>
      <c r="BR330" s="33"/>
      <c r="BS330" s="33"/>
      <c r="BT330" s="33"/>
      <c r="BU330" s="33"/>
      <c r="BV330" s="33"/>
      <c r="BW330" s="33"/>
      <c r="BX330" s="33"/>
      <c r="BY330" s="33"/>
      <c r="BZ330" s="33"/>
      <c r="CA330" s="33"/>
      <c r="CB330" s="33"/>
      <c r="CC330" s="33"/>
      <c r="CD330" s="33"/>
    </row>
    <row r="331" spans="1:82" x14ac:dyDescent="0.25">
      <c r="A331" s="32"/>
      <c r="B331" s="32"/>
      <c r="C331" s="32"/>
      <c r="D331" s="32"/>
      <c r="E331" s="32"/>
      <c r="F331" s="32"/>
      <c r="G331" s="32"/>
      <c r="H331" s="32"/>
      <c r="I331" s="32"/>
      <c r="J331" s="32"/>
      <c r="K331" s="32"/>
      <c r="L331" s="32"/>
      <c r="M331" s="32"/>
      <c r="N331" s="32"/>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row>
    <row r="332" spans="1:82" x14ac:dyDescent="0.25">
      <c r="A332" s="32"/>
      <c r="B332" s="32"/>
      <c r="C332" s="32"/>
      <c r="D332" s="32"/>
      <c r="E332" s="32"/>
      <c r="F332" s="32"/>
      <c r="G332" s="32"/>
      <c r="H332" s="32"/>
      <c r="I332" s="32"/>
      <c r="J332" s="32"/>
      <c r="K332" s="32"/>
      <c r="L332" s="32"/>
      <c r="M332" s="32"/>
      <c r="N332" s="32"/>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3"/>
      <c r="BJ332" s="33"/>
      <c r="BK332" s="33"/>
      <c r="BL332" s="33"/>
      <c r="BM332" s="33"/>
      <c r="BN332" s="33"/>
      <c r="BO332" s="33"/>
      <c r="BP332" s="33"/>
      <c r="BQ332" s="33"/>
      <c r="BR332" s="33"/>
      <c r="BS332" s="33"/>
      <c r="BT332" s="33"/>
      <c r="BU332" s="33"/>
      <c r="BV332" s="33"/>
      <c r="BW332" s="33"/>
      <c r="BX332" s="33"/>
      <c r="BY332" s="33"/>
      <c r="BZ332" s="33"/>
      <c r="CA332" s="33"/>
      <c r="CB332" s="33"/>
      <c r="CC332" s="33"/>
      <c r="CD332" s="33"/>
    </row>
    <row r="333" spans="1:82" x14ac:dyDescent="0.25">
      <c r="A333" s="32"/>
      <c r="B333" s="32"/>
      <c r="C333" s="32"/>
      <c r="D333" s="32"/>
      <c r="E333" s="32"/>
      <c r="F333" s="32"/>
      <c r="G333" s="32"/>
      <c r="H333" s="32"/>
      <c r="I333" s="32"/>
      <c r="J333" s="32"/>
      <c r="K333" s="32"/>
      <c r="L333" s="32"/>
      <c r="M333" s="32"/>
      <c r="N333" s="32"/>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c r="BB333" s="33"/>
      <c r="BC333" s="33"/>
      <c r="BD333" s="33"/>
      <c r="BE333" s="33"/>
      <c r="BF333" s="33"/>
      <c r="BG333" s="33"/>
      <c r="BH333" s="33"/>
      <c r="BI333" s="33"/>
      <c r="BJ333" s="33"/>
      <c r="BK333" s="33"/>
      <c r="BL333" s="33"/>
      <c r="BM333" s="33"/>
      <c r="BN333" s="33"/>
      <c r="BO333" s="33"/>
      <c r="BP333" s="33"/>
      <c r="BQ333" s="33"/>
      <c r="BR333" s="33"/>
      <c r="BS333" s="33"/>
      <c r="BT333" s="33"/>
      <c r="BU333" s="33"/>
      <c r="BV333" s="33"/>
      <c r="BW333" s="33"/>
      <c r="BX333" s="33"/>
      <c r="BY333" s="33"/>
      <c r="BZ333" s="33"/>
      <c r="CA333" s="33"/>
      <c r="CB333" s="33"/>
      <c r="CC333" s="33"/>
      <c r="CD333" s="33"/>
    </row>
    <row r="334" spans="1:82" x14ac:dyDescent="0.25">
      <c r="A334" s="32"/>
      <c r="B334" s="32"/>
      <c r="C334" s="32"/>
      <c r="D334" s="32"/>
      <c r="E334" s="32"/>
      <c r="F334" s="32"/>
      <c r="G334" s="32"/>
      <c r="H334" s="32"/>
      <c r="I334" s="32"/>
      <c r="J334" s="32"/>
      <c r="K334" s="32"/>
      <c r="L334" s="32"/>
      <c r="M334" s="32"/>
      <c r="N334" s="32"/>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c r="BB334" s="33"/>
      <c r="BC334" s="33"/>
      <c r="BD334" s="33"/>
      <c r="BE334" s="33"/>
      <c r="BF334" s="33"/>
      <c r="BG334" s="33"/>
      <c r="BH334" s="33"/>
      <c r="BI334" s="33"/>
      <c r="BJ334" s="33"/>
      <c r="BK334" s="33"/>
      <c r="BL334" s="33"/>
      <c r="BM334" s="33"/>
      <c r="BN334" s="33"/>
      <c r="BO334" s="33"/>
      <c r="BP334" s="33"/>
      <c r="BQ334" s="33"/>
      <c r="BR334" s="33"/>
      <c r="BS334" s="33"/>
      <c r="BT334" s="33"/>
      <c r="BU334" s="33"/>
      <c r="BV334" s="33"/>
      <c r="BW334" s="33"/>
      <c r="BX334" s="33"/>
      <c r="BY334" s="33"/>
      <c r="BZ334" s="33"/>
      <c r="CA334" s="33"/>
      <c r="CB334" s="33"/>
      <c r="CC334" s="33"/>
      <c r="CD334" s="33"/>
    </row>
    <row r="335" spans="1:82" x14ac:dyDescent="0.25">
      <c r="A335" s="32"/>
      <c r="B335" s="32"/>
      <c r="C335" s="32"/>
      <c r="D335" s="32"/>
      <c r="E335" s="32"/>
      <c r="F335" s="32"/>
      <c r="G335" s="32"/>
      <c r="H335" s="32"/>
      <c r="I335" s="32"/>
      <c r="J335" s="32"/>
      <c r="K335" s="32"/>
      <c r="L335" s="32"/>
      <c r="M335" s="32"/>
      <c r="N335" s="32"/>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c r="BB335" s="33"/>
      <c r="BC335" s="33"/>
      <c r="BD335" s="33"/>
      <c r="BE335" s="33"/>
      <c r="BF335" s="33"/>
      <c r="BG335" s="33"/>
      <c r="BH335" s="33"/>
      <c r="BI335" s="33"/>
      <c r="BJ335" s="33"/>
      <c r="BK335" s="33"/>
      <c r="BL335" s="33"/>
      <c r="BM335" s="33"/>
      <c r="BN335" s="33"/>
      <c r="BO335" s="33"/>
      <c r="BP335" s="33"/>
      <c r="BQ335" s="33"/>
      <c r="BR335" s="33"/>
      <c r="BS335" s="33"/>
      <c r="BT335" s="33"/>
      <c r="BU335" s="33"/>
      <c r="BV335" s="33"/>
      <c r="BW335" s="33"/>
      <c r="BX335" s="33"/>
      <c r="BY335" s="33"/>
      <c r="BZ335" s="33"/>
      <c r="CA335" s="33"/>
      <c r="CB335" s="33"/>
      <c r="CC335" s="33"/>
      <c r="CD335" s="33"/>
    </row>
    <row r="336" spans="1:82" x14ac:dyDescent="0.25">
      <c r="A336" s="32"/>
      <c r="B336" s="32"/>
      <c r="C336" s="32"/>
      <c r="D336" s="32"/>
      <c r="E336" s="32"/>
      <c r="F336" s="32"/>
      <c r="G336" s="32"/>
      <c r="H336" s="32"/>
      <c r="I336" s="32"/>
      <c r="J336" s="32"/>
      <c r="K336" s="32"/>
      <c r="L336" s="32"/>
      <c r="M336" s="32"/>
      <c r="N336" s="32"/>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c r="BB336" s="33"/>
      <c r="BC336" s="33"/>
      <c r="BD336" s="33"/>
      <c r="BE336" s="33"/>
      <c r="BF336" s="33"/>
      <c r="BG336" s="33"/>
      <c r="BH336" s="33"/>
      <c r="BI336" s="33"/>
      <c r="BJ336" s="33"/>
      <c r="BK336" s="33"/>
      <c r="BL336" s="33"/>
      <c r="BM336" s="33"/>
      <c r="BN336" s="33"/>
      <c r="BO336" s="33"/>
      <c r="BP336" s="33"/>
      <c r="BQ336" s="33"/>
      <c r="BR336" s="33"/>
      <c r="BS336" s="33"/>
      <c r="BT336" s="33"/>
      <c r="BU336" s="33"/>
      <c r="BV336" s="33"/>
      <c r="BW336" s="33"/>
      <c r="BX336" s="33"/>
      <c r="BY336" s="33"/>
      <c r="BZ336" s="33"/>
      <c r="CA336" s="33"/>
      <c r="CB336" s="33"/>
      <c r="CC336" s="33"/>
      <c r="CD336" s="33"/>
    </row>
    <row r="337" spans="1:82" x14ac:dyDescent="0.25">
      <c r="A337" s="32"/>
      <c r="B337" s="32"/>
      <c r="C337" s="32"/>
      <c r="D337" s="32"/>
      <c r="E337" s="32"/>
      <c r="F337" s="32"/>
      <c r="G337" s="32"/>
      <c r="H337" s="32"/>
      <c r="I337" s="32"/>
      <c r="J337" s="32"/>
      <c r="K337" s="32"/>
      <c r="L337" s="32"/>
      <c r="M337" s="32"/>
      <c r="N337" s="32"/>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c r="BB337" s="33"/>
      <c r="BC337" s="33"/>
      <c r="BD337" s="33"/>
      <c r="BE337" s="33"/>
      <c r="BF337" s="33"/>
      <c r="BG337" s="33"/>
      <c r="BH337" s="33"/>
      <c r="BI337" s="33"/>
      <c r="BJ337" s="33"/>
      <c r="BK337" s="33"/>
      <c r="BL337" s="33"/>
      <c r="BM337" s="33"/>
      <c r="BN337" s="33"/>
      <c r="BO337" s="33"/>
      <c r="BP337" s="33"/>
      <c r="BQ337" s="33"/>
      <c r="BR337" s="33"/>
      <c r="BS337" s="33"/>
      <c r="BT337" s="33"/>
      <c r="BU337" s="33"/>
      <c r="BV337" s="33"/>
      <c r="BW337" s="33"/>
      <c r="BX337" s="33"/>
      <c r="BY337" s="33"/>
      <c r="BZ337" s="33"/>
      <c r="CA337" s="33"/>
      <c r="CB337" s="33"/>
      <c r="CC337" s="33"/>
      <c r="CD337" s="33"/>
    </row>
    <row r="338" spans="1:82" x14ac:dyDescent="0.25">
      <c r="A338" s="32"/>
      <c r="B338" s="32"/>
      <c r="C338" s="32"/>
      <c r="D338" s="32"/>
      <c r="E338" s="32"/>
      <c r="F338" s="32"/>
      <c r="G338" s="32"/>
      <c r="H338" s="32"/>
      <c r="I338" s="32"/>
      <c r="J338" s="32"/>
      <c r="K338" s="32"/>
      <c r="L338" s="32"/>
      <c r="M338" s="32"/>
      <c r="N338" s="32"/>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c r="BB338" s="33"/>
      <c r="BC338" s="33"/>
      <c r="BD338" s="33"/>
      <c r="BE338" s="33"/>
      <c r="BF338" s="33"/>
      <c r="BG338" s="33"/>
      <c r="BH338" s="33"/>
      <c r="BI338" s="33"/>
      <c r="BJ338" s="33"/>
      <c r="BK338" s="33"/>
      <c r="BL338" s="33"/>
      <c r="BM338" s="33"/>
      <c r="BN338" s="33"/>
      <c r="BO338" s="33"/>
      <c r="BP338" s="33"/>
      <c r="BQ338" s="33"/>
      <c r="BR338" s="33"/>
      <c r="BS338" s="33"/>
      <c r="BT338" s="33"/>
      <c r="BU338" s="33"/>
      <c r="BV338" s="33"/>
      <c r="BW338" s="33"/>
      <c r="BX338" s="33"/>
      <c r="BY338" s="33"/>
      <c r="BZ338" s="33"/>
      <c r="CA338" s="33"/>
      <c r="CB338" s="33"/>
      <c r="CC338" s="33"/>
      <c r="CD338" s="33"/>
    </row>
    <row r="339" spans="1:82" x14ac:dyDescent="0.25">
      <c r="A339" s="32"/>
      <c r="B339" s="32"/>
      <c r="C339" s="32"/>
      <c r="D339" s="32"/>
      <c r="E339" s="32"/>
      <c r="F339" s="32"/>
      <c r="G339" s="32"/>
      <c r="H339" s="32"/>
      <c r="I339" s="32"/>
      <c r="J339" s="32"/>
      <c r="K339" s="32"/>
      <c r="L339" s="32"/>
      <c r="M339" s="32"/>
      <c r="N339" s="32"/>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33"/>
      <c r="BU339" s="33"/>
      <c r="BV339" s="33"/>
      <c r="BW339" s="33"/>
      <c r="BX339" s="33"/>
      <c r="BY339" s="33"/>
      <c r="BZ339" s="33"/>
      <c r="CA339" s="33"/>
      <c r="CB339" s="33"/>
      <c r="CC339" s="33"/>
      <c r="CD339" s="33"/>
    </row>
    <row r="340" spans="1:82" x14ac:dyDescent="0.25">
      <c r="A340" s="32"/>
      <c r="B340" s="32"/>
      <c r="C340" s="32"/>
      <c r="D340" s="32"/>
      <c r="E340" s="32"/>
      <c r="F340" s="32"/>
      <c r="G340" s="32"/>
      <c r="H340" s="32"/>
      <c r="I340" s="32"/>
      <c r="J340" s="32"/>
      <c r="K340" s="32"/>
      <c r="L340" s="32"/>
      <c r="M340" s="32"/>
      <c r="N340" s="32"/>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c r="BB340" s="33"/>
      <c r="BC340" s="33"/>
      <c r="BD340" s="33"/>
      <c r="BE340" s="33"/>
      <c r="BF340" s="33"/>
      <c r="BG340" s="33"/>
      <c r="BH340" s="33"/>
      <c r="BI340" s="33"/>
      <c r="BJ340" s="33"/>
      <c r="BK340" s="33"/>
      <c r="BL340" s="33"/>
      <c r="BM340" s="33"/>
      <c r="BN340" s="33"/>
      <c r="BO340" s="33"/>
      <c r="BP340" s="33"/>
      <c r="BQ340" s="33"/>
      <c r="BR340" s="33"/>
      <c r="BS340" s="33"/>
      <c r="BT340" s="33"/>
      <c r="BU340" s="33"/>
      <c r="BV340" s="33"/>
      <c r="BW340" s="33"/>
      <c r="BX340" s="33"/>
      <c r="BY340" s="33"/>
      <c r="BZ340" s="33"/>
      <c r="CA340" s="33"/>
      <c r="CB340" s="33"/>
      <c r="CC340" s="33"/>
      <c r="CD340" s="33"/>
    </row>
    <row r="341" spans="1:82" x14ac:dyDescent="0.25">
      <c r="A341" s="32"/>
      <c r="B341" s="32"/>
      <c r="C341" s="32"/>
      <c r="D341" s="32"/>
      <c r="E341" s="32"/>
      <c r="F341" s="32"/>
      <c r="G341" s="32"/>
      <c r="H341" s="32"/>
      <c r="I341" s="32"/>
      <c r="J341" s="32"/>
      <c r="K341" s="32"/>
      <c r="L341" s="32"/>
      <c r="M341" s="32"/>
      <c r="N341" s="32"/>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33"/>
      <c r="BU341" s="33"/>
      <c r="BV341" s="33"/>
      <c r="BW341" s="33"/>
      <c r="BX341" s="33"/>
      <c r="BY341" s="33"/>
      <c r="BZ341" s="33"/>
      <c r="CA341" s="33"/>
      <c r="CB341" s="33"/>
      <c r="CC341" s="33"/>
      <c r="CD341" s="33"/>
    </row>
    <row r="342" spans="1:82" x14ac:dyDescent="0.25">
      <c r="A342" s="32"/>
      <c r="B342" s="32"/>
      <c r="C342" s="32"/>
      <c r="D342" s="32"/>
      <c r="E342" s="32"/>
      <c r="F342" s="32"/>
      <c r="G342" s="32"/>
      <c r="H342" s="32"/>
      <c r="I342" s="32"/>
      <c r="J342" s="32"/>
      <c r="K342" s="32"/>
      <c r="L342" s="32"/>
      <c r="M342" s="32"/>
      <c r="N342" s="32"/>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row>
    <row r="343" spans="1:82" x14ac:dyDescent="0.25">
      <c r="A343" s="32"/>
      <c r="B343" s="32"/>
      <c r="C343" s="32"/>
      <c r="D343" s="32"/>
      <c r="E343" s="32"/>
      <c r="F343" s="32"/>
      <c r="G343" s="32"/>
      <c r="H343" s="32"/>
      <c r="I343" s="32"/>
      <c r="J343" s="32"/>
      <c r="K343" s="32"/>
      <c r="L343" s="32"/>
      <c r="M343" s="32"/>
      <c r="N343" s="32"/>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c r="BB343" s="33"/>
      <c r="BC343" s="33"/>
      <c r="BD343" s="33"/>
      <c r="BE343" s="33"/>
      <c r="BF343" s="33"/>
      <c r="BG343" s="33"/>
      <c r="BH343" s="33"/>
      <c r="BI343" s="33"/>
      <c r="BJ343" s="33"/>
      <c r="BK343" s="33"/>
      <c r="BL343" s="33"/>
      <c r="BM343" s="33"/>
      <c r="BN343" s="33"/>
      <c r="BO343" s="33"/>
      <c r="BP343" s="33"/>
      <c r="BQ343" s="33"/>
      <c r="BR343" s="33"/>
      <c r="BS343" s="33"/>
      <c r="BT343" s="33"/>
      <c r="BU343" s="33"/>
      <c r="BV343" s="33"/>
      <c r="BW343" s="33"/>
      <c r="BX343" s="33"/>
      <c r="BY343" s="33"/>
      <c r="BZ343" s="33"/>
      <c r="CA343" s="33"/>
      <c r="CB343" s="33"/>
      <c r="CC343" s="33"/>
      <c r="CD343" s="33"/>
    </row>
    <row r="344" spans="1:82" x14ac:dyDescent="0.25">
      <c r="A344" s="32"/>
      <c r="B344" s="32"/>
      <c r="C344" s="32"/>
      <c r="D344" s="32"/>
      <c r="E344" s="32"/>
      <c r="F344" s="32"/>
      <c r="G344" s="32"/>
      <c r="H344" s="32"/>
      <c r="I344" s="32"/>
      <c r="J344" s="32"/>
      <c r="K344" s="32"/>
      <c r="L344" s="32"/>
      <c r="M344" s="32"/>
      <c r="N344" s="32"/>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c r="BB344" s="33"/>
      <c r="BC344" s="33"/>
      <c r="BD344" s="33"/>
      <c r="BE344" s="33"/>
      <c r="BF344" s="33"/>
      <c r="BG344" s="33"/>
      <c r="BH344" s="33"/>
      <c r="BI344" s="33"/>
      <c r="BJ344" s="33"/>
      <c r="BK344" s="33"/>
      <c r="BL344" s="33"/>
      <c r="BM344" s="33"/>
      <c r="BN344" s="33"/>
      <c r="BO344" s="33"/>
      <c r="BP344" s="33"/>
      <c r="BQ344" s="33"/>
      <c r="BR344" s="33"/>
      <c r="BS344" s="33"/>
      <c r="BT344" s="33"/>
      <c r="BU344" s="33"/>
      <c r="BV344" s="33"/>
      <c r="BW344" s="33"/>
      <c r="BX344" s="33"/>
      <c r="BY344" s="33"/>
      <c r="BZ344" s="33"/>
      <c r="CA344" s="33"/>
      <c r="CB344" s="33"/>
      <c r="CC344" s="33"/>
      <c r="CD344" s="33"/>
    </row>
    <row r="345" spans="1:82" x14ac:dyDescent="0.25">
      <c r="A345" s="32"/>
      <c r="B345" s="32"/>
      <c r="C345" s="32"/>
      <c r="D345" s="32"/>
      <c r="E345" s="32"/>
      <c r="F345" s="32"/>
      <c r="G345" s="32"/>
      <c r="H345" s="32"/>
      <c r="I345" s="32"/>
      <c r="J345" s="32"/>
      <c r="K345" s="32"/>
      <c r="L345" s="32"/>
      <c r="M345" s="32"/>
      <c r="N345" s="32"/>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c r="BB345" s="33"/>
      <c r="BC345" s="33"/>
      <c r="BD345" s="33"/>
      <c r="BE345" s="33"/>
      <c r="BF345" s="33"/>
      <c r="BG345" s="33"/>
      <c r="BH345" s="33"/>
      <c r="BI345" s="33"/>
      <c r="BJ345" s="33"/>
      <c r="BK345" s="33"/>
      <c r="BL345" s="33"/>
      <c r="BM345" s="33"/>
      <c r="BN345" s="33"/>
      <c r="BO345" s="33"/>
      <c r="BP345" s="33"/>
      <c r="BQ345" s="33"/>
      <c r="BR345" s="33"/>
      <c r="BS345" s="33"/>
      <c r="BT345" s="33"/>
      <c r="BU345" s="33"/>
      <c r="BV345" s="33"/>
      <c r="BW345" s="33"/>
      <c r="BX345" s="33"/>
      <c r="BY345" s="33"/>
      <c r="BZ345" s="33"/>
      <c r="CA345" s="33"/>
      <c r="CB345" s="33"/>
      <c r="CC345" s="33"/>
      <c r="CD345" s="33"/>
    </row>
    <row r="346" spans="1:82" x14ac:dyDescent="0.25">
      <c r="A346" s="32"/>
      <c r="B346" s="32"/>
      <c r="C346" s="32"/>
      <c r="D346" s="32"/>
      <c r="E346" s="32"/>
      <c r="F346" s="32"/>
      <c r="G346" s="32"/>
      <c r="H346" s="32"/>
      <c r="I346" s="32"/>
      <c r="J346" s="32"/>
      <c r="K346" s="32"/>
      <c r="L346" s="32"/>
      <c r="M346" s="32"/>
      <c r="N346" s="32"/>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c r="BB346" s="33"/>
      <c r="BC346" s="33"/>
      <c r="BD346" s="33"/>
      <c r="BE346" s="33"/>
      <c r="BF346" s="33"/>
      <c r="BG346" s="33"/>
      <c r="BH346" s="33"/>
      <c r="BI346" s="33"/>
      <c r="BJ346" s="33"/>
      <c r="BK346" s="33"/>
      <c r="BL346" s="33"/>
      <c r="BM346" s="33"/>
      <c r="BN346" s="33"/>
      <c r="BO346" s="33"/>
      <c r="BP346" s="33"/>
      <c r="BQ346" s="33"/>
      <c r="BR346" s="33"/>
      <c r="BS346" s="33"/>
      <c r="BT346" s="33"/>
      <c r="BU346" s="33"/>
      <c r="BV346" s="33"/>
      <c r="BW346" s="33"/>
      <c r="BX346" s="33"/>
      <c r="BY346" s="33"/>
      <c r="BZ346" s="33"/>
      <c r="CA346" s="33"/>
      <c r="CB346" s="33"/>
      <c r="CC346" s="33"/>
      <c r="CD346" s="33"/>
    </row>
    <row r="347" spans="1:82" x14ac:dyDescent="0.25">
      <c r="A347" s="32"/>
      <c r="B347" s="32"/>
      <c r="C347" s="32"/>
      <c r="D347" s="32"/>
      <c r="E347" s="32"/>
      <c r="F347" s="32"/>
      <c r="G347" s="32"/>
      <c r="H347" s="32"/>
      <c r="I347" s="32"/>
      <c r="J347" s="32"/>
      <c r="K347" s="32"/>
      <c r="L347" s="32"/>
      <c r="M347" s="32"/>
      <c r="N347" s="32"/>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c r="BB347" s="33"/>
      <c r="BC347" s="33"/>
      <c r="BD347" s="33"/>
      <c r="BE347" s="33"/>
      <c r="BF347" s="33"/>
      <c r="BG347" s="33"/>
      <c r="BH347" s="33"/>
      <c r="BI347" s="33"/>
      <c r="BJ347" s="33"/>
      <c r="BK347" s="33"/>
      <c r="BL347" s="33"/>
      <c r="BM347" s="33"/>
      <c r="BN347" s="33"/>
      <c r="BO347" s="33"/>
      <c r="BP347" s="33"/>
      <c r="BQ347" s="33"/>
      <c r="BR347" s="33"/>
      <c r="BS347" s="33"/>
      <c r="BT347" s="33"/>
      <c r="BU347" s="33"/>
      <c r="BV347" s="33"/>
      <c r="BW347" s="33"/>
      <c r="BX347" s="33"/>
      <c r="BY347" s="33"/>
      <c r="BZ347" s="33"/>
      <c r="CA347" s="33"/>
      <c r="CB347" s="33"/>
      <c r="CC347" s="33"/>
      <c r="CD347" s="33"/>
    </row>
    <row r="348" spans="1:82" x14ac:dyDescent="0.25">
      <c r="A348" s="32"/>
      <c r="B348" s="32"/>
      <c r="C348" s="32"/>
      <c r="D348" s="32"/>
      <c r="E348" s="32"/>
      <c r="F348" s="32"/>
      <c r="G348" s="32"/>
      <c r="H348" s="32"/>
      <c r="I348" s="32"/>
      <c r="J348" s="32"/>
      <c r="K348" s="32"/>
      <c r="L348" s="32"/>
      <c r="M348" s="32"/>
      <c r="N348" s="32"/>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c r="BB348" s="33"/>
      <c r="BC348" s="33"/>
      <c r="BD348" s="33"/>
      <c r="BE348" s="33"/>
      <c r="BF348" s="33"/>
      <c r="BG348" s="33"/>
      <c r="BH348" s="33"/>
      <c r="BI348" s="33"/>
      <c r="BJ348" s="33"/>
      <c r="BK348" s="33"/>
      <c r="BL348" s="33"/>
      <c r="BM348" s="33"/>
      <c r="BN348" s="33"/>
      <c r="BO348" s="33"/>
      <c r="BP348" s="33"/>
      <c r="BQ348" s="33"/>
      <c r="BR348" s="33"/>
      <c r="BS348" s="33"/>
      <c r="BT348" s="33"/>
      <c r="BU348" s="33"/>
      <c r="BV348" s="33"/>
      <c r="BW348" s="33"/>
      <c r="BX348" s="33"/>
      <c r="BY348" s="33"/>
      <c r="BZ348" s="33"/>
      <c r="CA348" s="33"/>
      <c r="CB348" s="33"/>
      <c r="CC348" s="33"/>
      <c r="CD348" s="33"/>
    </row>
    <row r="349" spans="1:82" x14ac:dyDescent="0.25">
      <c r="A349" s="32"/>
      <c r="B349" s="32"/>
      <c r="C349" s="32"/>
      <c r="D349" s="32"/>
      <c r="E349" s="32"/>
      <c r="F349" s="32"/>
      <c r="G349" s="32"/>
      <c r="H349" s="32"/>
      <c r="I349" s="32"/>
      <c r="J349" s="32"/>
      <c r="K349" s="32"/>
      <c r="L349" s="32"/>
      <c r="M349" s="32"/>
      <c r="N349" s="32"/>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c r="BB349" s="33"/>
      <c r="BC349" s="33"/>
      <c r="BD349" s="33"/>
      <c r="BE349" s="33"/>
      <c r="BF349" s="33"/>
      <c r="BG349" s="33"/>
      <c r="BH349" s="33"/>
      <c r="BI349" s="33"/>
      <c r="BJ349" s="33"/>
      <c r="BK349" s="33"/>
      <c r="BL349" s="33"/>
      <c r="BM349" s="33"/>
      <c r="BN349" s="33"/>
      <c r="BO349" s="33"/>
      <c r="BP349" s="33"/>
      <c r="BQ349" s="33"/>
      <c r="BR349" s="33"/>
      <c r="BS349" s="33"/>
      <c r="BT349" s="33"/>
      <c r="BU349" s="33"/>
      <c r="BV349" s="33"/>
      <c r="BW349" s="33"/>
      <c r="BX349" s="33"/>
      <c r="BY349" s="33"/>
      <c r="BZ349" s="33"/>
      <c r="CA349" s="33"/>
      <c r="CB349" s="33"/>
      <c r="CC349" s="33"/>
      <c r="CD349" s="33"/>
    </row>
    <row r="350" spans="1:82" x14ac:dyDescent="0.25">
      <c r="A350" s="32"/>
      <c r="B350" s="32"/>
      <c r="C350" s="32"/>
      <c r="D350" s="32"/>
      <c r="E350" s="32"/>
      <c r="F350" s="32"/>
      <c r="G350" s="32"/>
      <c r="H350" s="32"/>
      <c r="I350" s="32"/>
      <c r="J350" s="32"/>
      <c r="K350" s="32"/>
      <c r="L350" s="32"/>
      <c r="M350" s="32"/>
      <c r="N350" s="32"/>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c r="BB350" s="33"/>
      <c r="BC350" s="33"/>
      <c r="BD350" s="33"/>
      <c r="BE350" s="33"/>
      <c r="BF350" s="33"/>
      <c r="BG350" s="33"/>
      <c r="BH350" s="33"/>
      <c r="BI350" s="33"/>
      <c r="BJ350" s="33"/>
      <c r="BK350" s="33"/>
      <c r="BL350" s="33"/>
      <c r="BM350" s="33"/>
      <c r="BN350" s="33"/>
      <c r="BO350" s="33"/>
      <c r="BP350" s="33"/>
      <c r="BQ350" s="33"/>
      <c r="BR350" s="33"/>
      <c r="BS350" s="33"/>
      <c r="BT350" s="33"/>
      <c r="BU350" s="33"/>
      <c r="BV350" s="33"/>
      <c r="BW350" s="33"/>
      <c r="BX350" s="33"/>
      <c r="BY350" s="33"/>
      <c r="BZ350" s="33"/>
      <c r="CA350" s="33"/>
      <c r="CB350" s="33"/>
      <c r="CC350" s="33"/>
      <c r="CD350" s="33"/>
    </row>
    <row r="351" spans="1:82" x14ac:dyDescent="0.25">
      <c r="A351" s="32"/>
      <c r="B351" s="32"/>
      <c r="C351" s="32"/>
      <c r="D351" s="32"/>
      <c r="E351" s="32"/>
      <c r="F351" s="32"/>
      <c r="G351" s="32"/>
      <c r="H351" s="32"/>
      <c r="I351" s="32"/>
      <c r="J351" s="32"/>
      <c r="K351" s="32"/>
      <c r="L351" s="32"/>
      <c r="M351" s="32"/>
      <c r="N351" s="32"/>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c r="BB351" s="33"/>
      <c r="BC351" s="33"/>
      <c r="BD351" s="33"/>
      <c r="BE351" s="33"/>
      <c r="BF351" s="33"/>
      <c r="BG351" s="33"/>
      <c r="BH351" s="33"/>
      <c r="BI351" s="33"/>
      <c r="BJ351" s="33"/>
      <c r="BK351" s="33"/>
      <c r="BL351" s="33"/>
      <c r="BM351" s="33"/>
      <c r="BN351" s="33"/>
      <c r="BO351" s="33"/>
      <c r="BP351" s="33"/>
      <c r="BQ351" s="33"/>
      <c r="BR351" s="33"/>
      <c r="BS351" s="33"/>
      <c r="BT351" s="33"/>
      <c r="BU351" s="33"/>
      <c r="BV351" s="33"/>
      <c r="BW351" s="33"/>
      <c r="BX351" s="33"/>
      <c r="BY351" s="33"/>
      <c r="BZ351" s="33"/>
      <c r="CA351" s="33"/>
      <c r="CB351" s="33"/>
      <c r="CC351" s="33"/>
      <c r="CD351" s="33"/>
    </row>
    <row r="352" spans="1:82" x14ac:dyDescent="0.25">
      <c r="A352" s="32"/>
      <c r="B352" s="32"/>
      <c r="C352" s="32"/>
      <c r="D352" s="32"/>
      <c r="E352" s="32"/>
      <c r="F352" s="32"/>
      <c r="G352" s="32"/>
      <c r="H352" s="32"/>
      <c r="I352" s="32"/>
      <c r="J352" s="32"/>
      <c r="K352" s="32"/>
      <c r="L352" s="32"/>
      <c r="M352" s="32"/>
      <c r="N352" s="32"/>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c r="BB352" s="33"/>
      <c r="BC352" s="33"/>
      <c r="BD352" s="33"/>
      <c r="BE352" s="33"/>
      <c r="BF352" s="33"/>
      <c r="BG352" s="33"/>
      <c r="BH352" s="33"/>
      <c r="BI352" s="33"/>
      <c r="BJ352" s="33"/>
      <c r="BK352" s="33"/>
      <c r="BL352" s="33"/>
      <c r="BM352" s="33"/>
      <c r="BN352" s="33"/>
      <c r="BO352" s="33"/>
      <c r="BP352" s="33"/>
      <c r="BQ352" s="33"/>
      <c r="BR352" s="33"/>
      <c r="BS352" s="33"/>
      <c r="BT352" s="33"/>
      <c r="BU352" s="33"/>
      <c r="BV352" s="33"/>
      <c r="BW352" s="33"/>
      <c r="BX352" s="33"/>
      <c r="BY352" s="33"/>
      <c r="BZ352" s="33"/>
      <c r="CA352" s="33"/>
      <c r="CB352" s="33"/>
      <c r="CC352" s="33"/>
      <c r="CD352" s="33"/>
    </row>
    <row r="353" spans="1:82" x14ac:dyDescent="0.25">
      <c r="A353" s="32"/>
      <c r="B353" s="32"/>
      <c r="C353" s="32"/>
      <c r="D353" s="32"/>
      <c r="E353" s="32"/>
      <c r="F353" s="32"/>
      <c r="G353" s="32"/>
      <c r="H353" s="32"/>
      <c r="I353" s="32"/>
      <c r="J353" s="32"/>
      <c r="K353" s="32"/>
      <c r="L353" s="32"/>
      <c r="M353" s="32"/>
      <c r="N353" s="32"/>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c r="BB353" s="33"/>
      <c r="BC353" s="33"/>
      <c r="BD353" s="33"/>
      <c r="BE353" s="33"/>
      <c r="BF353" s="33"/>
      <c r="BG353" s="33"/>
      <c r="BH353" s="33"/>
      <c r="BI353" s="33"/>
      <c r="BJ353" s="33"/>
      <c r="BK353" s="33"/>
      <c r="BL353" s="33"/>
      <c r="BM353" s="33"/>
      <c r="BN353" s="33"/>
      <c r="BO353" s="33"/>
      <c r="BP353" s="33"/>
      <c r="BQ353" s="33"/>
      <c r="BR353" s="33"/>
      <c r="BS353" s="33"/>
      <c r="BT353" s="33"/>
      <c r="BU353" s="33"/>
      <c r="BV353" s="33"/>
      <c r="BW353" s="33"/>
      <c r="BX353" s="33"/>
      <c r="BY353" s="33"/>
      <c r="BZ353" s="33"/>
      <c r="CA353" s="33"/>
      <c r="CB353" s="33"/>
      <c r="CC353" s="33"/>
      <c r="CD353" s="33"/>
    </row>
    <row r="354" spans="1:82" x14ac:dyDescent="0.25">
      <c r="A354" s="32"/>
      <c r="B354" s="32"/>
      <c r="C354" s="32"/>
      <c r="D354" s="32"/>
      <c r="E354" s="32"/>
      <c r="F354" s="32"/>
      <c r="G354" s="32"/>
      <c r="H354" s="32"/>
      <c r="I354" s="32"/>
      <c r="J354" s="32"/>
      <c r="K354" s="32"/>
      <c r="L354" s="32"/>
      <c r="M354" s="32"/>
      <c r="N354" s="32"/>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c r="BB354" s="33"/>
      <c r="BC354" s="33"/>
      <c r="BD354" s="33"/>
      <c r="BE354" s="33"/>
      <c r="BF354" s="33"/>
      <c r="BG354" s="33"/>
      <c r="BH354" s="33"/>
      <c r="BI354" s="33"/>
      <c r="BJ354" s="33"/>
      <c r="BK354" s="33"/>
      <c r="BL354" s="33"/>
      <c r="BM354" s="33"/>
      <c r="BN354" s="33"/>
      <c r="BO354" s="33"/>
      <c r="BP354" s="33"/>
      <c r="BQ354" s="33"/>
      <c r="BR354" s="33"/>
      <c r="BS354" s="33"/>
      <c r="BT354" s="33"/>
      <c r="BU354" s="33"/>
      <c r="BV354" s="33"/>
      <c r="BW354" s="33"/>
      <c r="BX354" s="33"/>
      <c r="BY354" s="33"/>
      <c r="BZ354" s="33"/>
      <c r="CA354" s="33"/>
      <c r="CB354" s="33"/>
      <c r="CC354" s="33"/>
      <c r="CD354" s="33"/>
    </row>
    <row r="355" spans="1:82" x14ac:dyDescent="0.25">
      <c r="A355" s="32"/>
      <c r="B355" s="32"/>
      <c r="C355" s="32"/>
      <c r="D355" s="32"/>
      <c r="E355" s="32"/>
      <c r="F355" s="32"/>
      <c r="G355" s="32"/>
      <c r="H355" s="32"/>
      <c r="I355" s="32"/>
      <c r="J355" s="32"/>
      <c r="K355" s="32"/>
      <c r="L355" s="32"/>
      <c r="M355" s="32"/>
      <c r="N355" s="32"/>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c r="BB355" s="33"/>
      <c r="BC355" s="33"/>
      <c r="BD355" s="33"/>
      <c r="BE355" s="33"/>
      <c r="BF355" s="33"/>
      <c r="BG355" s="33"/>
      <c r="BH355" s="33"/>
      <c r="BI355" s="33"/>
      <c r="BJ355" s="33"/>
      <c r="BK355" s="33"/>
      <c r="BL355" s="33"/>
      <c r="BM355" s="33"/>
      <c r="BN355" s="33"/>
      <c r="BO355" s="33"/>
      <c r="BP355" s="33"/>
      <c r="BQ355" s="33"/>
      <c r="BR355" s="33"/>
      <c r="BS355" s="33"/>
      <c r="BT355" s="33"/>
      <c r="BU355" s="33"/>
      <c r="BV355" s="33"/>
      <c r="BW355" s="33"/>
      <c r="BX355" s="33"/>
      <c r="BY355" s="33"/>
      <c r="BZ355" s="33"/>
      <c r="CA355" s="33"/>
      <c r="CB355" s="33"/>
      <c r="CC355" s="33"/>
      <c r="CD355" s="33"/>
    </row>
    <row r="356" spans="1:82" x14ac:dyDescent="0.25">
      <c r="A356" s="32"/>
      <c r="B356" s="32"/>
      <c r="C356" s="32"/>
      <c r="D356" s="32"/>
      <c r="E356" s="32"/>
      <c r="F356" s="32"/>
      <c r="G356" s="32"/>
      <c r="H356" s="32"/>
      <c r="I356" s="32"/>
      <c r="J356" s="32"/>
      <c r="K356" s="32"/>
      <c r="L356" s="32"/>
      <c r="M356" s="32"/>
      <c r="N356" s="32"/>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c r="BB356" s="33"/>
      <c r="BC356" s="33"/>
      <c r="BD356" s="33"/>
      <c r="BE356" s="33"/>
      <c r="BF356" s="33"/>
      <c r="BG356" s="33"/>
      <c r="BH356" s="33"/>
      <c r="BI356" s="33"/>
      <c r="BJ356" s="33"/>
      <c r="BK356" s="33"/>
      <c r="BL356" s="33"/>
      <c r="BM356" s="33"/>
      <c r="BN356" s="33"/>
      <c r="BO356" s="33"/>
      <c r="BP356" s="33"/>
      <c r="BQ356" s="33"/>
      <c r="BR356" s="33"/>
      <c r="BS356" s="33"/>
      <c r="BT356" s="33"/>
      <c r="BU356" s="33"/>
      <c r="BV356" s="33"/>
      <c r="BW356" s="33"/>
      <c r="BX356" s="33"/>
      <c r="BY356" s="33"/>
      <c r="BZ356" s="33"/>
      <c r="CA356" s="33"/>
      <c r="CB356" s="33"/>
      <c r="CC356" s="33"/>
      <c r="CD356" s="33"/>
    </row>
    <row r="357" spans="1:82" x14ac:dyDescent="0.25">
      <c r="A357" s="32"/>
      <c r="B357" s="32"/>
      <c r="C357" s="32"/>
      <c r="D357" s="32"/>
      <c r="E357" s="32"/>
      <c r="F357" s="32"/>
      <c r="G357" s="32"/>
      <c r="H357" s="32"/>
      <c r="I357" s="32"/>
      <c r="J357" s="32"/>
      <c r="K357" s="32"/>
      <c r="L357" s="32"/>
      <c r="M357" s="32"/>
      <c r="N357" s="32"/>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c r="BB357" s="33"/>
      <c r="BC357" s="33"/>
      <c r="BD357" s="33"/>
      <c r="BE357" s="33"/>
      <c r="BF357" s="33"/>
      <c r="BG357" s="33"/>
      <c r="BH357" s="33"/>
      <c r="BI357" s="33"/>
      <c r="BJ357" s="33"/>
      <c r="BK357" s="33"/>
      <c r="BL357" s="33"/>
      <c r="BM357" s="33"/>
      <c r="BN357" s="33"/>
      <c r="BO357" s="33"/>
      <c r="BP357" s="33"/>
      <c r="BQ357" s="33"/>
      <c r="BR357" s="33"/>
      <c r="BS357" s="33"/>
      <c r="BT357" s="33"/>
      <c r="BU357" s="33"/>
      <c r="BV357" s="33"/>
      <c r="BW357" s="33"/>
      <c r="BX357" s="33"/>
      <c r="BY357" s="33"/>
      <c r="BZ357" s="33"/>
      <c r="CA357" s="33"/>
      <c r="CB357" s="33"/>
      <c r="CC357" s="33"/>
      <c r="CD357" s="33"/>
    </row>
    <row r="358" spans="1:82" x14ac:dyDescent="0.25">
      <c r="A358" s="32"/>
      <c r="B358" s="32"/>
      <c r="C358" s="32"/>
      <c r="D358" s="32"/>
      <c r="E358" s="32"/>
      <c r="F358" s="32"/>
      <c r="G358" s="32"/>
      <c r="H358" s="32"/>
      <c r="I358" s="32"/>
      <c r="J358" s="32"/>
      <c r="K358" s="32"/>
      <c r="L358" s="32"/>
      <c r="M358" s="32"/>
      <c r="N358" s="32"/>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c r="BB358" s="33"/>
      <c r="BC358" s="33"/>
      <c r="BD358" s="33"/>
      <c r="BE358" s="33"/>
      <c r="BF358" s="33"/>
      <c r="BG358" s="33"/>
      <c r="BH358" s="33"/>
      <c r="BI358" s="33"/>
      <c r="BJ358" s="33"/>
      <c r="BK358" s="33"/>
      <c r="BL358" s="33"/>
      <c r="BM358" s="33"/>
      <c r="BN358" s="33"/>
      <c r="BO358" s="33"/>
      <c r="BP358" s="33"/>
      <c r="BQ358" s="33"/>
      <c r="BR358" s="33"/>
      <c r="BS358" s="33"/>
      <c r="BT358" s="33"/>
      <c r="BU358" s="33"/>
      <c r="BV358" s="33"/>
      <c r="BW358" s="33"/>
      <c r="BX358" s="33"/>
      <c r="BY358" s="33"/>
      <c r="BZ358" s="33"/>
      <c r="CA358" s="33"/>
      <c r="CB358" s="33"/>
      <c r="CC358" s="33"/>
      <c r="CD358" s="33"/>
    </row>
    <row r="359" spans="1:82" x14ac:dyDescent="0.25">
      <c r="A359" s="32"/>
      <c r="B359" s="32"/>
      <c r="C359" s="32"/>
      <c r="D359" s="32"/>
      <c r="E359" s="32"/>
      <c r="F359" s="32"/>
      <c r="G359" s="32"/>
      <c r="H359" s="32"/>
      <c r="I359" s="32"/>
      <c r="J359" s="32"/>
      <c r="K359" s="32"/>
      <c r="L359" s="32"/>
      <c r="M359" s="32"/>
      <c r="N359" s="32"/>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c r="BB359" s="33"/>
      <c r="BC359" s="33"/>
      <c r="BD359" s="33"/>
      <c r="BE359" s="33"/>
      <c r="BF359" s="33"/>
      <c r="BG359" s="33"/>
      <c r="BH359" s="33"/>
      <c r="BI359" s="33"/>
      <c r="BJ359" s="33"/>
      <c r="BK359" s="33"/>
      <c r="BL359" s="33"/>
      <c r="BM359" s="33"/>
      <c r="BN359" s="33"/>
      <c r="BO359" s="33"/>
      <c r="BP359" s="33"/>
      <c r="BQ359" s="33"/>
      <c r="BR359" s="33"/>
      <c r="BS359" s="33"/>
      <c r="BT359" s="33"/>
      <c r="BU359" s="33"/>
      <c r="BV359" s="33"/>
      <c r="BW359" s="33"/>
      <c r="BX359" s="33"/>
      <c r="BY359" s="33"/>
      <c r="BZ359" s="33"/>
      <c r="CA359" s="33"/>
      <c r="CB359" s="33"/>
      <c r="CC359" s="33"/>
      <c r="CD359" s="33"/>
    </row>
    <row r="360" spans="1:82" x14ac:dyDescent="0.25">
      <c r="A360" s="32"/>
      <c r="B360" s="32"/>
      <c r="C360" s="32"/>
      <c r="D360" s="32"/>
      <c r="E360" s="32"/>
      <c r="F360" s="32"/>
      <c r="G360" s="32"/>
      <c r="H360" s="32"/>
      <c r="I360" s="32"/>
      <c r="J360" s="32"/>
      <c r="K360" s="32"/>
      <c r="L360" s="32"/>
      <c r="M360" s="32"/>
      <c r="N360" s="32"/>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c r="BB360" s="33"/>
      <c r="BC360" s="33"/>
      <c r="BD360" s="33"/>
      <c r="BE360" s="33"/>
      <c r="BF360" s="33"/>
      <c r="BG360" s="33"/>
      <c r="BH360" s="33"/>
      <c r="BI360" s="33"/>
      <c r="BJ360" s="33"/>
      <c r="BK360" s="33"/>
      <c r="BL360" s="33"/>
      <c r="BM360" s="33"/>
      <c r="BN360" s="33"/>
      <c r="BO360" s="33"/>
      <c r="BP360" s="33"/>
      <c r="BQ360" s="33"/>
      <c r="BR360" s="33"/>
      <c r="BS360" s="33"/>
      <c r="BT360" s="33"/>
      <c r="BU360" s="33"/>
      <c r="BV360" s="33"/>
      <c r="BW360" s="33"/>
      <c r="BX360" s="33"/>
      <c r="BY360" s="33"/>
      <c r="BZ360" s="33"/>
      <c r="CA360" s="33"/>
      <c r="CB360" s="33"/>
      <c r="CC360" s="33"/>
      <c r="CD360" s="33"/>
    </row>
    <row r="361" spans="1:82" x14ac:dyDescent="0.25">
      <c r="A361" s="32"/>
      <c r="B361" s="32"/>
      <c r="C361" s="32"/>
      <c r="D361" s="32"/>
      <c r="E361" s="32"/>
      <c r="F361" s="32"/>
      <c r="G361" s="32"/>
      <c r="H361" s="32"/>
      <c r="I361" s="32"/>
      <c r="J361" s="32"/>
      <c r="K361" s="32"/>
      <c r="L361" s="32"/>
      <c r="M361" s="32"/>
      <c r="N361" s="32"/>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c r="BB361" s="33"/>
      <c r="BC361" s="33"/>
      <c r="BD361" s="33"/>
      <c r="BE361" s="33"/>
      <c r="BF361" s="33"/>
      <c r="BG361" s="33"/>
      <c r="BH361" s="33"/>
      <c r="BI361" s="33"/>
      <c r="BJ361" s="33"/>
      <c r="BK361" s="33"/>
      <c r="BL361" s="33"/>
      <c r="BM361" s="33"/>
      <c r="BN361" s="33"/>
      <c r="BO361" s="33"/>
      <c r="BP361" s="33"/>
      <c r="BQ361" s="33"/>
      <c r="BR361" s="33"/>
      <c r="BS361" s="33"/>
      <c r="BT361" s="33"/>
      <c r="BU361" s="33"/>
      <c r="BV361" s="33"/>
      <c r="BW361" s="33"/>
      <c r="BX361" s="33"/>
      <c r="BY361" s="33"/>
      <c r="BZ361" s="33"/>
      <c r="CA361" s="33"/>
      <c r="CB361" s="33"/>
      <c r="CC361" s="33"/>
      <c r="CD361" s="33"/>
    </row>
    <row r="362" spans="1:82" x14ac:dyDescent="0.25">
      <c r="A362" s="32"/>
      <c r="B362" s="32"/>
      <c r="C362" s="32"/>
      <c r="D362" s="32"/>
      <c r="E362" s="32"/>
      <c r="F362" s="32"/>
      <c r="G362" s="32"/>
      <c r="H362" s="32"/>
      <c r="I362" s="32"/>
      <c r="J362" s="32"/>
      <c r="K362" s="32"/>
      <c r="L362" s="32"/>
      <c r="M362" s="32"/>
      <c r="N362" s="32"/>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c r="BB362" s="33"/>
      <c r="BC362" s="33"/>
      <c r="BD362" s="33"/>
      <c r="BE362" s="33"/>
      <c r="BF362" s="33"/>
      <c r="BG362" s="33"/>
      <c r="BH362" s="33"/>
      <c r="BI362" s="33"/>
      <c r="BJ362" s="33"/>
      <c r="BK362" s="33"/>
      <c r="BL362" s="33"/>
      <c r="BM362" s="33"/>
      <c r="BN362" s="33"/>
      <c r="BO362" s="33"/>
      <c r="BP362" s="33"/>
      <c r="BQ362" s="33"/>
      <c r="BR362" s="33"/>
      <c r="BS362" s="33"/>
      <c r="BT362" s="33"/>
      <c r="BU362" s="33"/>
      <c r="BV362" s="33"/>
      <c r="BW362" s="33"/>
      <c r="BX362" s="33"/>
      <c r="BY362" s="33"/>
      <c r="BZ362" s="33"/>
      <c r="CA362" s="33"/>
      <c r="CB362" s="33"/>
      <c r="CC362" s="33"/>
      <c r="CD362" s="33"/>
    </row>
    <row r="363" spans="1:82" x14ac:dyDescent="0.25">
      <c r="A363" s="32"/>
      <c r="B363" s="32"/>
      <c r="C363" s="32"/>
      <c r="D363" s="32"/>
      <c r="E363" s="32"/>
      <c r="F363" s="32"/>
      <c r="G363" s="32"/>
      <c r="H363" s="32"/>
      <c r="I363" s="32"/>
      <c r="J363" s="32"/>
      <c r="K363" s="32"/>
      <c r="L363" s="32"/>
      <c r="M363" s="32"/>
      <c r="N363" s="32"/>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c r="BB363" s="33"/>
      <c r="BC363" s="33"/>
      <c r="BD363" s="33"/>
      <c r="BE363" s="33"/>
      <c r="BF363" s="33"/>
      <c r="BG363" s="33"/>
      <c r="BH363" s="33"/>
      <c r="BI363" s="33"/>
      <c r="BJ363" s="33"/>
      <c r="BK363" s="33"/>
      <c r="BL363" s="33"/>
      <c r="BM363" s="33"/>
      <c r="BN363" s="33"/>
      <c r="BO363" s="33"/>
      <c r="BP363" s="33"/>
      <c r="BQ363" s="33"/>
      <c r="BR363" s="33"/>
      <c r="BS363" s="33"/>
      <c r="BT363" s="33"/>
      <c r="BU363" s="33"/>
      <c r="BV363" s="33"/>
      <c r="BW363" s="33"/>
      <c r="BX363" s="33"/>
      <c r="BY363" s="33"/>
      <c r="BZ363" s="33"/>
      <c r="CA363" s="33"/>
      <c r="CB363" s="33"/>
      <c r="CC363" s="33"/>
      <c r="CD363" s="33"/>
    </row>
    <row r="364" spans="1:82" x14ac:dyDescent="0.25">
      <c r="A364" s="32"/>
      <c r="B364" s="32"/>
      <c r="C364" s="32"/>
      <c r="D364" s="32"/>
      <c r="E364" s="32"/>
      <c r="F364" s="32"/>
      <c r="G364" s="32"/>
      <c r="H364" s="32"/>
      <c r="I364" s="32"/>
      <c r="J364" s="32"/>
      <c r="K364" s="32"/>
      <c r="L364" s="32"/>
      <c r="M364" s="32"/>
      <c r="N364" s="32"/>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c r="BB364" s="33"/>
      <c r="BC364" s="33"/>
      <c r="BD364" s="33"/>
      <c r="BE364" s="33"/>
      <c r="BF364" s="33"/>
      <c r="BG364" s="33"/>
      <c r="BH364" s="33"/>
      <c r="BI364" s="33"/>
      <c r="BJ364" s="33"/>
      <c r="BK364" s="33"/>
      <c r="BL364" s="33"/>
      <c r="BM364" s="33"/>
      <c r="BN364" s="33"/>
      <c r="BO364" s="33"/>
      <c r="BP364" s="33"/>
      <c r="BQ364" s="33"/>
      <c r="BR364" s="33"/>
      <c r="BS364" s="33"/>
      <c r="BT364" s="33"/>
      <c r="BU364" s="33"/>
      <c r="BV364" s="33"/>
      <c r="BW364" s="33"/>
      <c r="BX364" s="33"/>
      <c r="BY364" s="33"/>
      <c r="BZ364" s="33"/>
      <c r="CA364" s="33"/>
      <c r="CB364" s="33"/>
      <c r="CC364" s="33"/>
      <c r="CD364" s="33"/>
    </row>
    <row r="365" spans="1:82" x14ac:dyDescent="0.25">
      <c r="A365" s="32"/>
      <c r="B365" s="32"/>
      <c r="C365" s="32"/>
      <c r="D365" s="32"/>
      <c r="E365" s="32"/>
      <c r="F365" s="32"/>
      <c r="G365" s="32"/>
      <c r="H365" s="32"/>
      <c r="I365" s="32"/>
      <c r="J365" s="32"/>
      <c r="K365" s="32"/>
      <c r="L365" s="32"/>
      <c r="M365" s="32"/>
      <c r="N365" s="32"/>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row>
    <row r="366" spans="1:82" x14ac:dyDescent="0.25">
      <c r="A366" s="32"/>
      <c r="B366" s="32"/>
      <c r="C366" s="32"/>
      <c r="D366" s="32"/>
      <c r="E366" s="32"/>
      <c r="F366" s="32"/>
      <c r="G366" s="32"/>
      <c r="H366" s="32"/>
      <c r="I366" s="32"/>
      <c r="J366" s="32"/>
      <c r="K366" s="32"/>
      <c r="L366" s="32"/>
      <c r="M366" s="32"/>
      <c r="N366" s="32"/>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row>
    <row r="367" spans="1:82" x14ac:dyDescent="0.25">
      <c r="A367" s="32"/>
      <c r="B367" s="32"/>
      <c r="C367" s="32"/>
      <c r="D367" s="32"/>
      <c r="E367" s="32"/>
      <c r="F367" s="32"/>
      <c r="G367" s="32"/>
      <c r="H367" s="32"/>
      <c r="I367" s="32"/>
      <c r="J367" s="32"/>
      <c r="K367" s="32"/>
      <c r="L367" s="32"/>
      <c r="M367" s="32"/>
      <c r="N367" s="32"/>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row>
    <row r="368" spans="1:82" x14ac:dyDescent="0.25">
      <c r="A368" s="32"/>
      <c r="B368" s="32"/>
      <c r="C368" s="32"/>
      <c r="D368" s="32"/>
      <c r="E368" s="32"/>
      <c r="F368" s="32"/>
      <c r="G368" s="32"/>
      <c r="H368" s="32"/>
      <c r="I368" s="32"/>
      <c r="J368" s="32"/>
      <c r="K368" s="32"/>
      <c r="L368" s="32"/>
      <c r="M368" s="32"/>
      <c r="N368" s="32"/>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c r="BJ368" s="33"/>
      <c r="BK368" s="33"/>
      <c r="BL368" s="33"/>
      <c r="BM368" s="33"/>
      <c r="BN368" s="33"/>
      <c r="BO368" s="33"/>
      <c r="BP368" s="33"/>
      <c r="BQ368" s="33"/>
      <c r="BR368" s="33"/>
      <c r="BS368" s="33"/>
      <c r="BT368" s="33"/>
      <c r="BU368" s="33"/>
      <c r="BV368" s="33"/>
      <c r="BW368" s="33"/>
      <c r="BX368" s="33"/>
      <c r="BY368" s="33"/>
      <c r="BZ368" s="33"/>
      <c r="CA368" s="33"/>
      <c r="CB368" s="33"/>
      <c r="CC368" s="33"/>
      <c r="CD368" s="33"/>
    </row>
    <row r="369" spans="1:82" x14ac:dyDescent="0.25">
      <c r="A369" s="32"/>
      <c r="B369" s="32"/>
      <c r="C369" s="32"/>
      <c r="D369" s="32"/>
      <c r="E369" s="32"/>
      <c r="F369" s="32"/>
      <c r="G369" s="32"/>
      <c r="H369" s="32"/>
      <c r="I369" s="32"/>
      <c r="J369" s="32"/>
      <c r="K369" s="32"/>
      <c r="L369" s="32"/>
      <c r="M369" s="32"/>
      <c r="N369" s="32"/>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c r="BJ369" s="33"/>
      <c r="BK369" s="33"/>
      <c r="BL369" s="33"/>
      <c r="BM369" s="33"/>
      <c r="BN369" s="33"/>
      <c r="BO369" s="33"/>
      <c r="BP369" s="33"/>
      <c r="BQ369" s="33"/>
      <c r="BR369" s="33"/>
      <c r="BS369" s="33"/>
      <c r="BT369" s="33"/>
      <c r="BU369" s="33"/>
      <c r="BV369" s="33"/>
      <c r="BW369" s="33"/>
      <c r="BX369" s="33"/>
      <c r="BY369" s="33"/>
      <c r="BZ369" s="33"/>
      <c r="CA369" s="33"/>
      <c r="CB369" s="33"/>
      <c r="CC369" s="33"/>
      <c r="CD369" s="33"/>
    </row>
    <row r="370" spans="1:82" x14ac:dyDescent="0.25">
      <c r="A370" s="32"/>
      <c r="B370" s="32"/>
      <c r="C370" s="32"/>
      <c r="D370" s="32"/>
      <c r="E370" s="32"/>
      <c r="F370" s="32"/>
      <c r="G370" s="32"/>
      <c r="H370" s="32"/>
      <c r="I370" s="32"/>
      <c r="J370" s="32"/>
      <c r="K370" s="32"/>
      <c r="L370" s="32"/>
      <c r="M370" s="32"/>
      <c r="N370" s="32"/>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c r="BJ370" s="33"/>
      <c r="BK370" s="33"/>
      <c r="BL370" s="33"/>
      <c r="BM370" s="33"/>
      <c r="BN370" s="33"/>
      <c r="BO370" s="33"/>
      <c r="BP370" s="33"/>
      <c r="BQ370" s="33"/>
      <c r="BR370" s="33"/>
      <c r="BS370" s="33"/>
      <c r="BT370" s="33"/>
      <c r="BU370" s="33"/>
      <c r="BV370" s="33"/>
      <c r="BW370" s="33"/>
      <c r="BX370" s="33"/>
      <c r="BY370" s="33"/>
      <c r="BZ370" s="33"/>
      <c r="CA370" s="33"/>
      <c r="CB370" s="33"/>
      <c r="CC370" s="33"/>
      <c r="CD370" s="33"/>
    </row>
    <row r="371" spans="1:82" x14ac:dyDescent="0.25">
      <c r="A371" s="32"/>
      <c r="B371" s="32"/>
      <c r="C371" s="32"/>
      <c r="D371" s="32"/>
      <c r="E371" s="32"/>
      <c r="F371" s="32"/>
      <c r="G371" s="32"/>
      <c r="H371" s="32"/>
      <c r="I371" s="32"/>
      <c r="J371" s="32"/>
      <c r="K371" s="32"/>
      <c r="L371" s="32"/>
      <c r="M371" s="32"/>
      <c r="N371" s="32"/>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c r="BJ371" s="33"/>
      <c r="BK371" s="33"/>
      <c r="BL371" s="33"/>
      <c r="BM371" s="33"/>
      <c r="BN371" s="33"/>
      <c r="BO371" s="33"/>
      <c r="BP371" s="33"/>
      <c r="BQ371" s="33"/>
      <c r="BR371" s="33"/>
      <c r="BS371" s="33"/>
      <c r="BT371" s="33"/>
      <c r="BU371" s="33"/>
      <c r="BV371" s="33"/>
      <c r="BW371" s="33"/>
      <c r="BX371" s="33"/>
      <c r="BY371" s="33"/>
      <c r="BZ371" s="33"/>
      <c r="CA371" s="33"/>
      <c r="CB371" s="33"/>
      <c r="CC371" s="33"/>
      <c r="CD371" s="33"/>
    </row>
    <row r="372" spans="1:82" x14ac:dyDescent="0.25">
      <c r="A372" s="32"/>
      <c r="B372" s="32"/>
      <c r="C372" s="32"/>
      <c r="D372" s="32"/>
      <c r="E372" s="32"/>
      <c r="F372" s="32"/>
      <c r="G372" s="32"/>
      <c r="H372" s="32"/>
      <c r="I372" s="32"/>
      <c r="J372" s="32"/>
      <c r="K372" s="32"/>
      <c r="L372" s="32"/>
      <c r="M372" s="32"/>
      <c r="N372" s="32"/>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row>
    <row r="373" spans="1:82" x14ac:dyDescent="0.25">
      <c r="A373" s="32"/>
      <c r="B373" s="32"/>
      <c r="C373" s="32"/>
      <c r="D373" s="32"/>
      <c r="E373" s="32"/>
      <c r="F373" s="32"/>
      <c r="G373" s="32"/>
      <c r="H373" s="32"/>
      <c r="I373" s="32"/>
      <c r="J373" s="32"/>
      <c r="K373" s="32"/>
      <c r="L373" s="32"/>
      <c r="M373" s="32"/>
      <c r="N373" s="32"/>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c r="BJ373" s="33"/>
      <c r="BK373" s="33"/>
      <c r="BL373" s="33"/>
      <c r="BM373" s="33"/>
      <c r="BN373" s="33"/>
      <c r="BO373" s="33"/>
      <c r="BP373" s="33"/>
      <c r="BQ373" s="33"/>
      <c r="BR373" s="33"/>
      <c r="BS373" s="33"/>
      <c r="BT373" s="33"/>
      <c r="BU373" s="33"/>
      <c r="BV373" s="33"/>
      <c r="BW373" s="33"/>
      <c r="BX373" s="33"/>
      <c r="BY373" s="33"/>
      <c r="BZ373" s="33"/>
      <c r="CA373" s="33"/>
      <c r="CB373" s="33"/>
      <c r="CC373" s="33"/>
      <c r="CD373" s="33"/>
    </row>
    <row r="374" spans="1:82" x14ac:dyDescent="0.25">
      <c r="A374" s="32"/>
      <c r="B374" s="32"/>
      <c r="C374" s="32"/>
      <c r="D374" s="32"/>
      <c r="E374" s="32"/>
      <c r="F374" s="32"/>
      <c r="G374" s="32"/>
      <c r="H374" s="32"/>
      <c r="I374" s="32"/>
      <c r="J374" s="32"/>
      <c r="K374" s="32"/>
      <c r="L374" s="32"/>
      <c r="M374" s="32"/>
      <c r="N374" s="32"/>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c r="BB374" s="33"/>
      <c r="BC374" s="33"/>
      <c r="BD374" s="33"/>
      <c r="BE374" s="33"/>
      <c r="BF374" s="33"/>
      <c r="BG374" s="33"/>
      <c r="BH374" s="33"/>
      <c r="BI374" s="33"/>
      <c r="BJ374" s="33"/>
      <c r="BK374" s="33"/>
      <c r="BL374" s="33"/>
      <c r="BM374" s="33"/>
      <c r="BN374" s="33"/>
      <c r="BO374" s="33"/>
      <c r="BP374" s="33"/>
      <c r="BQ374" s="33"/>
      <c r="BR374" s="33"/>
      <c r="BS374" s="33"/>
      <c r="BT374" s="33"/>
      <c r="BU374" s="33"/>
      <c r="BV374" s="33"/>
      <c r="BW374" s="33"/>
      <c r="BX374" s="33"/>
      <c r="BY374" s="33"/>
      <c r="BZ374" s="33"/>
      <c r="CA374" s="33"/>
      <c r="CB374" s="33"/>
      <c r="CC374" s="33"/>
      <c r="CD374" s="33"/>
    </row>
    <row r="375" spans="1:82" x14ac:dyDescent="0.25">
      <c r="A375" s="32"/>
      <c r="B375" s="32"/>
      <c r="C375" s="32"/>
      <c r="D375" s="32"/>
      <c r="E375" s="32"/>
      <c r="F375" s="32"/>
      <c r="G375" s="32"/>
      <c r="H375" s="32"/>
      <c r="I375" s="32"/>
      <c r="J375" s="32"/>
      <c r="K375" s="32"/>
      <c r="L375" s="32"/>
      <c r="M375" s="32"/>
      <c r="N375" s="32"/>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c r="BB375" s="33"/>
      <c r="BC375" s="33"/>
      <c r="BD375" s="33"/>
      <c r="BE375" s="33"/>
      <c r="BF375" s="33"/>
      <c r="BG375" s="33"/>
      <c r="BH375" s="33"/>
      <c r="BI375" s="33"/>
      <c r="BJ375" s="33"/>
      <c r="BK375" s="33"/>
      <c r="BL375" s="33"/>
      <c r="BM375" s="33"/>
      <c r="BN375" s="33"/>
      <c r="BO375" s="33"/>
      <c r="BP375" s="33"/>
      <c r="BQ375" s="33"/>
      <c r="BR375" s="33"/>
      <c r="BS375" s="33"/>
      <c r="BT375" s="33"/>
      <c r="BU375" s="33"/>
      <c r="BV375" s="33"/>
      <c r="BW375" s="33"/>
      <c r="BX375" s="33"/>
      <c r="BY375" s="33"/>
      <c r="BZ375" s="33"/>
      <c r="CA375" s="33"/>
      <c r="CB375" s="33"/>
      <c r="CC375" s="33"/>
      <c r="CD375" s="33"/>
    </row>
    <row r="376" spans="1:82" x14ac:dyDescent="0.25">
      <c r="A376" s="32"/>
      <c r="B376" s="32"/>
      <c r="C376" s="32"/>
      <c r="D376" s="32"/>
      <c r="E376" s="32"/>
      <c r="F376" s="32"/>
      <c r="G376" s="32"/>
      <c r="H376" s="32"/>
      <c r="I376" s="32"/>
      <c r="J376" s="32"/>
      <c r="K376" s="32"/>
      <c r="L376" s="32"/>
      <c r="M376" s="32"/>
      <c r="N376" s="32"/>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c r="BB376" s="33"/>
      <c r="BC376" s="33"/>
      <c r="BD376" s="33"/>
      <c r="BE376" s="33"/>
      <c r="BF376" s="33"/>
      <c r="BG376" s="33"/>
      <c r="BH376" s="33"/>
      <c r="BI376" s="33"/>
      <c r="BJ376" s="33"/>
      <c r="BK376" s="33"/>
      <c r="BL376" s="33"/>
      <c r="BM376" s="33"/>
      <c r="BN376" s="33"/>
      <c r="BO376" s="33"/>
      <c r="BP376" s="33"/>
      <c r="BQ376" s="33"/>
      <c r="BR376" s="33"/>
      <c r="BS376" s="33"/>
      <c r="BT376" s="33"/>
      <c r="BU376" s="33"/>
      <c r="BV376" s="33"/>
      <c r="BW376" s="33"/>
      <c r="BX376" s="33"/>
      <c r="BY376" s="33"/>
      <c r="BZ376" s="33"/>
      <c r="CA376" s="33"/>
      <c r="CB376" s="33"/>
      <c r="CC376" s="33"/>
      <c r="CD376" s="33"/>
    </row>
    <row r="377" spans="1:82" x14ac:dyDescent="0.25">
      <c r="A377" s="32"/>
      <c r="B377" s="32"/>
      <c r="C377" s="32"/>
      <c r="D377" s="32"/>
      <c r="E377" s="32"/>
      <c r="F377" s="32"/>
      <c r="G377" s="32"/>
      <c r="H377" s="32"/>
      <c r="I377" s="32"/>
      <c r="J377" s="32"/>
      <c r="K377" s="32"/>
      <c r="L377" s="32"/>
      <c r="M377" s="32"/>
      <c r="N377" s="32"/>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row>
    <row r="378" spans="1:82" x14ac:dyDescent="0.25">
      <c r="A378" s="32"/>
      <c r="B378" s="32"/>
      <c r="C378" s="32"/>
      <c r="D378" s="32"/>
      <c r="E378" s="32"/>
      <c r="F378" s="32"/>
      <c r="G378" s="32"/>
      <c r="H378" s="32"/>
      <c r="I378" s="32"/>
      <c r="J378" s="32"/>
      <c r="K378" s="32"/>
      <c r="L378" s="32"/>
      <c r="M378" s="32"/>
      <c r="N378" s="32"/>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c r="BB378" s="33"/>
      <c r="BC378" s="33"/>
      <c r="BD378" s="33"/>
      <c r="BE378" s="33"/>
      <c r="BF378" s="33"/>
      <c r="BG378" s="33"/>
      <c r="BH378" s="33"/>
      <c r="BI378" s="33"/>
      <c r="BJ378" s="33"/>
      <c r="BK378" s="33"/>
      <c r="BL378" s="33"/>
      <c r="BM378" s="33"/>
      <c r="BN378" s="33"/>
      <c r="BO378" s="33"/>
      <c r="BP378" s="33"/>
      <c r="BQ378" s="33"/>
      <c r="BR378" s="33"/>
      <c r="BS378" s="33"/>
      <c r="BT378" s="33"/>
      <c r="BU378" s="33"/>
      <c r="BV378" s="33"/>
      <c r="BW378" s="33"/>
      <c r="BX378" s="33"/>
      <c r="BY378" s="33"/>
      <c r="BZ378" s="33"/>
      <c r="CA378" s="33"/>
      <c r="CB378" s="33"/>
      <c r="CC378" s="33"/>
      <c r="CD378" s="33"/>
    </row>
    <row r="379" spans="1:82" x14ac:dyDescent="0.25">
      <c r="A379" s="32"/>
      <c r="B379" s="32"/>
      <c r="C379" s="32"/>
      <c r="D379" s="32"/>
      <c r="E379" s="32"/>
      <c r="F379" s="32"/>
      <c r="G379" s="32"/>
      <c r="H379" s="32"/>
      <c r="I379" s="32"/>
      <c r="J379" s="32"/>
      <c r="K379" s="32"/>
      <c r="L379" s="32"/>
      <c r="M379" s="32"/>
      <c r="N379" s="32"/>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c r="BB379" s="33"/>
      <c r="BC379" s="33"/>
      <c r="BD379" s="33"/>
      <c r="BE379" s="33"/>
      <c r="BF379" s="33"/>
      <c r="BG379" s="33"/>
      <c r="BH379" s="33"/>
      <c r="BI379" s="33"/>
      <c r="BJ379" s="33"/>
      <c r="BK379" s="33"/>
      <c r="BL379" s="33"/>
      <c r="BM379" s="33"/>
      <c r="BN379" s="33"/>
      <c r="BO379" s="33"/>
      <c r="BP379" s="33"/>
      <c r="BQ379" s="33"/>
      <c r="BR379" s="33"/>
      <c r="BS379" s="33"/>
      <c r="BT379" s="33"/>
      <c r="BU379" s="33"/>
      <c r="BV379" s="33"/>
      <c r="BW379" s="33"/>
      <c r="BX379" s="33"/>
      <c r="BY379" s="33"/>
      <c r="BZ379" s="33"/>
      <c r="CA379" s="33"/>
      <c r="CB379" s="33"/>
      <c r="CC379" s="33"/>
      <c r="CD379" s="33"/>
    </row>
    <row r="380" spans="1:82" x14ac:dyDescent="0.25">
      <c r="A380" s="32"/>
      <c r="B380" s="32"/>
      <c r="C380" s="32"/>
      <c r="D380" s="32"/>
      <c r="E380" s="32"/>
      <c r="F380" s="32"/>
      <c r="G380" s="32"/>
      <c r="H380" s="32"/>
      <c r="I380" s="32"/>
      <c r="J380" s="32"/>
      <c r="K380" s="32"/>
      <c r="L380" s="32"/>
      <c r="M380" s="32"/>
      <c r="N380" s="32"/>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c r="BB380" s="33"/>
      <c r="BC380" s="33"/>
      <c r="BD380" s="33"/>
      <c r="BE380" s="33"/>
      <c r="BF380" s="33"/>
      <c r="BG380" s="33"/>
      <c r="BH380" s="33"/>
      <c r="BI380" s="33"/>
      <c r="BJ380" s="33"/>
      <c r="BK380" s="33"/>
      <c r="BL380" s="33"/>
      <c r="BM380" s="33"/>
      <c r="BN380" s="33"/>
      <c r="BO380" s="33"/>
      <c r="BP380" s="33"/>
      <c r="BQ380" s="33"/>
      <c r="BR380" s="33"/>
      <c r="BS380" s="33"/>
      <c r="BT380" s="33"/>
      <c r="BU380" s="33"/>
      <c r="BV380" s="33"/>
      <c r="BW380" s="33"/>
      <c r="BX380" s="33"/>
      <c r="BY380" s="33"/>
      <c r="BZ380" s="33"/>
      <c r="CA380" s="33"/>
      <c r="CB380" s="33"/>
      <c r="CC380" s="33"/>
      <c r="CD380" s="33"/>
    </row>
    <row r="381" spans="1:82" x14ac:dyDescent="0.25">
      <c r="A381" s="32"/>
      <c r="B381" s="32"/>
      <c r="C381" s="32"/>
      <c r="D381" s="32"/>
      <c r="E381" s="32"/>
      <c r="F381" s="32"/>
      <c r="G381" s="32"/>
      <c r="H381" s="32"/>
      <c r="I381" s="32"/>
      <c r="J381" s="32"/>
      <c r="K381" s="32"/>
      <c r="L381" s="32"/>
      <c r="M381" s="32"/>
      <c r="N381" s="32"/>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c r="BB381" s="33"/>
      <c r="BC381" s="33"/>
      <c r="BD381" s="33"/>
      <c r="BE381" s="33"/>
      <c r="BF381" s="33"/>
      <c r="BG381" s="33"/>
      <c r="BH381" s="33"/>
      <c r="BI381" s="33"/>
      <c r="BJ381" s="33"/>
      <c r="BK381" s="33"/>
      <c r="BL381" s="33"/>
      <c r="BM381" s="33"/>
      <c r="BN381" s="33"/>
      <c r="BO381" s="33"/>
      <c r="BP381" s="33"/>
      <c r="BQ381" s="33"/>
      <c r="BR381" s="33"/>
      <c r="BS381" s="33"/>
      <c r="BT381" s="33"/>
      <c r="BU381" s="33"/>
      <c r="BV381" s="33"/>
      <c r="BW381" s="33"/>
      <c r="BX381" s="33"/>
      <c r="BY381" s="33"/>
      <c r="BZ381" s="33"/>
      <c r="CA381" s="33"/>
      <c r="CB381" s="33"/>
      <c r="CC381" s="33"/>
      <c r="CD381" s="33"/>
    </row>
    <row r="382" spans="1:82" x14ac:dyDescent="0.25">
      <c r="A382" s="32"/>
      <c r="B382" s="32"/>
      <c r="C382" s="32"/>
      <c r="D382" s="32"/>
      <c r="E382" s="32"/>
      <c r="F382" s="32"/>
      <c r="G382" s="32"/>
      <c r="H382" s="32"/>
      <c r="I382" s="32"/>
      <c r="J382" s="32"/>
      <c r="K382" s="32"/>
      <c r="L382" s="32"/>
      <c r="M382" s="32"/>
      <c r="N382" s="32"/>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c r="BB382" s="33"/>
      <c r="BC382" s="33"/>
      <c r="BD382" s="33"/>
      <c r="BE382" s="33"/>
      <c r="BF382" s="33"/>
      <c r="BG382" s="33"/>
      <c r="BH382" s="33"/>
      <c r="BI382" s="33"/>
      <c r="BJ382" s="33"/>
      <c r="BK382" s="33"/>
      <c r="BL382" s="33"/>
      <c r="BM382" s="33"/>
      <c r="BN382" s="33"/>
      <c r="BO382" s="33"/>
      <c r="BP382" s="33"/>
      <c r="BQ382" s="33"/>
      <c r="BR382" s="33"/>
      <c r="BS382" s="33"/>
      <c r="BT382" s="33"/>
      <c r="BU382" s="33"/>
      <c r="BV382" s="33"/>
      <c r="BW382" s="33"/>
      <c r="BX382" s="33"/>
      <c r="BY382" s="33"/>
      <c r="BZ382" s="33"/>
      <c r="CA382" s="33"/>
      <c r="CB382" s="33"/>
      <c r="CC382" s="33"/>
      <c r="CD382" s="33"/>
    </row>
    <row r="383" spans="1:82" x14ac:dyDescent="0.25">
      <c r="A383" s="32"/>
      <c r="B383" s="32"/>
      <c r="C383" s="32"/>
      <c r="D383" s="32"/>
      <c r="E383" s="32"/>
      <c r="F383" s="32"/>
      <c r="G383" s="32"/>
      <c r="H383" s="32"/>
      <c r="I383" s="32"/>
      <c r="J383" s="32"/>
      <c r="K383" s="32"/>
      <c r="L383" s="32"/>
      <c r="M383" s="32"/>
      <c r="N383" s="32"/>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c r="BB383" s="33"/>
      <c r="BC383" s="33"/>
      <c r="BD383" s="33"/>
      <c r="BE383" s="33"/>
      <c r="BF383" s="33"/>
      <c r="BG383" s="33"/>
      <c r="BH383" s="33"/>
      <c r="BI383" s="33"/>
      <c r="BJ383" s="33"/>
      <c r="BK383" s="33"/>
      <c r="BL383" s="33"/>
      <c r="BM383" s="33"/>
      <c r="BN383" s="33"/>
      <c r="BO383" s="33"/>
      <c r="BP383" s="33"/>
      <c r="BQ383" s="33"/>
      <c r="BR383" s="33"/>
      <c r="BS383" s="33"/>
      <c r="BT383" s="33"/>
      <c r="BU383" s="33"/>
      <c r="BV383" s="33"/>
      <c r="BW383" s="33"/>
      <c r="BX383" s="33"/>
      <c r="BY383" s="33"/>
      <c r="BZ383" s="33"/>
      <c r="CA383" s="33"/>
      <c r="CB383" s="33"/>
      <c r="CC383" s="33"/>
      <c r="CD383" s="33"/>
    </row>
    <row r="384" spans="1:82" x14ac:dyDescent="0.25">
      <c r="A384" s="32"/>
      <c r="B384" s="32"/>
      <c r="C384" s="32"/>
      <c r="D384" s="32"/>
      <c r="E384" s="32"/>
      <c r="F384" s="32"/>
      <c r="G384" s="32"/>
      <c r="H384" s="32"/>
      <c r="I384" s="32"/>
      <c r="J384" s="32"/>
      <c r="K384" s="32"/>
      <c r="L384" s="32"/>
      <c r="M384" s="32"/>
      <c r="N384" s="32"/>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c r="BB384" s="33"/>
      <c r="BC384" s="33"/>
      <c r="BD384" s="33"/>
      <c r="BE384" s="33"/>
      <c r="BF384" s="33"/>
      <c r="BG384" s="33"/>
      <c r="BH384" s="33"/>
      <c r="BI384" s="33"/>
      <c r="BJ384" s="33"/>
      <c r="BK384" s="33"/>
      <c r="BL384" s="33"/>
      <c r="BM384" s="33"/>
      <c r="BN384" s="33"/>
      <c r="BO384" s="33"/>
      <c r="BP384" s="33"/>
      <c r="BQ384" s="33"/>
      <c r="BR384" s="33"/>
      <c r="BS384" s="33"/>
      <c r="BT384" s="33"/>
      <c r="BU384" s="33"/>
      <c r="BV384" s="33"/>
      <c r="BW384" s="33"/>
      <c r="BX384" s="33"/>
      <c r="BY384" s="33"/>
      <c r="BZ384" s="33"/>
      <c r="CA384" s="33"/>
      <c r="CB384" s="33"/>
      <c r="CC384" s="33"/>
      <c r="CD384" s="33"/>
    </row>
    <row r="385" spans="1:82" x14ac:dyDescent="0.25">
      <c r="A385" s="32"/>
      <c r="B385" s="32"/>
      <c r="C385" s="32"/>
      <c r="D385" s="32"/>
      <c r="E385" s="32"/>
      <c r="F385" s="32"/>
      <c r="G385" s="32"/>
      <c r="H385" s="32"/>
      <c r="I385" s="32"/>
      <c r="J385" s="32"/>
      <c r="K385" s="32"/>
      <c r="L385" s="32"/>
      <c r="M385" s="32"/>
      <c r="N385" s="32"/>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c r="BB385" s="33"/>
      <c r="BC385" s="33"/>
      <c r="BD385" s="33"/>
      <c r="BE385" s="33"/>
      <c r="BF385" s="33"/>
      <c r="BG385" s="33"/>
      <c r="BH385" s="33"/>
      <c r="BI385" s="33"/>
      <c r="BJ385" s="33"/>
      <c r="BK385" s="33"/>
      <c r="BL385" s="33"/>
      <c r="BM385" s="33"/>
      <c r="BN385" s="33"/>
      <c r="BO385" s="33"/>
      <c r="BP385" s="33"/>
      <c r="BQ385" s="33"/>
      <c r="BR385" s="33"/>
      <c r="BS385" s="33"/>
      <c r="BT385" s="33"/>
      <c r="BU385" s="33"/>
      <c r="BV385" s="33"/>
      <c r="BW385" s="33"/>
      <c r="BX385" s="33"/>
      <c r="BY385" s="33"/>
      <c r="BZ385" s="33"/>
      <c r="CA385" s="33"/>
      <c r="CB385" s="33"/>
      <c r="CC385" s="33"/>
      <c r="CD385" s="33"/>
    </row>
    <row r="386" spans="1:82" x14ac:dyDescent="0.25">
      <c r="A386" s="32"/>
      <c r="B386" s="32"/>
      <c r="C386" s="32"/>
      <c r="D386" s="32"/>
      <c r="E386" s="32"/>
      <c r="F386" s="32"/>
      <c r="G386" s="32"/>
      <c r="H386" s="32"/>
      <c r="I386" s="32"/>
      <c r="J386" s="32"/>
      <c r="K386" s="32"/>
      <c r="L386" s="32"/>
      <c r="M386" s="32"/>
      <c r="N386" s="32"/>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c r="BB386" s="33"/>
      <c r="BC386" s="33"/>
      <c r="BD386" s="33"/>
      <c r="BE386" s="33"/>
      <c r="BF386" s="33"/>
      <c r="BG386" s="33"/>
      <c r="BH386" s="33"/>
      <c r="BI386" s="33"/>
      <c r="BJ386" s="33"/>
      <c r="BK386" s="33"/>
      <c r="BL386" s="33"/>
      <c r="BM386" s="33"/>
      <c r="BN386" s="33"/>
      <c r="BO386" s="33"/>
      <c r="BP386" s="33"/>
      <c r="BQ386" s="33"/>
      <c r="BR386" s="33"/>
      <c r="BS386" s="33"/>
      <c r="BT386" s="33"/>
      <c r="BU386" s="33"/>
      <c r="BV386" s="33"/>
      <c r="BW386" s="33"/>
      <c r="BX386" s="33"/>
      <c r="BY386" s="33"/>
      <c r="BZ386" s="33"/>
      <c r="CA386" s="33"/>
      <c r="CB386" s="33"/>
      <c r="CC386" s="33"/>
      <c r="CD386" s="33"/>
    </row>
    <row r="387" spans="1:82" x14ac:dyDescent="0.25">
      <c r="A387" s="32"/>
      <c r="B387" s="32"/>
      <c r="C387" s="32"/>
      <c r="D387" s="32"/>
      <c r="E387" s="32"/>
      <c r="F387" s="32"/>
      <c r="G387" s="32"/>
      <c r="H387" s="32"/>
      <c r="I387" s="32"/>
      <c r="J387" s="32"/>
      <c r="K387" s="32"/>
      <c r="L387" s="32"/>
      <c r="M387" s="32"/>
      <c r="N387" s="32"/>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c r="BB387" s="33"/>
      <c r="BC387" s="33"/>
      <c r="BD387" s="33"/>
      <c r="BE387" s="33"/>
      <c r="BF387" s="33"/>
      <c r="BG387" s="33"/>
      <c r="BH387" s="33"/>
      <c r="BI387" s="33"/>
      <c r="BJ387" s="33"/>
      <c r="BK387" s="33"/>
      <c r="BL387" s="33"/>
      <c r="BM387" s="33"/>
      <c r="BN387" s="33"/>
      <c r="BO387" s="33"/>
      <c r="BP387" s="33"/>
      <c r="BQ387" s="33"/>
      <c r="BR387" s="33"/>
      <c r="BS387" s="33"/>
      <c r="BT387" s="33"/>
      <c r="BU387" s="33"/>
      <c r="BV387" s="33"/>
      <c r="BW387" s="33"/>
      <c r="BX387" s="33"/>
      <c r="BY387" s="33"/>
      <c r="BZ387" s="33"/>
      <c r="CA387" s="33"/>
      <c r="CB387" s="33"/>
      <c r="CC387" s="33"/>
      <c r="CD387" s="33"/>
    </row>
    <row r="388" spans="1:82" x14ac:dyDescent="0.25">
      <c r="A388" s="32"/>
      <c r="B388" s="32"/>
      <c r="C388" s="32"/>
      <c r="D388" s="32"/>
      <c r="E388" s="32"/>
      <c r="F388" s="32"/>
      <c r="G388" s="32"/>
      <c r="H388" s="32"/>
      <c r="I388" s="32"/>
      <c r="J388" s="32"/>
      <c r="K388" s="32"/>
      <c r="L388" s="32"/>
      <c r="M388" s="32"/>
      <c r="N388" s="32"/>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c r="BB388" s="33"/>
      <c r="BC388" s="33"/>
      <c r="BD388" s="33"/>
      <c r="BE388" s="33"/>
      <c r="BF388" s="33"/>
      <c r="BG388" s="33"/>
      <c r="BH388" s="33"/>
      <c r="BI388" s="33"/>
      <c r="BJ388" s="33"/>
      <c r="BK388" s="33"/>
      <c r="BL388" s="33"/>
      <c r="BM388" s="33"/>
      <c r="BN388" s="33"/>
      <c r="BO388" s="33"/>
      <c r="BP388" s="33"/>
      <c r="BQ388" s="33"/>
      <c r="BR388" s="33"/>
      <c r="BS388" s="33"/>
      <c r="BT388" s="33"/>
      <c r="BU388" s="33"/>
      <c r="BV388" s="33"/>
      <c r="BW388" s="33"/>
      <c r="BX388" s="33"/>
      <c r="BY388" s="33"/>
      <c r="BZ388" s="33"/>
      <c r="CA388" s="33"/>
      <c r="CB388" s="33"/>
      <c r="CC388" s="33"/>
      <c r="CD388" s="33"/>
    </row>
    <row r="389" spans="1:82" x14ac:dyDescent="0.25">
      <c r="A389" s="32"/>
      <c r="B389" s="32"/>
      <c r="C389" s="32"/>
      <c r="D389" s="32"/>
      <c r="E389" s="32"/>
      <c r="F389" s="32"/>
      <c r="G389" s="32"/>
      <c r="H389" s="32"/>
      <c r="I389" s="32"/>
      <c r="J389" s="32"/>
      <c r="K389" s="32"/>
      <c r="L389" s="32"/>
      <c r="M389" s="32"/>
      <c r="N389" s="32"/>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c r="BB389" s="33"/>
      <c r="BC389" s="33"/>
      <c r="BD389" s="33"/>
      <c r="BE389" s="33"/>
      <c r="BF389" s="33"/>
      <c r="BG389" s="33"/>
      <c r="BH389" s="33"/>
      <c r="BI389" s="33"/>
      <c r="BJ389" s="33"/>
      <c r="BK389" s="33"/>
      <c r="BL389" s="33"/>
      <c r="BM389" s="33"/>
      <c r="BN389" s="33"/>
      <c r="BO389" s="33"/>
      <c r="BP389" s="33"/>
      <c r="BQ389" s="33"/>
      <c r="BR389" s="33"/>
      <c r="BS389" s="33"/>
      <c r="BT389" s="33"/>
      <c r="BU389" s="33"/>
      <c r="BV389" s="33"/>
      <c r="BW389" s="33"/>
      <c r="BX389" s="33"/>
      <c r="BY389" s="33"/>
      <c r="BZ389" s="33"/>
      <c r="CA389" s="33"/>
      <c r="CB389" s="33"/>
      <c r="CC389" s="33"/>
      <c r="CD389" s="33"/>
    </row>
    <row r="390" spans="1:82" x14ac:dyDescent="0.25">
      <c r="A390" s="32"/>
      <c r="B390" s="32"/>
      <c r="C390" s="32"/>
      <c r="D390" s="32"/>
      <c r="E390" s="32"/>
      <c r="F390" s="32"/>
      <c r="G390" s="32"/>
      <c r="H390" s="32"/>
      <c r="I390" s="32"/>
      <c r="J390" s="32"/>
      <c r="K390" s="32"/>
      <c r="L390" s="32"/>
      <c r="M390" s="32"/>
      <c r="N390" s="32"/>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c r="BB390" s="33"/>
      <c r="BC390" s="33"/>
      <c r="BD390" s="33"/>
      <c r="BE390" s="33"/>
      <c r="BF390" s="33"/>
      <c r="BG390" s="33"/>
      <c r="BH390" s="33"/>
      <c r="BI390" s="33"/>
      <c r="BJ390" s="33"/>
      <c r="BK390" s="33"/>
      <c r="BL390" s="33"/>
      <c r="BM390" s="33"/>
      <c r="BN390" s="33"/>
      <c r="BO390" s="33"/>
      <c r="BP390" s="33"/>
      <c r="BQ390" s="33"/>
      <c r="BR390" s="33"/>
      <c r="BS390" s="33"/>
      <c r="BT390" s="33"/>
      <c r="BU390" s="33"/>
      <c r="BV390" s="33"/>
      <c r="BW390" s="33"/>
      <c r="BX390" s="33"/>
      <c r="BY390" s="33"/>
      <c r="BZ390" s="33"/>
      <c r="CA390" s="33"/>
      <c r="CB390" s="33"/>
      <c r="CC390" s="33"/>
      <c r="CD390" s="33"/>
    </row>
    <row r="391" spans="1:82" x14ac:dyDescent="0.25">
      <c r="A391" s="32"/>
      <c r="B391" s="32"/>
      <c r="C391" s="32"/>
      <c r="D391" s="32"/>
      <c r="E391" s="32"/>
      <c r="F391" s="32"/>
      <c r="G391" s="32"/>
      <c r="H391" s="32"/>
      <c r="I391" s="32"/>
      <c r="J391" s="32"/>
      <c r="K391" s="32"/>
      <c r="L391" s="32"/>
      <c r="M391" s="32"/>
      <c r="N391" s="32"/>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c r="BB391" s="33"/>
      <c r="BC391" s="33"/>
      <c r="BD391" s="33"/>
      <c r="BE391" s="33"/>
      <c r="BF391" s="33"/>
      <c r="BG391" s="33"/>
      <c r="BH391" s="33"/>
      <c r="BI391" s="33"/>
      <c r="BJ391" s="33"/>
      <c r="BK391" s="33"/>
      <c r="BL391" s="33"/>
      <c r="BM391" s="33"/>
      <c r="BN391" s="33"/>
      <c r="BO391" s="33"/>
      <c r="BP391" s="33"/>
      <c r="BQ391" s="33"/>
      <c r="BR391" s="33"/>
      <c r="BS391" s="33"/>
      <c r="BT391" s="33"/>
      <c r="BU391" s="33"/>
      <c r="BV391" s="33"/>
      <c r="BW391" s="33"/>
      <c r="BX391" s="33"/>
      <c r="BY391" s="33"/>
      <c r="BZ391" s="33"/>
      <c r="CA391" s="33"/>
      <c r="CB391" s="33"/>
      <c r="CC391" s="33"/>
      <c r="CD391" s="33"/>
    </row>
    <row r="392" spans="1:82" x14ac:dyDescent="0.25">
      <c r="A392" s="32"/>
      <c r="B392" s="32"/>
      <c r="C392" s="32"/>
      <c r="D392" s="32"/>
      <c r="E392" s="32"/>
      <c r="F392" s="32"/>
      <c r="G392" s="32"/>
      <c r="H392" s="32"/>
      <c r="I392" s="32"/>
      <c r="J392" s="32"/>
      <c r="K392" s="32"/>
      <c r="L392" s="32"/>
      <c r="M392" s="32"/>
      <c r="N392" s="32"/>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c r="BB392" s="33"/>
      <c r="BC392" s="33"/>
      <c r="BD392" s="33"/>
      <c r="BE392" s="33"/>
      <c r="BF392" s="33"/>
      <c r="BG392" s="33"/>
      <c r="BH392" s="33"/>
      <c r="BI392" s="33"/>
      <c r="BJ392" s="33"/>
      <c r="BK392" s="33"/>
      <c r="BL392" s="33"/>
      <c r="BM392" s="33"/>
      <c r="BN392" s="33"/>
      <c r="BO392" s="33"/>
      <c r="BP392" s="33"/>
      <c r="BQ392" s="33"/>
      <c r="BR392" s="33"/>
      <c r="BS392" s="33"/>
      <c r="BT392" s="33"/>
      <c r="BU392" s="33"/>
      <c r="BV392" s="33"/>
      <c r="BW392" s="33"/>
      <c r="BX392" s="33"/>
      <c r="BY392" s="33"/>
      <c r="BZ392" s="33"/>
      <c r="CA392" s="33"/>
      <c r="CB392" s="33"/>
      <c r="CC392" s="33"/>
      <c r="CD392" s="33"/>
    </row>
    <row r="393" spans="1:82" x14ac:dyDescent="0.25">
      <c r="A393" s="32"/>
      <c r="B393" s="32"/>
      <c r="C393" s="32"/>
      <c r="D393" s="32"/>
      <c r="E393" s="32"/>
      <c r="F393" s="32"/>
      <c r="G393" s="32"/>
      <c r="H393" s="32"/>
      <c r="I393" s="32"/>
      <c r="J393" s="32"/>
      <c r="K393" s="32"/>
      <c r="L393" s="32"/>
      <c r="M393" s="32"/>
      <c r="N393" s="32"/>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c r="BB393" s="33"/>
      <c r="BC393" s="33"/>
      <c r="BD393" s="33"/>
      <c r="BE393" s="33"/>
      <c r="BF393" s="33"/>
      <c r="BG393" s="33"/>
      <c r="BH393" s="33"/>
      <c r="BI393" s="33"/>
      <c r="BJ393" s="33"/>
      <c r="BK393" s="33"/>
      <c r="BL393" s="33"/>
      <c r="BM393" s="33"/>
      <c r="BN393" s="33"/>
      <c r="BO393" s="33"/>
      <c r="BP393" s="33"/>
      <c r="BQ393" s="33"/>
      <c r="BR393" s="33"/>
      <c r="BS393" s="33"/>
      <c r="BT393" s="33"/>
      <c r="BU393" s="33"/>
      <c r="BV393" s="33"/>
      <c r="BW393" s="33"/>
      <c r="BX393" s="33"/>
      <c r="BY393" s="33"/>
      <c r="BZ393" s="33"/>
      <c r="CA393" s="33"/>
      <c r="CB393" s="33"/>
      <c r="CC393" s="33"/>
      <c r="CD393" s="33"/>
    </row>
    <row r="394" spans="1:82" x14ac:dyDescent="0.25">
      <c r="A394" s="32"/>
      <c r="B394" s="32"/>
      <c r="C394" s="32"/>
      <c r="D394" s="32"/>
      <c r="E394" s="32"/>
      <c r="F394" s="32"/>
      <c r="G394" s="32"/>
      <c r="H394" s="32"/>
      <c r="I394" s="32"/>
      <c r="J394" s="32"/>
      <c r="K394" s="32"/>
      <c r="L394" s="32"/>
      <c r="M394" s="32"/>
      <c r="N394" s="32"/>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row>
    <row r="395" spans="1:82" x14ac:dyDescent="0.25">
      <c r="A395" s="32"/>
      <c r="B395" s="32"/>
      <c r="C395" s="32"/>
      <c r="D395" s="32"/>
      <c r="E395" s="32"/>
      <c r="F395" s="32"/>
      <c r="G395" s="32"/>
      <c r="H395" s="32"/>
      <c r="I395" s="32"/>
      <c r="J395" s="32"/>
      <c r="K395" s="32"/>
      <c r="L395" s="32"/>
      <c r="M395" s="32"/>
      <c r="N395" s="32"/>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row>
    <row r="396" spans="1:82" x14ac:dyDescent="0.25">
      <c r="A396" s="32"/>
      <c r="B396" s="32"/>
      <c r="C396" s="32"/>
      <c r="D396" s="32"/>
      <c r="E396" s="32"/>
      <c r="F396" s="32"/>
      <c r="G396" s="32"/>
      <c r="H396" s="32"/>
      <c r="I396" s="32"/>
      <c r="J396" s="32"/>
      <c r="K396" s="32"/>
      <c r="L396" s="32"/>
      <c r="M396" s="32"/>
      <c r="N396" s="32"/>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row>
    <row r="397" spans="1:82" x14ac:dyDescent="0.25">
      <c r="A397" s="32"/>
      <c r="B397" s="32"/>
      <c r="C397" s="32"/>
      <c r="D397" s="32"/>
      <c r="E397" s="32"/>
      <c r="F397" s="32"/>
      <c r="G397" s="32"/>
      <c r="H397" s="32"/>
      <c r="I397" s="32"/>
      <c r="J397" s="32"/>
      <c r="K397" s="32"/>
      <c r="L397" s="32"/>
      <c r="M397" s="32"/>
      <c r="N397" s="32"/>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c r="BB397" s="33"/>
      <c r="BC397" s="33"/>
      <c r="BD397" s="33"/>
      <c r="BE397" s="33"/>
      <c r="BF397" s="33"/>
      <c r="BG397" s="33"/>
      <c r="BH397" s="33"/>
      <c r="BI397" s="33"/>
      <c r="BJ397" s="33"/>
      <c r="BK397" s="33"/>
      <c r="BL397" s="33"/>
      <c r="BM397" s="33"/>
      <c r="BN397" s="33"/>
      <c r="BO397" s="33"/>
      <c r="BP397" s="33"/>
      <c r="BQ397" s="33"/>
      <c r="BR397" s="33"/>
      <c r="BS397" s="33"/>
      <c r="BT397" s="33"/>
      <c r="BU397" s="33"/>
      <c r="BV397" s="33"/>
      <c r="BW397" s="33"/>
      <c r="BX397" s="33"/>
      <c r="BY397" s="33"/>
      <c r="BZ397" s="33"/>
      <c r="CA397" s="33"/>
      <c r="CB397" s="33"/>
      <c r="CC397" s="33"/>
      <c r="CD397" s="33"/>
    </row>
    <row r="398" spans="1:82" x14ac:dyDescent="0.25">
      <c r="A398" s="32"/>
      <c r="B398" s="32"/>
      <c r="C398" s="32"/>
      <c r="D398" s="32"/>
      <c r="E398" s="32"/>
      <c r="F398" s="32"/>
      <c r="G398" s="32"/>
      <c r="H398" s="32"/>
      <c r="I398" s="32"/>
      <c r="J398" s="32"/>
      <c r="K398" s="32"/>
      <c r="L398" s="32"/>
      <c r="M398" s="32"/>
      <c r="N398" s="32"/>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c r="BB398" s="33"/>
      <c r="BC398" s="33"/>
      <c r="BD398" s="33"/>
      <c r="BE398" s="33"/>
      <c r="BF398" s="33"/>
      <c r="BG398" s="33"/>
      <c r="BH398" s="33"/>
      <c r="BI398" s="33"/>
      <c r="BJ398" s="33"/>
      <c r="BK398" s="33"/>
      <c r="BL398" s="33"/>
      <c r="BM398" s="33"/>
      <c r="BN398" s="33"/>
      <c r="BO398" s="33"/>
      <c r="BP398" s="33"/>
      <c r="BQ398" s="33"/>
      <c r="BR398" s="33"/>
      <c r="BS398" s="33"/>
      <c r="BT398" s="33"/>
      <c r="BU398" s="33"/>
      <c r="BV398" s="33"/>
      <c r="BW398" s="33"/>
      <c r="BX398" s="33"/>
      <c r="BY398" s="33"/>
      <c r="BZ398" s="33"/>
      <c r="CA398" s="33"/>
      <c r="CB398" s="33"/>
      <c r="CC398" s="33"/>
      <c r="CD398" s="33"/>
    </row>
    <row r="399" spans="1:82" x14ac:dyDescent="0.25">
      <c r="A399" s="32"/>
      <c r="B399" s="32"/>
      <c r="C399" s="32"/>
      <c r="D399" s="32"/>
      <c r="E399" s="32"/>
      <c r="F399" s="32"/>
      <c r="G399" s="32"/>
      <c r="H399" s="32"/>
      <c r="I399" s="32"/>
      <c r="J399" s="32"/>
      <c r="K399" s="32"/>
      <c r="L399" s="32"/>
      <c r="M399" s="32"/>
      <c r="N399" s="32"/>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c r="BB399" s="33"/>
      <c r="BC399" s="33"/>
      <c r="BD399" s="33"/>
      <c r="BE399" s="33"/>
      <c r="BF399" s="33"/>
      <c r="BG399" s="33"/>
      <c r="BH399" s="33"/>
      <c r="BI399" s="33"/>
      <c r="BJ399" s="33"/>
      <c r="BK399" s="33"/>
      <c r="BL399" s="33"/>
      <c r="BM399" s="33"/>
      <c r="BN399" s="33"/>
      <c r="BO399" s="33"/>
      <c r="BP399" s="33"/>
      <c r="BQ399" s="33"/>
      <c r="BR399" s="33"/>
      <c r="BS399" s="33"/>
      <c r="BT399" s="33"/>
      <c r="BU399" s="33"/>
      <c r="BV399" s="33"/>
      <c r="BW399" s="33"/>
      <c r="BX399" s="33"/>
      <c r="BY399" s="33"/>
      <c r="BZ399" s="33"/>
      <c r="CA399" s="33"/>
      <c r="CB399" s="33"/>
      <c r="CC399" s="33"/>
      <c r="CD399" s="33"/>
    </row>
    <row r="400" spans="1:82" x14ac:dyDescent="0.25">
      <c r="A400" s="32"/>
      <c r="B400" s="32"/>
      <c r="C400" s="32"/>
      <c r="D400" s="32"/>
      <c r="E400" s="32"/>
      <c r="F400" s="32"/>
      <c r="G400" s="32"/>
      <c r="H400" s="32"/>
      <c r="I400" s="32"/>
      <c r="J400" s="32"/>
      <c r="K400" s="32"/>
      <c r="L400" s="32"/>
      <c r="M400" s="32"/>
      <c r="N400" s="32"/>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c r="BB400" s="33"/>
      <c r="BC400" s="33"/>
      <c r="BD400" s="33"/>
      <c r="BE400" s="33"/>
      <c r="BF400" s="33"/>
      <c r="BG400" s="33"/>
      <c r="BH400" s="33"/>
      <c r="BI400" s="33"/>
      <c r="BJ400" s="33"/>
      <c r="BK400" s="33"/>
      <c r="BL400" s="33"/>
      <c r="BM400" s="33"/>
      <c r="BN400" s="33"/>
      <c r="BO400" s="33"/>
      <c r="BP400" s="33"/>
      <c r="BQ400" s="33"/>
      <c r="BR400" s="33"/>
      <c r="BS400" s="33"/>
      <c r="BT400" s="33"/>
      <c r="BU400" s="33"/>
      <c r="BV400" s="33"/>
      <c r="BW400" s="33"/>
      <c r="BX400" s="33"/>
      <c r="BY400" s="33"/>
      <c r="BZ400" s="33"/>
      <c r="CA400" s="33"/>
      <c r="CB400" s="33"/>
      <c r="CC400" s="33"/>
      <c r="CD400" s="33"/>
    </row>
    <row r="401" spans="1:82" x14ac:dyDescent="0.25">
      <c r="A401" s="32"/>
      <c r="B401" s="32"/>
      <c r="C401" s="32"/>
      <c r="D401" s="32"/>
      <c r="E401" s="32"/>
      <c r="F401" s="32"/>
      <c r="G401" s="32"/>
      <c r="H401" s="32"/>
      <c r="I401" s="32"/>
      <c r="J401" s="32"/>
      <c r="K401" s="32"/>
      <c r="L401" s="32"/>
      <c r="M401" s="32"/>
      <c r="N401" s="32"/>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row>
    <row r="402" spans="1:82" x14ac:dyDescent="0.25">
      <c r="A402" s="32"/>
      <c r="B402" s="32"/>
      <c r="C402" s="32"/>
      <c r="D402" s="32"/>
      <c r="E402" s="32"/>
      <c r="F402" s="32"/>
      <c r="G402" s="32"/>
      <c r="H402" s="32"/>
      <c r="I402" s="32"/>
      <c r="J402" s="32"/>
      <c r="K402" s="32"/>
      <c r="L402" s="32"/>
      <c r="M402" s="32"/>
      <c r="N402" s="32"/>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c r="BB402" s="33"/>
      <c r="BC402" s="33"/>
      <c r="BD402" s="33"/>
      <c r="BE402" s="33"/>
      <c r="BF402" s="33"/>
      <c r="BG402" s="33"/>
      <c r="BH402" s="33"/>
      <c r="BI402" s="33"/>
      <c r="BJ402" s="33"/>
      <c r="BK402" s="33"/>
      <c r="BL402" s="33"/>
      <c r="BM402" s="33"/>
      <c r="BN402" s="33"/>
      <c r="BO402" s="33"/>
      <c r="BP402" s="33"/>
      <c r="BQ402" s="33"/>
      <c r="BR402" s="33"/>
      <c r="BS402" s="33"/>
      <c r="BT402" s="33"/>
      <c r="BU402" s="33"/>
      <c r="BV402" s="33"/>
      <c r="BW402" s="33"/>
      <c r="BX402" s="33"/>
      <c r="BY402" s="33"/>
      <c r="BZ402" s="33"/>
      <c r="CA402" s="33"/>
      <c r="CB402" s="33"/>
      <c r="CC402" s="33"/>
      <c r="CD402" s="33"/>
    </row>
    <row r="403" spans="1:82" x14ac:dyDescent="0.25">
      <c r="A403" s="32"/>
      <c r="B403" s="32"/>
      <c r="C403" s="32"/>
      <c r="D403" s="32"/>
      <c r="E403" s="32"/>
      <c r="F403" s="32"/>
      <c r="G403" s="32"/>
      <c r="H403" s="32"/>
      <c r="I403" s="32"/>
      <c r="J403" s="32"/>
      <c r="K403" s="32"/>
      <c r="L403" s="32"/>
      <c r="M403" s="32"/>
      <c r="N403" s="32"/>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c r="BB403" s="33"/>
      <c r="BC403" s="33"/>
      <c r="BD403" s="33"/>
      <c r="BE403" s="33"/>
      <c r="BF403" s="33"/>
      <c r="BG403" s="33"/>
      <c r="BH403" s="33"/>
      <c r="BI403" s="33"/>
      <c r="BJ403" s="33"/>
      <c r="BK403" s="33"/>
      <c r="BL403" s="33"/>
      <c r="BM403" s="33"/>
      <c r="BN403" s="33"/>
      <c r="BO403" s="33"/>
      <c r="BP403" s="33"/>
      <c r="BQ403" s="33"/>
      <c r="BR403" s="33"/>
      <c r="BS403" s="33"/>
      <c r="BT403" s="33"/>
      <c r="BU403" s="33"/>
      <c r="BV403" s="33"/>
      <c r="BW403" s="33"/>
      <c r="BX403" s="33"/>
      <c r="BY403" s="33"/>
      <c r="BZ403" s="33"/>
      <c r="CA403" s="33"/>
      <c r="CB403" s="33"/>
      <c r="CC403" s="33"/>
      <c r="CD403" s="33"/>
    </row>
    <row r="404" spans="1:82" x14ac:dyDescent="0.25">
      <c r="A404" s="32"/>
      <c r="B404" s="32"/>
      <c r="C404" s="32"/>
      <c r="D404" s="32"/>
      <c r="E404" s="32"/>
      <c r="F404" s="32"/>
      <c r="G404" s="32"/>
      <c r="H404" s="32"/>
      <c r="I404" s="32"/>
      <c r="J404" s="32"/>
      <c r="K404" s="32"/>
      <c r="L404" s="32"/>
      <c r="M404" s="32"/>
      <c r="N404" s="32"/>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c r="BB404" s="33"/>
      <c r="BC404" s="33"/>
      <c r="BD404" s="33"/>
      <c r="BE404" s="33"/>
      <c r="BF404" s="33"/>
      <c r="BG404" s="33"/>
      <c r="BH404" s="33"/>
      <c r="BI404" s="33"/>
      <c r="BJ404" s="33"/>
      <c r="BK404" s="33"/>
      <c r="BL404" s="33"/>
      <c r="BM404" s="33"/>
      <c r="BN404" s="33"/>
      <c r="BO404" s="33"/>
      <c r="BP404" s="33"/>
      <c r="BQ404" s="33"/>
      <c r="BR404" s="33"/>
      <c r="BS404" s="33"/>
      <c r="BT404" s="33"/>
      <c r="BU404" s="33"/>
      <c r="BV404" s="33"/>
      <c r="BW404" s="33"/>
      <c r="BX404" s="33"/>
      <c r="BY404" s="33"/>
      <c r="BZ404" s="33"/>
      <c r="CA404" s="33"/>
      <c r="CB404" s="33"/>
      <c r="CC404" s="33"/>
      <c r="CD404" s="33"/>
    </row>
    <row r="405" spans="1:82" x14ac:dyDescent="0.25">
      <c r="A405" s="32"/>
      <c r="B405" s="32"/>
      <c r="C405" s="32"/>
      <c r="D405" s="32"/>
      <c r="E405" s="32"/>
      <c r="F405" s="32"/>
      <c r="G405" s="32"/>
      <c r="H405" s="32"/>
      <c r="I405" s="32"/>
      <c r="J405" s="32"/>
      <c r="K405" s="32"/>
      <c r="L405" s="32"/>
      <c r="M405" s="32"/>
      <c r="N405" s="32"/>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c r="BB405" s="33"/>
      <c r="BC405" s="33"/>
      <c r="BD405" s="33"/>
      <c r="BE405" s="33"/>
      <c r="BF405" s="33"/>
      <c r="BG405" s="33"/>
      <c r="BH405" s="33"/>
      <c r="BI405" s="33"/>
      <c r="BJ405" s="33"/>
      <c r="BK405" s="33"/>
      <c r="BL405" s="33"/>
      <c r="BM405" s="33"/>
      <c r="BN405" s="33"/>
      <c r="BO405" s="33"/>
      <c r="BP405" s="33"/>
      <c r="BQ405" s="33"/>
      <c r="BR405" s="33"/>
      <c r="BS405" s="33"/>
      <c r="BT405" s="33"/>
      <c r="BU405" s="33"/>
      <c r="BV405" s="33"/>
      <c r="BW405" s="33"/>
      <c r="BX405" s="33"/>
      <c r="BY405" s="33"/>
      <c r="BZ405" s="33"/>
      <c r="CA405" s="33"/>
      <c r="CB405" s="33"/>
      <c r="CC405" s="33"/>
      <c r="CD405" s="33"/>
    </row>
    <row r="406" spans="1:82" x14ac:dyDescent="0.25">
      <c r="A406" s="32"/>
      <c r="B406" s="32"/>
      <c r="C406" s="32"/>
      <c r="D406" s="32"/>
      <c r="E406" s="32"/>
      <c r="F406" s="32"/>
      <c r="G406" s="32"/>
      <c r="H406" s="32"/>
      <c r="I406" s="32"/>
      <c r="J406" s="32"/>
      <c r="K406" s="32"/>
      <c r="L406" s="32"/>
      <c r="M406" s="32"/>
      <c r="N406" s="32"/>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c r="BB406" s="33"/>
      <c r="BC406" s="33"/>
      <c r="BD406" s="33"/>
      <c r="BE406" s="33"/>
      <c r="BF406" s="33"/>
      <c r="BG406" s="33"/>
      <c r="BH406" s="33"/>
      <c r="BI406" s="33"/>
      <c r="BJ406" s="33"/>
      <c r="BK406" s="33"/>
      <c r="BL406" s="33"/>
      <c r="BM406" s="33"/>
      <c r="BN406" s="33"/>
      <c r="BO406" s="33"/>
      <c r="BP406" s="33"/>
      <c r="BQ406" s="33"/>
      <c r="BR406" s="33"/>
      <c r="BS406" s="33"/>
      <c r="BT406" s="33"/>
      <c r="BU406" s="33"/>
      <c r="BV406" s="33"/>
      <c r="BW406" s="33"/>
      <c r="BX406" s="33"/>
      <c r="BY406" s="33"/>
      <c r="BZ406" s="33"/>
      <c r="CA406" s="33"/>
      <c r="CB406" s="33"/>
      <c r="CC406" s="33"/>
      <c r="CD406" s="33"/>
    </row>
    <row r="407" spans="1:82" x14ac:dyDescent="0.25">
      <c r="A407" s="32"/>
      <c r="B407" s="32"/>
      <c r="C407" s="32"/>
      <c r="D407" s="32"/>
      <c r="E407" s="32"/>
      <c r="F407" s="32"/>
      <c r="G407" s="32"/>
      <c r="H407" s="32"/>
      <c r="I407" s="32"/>
      <c r="J407" s="32"/>
      <c r="K407" s="32"/>
      <c r="L407" s="32"/>
      <c r="M407" s="32"/>
      <c r="N407" s="32"/>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c r="BB407" s="33"/>
      <c r="BC407" s="33"/>
      <c r="BD407" s="33"/>
      <c r="BE407" s="33"/>
      <c r="BF407" s="33"/>
      <c r="BG407" s="33"/>
      <c r="BH407" s="33"/>
      <c r="BI407" s="33"/>
      <c r="BJ407" s="33"/>
      <c r="BK407" s="33"/>
      <c r="BL407" s="33"/>
      <c r="BM407" s="33"/>
      <c r="BN407" s="33"/>
      <c r="BO407" s="33"/>
      <c r="BP407" s="33"/>
      <c r="BQ407" s="33"/>
      <c r="BR407" s="33"/>
      <c r="BS407" s="33"/>
      <c r="BT407" s="33"/>
      <c r="BU407" s="33"/>
      <c r="BV407" s="33"/>
      <c r="BW407" s="33"/>
      <c r="BX407" s="33"/>
      <c r="BY407" s="33"/>
      <c r="BZ407" s="33"/>
      <c r="CA407" s="33"/>
      <c r="CB407" s="33"/>
      <c r="CC407" s="33"/>
      <c r="CD407" s="33"/>
    </row>
    <row r="408" spans="1:82" x14ac:dyDescent="0.25">
      <c r="A408" s="32"/>
      <c r="B408" s="32"/>
      <c r="C408" s="32"/>
      <c r="D408" s="32"/>
      <c r="E408" s="32"/>
      <c r="F408" s="32"/>
      <c r="G408" s="32"/>
      <c r="H408" s="32"/>
      <c r="I408" s="32"/>
      <c r="J408" s="32"/>
      <c r="K408" s="32"/>
      <c r="L408" s="32"/>
      <c r="M408" s="32"/>
      <c r="N408" s="32"/>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c r="BB408" s="33"/>
      <c r="BC408" s="33"/>
      <c r="BD408" s="33"/>
      <c r="BE408" s="33"/>
      <c r="BF408" s="33"/>
      <c r="BG408" s="33"/>
      <c r="BH408" s="33"/>
      <c r="BI408" s="33"/>
      <c r="BJ408" s="33"/>
      <c r="BK408" s="33"/>
      <c r="BL408" s="33"/>
      <c r="BM408" s="33"/>
      <c r="BN408" s="33"/>
      <c r="BO408" s="33"/>
      <c r="BP408" s="33"/>
      <c r="BQ408" s="33"/>
      <c r="BR408" s="33"/>
      <c r="BS408" s="33"/>
      <c r="BT408" s="33"/>
      <c r="BU408" s="33"/>
      <c r="BV408" s="33"/>
      <c r="BW408" s="33"/>
      <c r="BX408" s="33"/>
      <c r="BY408" s="33"/>
      <c r="BZ408" s="33"/>
      <c r="CA408" s="33"/>
      <c r="CB408" s="33"/>
      <c r="CC408" s="33"/>
      <c r="CD408" s="33"/>
    </row>
    <row r="409" spans="1:82" x14ac:dyDescent="0.25">
      <c r="A409" s="32"/>
      <c r="B409" s="32"/>
      <c r="C409" s="32"/>
      <c r="D409" s="32"/>
      <c r="E409" s="32"/>
      <c r="F409" s="32"/>
      <c r="G409" s="32"/>
      <c r="H409" s="32"/>
      <c r="I409" s="32"/>
      <c r="J409" s="32"/>
      <c r="K409" s="32"/>
      <c r="L409" s="32"/>
      <c r="M409" s="32"/>
      <c r="N409" s="32"/>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c r="BB409" s="33"/>
      <c r="BC409" s="33"/>
      <c r="BD409" s="33"/>
      <c r="BE409" s="33"/>
      <c r="BF409" s="33"/>
      <c r="BG409" s="33"/>
      <c r="BH409" s="33"/>
      <c r="BI409" s="33"/>
      <c r="BJ409" s="33"/>
      <c r="BK409" s="33"/>
      <c r="BL409" s="33"/>
      <c r="BM409" s="33"/>
      <c r="BN409" s="33"/>
      <c r="BO409" s="33"/>
      <c r="BP409" s="33"/>
      <c r="BQ409" s="33"/>
      <c r="BR409" s="33"/>
      <c r="BS409" s="33"/>
      <c r="BT409" s="33"/>
      <c r="BU409" s="33"/>
      <c r="BV409" s="33"/>
      <c r="BW409" s="33"/>
      <c r="BX409" s="33"/>
      <c r="BY409" s="33"/>
      <c r="BZ409" s="33"/>
      <c r="CA409" s="33"/>
      <c r="CB409" s="33"/>
      <c r="CC409" s="33"/>
      <c r="CD409" s="33"/>
    </row>
    <row r="410" spans="1:82" x14ac:dyDescent="0.25">
      <c r="A410" s="32"/>
      <c r="B410" s="32"/>
      <c r="C410" s="32"/>
      <c r="D410" s="32"/>
      <c r="E410" s="32"/>
      <c r="F410" s="32"/>
      <c r="G410" s="32"/>
      <c r="H410" s="32"/>
      <c r="I410" s="32"/>
      <c r="J410" s="32"/>
      <c r="K410" s="32"/>
      <c r="L410" s="32"/>
      <c r="M410" s="32"/>
      <c r="N410" s="32"/>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c r="BB410" s="33"/>
      <c r="BC410" s="33"/>
      <c r="BD410" s="33"/>
      <c r="BE410" s="33"/>
      <c r="BF410" s="33"/>
      <c r="BG410" s="33"/>
      <c r="BH410" s="33"/>
      <c r="BI410" s="33"/>
      <c r="BJ410" s="33"/>
      <c r="BK410" s="33"/>
      <c r="BL410" s="33"/>
      <c r="BM410" s="33"/>
      <c r="BN410" s="33"/>
      <c r="BO410" s="33"/>
      <c r="BP410" s="33"/>
      <c r="BQ410" s="33"/>
      <c r="BR410" s="33"/>
      <c r="BS410" s="33"/>
      <c r="BT410" s="33"/>
      <c r="BU410" s="33"/>
      <c r="BV410" s="33"/>
      <c r="BW410" s="33"/>
      <c r="BX410" s="33"/>
      <c r="BY410" s="33"/>
      <c r="BZ410" s="33"/>
      <c r="CA410" s="33"/>
      <c r="CB410" s="33"/>
      <c r="CC410" s="33"/>
      <c r="CD410" s="33"/>
    </row>
    <row r="411" spans="1:82" x14ac:dyDescent="0.25">
      <c r="A411" s="32"/>
      <c r="B411" s="32"/>
      <c r="C411" s="32"/>
      <c r="D411" s="32"/>
      <c r="E411" s="32"/>
      <c r="F411" s="32"/>
      <c r="G411" s="32"/>
      <c r="H411" s="32"/>
      <c r="I411" s="32"/>
      <c r="J411" s="32"/>
      <c r="K411" s="32"/>
      <c r="L411" s="32"/>
      <c r="M411" s="32"/>
      <c r="N411" s="32"/>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c r="BB411" s="33"/>
      <c r="BC411" s="33"/>
      <c r="BD411" s="33"/>
      <c r="BE411" s="33"/>
      <c r="BF411" s="33"/>
      <c r="BG411" s="33"/>
      <c r="BH411" s="33"/>
      <c r="BI411" s="33"/>
      <c r="BJ411" s="33"/>
      <c r="BK411" s="33"/>
      <c r="BL411" s="33"/>
      <c r="BM411" s="33"/>
      <c r="BN411" s="33"/>
      <c r="BO411" s="33"/>
      <c r="BP411" s="33"/>
      <c r="BQ411" s="33"/>
      <c r="BR411" s="33"/>
      <c r="BS411" s="33"/>
      <c r="BT411" s="33"/>
      <c r="BU411" s="33"/>
      <c r="BV411" s="33"/>
      <c r="BW411" s="33"/>
      <c r="BX411" s="33"/>
      <c r="BY411" s="33"/>
      <c r="BZ411" s="33"/>
      <c r="CA411" s="33"/>
      <c r="CB411" s="33"/>
      <c r="CC411" s="33"/>
      <c r="CD411" s="33"/>
    </row>
    <row r="412" spans="1:82" x14ac:dyDescent="0.25">
      <c r="A412" s="32"/>
      <c r="B412" s="32"/>
      <c r="C412" s="32"/>
      <c r="D412" s="32"/>
      <c r="E412" s="32"/>
      <c r="F412" s="32"/>
      <c r="G412" s="32"/>
      <c r="H412" s="32"/>
      <c r="I412" s="32"/>
      <c r="J412" s="32"/>
      <c r="K412" s="32"/>
      <c r="L412" s="32"/>
      <c r="M412" s="32"/>
      <c r="N412" s="32"/>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c r="BB412" s="33"/>
      <c r="BC412" s="33"/>
      <c r="BD412" s="33"/>
      <c r="BE412" s="33"/>
      <c r="BF412" s="33"/>
      <c r="BG412" s="33"/>
      <c r="BH412" s="33"/>
      <c r="BI412" s="33"/>
      <c r="BJ412" s="33"/>
      <c r="BK412" s="33"/>
      <c r="BL412" s="33"/>
      <c r="BM412" s="33"/>
      <c r="BN412" s="33"/>
      <c r="BO412" s="33"/>
      <c r="BP412" s="33"/>
      <c r="BQ412" s="33"/>
      <c r="BR412" s="33"/>
      <c r="BS412" s="33"/>
      <c r="BT412" s="33"/>
      <c r="BU412" s="33"/>
      <c r="BV412" s="33"/>
      <c r="BW412" s="33"/>
      <c r="BX412" s="33"/>
      <c r="BY412" s="33"/>
      <c r="BZ412" s="33"/>
      <c r="CA412" s="33"/>
      <c r="CB412" s="33"/>
      <c r="CC412" s="33"/>
      <c r="CD412" s="33"/>
    </row>
    <row r="413" spans="1:82" x14ac:dyDescent="0.25">
      <c r="A413" s="32"/>
      <c r="B413" s="32"/>
      <c r="C413" s="32"/>
      <c r="D413" s="32"/>
      <c r="E413" s="32"/>
      <c r="F413" s="32"/>
      <c r="G413" s="32"/>
      <c r="H413" s="32"/>
      <c r="I413" s="32"/>
      <c r="J413" s="32"/>
      <c r="K413" s="32"/>
      <c r="L413" s="32"/>
      <c r="M413" s="32"/>
      <c r="N413" s="32"/>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c r="BB413" s="33"/>
      <c r="BC413" s="33"/>
      <c r="BD413" s="33"/>
      <c r="BE413" s="33"/>
      <c r="BF413" s="33"/>
      <c r="BG413" s="33"/>
      <c r="BH413" s="33"/>
      <c r="BI413" s="33"/>
      <c r="BJ413" s="33"/>
      <c r="BK413" s="33"/>
      <c r="BL413" s="33"/>
      <c r="BM413" s="33"/>
      <c r="BN413" s="33"/>
      <c r="BO413" s="33"/>
      <c r="BP413" s="33"/>
      <c r="BQ413" s="33"/>
      <c r="BR413" s="33"/>
      <c r="BS413" s="33"/>
      <c r="BT413" s="33"/>
      <c r="BU413" s="33"/>
      <c r="BV413" s="33"/>
      <c r="BW413" s="33"/>
      <c r="BX413" s="33"/>
      <c r="BY413" s="33"/>
      <c r="BZ413" s="33"/>
      <c r="CA413" s="33"/>
      <c r="CB413" s="33"/>
      <c r="CC413" s="33"/>
      <c r="CD413" s="33"/>
    </row>
    <row r="414" spans="1:82" x14ac:dyDescent="0.25">
      <c r="A414" s="32"/>
      <c r="B414" s="32"/>
      <c r="C414" s="32"/>
      <c r="D414" s="32"/>
      <c r="E414" s="32"/>
      <c r="F414" s="32"/>
      <c r="G414" s="32"/>
      <c r="H414" s="32"/>
      <c r="I414" s="32"/>
      <c r="J414" s="32"/>
      <c r="K414" s="32"/>
      <c r="L414" s="32"/>
      <c r="M414" s="32"/>
      <c r="N414" s="32"/>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33"/>
      <c r="CC414" s="33"/>
      <c r="CD414" s="33"/>
    </row>
    <row r="415" spans="1:82" x14ac:dyDescent="0.25">
      <c r="A415" s="32"/>
      <c r="B415" s="32"/>
      <c r="C415" s="32"/>
      <c r="D415" s="32"/>
      <c r="E415" s="32"/>
      <c r="F415" s="32"/>
      <c r="G415" s="32"/>
      <c r="H415" s="32"/>
      <c r="I415" s="32"/>
      <c r="J415" s="32"/>
      <c r="K415" s="32"/>
      <c r="L415" s="32"/>
      <c r="M415" s="32"/>
      <c r="N415" s="32"/>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c r="BB415" s="33"/>
      <c r="BC415" s="33"/>
      <c r="BD415" s="33"/>
      <c r="BE415" s="33"/>
      <c r="BF415" s="33"/>
      <c r="BG415" s="33"/>
      <c r="BH415" s="33"/>
      <c r="BI415" s="33"/>
      <c r="BJ415" s="33"/>
      <c r="BK415" s="33"/>
      <c r="BL415" s="33"/>
      <c r="BM415" s="33"/>
      <c r="BN415" s="33"/>
      <c r="BO415" s="33"/>
      <c r="BP415" s="33"/>
      <c r="BQ415" s="33"/>
      <c r="BR415" s="33"/>
      <c r="BS415" s="33"/>
      <c r="BT415" s="33"/>
      <c r="BU415" s="33"/>
      <c r="BV415" s="33"/>
      <c r="BW415" s="33"/>
      <c r="BX415" s="33"/>
      <c r="BY415" s="33"/>
      <c r="BZ415" s="33"/>
      <c r="CA415" s="33"/>
      <c r="CB415" s="33"/>
      <c r="CC415" s="33"/>
      <c r="CD415" s="33"/>
    </row>
    <row r="416" spans="1:82" x14ac:dyDescent="0.25">
      <c r="A416" s="32"/>
      <c r="B416" s="32"/>
      <c r="C416" s="32"/>
      <c r="D416" s="32"/>
      <c r="E416" s="32"/>
      <c r="F416" s="32"/>
      <c r="G416" s="32"/>
      <c r="H416" s="32"/>
      <c r="I416" s="32"/>
      <c r="J416" s="32"/>
      <c r="K416" s="32"/>
      <c r="L416" s="32"/>
      <c r="M416" s="32"/>
      <c r="N416" s="32"/>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c r="BB416" s="33"/>
      <c r="BC416" s="33"/>
      <c r="BD416" s="33"/>
      <c r="BE416" s="33"/>
      <c r="BF416" s="33"/>
      <c r="BG416" s="33"/>
      <c r="BH416" s="33"/>
      <c r="BI416" s="33"/>
      <c r="BJ416" s="33"/>
      <c r="BK416" s="33"/>
      <c r="BL416" s="33"/>
      <c r="BM416" s="33"/>
      <c r="BN416" s="33"/>
      <c r="BO416" s="33"/>
      <c r="BP416" s="33"/>
      <c r="BQ416" s="33"/>
      <c r="BR416" s="33"/>
      <c r="BS416" s="33"/>
      <c r="BT416" s="33"/>
      <c r="BU416" s="33"/>
      <c r="BV416" s="33"/>
      <c r="BW416" s="33"/>
      <c r="BX416" s="33"/>
      <c r="BY416" s="33"/>
      <c r="BZ416" s="33"/>
      <c r="CA416" s="33"/>
      <c r="CB416" s="33"/>
      <c r="CC416" s="33"/>
      <c r="CD416" s="33"/>
    </row>
    <row r="417" spans="1:82" x14ac:dyDescent="0.25">
      <c r="A417" s="32"/>
      <c r="B417" s="32"/>
      <c r="C417" s="32"/>
      <c r="D417" s="32"/>
      <c r="E417" s="32"/>
      <c r="F417" s="32"/>
      <c r="G417" s="32"/>
      <c r="H417" s="32"/>
      <c r="I417" s="32"/>
      <c r="J417" s="32"/>
      <c r="K417" s="32"/>
      <c r="L417" s="32"/>
      <c r="M417" s="32"/>
      <c r="N417" s="32"/>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c r="BB417" s="33"/>
      <c r="BC417" s="33"/>
      <c r="BD417" s="33"/>
      <c r="BE417" s="33"/>
      <c r="BF417" s="33"/>
      <c r="BG417" s="33"/>
      <c r="BH417" s="33"/>
      <c r="BI417" s="33"/>
      <c r="BJ417" s="33"/>
      <c r="BK417" s="33"/>
      <c r="BL417" s="33"/>
      <c r="BM417" s="33"/>
      <c r="BN417" s="33"/>
      <c r="BO417" s="33"/>
      <c r="BP417" s="33"/>
      <c r="BQ417" s="33"/>
      <c r="BR417" s="33"/>
      <c r="BS417" s="33"/>
      <c r="BT417" s="33"/>
      <c r="BU417" s="33"/>
      <c r="BV417" s="33"/>
      <c r="BW417" s="33"/>
      <c r="BX417" s="33"/>
      <c r="BY417" s="33"/>
      <c r="BZ417" s="33"/>
      <c r="CA417" s="33"/>
      <c r="CB417" s="33"/>
      <c r="CC417" s="33"/>
      <c r="CD417" s="33"/>
    </row>
    <row r="418" spans="1:82" x14ac:dyDescent="0.25">
      <c r="A418" s="32"/>
      <c r="B418" s="32"/>
      <c r="C418" s="32"/>
      <c r="D418" s="32"/>
      <c r="E418" s="32"/>
      <c r="F418" s="32"/>
      <c r="G418" s="32"/>
      <c r="H418" s="32"/>
      <c r="I418" s="32"/>
      <c r="J418" s="32"/>
      <c r="K418" s="32"/>
      <c r="L418" s="32"/>
      <c r="M418" s="32"/>
      <c r="N418" s="32"/>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c r="BB418" s="33"/>
      <c r="BC418" s="33"/>
      <c r="BD418" s="33"/>
      <c r="BE418" s="33"/>
      <c r="BF418" s="33"/>
      <c r="BG418" s="33"/>
      <c r="BH418" s="33"/>
      <c r="BI418" s="33"/>
      <c r="BJ418" s="33"/>
      <c r="BK418" s="33"/>
      <c r="BL418" s="33"/>
      <c r="BM418" s="33"/>
      <c r="BN418" s="33"/>
      <c r="BO418" s="33"/>
      <c r="BP418" s="33"/>
      <c r="BQ418" s="33"/>
      <c r="BR418" s="33"/>
      <c r="BS418" s="33"/>
      <c r="BT418" s="33"/>
      <c r="BU418" s="33"/>
      <c r="BV418" s="33"/>
      <c r="BW418" s="33"/>
      <c r="BX418" s="33"/>
      <c r="BY418" s="33"/>
      <c r="BZ418" s="33"/>
      <c r="CA418" s="33"/>
      <c r="CB418" s="33"/>
      <c r="CC418" s="33"/>
      <c r="CD418" s="33"/>
    </row>
    <row r="419" spans="1:82" x14ac:dyDescent="0.25">
      <c r="A419" s="32"/>
      <c r="B419" s="32"/>
      <c r="C419" s="32"/>
      <c r="D419" s="32"/>
      <c r="E419" s="32"/>
      <c r="F419" s="32"/>
      <c r="G419" s="32"/>
      <c r="H419" s="32"/>
      <c r="I419" s="32"/>
      <c r="J419" s="32"/>
      <c r="K419" s="32"/>
      <c r="L419" s="32"/>
      <c r="M419" s="32"/>
      <c r="N419" s="32"/>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c r="BB419" s="33"/>
      <c r="BC419" s="33"/>
      <c r="BD419" s="33"/>
      <c r="BE419" s="33"/>
      <c r="BF419" s="33"/>
      <c r="BG419" s="33"/>
      <c r="BH419" s="33"/>
      <c r="BI419" s="33"/>
      <c r="BJ419" s="33"/>
      <c r="BK419" s="33"/>
      <c r="BL419" s="33"/>
      <c r="BM419" s="33"/>
      <c r="BN419" s="33"/>
      <c r="BO419" s="33"/>
      <c r="BP419" s="33"/>
      <c r="BQ419" s="33"/>
      <c r="BR419" s="33"/>
      <c r="BS419" s="33"/>
      <c r="BT419" s="33"/>
      <c r="BU419" s="33"/>
      <c r="BV419" s="33"/>
      <c r="BW419" s="33"/>
      <c r="BX419" s="33"/>
      <c r="BY419" s="33"/>
      <c r="BZ419" s="33"/>
      <c r="CA419" s="33"/>
      <c r="CB419" s="33"/>
      <c r="CC419" s="33"/>
      <c r="CD419" s="33"/>
    </row>
    <row r="420" spans="1:82" x14ac:dyDescent="0.25">
      <c r="A420" s="32"/>
      <c r="B420" s="32"/>
      <c r="C420" s="32"/>
      <c r="D420" s="32"/>
      <c r="E420" s="32"/>
      <c r="F420" s="32"/>
      <c r="G420" s="32"/>
      <c r="H420" s="32"/>
      <c r="I420" s="32"/>
      <c r="J420" s="32"/>
      <c r="K420" s="32"/>
      <c r="L420" s="32"/>
      <c r="M420" s="32"/>
      <c r="N420" s="32"/>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c r="BB420" s="33"/>
      <c r="BC420" s="33"/>
      <c r="BD420" s="33"/>
      <c r="BE420" s="33"/>
      <c r="BF420" s="33"/>
      <c r="BG420" s="33"/>
      <c r="BH420" s="33"/>
      <c r="BI420" s="33"/>
      <c r="BJ420" s="33"/>
      <c r="BK420" s="33"/>
      <c r="BL420" s="33"/>
      <c r="BM420" s="33"/>
      <c r="BN420" s="33"/>
      <c r="BO420" s="33"/>
      <c r="BP420" s="33"/>
      <c r="BQ420" s="33"/>
      <c r="BR420" s="33"/>
      <c r="BS420" s="33"/>
      <c r="BT420" s="33"/>
      <c r="BU420" s="33"/>
      <c r="BV420" s="33"/>
      <c r="BW420" s="33"/>
      <c r="BX420" s="33"/>
      <c r="BY420" s="33"/>
      <c r="BZ420" s="33"/>
      <c r="CA420" s="33"/>
      <c r="CB420" s="33"/>
      <c r="CC420" s="33"/>
      <c r="CD420" s="33"/>
    </row>
    <row r="421" spans="1:82" x14ac:dyDescent="0.25">
      <c r="A421" s="32"/>
      <c r="B421" s="32"/>
      <c r="C421" s="32"/>
      <c r="D421" s="32"/>
      <c r="E421" s="32"/>
      <c r="F421" s="32"/>
      <c r="G421" s="32"/>
      <c r="H421" s="32"/>
      <c r="I421" s="32"/>
      <c r="J421" s="32"/>
      <c r="K421" s="32"/>
      <c r="L421" s="32"/>
      <c r="M421" s="32"/>
      <c r="N421" s="32"/>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c r="BB421" s="33"/>
      <c r="BC421" s="33"/>
      <c r="BD421" s="33"/>
      <c r="BE421" s="33"/>
      <c r="BF421" s="33"/>
      <c r="BG421" s="33"/>
      <c r="BH421" s="33"/>
      <c r="BI421" s="33"/>
      <c r="BJ421" s="33"/>
      <c r="BK421" s="33"/>
      <c r="BL421" s="33"/>
      <c r="BM421" s="33"/>
      <c r="BN421" s="33"/>
      <c r="BO421" s="33"/>
      <c r="BP421" s="33"/>
      <c r="BQ421" s="33"/>
      <c r="BR421" s="33"/>
      <c r="BS421" s="33"/>
      <c r="BT421" s="33"/>
      <c r="BU421" s="33"/>
      <c r="BV421" s="33"/>
      <c r="BW421" s="33"/>
      <c r="BX421" s="33"/>
      <c r="BY421" s="33"/>
      <c r="BZ421" s="33"/>
      <c r="CA421" s="33"/>
      <c r="CB421" s="33"/>
      <c r="CC421" s="33"/>
      <c r="CD421" s="33"/>
    </row>
    <row r="422" spans="1:82" x14ac:dyDescent="0.25">
      <c r="A422" s="32"/>
      <c r="B422" s="32"/>
      <c r="C422" s="32"/>
      <c r="D422" s="32"/>
      <c r="E422" s="32"/>
      <c r="F422" s="32"/>
      <c r="G422" s="32"/>
      <c r="H422" s="32"/>
      <c r="I422" s="32"/>
      <c r="J422" s="32"/>
      <c r="K422" s="32"/>
      <c r="L422" s="32"/>
      <c r="M422" s="32"/>
      <c r="N422" s="32"/>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c r="BB422" s="33"/>
      <c r="BC422" s="33"/>
      <c r="BD422" s="33"/>
      <c r="BE422" s="33"/>
      <c r="BF422" s="33"/>
      <c r="BG422" s="33"/>
      <c r="BH422" s="33"/>
      <c r="BI422" s="33"/>
      <c r="BJ422" s="33"/>
      <c r="BK422" s="33"/>
      <c r="BL422" s="33"/>
      <c r="BM422" s="33"/>
      <c r="BN422" s="33"/>
      <c r="BO422" s="33"/>
      <c r="BP422" s="33"/>
      <c r="BQ422" s="33"/>
      <c r="BR422" s="33"/>
      <c r="BS422" s="33"/>
      <c r="BT422" s="33"/>
      <c r="BU422" s="33"/>
      <c r="BV422" s="33"/>
      <c r="BW422" s="33"/>
      <c r="BX422" s="33"/>
      <c r="BY422" s="33"/>
      <c r="BZ422" s="33"/>
      <c r="CA422" s="33"/>
      <c r="CB422" s="33"/>
      <c r="CC422" s="33"/>
      <c r="CD422" s="33"/>
    </row>
    <row r="423" spans="1:82" x14ac:dyDescent="0.25">
      <c r="A423" s="32"/>
      <c r="B423" s="32"/>
      <c r="C423" s="32"/>
      <c r="D423" s="32"/>
      <c r="E423" s="32"/>
      <c r="F423" s="32"/>
      <c r="G423" s="32"/>
      <c r="H423" s="32"/>
      <c r="I423" s="32"/>
      <c r="J423" s="32"/>
      <c r="K423" s="32"/>
      <c r="L423" s="32"/>
      <c r="M423" s="32"/>
      <c r="N423" s="32"/>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c r="BB423" s="33"/>
      <c r="BC423" s="33"/>
      <c r="BD423" s="33"/>
      <c r="BE423" s="33"/>
      <c r="BF423" s="33"/>
      <c r="BG423" s="33"/>
      <c r="BH423" s="33"/>
      <c r="BI423" s="33"/>
      <c r="BJ423" s="33"/>
      <c r="BK423" s="33"/>
      <c r="BL423" s="33"/>
      <c r="BM423" s="33"/>
      <c r="BN423" s="33"/>
      <c r="BO423" s="33"/>
      <c r="BP423" s="33"/>
      <c r="BQ423" s="33"/>
      <c r="BR423" s="33"/>
      <c r="BS423" s="33"/>
      <c r="BT423" s="33"/>
      <c r="BU423" s="33"/>
      <c r="BV423" s="33"/>
      <c r="BW423" s="33"/>
      <c r="BX423" s="33"/>
      <c r="BY423" s="33"/>
      <c r="BZ423" s="33"/>
      <c r="CA423" s="33"/>
      <c r="CB423" s="33"/>
      <c r="CC423" s="33"/>
      <c r="CD423" s="33"/>
    </row>
    <row r="424" spans="1:82" x14ac:dyDescent="0.25">
      <c r="A424" s="32"/>
      <c r="B424" s="32"/>
      <c r="C424" s="32"/>
      <c r="D424" s="32"/>
      <c r="E424" s="32"/>
      <c r="F424" s="32"/>
      <c r="G424" s="32"/>
      <c r="H424" s="32"/>
      <c r="I424" s="32"/>
      <c r="J424" s="32"/>
      <c r="K424" s="32"/>
      <c r="L424" s="32"/>
      <c r="M424" s="32"/>
      <c r="N424" s="32"/>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c r="BB424" s="33"/>
      <c r="BC424" s="33"/>
      <c r="BD424" s="33"/>
      <c r="BE424" s="33"/>
      <c r="BF424" s="33"/>
      <c r="BG424" s="33"/>
      <c r="BH424" s="33"/>
      <c r="BI424" s="33"/>
      <c r="BJ424" s="33"/>
      <c r="BK424" s="33"/>
      <c r="BL424" s="33"/>
      <c r="BM424" s="33"/>
      <c r="BN424" s="33"/>
      <c r="BO424" s="33"/>
      <c r="BP424" s="33"/>
      <c r="BQ424" s="33"/>
      <c r="BR424" s="33"/>
      <c r="BS424" s="33"/>
      <c r="BT424" s="33"/>
      <c r="BU424" s="33"/>
      <c r="BV424" s="33"/>
      <c r="BW424" s="33"/>
      <c r="BX424" s="33"/>
      <c r="BY424" s="33"/>
      <c r="BZ424" s="33"/>
      <c r="CA424" s="33"/>
      <c r="CB424" s="33"/>
      <c r="CC424" s="33"/>
      <c r="CD424" s="33"/>
    </row>
    <row r="425" spans="1:82" x14ac:dyDescent="0.25">
      <c r="A425" s="32"/>
      <c r="B425" s="32"/>
      <c r="C425" s="32"/>
      <c r="D425" s="32"/>
      <c r="E425" s="32"/>
      <c r="F425" s="32"/>
      <c r="G425" s="32"/>
      <c r="H425" s="32"/>
      <c r="I425" s="32"/>
      <c r="J425" s="32"/>
      <c r="K425" s="32"/>
      <c r="L425" s="32"/>
      <c r="M425" s="32"/>
      <c r="N425" s="32"/>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c r="BB425" s="33"/>
      <c r="BC425" s="33"/>
      <c r="BD425" s="33"/>
      <c r="BE425" s="33"/>
      <c r="BF425" s="33"/>
      <c r="BG425" s="33"/>
      <c r="BH425" s="33"/>
      <c r="BI425" s="33"/>
      <c r="BJ425" s="33"/>
      <c r="BK425" s="33"/>
      <c r="BL425" s="33"/>
      <c r="BM425" s="33"/>
      <c r="BN425" s="33"/>
      <c r="BO425" s="33"/>
      <c r="BP425" s="33"/>
      <c r="BQ425" s="33"/>
      <c r="BR425" s="33"/>
      <c r="BS425" s="33"/>
      <c r="BT425" s="33"/>
      <c r="BU425" s="33"/>
      <c r="BV425" s="33"/>
      <c r="BW425" s="33"/>
      <c r="BX425" s="33"/>
      <c r="BY425" s="33"/>
      <c r="BZ425" s="33"/>
      <c r="CA425" s="33"/>
      <c r="CB425" s="33"/>
      <c r="CC425" s="33"/>
      <c r="CD425" s="33"/>
    </row>
    <row r="426" spans="1:82" x14ac:dyDescent="0.25">
      <c r="A426" s="32"/>
      <c r="B426" s="32"/>
      <c r="C426" s="32"/>
      <c r="D426" s="32"/>
      <c r="E426" s="32"/>
      <c r="F426" s="32"/>
      <c r="G426" s="32"/>
      <c r="H426" s="32"/>
      <c r="I426" s="32"/>
      <c r="J426" s="32"/>
      <c r="K426" s="32"/>
      <c r="L426" s="32"/>
      <c r="M426" s="32"/>
      <c r="N426" s="32"/>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c r="BB426" s="33"/>
      <c r="BC426" s="33"/>
      <c r="BD426" s="33"/>
      <c r="BE426" s="33"/>
      <c r="BF426" s="33"/>
      <c r="BG426" s="33"/>
      <c r="BH426" s="33"/>
      <c r="BI426" s="33"/>
      <c r="BJ426" s="33"/>
      <c r="BK426" s="33"/>
      <c r="BL426" s="33"/>
      <c r="BM426" s="33"/>
      <c r="BN426" s="33"/>
      <c r="BO426" s="33"/>
      <c r="BP426" s="33"/>
      <c r="BQ426" s="33"/>
      <c r="BR426" s="33"/>
      <c r="BS426" s="33"/>
      <c r="BT426" s="33"/>
      <c r="BU426" s="33"/>
      <c r="BV426" s="33"/>
      <c r="BW426" s="33"/>
      <c r="BX426" s="33"/>
      <c r="BY426" s="33"/>
      <c r="BZ426" s="33"/>
      <c r="CA426" s="33"/>
      <c r="CB426" s="33"/>
      <c r="CC426" s="33"/>
      <c r="CD426" s="33"/>
    </row>
    <row r="427" spans="1:82" x14ac:dyDescent="0.25">
      <c r="A427" s="32"/>
      <c r="B427" s="32"/>
      <c r="C427" s="32"/>
      <c r="D427" s="32"/>
      <c r="E427" s="32"/>
      <c r="F427" s="32"/>
      <c r="G427" s="32"/>
      <c r="H427" s="32"/>
      <c r="I427" s="32"/>
      <c r="J427" s="32"/>
      <c r="K427" s="32"/>
      <c r="L427" s="32"/>
      <c r="M427" s="32"/>
      <c r="N427" s="32"/>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c r="BB427" s="33"/>
      <c r="BC427" s="33"/>
      <c r="BD427" s="33"/>
      <c r="BE427" s="33"/>
      <c r="BF427" s="33"/>
      <c r="BG427" s="33"/>
      <c r="BH427" s="33"/>
      <c r="BI427" s="33"/>
      <c r="BJ427" s="33"/>
      <c r="BK427" s="33"/>
      <c r="BL427" s="33"/>
      <c r="BM427" s="33"/>
      <c r="BN427" s="33"/>
      <c r="BO427" s="33"/>
      <c r="BP427" s="33"/>
      <c r="BQ427" s="33"/>
      <c r="BR427" s="33"/>
      <c r="BS427" s="33"/>
      <c r="BT427" s="33"/>
      <c r="BU427" s="33"/>
      <c r="BV427" s="33"/>
      <c r="BW427" s="33"/>
      <c r="BX427" s="33"/>
      <c r="BY427" s="33"/>
      <c r="BZ427" s="33"/>
      <c r="CA427" s="33"/>
      <c r="CB427" s="33"/>
      <c r="CC427" s="33"/>
      <c r="CD427" s="33"/>
    </row>
    <row r="428" spans="1:82" x14ac:dyDescent="0.25">
      <c r="A428" s="32"/>
      <c r="B428" s="32"/>
      <c r="C428" s="32"/>
      <c r="D428" s="32"/>
      <c r="E428" s="32"/>
      <c r="F428" s="32"/>
      <c r="G428" s="32"/>
      <c r="H428" s="32"/>
      <c r="I428" s="32"/>
      <c r="J428" s="32"/>
      <c r="K428" s="32"/>
      <c r="L428" s="32"/>
      <c r="M428" s="32"/>
      <c r="N428" s="32"/>
      <c r="O428" s="33"/>
      <c r="P428" s="33"/>
      <c r="Q428" s="33"/>
      <c r="R428" s="33"/>
      <c r="S428" s="33"/>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c r="BB428" s="33"/>
      <c r="BC428" s="33"/>
      <c r="BD428" s="33"/>
      <c r="BE428" s="33"/>
      <c r="BF428" s="33"/>
      <c r="BG428" s="33"/>
      <c r="BH428" s="33"/>
      <c r="BI428" s="33"/>
      <c r="BJ428" s="33"/>
      <c r="BK428" s="33"/>
      <c r="BL428" s="33"/>
      <c r="BM428" s="33"/>
      <c r="BN428" s="33"/>
      <c r="BO428" s="33"/>
      <c r="BP428" s="33"/>
      <c r="BQ428" s="33"/>
      <c r="BR428" s="33"/>
      <c r="BS428" s="33"/>
      <c r="BT428" s="33"/>
      <c r="BU428" s="33"/>
      <c r="BV428" s="33"/>
      <c r="BW428" s="33"/>
      <c r="BX428" s="33"/>
      <c r="BY428" s="33"/>
      <c r="BZ428" s="33"/>
      <c r="CA428" s="33"/>
      <c r="CB428" s="33"/>
      <c r="CC428" s="33"/>
      <c r="CD428" s="33"/>
    </row>
    <row r="429" spans="1:82" x14ac:dyDescent="0.25">
      <c r="A429" s="32"/>
      <c r="B429" s="32"/>
      <c r="C429" s="32"/>
      <c r="D429" s="32"/>
      <c r="E429" s="32"/>
      <c r="F429" s="32"/>
      <c r="G429" s="32"/>
      <c r="H429" s="32"/>
      <c r="I429" s="32"/>
      <c r="J429" s="32"/>
      <c r="K429" s="32"/>
      <c r="L429" s="32"/>
      <c r="M429" s="32"/>
      <c r="N429" s="32"/>
      <c r="O429" s="33"/>
      <c r="P429" s="33"/>
      <c r="Q429" s="33"/>
      <c r="R429" s="33"/>
      <c r="S429" s="33"/>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c r="AS429" s="33"/>
      <c r="AT429" s="33"/>
      <c r="AU429" s="33"/>
      <c r="AV429" s="33"/>
      <c r="AW429" s="33"/>
      <c r="AX429" s="33"/>
      <c r="AY429" s="33"/>
      <c r="AZ429" s="33"/>
      <c r="BA429" s="33"/>
      <c r="BB429" s="33"/>
      <c r="BC429" s="33"/>
      <c r="BD429" s="33"/>
      <c r="BE429" s="33"/>
      <c r="BF429" s="33"/>
      <c r="BG429" s="33"/>
      <c r="BH429" s="33"/>
      <c r="BI429" s="33"/>
      <c r="BJ429" s="33"/>
      <c r="BK429" s="33"/>
      <c r="BL429" s="33"/>
      <c r="BM429" s="33"/>
      <c r="BN429" s="33"/>
      <c r="BO429" s="33"/>
      <c r="BP429" s="33"/>
      <c r="BQ429" s="33"/>
      <c r="BR429" s="33"/>
      <c r="BS429" s="33"/>
      <c r="BT429" s="33"/>
      <c r="BU429" s="33"/>
      <c r="BV429" s="33"/>
      <c r="BW429" s="33"/>
      <c r="BX429" s="33"/>
      <c r="BY429" s="33"/>
      <c r="BZ429" s="33"/>
      <c r="CA429" s="33"/>
      <c r="CB429" s="33"/>
      <c r="CC429" s="33"/>
      <c r="CD429" s="33"/>
    </row>
    <row r="430" spans="1:82" x14ac:dyDescent="0.25">
      <c r="A430" s="32"/>
      <c r="B430" s="32"/>
      <c r="C430" s="32"/>
      <c r="D430" s="32"/>
      <c r="E430" s="32"/>
      <c r="F430" s="32"/>
      <c r="G430" s="32"/>
      <c r="H430" s="32"/>
      <c r="I430" s="32"/>
      <c r="J430" s="32"/>
      <c r="K430" s="32"/>
      <c r="L430" s="32"/>
      <c r="M430" s="32"/>
      <c r="N430" s="32"/>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c r="AS430" s="33"/>
      <c r="AT430" s="33"/>
      <c r="AU430" s="33"/>
      <c r="AV430" s="33"/>
      <c r="AW430" s="33"/>
      <c r="AX430" s="33"/>
      <c r="AY430" s="33"/>
      <c r="AZ430" s="33"/>
      <c r="BA430" s="33"/>
      <c r="BB430" s="33"/>
      <c r="BC430" s="33"/>
      <c r="BD430" s="33"/>
      <c r="BE430" s="33"/>
      <c r="BF430" s="33"/>
      <c r="BG430" s="33"/>
      <c r="BH430" s="33"/>
      <c r="BI430" s="33"/>
      <c r="BJ430" s="33"/>
      <c r="BK430" s="33"/>
      <c r="BL430" s="33"/>
      <c r="BM430" s="33"/>
      <c r="BN430" s="33"/>
      <c r="BO430" s="33"/>
      <c r="BP430" s="33"/>
      <c r="BQ430" s="33"/>
      <c r="BR430" s="33"/>
      <c r="BS430" s="33"/>
      <c r="BT430" s="33"/>
      <c r="BU430" s="33"/>
      <c r="BV430" s="33"/>
      <c r="BW430" s="33"/>
      <c r="BX430" s="33"/>
      <c r="BY430" s="33"/>
      <c r="BZ430" s="33"/>
      <c r="CA430" s="33"/>
      <c r="CB430" s="33"/>
      <c r="CC430" s="33"/>
      <c r="CD430" s="33"/>
    </row>
    <row r="431" spans="1:82" x14ac:dyDescent="0.25">
      <c r="A431" s="32"/>
      <c r="B431" s="32"/>
      <c r="C431" s="32"/>
      <c r="D431" s="32"/>
      <c r="E431" s="32"/>
      <c r="F431" s="32"/>
      <c r="G431" s="32"/>
      <c r="H431" s="32"/>
      <c r="I431" s="32"/>
      <c r="J431" s="32"/>
      <c r="K431" s="32"/>
      <c r="L431" s="32"/>
      <c r="M431" s="32"/>
      <c r="N431" s="32"/>
      <c r="O431" s="33"/>
      <c r="P431" s="33"/>
      <c r="Q431" s="33"/>
      <c r="R431" s="33"/>
      <c r="S431" s="33"/>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c r="AS431" s="33"/>
      <c r="AT431" s="33"/>
      <c r="AU431" s="33"/>
      <c r="AV431" s="33"/>
      <c r="AW431" s="33"/>
      <c r="AX431" s="33"/>
      <c r="AY431" s="33"/>
      <c r="AZ431" s="33"/>
      <c r="BA431" s="33"/>
      <c r="BB431" s="33"/>
      <c r="BC431" s="33"/>
      <c r="BD431" s="33"/>
      <c r="BE431" s="33"/>
      <c r="BF431" s="33"/>
      <c r="BG431" s="33"/>
      <c r="BH431" s="33"/>
      <c r="BI431" s="33"/>
      <c r="BJ431" s="33"/>
      <c r="BK431" s="33"/>
      <c r="BL431" s="33"/>
      <c r="BM431" s="33"/>
      <c r="BN431" s="33"/>
      <c r="BO431" s="33"/>
      <c r="BP431" s="33"/>
      <c r="BQ431" s="33"/>
      <c r="BR431" s="33"/>
      <c r="BS431" s="33"/>
      <c r="BT431" s="33"/>
      <c r="BU431" s="33"/>
      <c r="BV431" s="33"/>
      <c r="BW431" s="33"/>
      <c r="BX431" s="33"/>
      <c r="BY431" s="33"/>
      <c r="BZ431" s="33"/>
      <c r="CA431" s="33"/>
      <c r="CB431" s="33"/>
      <c r="CC431" s="33"/>
      <c r="CD431" s="33"/>
    </row>
    <row r="432" spans="1:82" x14ac:dyDescent="0.25">
      <c r="A432" s="32"/>
      <c r="B432" s="32"/>
      <c r="C432" s="32"/>
      <c r="D432" s="32"/>
      <c r="E432" s="32"/>
      <c r="F432" s="32"/>
      <c r="G432" s="32"/>
      <c r="H432" s="32"/>
      <c r="I432" s="32"/>
      <c r="J432" s="32"/>
      <c r="K432" s="32"/>
      <c r="L432" s="32"/>
      <c r="M432" s="32"/>
      <c r="N432" s="32"/>
      <c r="O432" s="33"/>
      <c r="P432" s="33"/>
      <c r="Q432" s="33"/>
      <c r="R432" s="33"/>
      <c r="S432" s="33"/>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c r="AS432" s="33"/>
      <c r="AT432" s="33"/>
      <c r="AU432" s="33"/>
      <c r="AV432" s="33"/>
      <c r="AW432" s="33"/>
      <c r="AX432" s="33"/>
      <c r="AY432" s="33"/>
      <c r="AZ432" s="33"/>
      <c r="BA432" s="33"/>
      <c r="BB432" s="33"/>
      <c r="BC432" s="33"/>
      <c r="BD432" s="33"/>
      <c r="BE432" s="33"/>
      <c r="BF432" s="33"/>
      <c r="BG432" s="33"/>
      <c r="BH432" s="33"/>
      <c r="BI432" s="33"/>
      <c r="BJ432" s="33"/>
      <c r="BK432" s="33"/>
      <c r="BL432" s="33"/>
      <c r="BM432" s="33"/>
      <c r="BN432" s="33"/>
      <c r="BO432" s="33"/>
      <c r="BP432" s="33"/>
      <c r="BQ432" s="33"/>
      <c r="BR432" s="33"/>
      <c r="BS432" s="33"/>
      <c r="BT432" s="33"/>
      <c r="BU432" s="33"/>
      <c r="BV432" s="33"/>
      <c r="BW432" s="33"/>
      <c r="BX432" s="33"/>
      <c r="BY432" s="33"/>
      <c r="BZ432" s="33"/>
      <c r="CA432" s="33"/>
      <c r="CB432" s="33"/>
      <c r="CC432" s="33"/>
      <c r="CD432" s="33"/>
    </row>
    <row r="433" spans="1:82" x14ac:dyDescent="0.25">
      <c r="A433" s="32"/>
      <c r="B433" s="32"/>
      <c r="C433" s="32"/>
      <c r="D433" s="32"/>
      <c r="E433" s="32"/>
      <c r="F433" s="32"/>
      <c r="G433" s="32"/>
      <c r="H433" s="32"/>
      <c r="I433" s="32"/>
      <c r="J433" s="32"/>
      <c r="K433" s="32"/>
      <c r="L433" s="32"/>
      <c r="M433" s="32"/>
      <c r="N433" s="32"/>
      <c r="O433" s="33"/>
      <c r="P433" s="33"/>
      <c r="Q433" s="33"/>
      <c r="R433" s="33"/>
      <c r="S433" s="33"/>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c r="AS433" s="33"/>
      <c r="AT433" s="33"/>
      <c r="AU433" s="33"/>
      <c r="AV433" s="33"/>
      <c r="AW433" s="33"/>
      <c r="AX433" s="33"/>
      <c r="AY433" s="33"/>
      <c r="AZ433" s="33"/>
      <c r="BA433" s="33"/>
      <c r="BB433" s="33"/>
      <c r="BC433" s="33"/>
      <c r="BD433" s="33"/>
      <c r="BE433" s="33"/>
      <c r="BF433" s="33"/>
      <c r="BG433" s="33"/>
      <c r="BH433" s="33"/>
      <c r="BI433" s="33"/>
      <c r="BJ433" s="33"/>
      <c r="BK433" s="33"/>
      <c r="BL433" s="33"/>
      <c r="BM433" s="33"/>
      <c r="BN433" s="33"/>
      <c r="BO433" s="33"/>
      <c r="BP433" s="33"/>
      <c r="BQ433" s="33"/>
      <c r="BR433" s="33"/>
      <c r="BS433" s="33"/>
      <c r="BT433" s="33"/>
      <c r="BU433" s="33"/>
      <c r="BV433" s="33"/>
      <c r="BW433" s="33"/>
      <c r="BX433" s="33"/>
      <c r="BY433" s="33"/>
      <c r="BZ433" s="33"/>
      <c r="CA433" s="33"/>
      <c r="CB433" s="33"/>
      <c r="CC433" s="33"/>
      <c r="CD433" s="33"/>
    </row>
    <row r="434" spans="1:82" x14ac:dyDescent="0.25">
      <c r="A434" s="32"/>
      <c r="B434" s="32"/>
      <c r="C434" s="32"/>
      <c r="D434" s="32"/>
      <c r="E434" s="32"/>
      <c r="F434" s="32"/>
      <c r="G434" s="32"/>
      <c r="H434" s="32"/>
      <c r="I434" s="32"/>
      <c r="J434" s="32"/>
      <c r="K434" s="32"/>
      <c r="L434" s="32"/>
      <c r="M434" s="32"/>
      <c r="N434" s="32"/>
      <c r="O434" s="33"/>
      <c r="P434" s="33"/>
      <c r="Q434" s="33"/>
      <c r="R434" s="33"/>
      <c r="S434" s="33"/>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c r="AS434" s="33"/>
      <c r="AT434" s="33"/>
      <c r="AU434" s="33"/>
      <c r="AV434" s="33"/>
      <c r="AW434" s="33"/>
      <c r="AX434" s="33"/>
      <c r="AY434" s="33"/>
      <c r="AZ434" s="33"/>
      <c r="BA434" s="33"/>
      <c r="BB434" s="33"/>
      <c r="BC434" s="33"/>
      <c r="BD434" s="33"/>
      <c r="BE434" s="33"/>
      <c r="BF434" s="33"/>
      <c r="BG434" s="33"/>
      <c r="BH434" s="33"/>
      <c r="BI434" s="33"/>
      <c r="BJ434" s="33"/>
      <c r="BK434" s="33"/>
      <c r="BL434" s="33"/>
      <c r="BM434" s="33"/>
      <c r="BN434" s="33"/>
      <c r="BO434" s="33"/>
      <c r="BP434" s="33"/>
      <c r="BQ434" s="33"/>
      <c r="BR434" s="33"/>
      <c r="BS434" s="33"/>
      <c r="BT434" s="33"/>
      <c r="BU434" s="33"/>
      <c r="BV434" s="33"/>
      <c r="BW434" s="33"/>
      <c r="BX434" s="33"/>
      <c r="BY434" s="33"/>
      <c r="BZ434" s="33"/>
      <c r="CA434" s="33"/>
      <c r="CB434" s="33"/>
      <c r="CC434" s="33"/>
      <c r="CD434" s="33"/>
    </row>
    <row r="435" spans="1:82" x14ac:dyDescent="0.25">
      <c r="A435" s="32"/>
      <c r="B435" s="32"/>
      <c r="C435" s="32"/>
      <c r="D435" s="32"/>
      <c r="E435" s="32"/>
      <c r="F435" s="32"/>
      <c r="G435" s="32"/>
      <c r="H435" s="32"/>
      <c r="I435" s="32"/>
      <c r="J435" s="32"/>
      <c r="K435" s="32"/>
      <c r="L435" s="32"/>
      <c r="M435" s="32"/>
      <c r="N435" s="32"/>
      <c r="O435" s="33"/>
      <c r="P435" s="33"/>
      <c r="Q435" s="33"/>
      <c r="R435" s="33"/>
      <c r="S435" s="33"/>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c r="AS435" s="33"/>
      <c r="AT435" s="33"/>
      <c r="AU435" s="33"/>
      <c r="AV435" s="33"/>
      <c r="AW435" s="33"/>
      <c r="AX435" s="33"/>
      <c r="AY435" s="33"/>
      <c r="AZ435" s="33"/>
      <c r="BA435" s="33"/>
      <c r="BB435" s="33"/>
      <c r="BC435" s="33"/>
      <c r="BD435" s="33"/>
      <c r="BE435" s="33"/>
      <c r="BF435" s="33"/>
      <c r="BG435" s="33"/>
      <c r="BH435" s="33"/>
      <c r="BI435" s="33"/>
      <c r="BJ435" s="33"/>
      <c r="BK435" s="33"/>
      <c r="BL435" s="33"/>
      <c r="BM435" s="33"/>
      <c r="BN435" s="33"/>
      <c r="BO435" s="33"/>
      <c r="BP435" s="33"/>
      <c r="BQ435" s="33"/>
      <c r="BR435" s="33"/>
      <c r="BS435" s="33"/>
      <c r="BT435" s="33"/>
      <c r="BU435" s="33"/>
      <c r="BV435" s="33"/>
      <c r="BW435" s="33"/>
      <c r="BX435" s="33"/>
      <c r="BY435" s="33"/>
      <c r="BZ435" s="33"/>
      <c r="CA435" s="33"/>
      <c r="CB435" s="33"/>
      <c r="CC435" s="33"/>
      <c r="CD435" s="33"/>
    </row>
    <row r="436" spans="1:82" x14ac:dyDescent="0.25">
      <c r="A436" s="32"/>
      <c r="B436" s="32"/>
      <c r="C436" s="32"/>
      <c r="D436" s="32"/>
      <c r="E436" s="32"/>
      <c r="F436" s="32"/>
      <c r="G436" s="32"/>
      <c r="H436" s="32"/>
      <c r="I436" s="32"/>
      <c r="J436" s="32"/>
      <c r="K436" s="32"/>
      <c r="L436" s="32"/>
      <c r="M436" s="32"/>
      <c r="N436" s="32"/>
      <c r="O436" s="33"/>
      <c r="P436" s="33"/>
      <c r="Q436" s="33"/>
      <c r="R436" s="33"/>
      <c r="S436" s="33"/>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c r="BB436" s="33"/>
      <c r="BC436" s="33"/>
      <c r="BD436" s="33"/>
      <c r="BE436" s="33"/>
      <c r="BF436" s="33"/>
      <c r="BG436" s="33"/>
      <c r="BH436" s="33"/>
      <c r="BI436" s="33"/>
      <c r="BJ436" s="33"/>
      <c r="BK436" s="33"/>
      <c r="BL436" s="33"/>
      <c r="BM436" s="33"/>
      <c r="BN436" s="33"/>
      <c r="BO436" s="33"/>
      <c r="BP436" s="33"/>
      <c r="BQ436" s="33"/>
      <c r="BR436" s="33"/>
      <c r="BS436" s="33"/>
      <c r="BT436" s="33"/>
      <c r="BU436" s="33"/>
      <c r="BV436" s="33"/>
      <c r="BW436" s="33"/>
      <c r="BX436" s="33"/>
      <c r="BY436" s="33"/>
      <c r="BZ436" s="33"/>
      <c r="CA436" s="33"/>
      <c r="CB436" s="33"/>
      <c r="CC436" s="33"/>
      <c r="CD436" s="33"/>
    </row>
    <row r="437" spans="1:82" x14ac:dyDescent="0.25">
      <c r="A437" s="32"/>
      <c r="B437" s="32"/>
      <c r="C437" s="32"/>
      <c r="D437" s="32"/>
      <c r="E437" s="32"/>
      <c r="F437" s="32"/>
      <c r="G437" s="32"/>
      <c r="H437" s="32"/>
      <c r="I437" s="32"/>
      <c r="J437" s="32"/>
      <c r="K437" s="32"/>
      <c r="L437" s="32"/>
      <c r="M437" s="32"/>
      <c r="N437" s="32"/>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c r="BB437" s="33"/>
      <c r="BC437" s="33"/>
      <c r="BD437" s="33"/>
      <c r="BE437" s="33"/>
      <c r="BF437" s="33"/>
      <c r="BG437" s="33"/>
      <c r="BH437" s="33"/>
      <c r="BI437" s="33"/>
      <c r="BJ437" s="33"/>
      <c r="BK437" s="33"/>
      <c r="BL437" s="33"/>
      <c r="BM437" s="33"/>
      <c r="BN437" s="33"/>
      <c r="BO437" s="33"/>
      <c r="BP437" s="33"/>
      <c r="BQ437" s="33"/>
      <c r="BR437" s="33"/>
      <c r="BS437" s="33"/>
      <c r="BT437" s="33"/>
      <c r="BU437" s="33"/>
      <c r="BV437" s="33"/>
      <c r="BW437" s="33"/>
      <c r="BX437" s="33"/>
      <c r="BY437" s="33"/>
      <c r="BZ437" s="33"/>
      <c r="CA437" s="33"/>
      <c r="CB437" s="33"/>
      <c r="CC437" s="33"/>
      <c r="CD437" s="33"/>
    </row>
    <row r="438" spans="1:82" x14ac:dyDescent="0.25">
      <c r="A438" s="32"/>
      <c r="B438" s="32"/>
      <c r="C438" s="32"/>
      <c r="D438" s="32"/>
      <c r="E438" s="32"/>
      <c r="F438" s="32"/>
      <c r="G438" s="32"/>
      <c r="H438" s="32"/>
      <c r="I438" s="32"/>
      <c r="J438" s="32"/>
      <c r="K438" s="32"/>
      <c r="L438" s="32"/>
      <c r="M438" s="32"/>
      <c r="N438" s="32"/>
      <c r="O438" s="33"/>
      <c r="P438" s="33"/>
      <c r="Q438" s="33"/>
      <c r="R438" s="33"/>
      <c r="S438" s="33"/>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c r="BB438" s="33"/>
      <c r="BC438" s="33"/>
      <c r="BD438" s="33"/>
      <c r="BE438" s="33"/>
      <c r="BF438" s="33"/>
      <c r="BG438" s="33"/>
      <c r="BH438" s="33"/>
      <c r="BI438" s="33"/>
      <c r="BJ438" s="33"/>
      <c r="BK438" s="33"/>
      <c r="BL438" s="33"/>
      <c r="BM438" s="33"/>
      <c r="BN438" s="33"/>
      <c r="BO438" s="33"/>
      <c r="BP438" s="33"/>
      <c r="BQ438" s="33"/>
      <c r="BR438" s="33"/>
      <c r="BS438" s="33"/>
      <c r="BT438" s="33"/>
      <c r="BU438" s="33"/>
      <c r="BV438" s="33"/>
      <c r="BW438" s="33"/>
      <c r="BX438" s="33"/>
      <c r="BY438" s="33"/>
      <c r="BZ438" s="33"/>
      <c r="CA438" s="33"/>
      <c r="CB438" s="33"/>
      <c r="CC438" s="33"/>
      <c r="CD438" s="33"/>
    </row>
    <row r="439" spans="1:82" x14ac:dyDescent="0.25">
      <c r="A439" s="32"/>
      <c r="B439" s="32"/>
      <c r="C439" s="32"/>
      <c r="D439" s="32"/>
      <c r="E439" s="32"/>
      <c r="F439" s="32"/>
      <c r="G439" s="32"/>
      <c r="H439" s="32"/>
      <c r="I439" s="32"/>
      <c r="J439" s="32"/>
      <c r="K439" s="32"/>
      <c r="L439" s="32"/>
      <c r="M439" s="32"/>
      <c r="N439" s="32"/>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c r="BB439" s="33"/>
      <c r="BC439" s="33"/>
      <c r="BD439" s="33"/>
      <c r="BE439" s="33"/>
      <c r="BF439" s="33"/>
      <c r="BG439" s="33"/>
      <c r="BH439" s="33"/>
      <c r="BI439" s="33"/>
      <c r="BJ439" s="33"/>
      <c r="BK439" s="33"/>
      <c r="BL439" s="33"/>
      <c r="BM439" s="33"/>
      <c r="BN439" s="33"/>
      <c r="BO439" s="33"/>
      <c r="BP439" s="33"/>
      <c r="BQ439" s="33"/>
      <c r="BR439" s="33"/>
      <c r="BS439" s="33"/>
      <c r="BT439" s="33"/>
      <c r="BU439" s="33"/>
      <c r="BV439" s="33"/>
      <c r="BW439" s="33"/>
      <c r="BX439" s="33"/>
      <c r="BY439" s="33"/>
      <c r="BZ439" s="33"/>
      <c r="CA439" s="33"/>
      <c r="CB439" s="33"/>
      <c r="CC439" s="33"/>
      <c r="CD439" s="33"/>
    </row>
    <row r="440" spans="1:82" x14ac:dyDescent="0.25">
      <c r="A440" s="32"/>
      <c r="B440" s="32"/>
      <c r="C440" s="32"/>
      <c r="D440" s="32"/>
      <c r="E440" s="32"/>
      <c r="F440" s="32"/>
      <c r="G440" s="32"/>
      <c r="H440" s="32"/>
      <c r="I440" s="32"/>
      <c r="J440" s="32"/>
      <c r="K440" s="32"/>
      <c r="L440" s="32"/>
      <c r="M440" s="32"/>
      <c r="N440" s="32"/>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c r="BB440" s="33"/>
      <c r="BC440" s="33"/>
      <c r="BD440" s="33"/>
      <c r="BE440" s="33"/>
      <c r="BF440" s="33"/>
      <c r="BG440" s="33"/>
      <c r="BH440" s="33"/>
      <c r="BI440" s="33"/>
      <c r="BJ440" s="33"/>
      <c r="BK440" s="33"/>
      <c r="BL440" s="33"/>
      <c r="BM440" s="33"/>
      <c r="BN440" s="33"/>
      <c r="BO440" s="33"/>
      <c r="BP440" s="33"/>
      <c r="BQ440" s="33"/>
      <c r="BR440" s="33"/>
      <c r="BS440" s="33"/>
      <c r="BT440" s="33"/>
      <c r="BU440" s="33"/>
      <c r="BV440" s="33"/>
      <c r="BW440" s="33"/>
      <c r="BX440" s="33"/>
      <c r="BY440" s="33"/>
      <c r="BZ440" s="33"/>
      <c r="CA440" s="33"/>
      <c r="CB440" s="33"/>
      <c r="CC440" s="33"/>
      <c r="CD440" s="33"/>
    </row>
    <row r="441" spans="1:82" x14ac:dyDescent="0.25">
      <c r="A441" s="32"/>
      <c r="B441" s="32"/>
      <c r="C441" s="32"/>
      <c r="D441" s="32"/>
      <c r="E441" s="32"/>
      <c r="F441" s="32"/>
      <c r="G441" s="32"/>
      <c r="H441" s="32"/>
      <c r="I441" s="32"/>
      <c r="J441" s="32"/>
      <c r="K441" s="32"/>
      <c r="L441" s="32"/>
      <c r="M441" s="32"/>
      <c r="N441" s="32"/>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c r="BB441" s="33"/>
      <c r="BC441" s="33"/>
      <c r="BD441" s="33"/>
      <c r="BE441" s="33"/>
      <c r="BF441" s="33"/>
      <c r="BG441" s="33"/>
      <c r="BH441" s="33"/>
      <c r="BI441" s="33"/>
      <c r="BJ441" s="33"/>
      <c r="BK441" s="33"/>
      <c r="BL441" s="33"/>
      <c r="BM441" s="33"/>
      <c r="BN441" s="33"/>
      <c r="BO441" s="33"/>
      <c r="BP441" s="33"/>
      <c r="BQ441" s="33"/>
      <c r="BR441" s="33"/>
      <c r="BS441" s="33"/>
      <c r="BT441" s="33"/>
      <c r="BU441" s="33"/>
      <c r="BV441" s="33"/>
      <c r="BW441" s="33"/>
      <c r="BX441" s="33"/>
      <c r="BY441" s="33"/>
      <c r="BZ441" s="33"/>
      <c r="CA441" s="33"/>
      <c r="CB441" s="33"/>
      <c r="CC441" s="33"/>
      <c r="CD441" s="33"/>
    </row>
    <row r="442" spans="1:82" x14ac:dyDescent="0.25">
      <c r="A442" s="32"/>
      <c r="B442" s="32"/>
      <c r="C442" s="32"/>
      <c r="D442" s="32"/>
      <c r="E442" s="32"/>
      <c r="F442" s="32"/>
      <c r="G442" s="32"/>
      <c r="H442" s="32"/>
      <c r="I442" s="32"/>
      <c r="J442" s="32"/>
      <c r="K442" s="32"/>
      <c r="L442" s="32"/>
      <c r="M442" s="32"/>
      <c r="N442" s="32"/>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c r="BB442" s="33"/>
      <c r="BC442" s="33"/>
      <c r="BD442" s="33"/>
      <c r="BE442" s="33"/>
      <c r="BF442" s="33"/>
      <c r="BG442" s="33"/>
      <c r="BH442" s="33"/>
      <c r="BI442" s="33"/>
      <c r="BJ442" s="33"/>
      <c r="BK442" s="33"/>
      <c r="BL442" s="33"/>
      <c r="BM442" s="33"/>
      <c r="BN442" s="33"/>
      <c r="BO442" s="33"/>
      <c r="BP442" s="33"/>
      <c r="BQ442" s="33"/>
      <c r="BR442" s="33"/>
      <c r="BS442" s="33"/>
      <c r="BT442" s="33"/>
      <c r="BU442" s="33"/>
      <c r="BV442" s="33"/>
      <c r="BW442" s="33"/>
      <c r="BX442" s="33"/>
      <c r="BY442" s="33"/>
      <c r="BZ442" s="33"/>
      <c r="CA442" s="33"/>
      <c r="CB442" s="33"/>
      <c r="CC442" s="33"/>
      <c r="CD442" s="33"/>
    </row>
    <row r="443" spans="1:82" x14ac:dyDescent="0.25">
      <c r="A443" s="32"/>
      <c r="B443" s="32"/>
      <c r="C443" s="32"/>
      <c r="D443" s="32"/>
      <c r="E443" s="32"/>
      <c r="F443" s="32"/>
      <c r="G443" s="32"/>
      <c r="H443" s="32"/>
      <c r="I443" s="32"/>
      <c r="J443" s="32"/>
      <c r="K443" s="32"/>
      <c r="L443" s="32"/>
      <c r="M443" s="32"/>
      <c r="N443" s="32"/>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c r="BB443" s="33"/>
      <c r="BC443" s="33"/>
      <c r="BD443" s="33"/>
      <c r="BE443" s="33"/>
      <c r="BF443" s="33"/>
      <c r="BG443" s="33"/>
      <c r="BH443" s="33"/>
      <c r="BI443" s="33"/>
      <c r="BJ443" s="33"/>
      <c r="BK443" s="33"/>
      <c r="BL443" s="33"/>
      <c r="BM443" s="33"/>
      <c r="BN443" s="33"/>
      <c r="BO443" s="33"/>
      <c r="BP443" s="33"/>
      <c r="BQ443" s="33"/>
      <c r="BR443" s="33"/>
      <c r="BS443" s="33"/>
      <c r="BT443" s="33"/>
      <c r="BU443" s="33"/>
      <c r="BV443" s="33"/>
      <c r="BW443" s="33"/>
      <c r="BX443" s="33"/>
      <c r="BY443" s="33"/>
      <c r="BZ443" s="33"/>
      <c r="CA443" s="33"/>
      <c r="CB443" s="33"/>
      <c r="CC443" s="33"/>
      <c r="CD443" s="33"/>
    </row>
    <row r="444" spans="1:82" x14ac:dyDescent="0.25">
      <c r="A444" s="32"/>
      <c r="B444" s="32"/>
      <c r="C444" s="32"/>
      <c r="D444" s="32"/>
      <c r="E444" s="32"/>
      <c r="F444" s="32"/>
      <c r="G444" s="32"/>
      <c r="H444" s="32"/>
      <c r="I444" s="32"/>
      <c r="J444" s="32"/>
      <c r="K444" s="32"/>
      <c r="L444" s="32"/>
      <c r="M444" s="32"/>
      <c r="N444" s="32"/>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c r="BB444" s="33"/>
      <c r="BC444" s="33"/>
      <c r="BD444" s="33"/>
      <c r="BE444" s="33"/>
      <c r="BF444" s="33"/>
      <c r="BG444" s="33"/>
      <c r="BH444" s="33"/>
      <c r="BI444" s="33"/>
      <c r="BJ444" s="33"/>
      <c r="BK444" s="33"/>
      <c r="BL444" s="33"/>
      <c r="BM444" s="33"/>
      <c r="BN444" s="33"/>
      <c r="BO444" s="33"/>
      <c r="BP444" s="33"/>
      <c r="BQ444" s="33"/>
      <c r="BR444" s="33"/>
      <c r="BS444" s="33"/>
      <c r="BT444" s="33"/>
      <c r="BU444" s="33"/>
      <c r="BV444" s="33"/>
      <c r="BW444" s="33"/>
      <c r="BX444" s="33"/>
      <c r="BY444" s="33"/>
      <c r="BZ444" s="33"/>
      <c r="CA444" s="33"/>
      <c r="CB444" s="33"/>
      <c r="CC444" s="33"/>
      <c r="CD444" s="33"/>
    </row>
    <row r="445" spans="1:82" x14ac:dyDescent="0.25">
      <c r="A445" s="32"/>
      <c r="B445" s="32"/>
      <c r="C445" s="32"/>
      <c r="D445" s="32"/>
      <c r="E445" s="32"/>
      <c r="F445" s="32"/>
      <c r="G445" s="32"/>
      <c r="H445" s="32"/>
      <c r="I445" s="32"/>
      <c r="J445" s="32"/>
      <c r="K445" s="32"/>
      <c r="L445" s="32"/>
      <c r="M445" s="32"/>
      <c r="N445" s="32"/>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c r="BB445" s="33"/>
      <c r="BC445" s="33"/>
      <c r="BD445" s="33"/>
      <c r="BE445" s="33"/>
      <c r="BF445" s="33"/>
      <c r="BG445" s="33"/>
      <c r="BH445" s="33"/>
      <c r="BI445" s="33"/>
      <c r="BJ445" s="33"/>
      <c r="BK445" s="33"/>
      <c r="BL445" s="33"/>
      <c r="BM445" s="33"/>
      <c r="BN445" s="33"/>
      <c r="BO445" s="33"/>
      <c r="BP445" s="33"/>
      <c r="BQ445" s="33"/>
      <c r="BR445" s="33"/>
      <c r="BS445" s="33"/>
      <c r="BT445" s="33"/>
      <c r="BU445" s="33"/>
      <c r="BV445" s="33"/>
      <c r="BW445" s="33"/>
      <c r="BX445" s="33"/>
      <c r="BY445" s="33"/>
      <c r="BZ445" s="33"/>
      <c r="CA445" s="33"/>
      <c r="CB445" s="33"/>
      <c r="CC445" s="33"/>
      <c r="CD445" s="33"/>
    </row>
    <row r="446" spans="1:82" x14ac:dyDescent="0.25">
      <c r="A446" s="32"/>
      <c r="B446" s="32"/>
      <c r="C446" s="32"/>
      <c r="D446" s="32"/>
      <c r="E446" s="32"/>
      <c r="F446" s="32"/>
      <c r="G446" s="32"/>
      <c r="H446" s="32"/>
      <c r="I446" s="32"/>
      <c r="J446" s="32"/>
      <c r="K446" s="32"/>
      <c r="L446" s="32"/>
      <c r="M446" s="32"/>
      <c r="N446" s="32"/>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c r="AV446" s="33"/>
      <c r="AW446" s="33"/>
      <c r="AX446" s="33"/>
      <c r="AY446" s="33"/>
      <c r="AZ446" s="33"/>
      <c r="BA446" s="33"/>
      <c r="BB446" s="33"/>
      <c r="BC446" s="33"/>
      <c r="BD446" s="33"/>
      <c r="BE446" s="33"/>
      <c r="BF446" s="33"/>
      <c r="BG446" s="33"/>
      <c r="BH446" s="33"/>
      <c r="BI446" s="33"/>
      <c r="BJ446" s="33"/>
      <c r="BK446" s="33"/>
      <c r="BL446" s="33"/>
      <c r="BM446" s="33"/>
      <c r="BN446" s="33"/>
      <c r="BO446" s="33"/>
      <c r="BP446" s="33"/>
      <c r="BQ446" s="33"/>
      <c r="BR446" s="33"/>
      <c r="BS446" s="33"/>
      <c r="BT446" s="33"/>
      <c r="BU446" s="33"/>
      <c r="BV446" s="33"/>
      <c r="BW446" s="33"/>
      <c r="BX446" s="33"/>
      <c r="BY446" s="33"/>
      <c r="BZ446" s="33"/>
      <c r="CA446" s="33"/>
      <c r="CB446" s="33"/>
      <c r="CC446" s="33"/>
      <c r="CD446" s="33"/>
    </row>
    <row r="447" spans="1:82" x14ac:dyDescent="0.25">
      <c r="A447" s="32"/>
      <c r="B447" s="32"/>
      <c r="C447" s="32"/>
      <c r="D447" s="32"/>
      <c r="E447" s="32"/>
      <c r="F447" s="32"/>
      <c r="G447" s="32"/>
      <c r="H447" s="32"/>
      <c r="I447" s="32"/>
      <c r="J447" s="32"/>
      <c r="K447" s="32"/>
      <c r="L447" s="32"/>
      <c r="M447" s="32"/>
      <c r="N447" s="32"/>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c r="AV447" s="33"/>
      <c r="AW447" s="33"/>
      <c r="AX447" s="33"/>
      <c r="AY447" s="33"/>
      <c r="AZ447" s="33"/>
      <c r="BA447" s="33"/>
      <c r="BB447" s="33"/>
      <c r="BC447" s="33"/>
      <c r="BD447" s="33"/>
      <c r="BE447" s="33"/>
      <c r="BF447" s="33"/>
      <c r="BG447" s="33"/>
      <c r="BH447" s="33"/>
      <c r="BI447" s="33"/>
      <c r="BJ447" s="33"/>
      <c r="BK447" s="33"/>
      <c r="BL447" s="33"/>
      <c r="BM447" s="33"/>
      <c r="BN447" s="33"/>
      <c r="BO447" s="33"/>
      <c r="BP447" s="33"/>
      <c r="BQ447" s="33"/>
      <c r="BR447" s="33"/>
      <c r="BS447" s="33"/>
      <c r="BT447" s="33"/>
      <c r="BU447" s="33"/>
      <c r="BV447" s="33"/>
      <c r="BW447" s="33"/>
      <c r="BX447" s="33"/>
      <c r="BY447" s="33"/>
      <c r="BZ447" s="33"/>
      <c r="CA447" s="33"/>
      <c r="CB447" s="33"/>
      <c r="CC447" s="33"/>
      <c r="CD447" s="33"/>
    </row>
    <row r="448" spans="1:82" x14ac:dyDescent="0.25">
      <c r="A448" s="32"/>
      <c r="B448" s="32"/>
      <c r="C448" s="32"/>
      <c r="D448" s="32"/>
      <c r="E448" s="32"/>
      <c r="F448" s="32"/>
      <c r="G448" s="32"/>
      <c r="H448" s="32"/>
      <c r="I448" s="32"/>
      <c r="J448" s="32"/>
      <c r="K448" s="32"/>
      <c r="L448" s="32"/>
      <c r="M448" s="32"/>
      <c r="N448" s="32"/>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c r="AV448" s="33"/>
      <c r="AW448" s="33"/>
      <c r="AX448" s="33"/>
      <c r="AY448" s="33"/>
      <c r="AZ448" s="33"/>
      <c r="BA448" s="33"/>
      <c r="BB448" s="33"/>
      <c r="BC448" s="33"/>
      <c r="BD448" s="33"/>
      <c r="BE448" s="33"/>
      <c r="BF448" s="33"/>
      <c r="BG448" s="33"/>
      <c r="BH448" s="33"/>
      <c r="BI448" s="33"/>
      <c r="BJ448" s="33"/>
      <c r="BK448" s="33"/>
      <c r="BL448" s="33"/>
      <c r="BM448" s="33"/>
      <c r="BN448" s="33"/>
      <c r="BO448" s="33"/>
      <c r="BP448" s="33"/>
      <c r="BQ448" s="33"/>
      <c r="BR448" s="33"/>
      <c r="BS448" s="33"/>
      <c r="BT448" s="33"/>
      <c r="BU448" s="33"/>
      <c r="BV448" s="33"/>
      <c r="BW448" s="33"/>
      <c r="BX448" s="33"/>
      <c r="BY448" s="33"/>
      <c r="BZ448" s="33"/>
      <c r="CA448" s="33"/>
      <c r="CB448" s="33"/>
      <c r="CC448" s="33"/>
      <c r="CD448" s="33"/>
    </row>
    <row r="449" spans="1:82" x14ac:dyDescent="0.25">
      <c r="A449" s="32"/>
      <c r="B449" s="32"/>
      <c r="C449" s="32"/>
      <c r="D449" s="32"/>
      <c r="E449" s="32"/>
      <c r="F449" s="32"/>
      <c r="G449" s="32"/>
      <c r="H449" s="32"/>
      <c r="I449" s="32"/>
      <c r="J449" s="32"/>
      <c r="K449" s="32"/>
      <c r="L449" s="32"/>
      <c r="M449" s="32"/>
      <c r="N449" s="32"/>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c r="AV449" s="33"/>
      <c r="AW449" s="33"/>
      <c r="AX449" s="33"/>
      <c r="AY449" s="33"/>
      <c r="AZ449" s="33"/>
      <c r="BA449" s="33"/>
      <c r="BB449" s="33"/>
      <c r="BC449" s="33"/>
      <c r="BD449" s="33"/>
      <c r="BE449" s="33"/>
      <c r="BF449" s="33"/>
      <c r="BG449" s="33"/>
      <c r="BH449" s="33"/>
      <c r="BI449" s="33"/>
      <c r="BJ449" s="33"/>
      <c r="BK449" s="33"/>
      <c r="BL449" s="33"/>
      <c r="BM449" s="33"/>
      <c r="BN449" s="33"/>
      <c r="BO449" s="33"/>
      <c r="BP449" s="33"/>
      <c r="BQ449" s="33"/>
      <c r="BR449" s="33"/>
      <c r="BS449" s="33"/>
      <c r="BT449" s="33"/>
      <c r="BU449" s="33"/>
      <c r="BV449" s="33"/>
      <c r="BW449" s="33"/>
      <c r="BX449" s="33"/>
      <c r="BY449" s="33"/>
      <c r="BZ449" s="33"/>
      <c r="CA449" s="33"/>
      <c r="CB449" s="33"/>
      <c r="CC449" s="33"/>
      <c r="CD449" s="33"/>
    </row>
    <row r="450" spans="1:82" x14ac:dyDescent="0.25">
      <c r="A450" s="32"/>
      <c r="B450" s="32"/>
      <c r="C450" s="32"/>
      <c r="D450" s="32"/>
      <c r="E450" s="32"/>
      <c r="F450" s="32"/>
      <c r="G450" s="32"/>
      <c r="H450" s="32"/>
      <c r="I450" s="32"/>
      <c r="J450" s="32"/>
      <c r="K450" s="32"/>
      <c r="L450" s="32"/>
      <c r="M450" s="32"/>
      <c r="N450" s="32"/>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c r="AV450" s="33"/>
      <c r="AW450" s="33"/>
      <c r="AX450" s="33"/>
      <c r="AY450" s="33"/>
      <c r="AZ450" s="33"/>
      <c r="BA450" s="33"/>
      <c r="BB450" s="33"/>
      <c r="BC450" s="33"/>
      <c r="BD450" s="33"/>
      <c r="BE450" s="33"/>
      <c r="BF450" s="33"/>
      <c r="BG450" s="33"/>
      <c r="BH450" s="33"/>
      <c r="BI450" s="33"/>
      <c r="BJ450" s="33"/>
      <c r="BK450" s="33"/>
      <c r="BL450" s="33"/>
      <c r="BM450" s="33"/>
      <c r="BN450" s="33"/>
      <c r="BO450" s="33"/>
      <c r="BP450" s="33"/>
      <c r="BQ450" s="33"/>
      <c r="BR450" s="33"/>
      <c r="BS450" s="33"/>
      <c r="BT450" s="33"/>
      <c r="BU450" s="33"/>
      <c r="BV450" s="33"/>
      <c r="BW450" s="33"/>
      <c r="BX450" s="33"/>
      <c r="BY450" s="33"/>
      <c r="BZ450" s="33"/>
      <c r="CA450" s="33"/>
      <c r="CB450" s="33"/>
      <c r="CC450" s="33"/>
      <c r="CD450" s="33"/>
    </row>
    <row r="451" spans="1:82" x14ac:dyDescent="0.25">
      <c r="A451" s="32"/>
      <c r="B451" s="32"/>
      <c r="C451" s="32"/>
      <c r="D451" s="32"/>
      <c r="E451" s="32"/>
      <c r="F451" s="32"/>
      <c r="G451" s="32"/>
      <c r="H451" s="32"/>
      <c r="I451" s="32"/>
      <c r="J451" s="32"/>
      <c r="K451" s="32"/>
      <c r="L451" s="32"/>
      <c r="M451" s="32"/>
      <c r="N451" s="32"/>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c r="AS451" s="33"/>
      <c r="AT451" s="33"/>
      <c r="AU451" s="33"/>
      <c r="AV451" s="33"/>
      <c r="AW451" s="33"/>
      <c r="AX451" s="33"/>
      <c r="AY451" s="33"/>
      <c r="AZ451" s="33"/>
      <c r="BA451" s="33"/>
      <c r="BB451" s="33"/>
      <c r="BC451" s="33"/>
      <c r="BD451" s="33"/>
      <c r="BE451" s="33"/>
      <c r="BF451" s="33"/>
      <c r="BG451" s="33"/>
      <c r="BH451" s="33"/>
      <c r="BI451" s="33"/>
      <c r="BJ451" s="33"/>
      <c r="BK451" s="33"/>
      <c r="BL451" s="33"/>
      <c r="BM451" s="33"/>
      <c r="BN451" s="33"/>
      <c r="BO451" s="33"/>
      <c r="BP451" s="33"/>
      <c r="BQ451" s="33"/>
      <c r="BR451" s="33"/>
      <c r="BS451" s="33"/>
      <c r="BT451" s="33"/>
      <c r="BU451" s="33"/>
      <c r="BV451" s="33"/>
      <c r="BW451" s="33"/>
      <c r="BX451" s="33"/>
      <c r="BY451" s="33"/>
      <c r="BZ451" s="33"/>
      <c r="CA451" s="33"/>
      <c r="CB451" s="33"/>
      <c r="CC451" s="33"/>
      <c r="CD451" s="33"/>
    </row>
    <row r="452" spans="1:82" x14ac:dyDescent="0.25">
      <c r="A452" s="32"/>
      <c r="B452" s="32"/>
      <c r="C452" s="32"/>
      <c r="D452" s="32"/>
      <c r="E452" s="32"/>
      <c r="F452" s="32"/>
      <c r="G452" s="32"/>
      <c r="H452" s="32"/>
      <c r="I452" s="32"/>
      <c r="J452" s="32"/>
      <c r="K452" s="32"/>
      <c r="L452" s="32"/>
      <c r="M452" s="32"/>
      <c r="N452" s="32"/>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c r="AS452" s="33"/>
      <c r="AT452" s="33"/>
      <c r="AU452" s="33"/>
      <c r="AV452" s="33"/>
      <c r="AW452" s="33"/>
      <c r="AX452" s="33"/>
      <c r="AY452" s="33"/>
      <c r="AZ452" s="33"/>
      <c r="BA452" s="33"/>
      <c r="BB452" s="33"/>
      <c r="BC452" s="33"/>
      <c r="BD452" s="33"/>
      <c r="BE452" s="33"/>
      <c r="BF452" s="33"/>
      <c r="BG452" s="33"/>
      <c r="BH452" s="33"/>
      <c r="BI452" s="33"/>
      <c r="BJ452" s="33"/>
      <c r="BK452" s="33"/>
      <c r="BL452" s="33"/>
      <c r="BM452" s="33"/>
      <c r="BN452" s="33"/>
      <c r="BO452" s="33"/>
      <c r="BP452" s="33"/>
      <c r="BQ452" s="33"/>
      <c r="BR452" s="33"/>
      <c r="BS452" s="33"/>
      <c r="BT452" s="33"/>
      <c r="BU452" s="33"/>
      <c r="BV452" s="33"/>
      <c r="BW452" s="33"/>
      <c r="BX452" s="33"/>
      <c r="BY452" s="33"/>
      <c r="BZ452" s="33"/>
      <c r="CA452" s="33"/>
      <c r="CB452" s="33"/>
      <c r="CC452" s="33"/>
      <c r="CD452" s="33"/>
    </row>
    <row r="453" spans="1:82" x14ac:dyDescent="0.25">
      <c r="A453" s="32"/>
      <c r="B453" s="32"/>
      <c r="C453" s="32"/>
      <c r="D453" s="32"/>
      <c r="E453" s="32"/>
      <c r="F453" s="32"/>
      <c r="G453" s="32"/>
      <c r="H453" s="32"/>
      <c r="I453" s="32"/>
      <c r="J453" s="32"/>
      <c r="K453" s="32"/>
      <c r="L453" s="32"/>
      <c r="M453" s="32"/>
      <c r="N453" s="32"/>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c r="AS453" s="33"/>
      <c r="AT453" s="33"/>
      <c r="AU453" s="33"/>
      <c r="AV453" s="33"/>
      <c r="AW453" s="33"/>
      <c r="AX453" s="33"/>
      <c r="AY453" s="33"/>
      <c r="AZ453" s="33"/>
      <c r="BA453" s="33"/>
      <c r="BB453" s="33"/>
      <c r="BC453" s="33"/>
      <c r="BD453" s="33"/>
      <c r="BE453" s="33"/>
      <c r="BF453" s="33"/>
      <c r="BG453" s="33"/>
      <c r="BH453" s="33"/>
      <c r="BI453" s="33"/>
      <c r="BJ453" s="33"/>
      <c r="BK453" s="33"/>
      <c r="BL453" s="33"/>
      <c r="BM453" s="33"/>
      <c r="BN453" s="33"/>
      <c r="BO453" s="33"/>
      <c r="BP453" s="33"/>
      <c r="BQ453" s="33"/>
      <c r="BR453" s="33"/>
      <c r="BS453" s="33"/>
      <c r="BT453" s="33"/>
      <c r="BU453" s="33"/>
      <c r="BV453" s="33"/>
      <c r="BW453" s="33"/>
      <c r="BX453" s="33"/>
      <c r="BY453" s="33"/>
      <c r="BZ453" s="33"/>
      <c r="CA453" s="33"/>
      <c r="CB453" s="33"/>
      <c r="CC453" s="33"/>
      <c r="CD453" s="33"/>
    </row>
    <row r="454" spans="1:82" x14ac:dyDescent="0.25">
      <c r="A454" s="32"/>
      <c r="B454" s="32"/>
      <c r="C454" s="32"/>
      <c r="D454" s="32"/>
      <c r="E454" s="32"/>
      <c r="F454" s="32"/>
      <c r="G454" s="32"/>
      <c r="H454" s="32"/>
      <c r="I454" s="32"/>
      <c r="J454" s="32"/>
      <c r="K454" s="32"/>
      <c r="L454" s="32"/>
      <c r="M454" s="32"/>
      <c r="N454" s="32"/>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c r="AS454" s="33"/>
      <c r="AT454" s="33"/>
      <c r="AU454" s="33"/>
      <c r="AV454" s="33"/>
      <c r="AW454" s="33"/>
      <c r="AX454" s="33"/>
      <c r="AY454" s="33"/>
      <c r="AZ454" s="33"/>
      <c r="BA454" s="33"/>
      <c r="BB454" s="33"/>
      <c r="BC454" s="33"/>
      <c r="BD454" s="33"/>
      <c r="BE454" s="33"/>
      <c r="BF454" s="33"/>
      <c r="BG454" s="33"/>
      <c r="BH454" s="33"/>
      <c r="BI454" s="33"/>
      <c r="BJ454" s="33"/>
      <c r="BK454" s="33"/>
      <c r="BL454" s="33"/>
      <c r="BM454" s="33"/>
      <c r="BN454" s="33"/>
      <c r="BO454" s="33"/>
      <c r="BP454" s="33"/>
      <c r="BQ454" s="33"/>
      <c r="BR454" s="33"/>
      <c r="BS454" s="33"/>
      <c r="BT454" s="33"/>
      <c r="BU454" s="33"/>
      <c r="BV454" s="33"/>
      <c r="BW454" s="33"/>
      <c r="BX454" s="33"/>
      <c r="BY454" s="33"/>
      <c r="BZ454" s="33"/>
      <c r="CA454" s="33"/>
      <c r="CB454" s="33"/>
      <c r="CC454" s="33"/>
      <c r="CD454" s="33"/>
    </row>
    <row r="455" spans="1:82" x14ac:dyDescent="0.25">
      <c r="A455" s="32"/>
      <c r="B455" s="32"/>
      <c r="C455" s="32"/>
      <c r="D455" s="32"/>
      <c r="E455" s="32"/>
      <c r="F455" s="32"/>
      <c r="G455" s="32"/>
      <c r="H455" s="32"/>
      <c r="I455" s="32"/>
      <c r="J455" s="32"/>
      <c r="K455" s="32"/>
      <c r="L455" s="32"/>
      <c r="M455" s="32"/>
      <c r="N455" s="32"/>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c r="AS455" s="33"/>
      <c r="AT455" s="33"/>
      <c r="AU455" s="33"/>
      <c r="AV455" s="33"/>
      <c r="AW455" s="33"/>
      <c r="AX455" s="33"/>
      <c r="AY455" s="33"/>
      <c r="AZ455" s="33"/>
      <c r="BA455" s="33"/>
      <c r="BB455" s="33"/>
      <c r="BC455" s="33"/>
      <c r="BD455" s="33"/>
      <c r="BE455" s="33"/>
      <c r="BF455" s="33"/>
      <c r="BG455" s="33"/>
      <c r="BH455" s="33"/>
      <c r="BI455" s="33"/>
      <c r="BJ455" s="33"/>
      <c r="BK455" s="33"/>
      <c r="BL455" s="33"/>
      <c r="BM455" s="33"/>
      <c r="BN455" s="33"/>
      <c r="BO455" s="33"/>
      <c r="BP455" s="33"/>
      <c r="BQ455" s="33"/>
      <c r="BR455" s="33"/>
      <c r="BS455" s="33"/>
      <c r="BT455" s="33"/>
      <c r="BU455" s="33"/>
      <c r="BV455" s="33"/>
      <c r="BW455" s="33"/>
      <c r="BX455" s="33"/>
      <c r="BY455" s="33"/>
      <c r="BZ455" s="33"/>
      <c r="CA455" s="33"/>
      <c r="CB455" s="33"/>
      <c r="CC455" s="33"/>
      <c r="CD455" s="33"/>
    </row>
    <row r="456" spans="1:82" x14ac:dyDescent="0.25">
      <c r="A456" s="32"/>
      <c r="B456" s="32"/>
      <c r="C456" s="32"/>
      <c r="D456" s="32"/>
      <c r="E456" s="32"/>
      <c r="F456" s="32"/>
      <c r="G456" s="32"/>
      <c r="H456" s="32"/>
      <c r="I456" s="32"/>
      <c r="J456" s="32"/>
      <c r="K456" s="32"/>
      <c r="L456" s="32"/>
      <c r="M456" s="32"/>
      <c r="N456" s="32"/>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AZ456" s="33"/>
      <c r="BA456" s="33"/>
      <c r="BB456" s="33"/>
      <c r="BC456" s="33"/>
      <c r="BD456" s="33"/>
      <c r="BE456" s="33"/>
      <c r="BF456" s="33"/>
      <c r="BG456" s="33"/>
      <c r="BH456" s="33"/>
      <c r="BI456" s="33"/>
      <c r="BJ456" s="33"/>
      <c r="BK456" s="33"/>
      <c r="BL456" s="33"/>
      <c r="BM456" s="33"/>
      <c r="BN456" s="33"/>
      <c r="BO456" s="33"/>
      <c r="BP456" s="33"/>
      <c r="BQ456" s="33"/>
      <c r="BR456" s="33"/>
      <c r="BS456" s="33"/>
      <c r="BT456" s="33"/>
      <c r="BU456" s="33"/>
      <c r="BV456" s="33"/>
      <c r="BW456" s="33"/>
      <c r="BX456" s="33"/>
      <c r="BY456" s="33"/>
      <c r="BZ456" s="33"/>
      <c r="CA456" s="33"/>
      <c r="CB456" s="33"/>
      <c r="CC456" s="33"/>
      <c r="CD456" s="33"/>
    </row>
    <row r="457" spans="1:82" x14ac:dyDescent="0.25">
      <c r="A457" s="32"/>
      <c r="B457" s="32"/>
      <c r="C457" s="32"/>
      <c r="D457" s="32"/>
      <c r="E457" s="32"/>
      <c r="F457" s="32"/>
      <c r="G457" s="32"/>
      <c r="H457" s="32"/>
      <c r="I457" s="32"/>
      <c r="J457" s="32"/>
      <c r="K457" s="32"/>
      <c r="L457" s="32"/>
      <c r="M457" s="32"/>
      <c r="N457" s="32"/>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c r="AS457" s="33"/>
      <c r="AT457" s="33"/>
      <c r="AU457" s="33"/>
      <c r="AV457" s="33"/>
      <c r="AW457" s="33"/>
      <c r="AX457" s="33"/>
      <c r="AY457" s="33"/>
      <c r="AZ457" s="33"/>
      <c r="BA457" s="33"/>
      <c r="BB457" s="33"/>
      <c r="BC457" s="33"/>
      <c r="BD457" s="33"/>
      <c r="BE457" s="33"/>
      <c r="BF457" s="33"/>
      <c r="BG457" s="33"/>
      <c r="BH457" s="33"/>
      <c r="BI457" s="33"/>
      <c r="BJ457" s="33"/>
      <c r="BK457" s="33"/>
      <c r="BL457" s="33"/>
      <c r="BM457" s="33"/>
      <c r="BN457" s="33"/>
      <c r="BO457" s="33"/>
      <c r="BP457" s="33"/>
      <c r="BQ457" s="33"/>
      <c r="BR457" s="33"/>
      <c r="BS457" s="33"/>
      <c r="BT457" s="33"/>
      <c r="BU457" s="33"/>
      <c r="BV457" s="33"/>
      <c r="BW457" s="33"/>
      <c r="BX457" s="33"/>
      <c r="BY457" s="33"/>
      <c r="BZ457" s="33"/>
      <c r="CA457" s="33"/>
      <c r="CB457" s="33"/>
      <c r="CC457" s="33"/>
      <c r="CD457" s="33"/>
    </row>
    <row r="458" spans="1:82" x14ac:dyDescent="0.25">
      <c r="A458" s="32"/>
      <c r="B458" s="32"/>
      <c r="C458" s="32"/>
      <c r="D458" s="32"/>
      <c r="E458" s="32"/>
      <c r="F458" s="32"/>
      <c r="G458" s="32"/>
      <c r="H458" s="32"/>
      <c r="I458" s="32"/>
      <c r="J458" s="32"/>
      <c r="K458" s="32"/>
      <c r="L458" s="32"/>
      <c r="M458" s="32"/>
      <c r="N458" s="32"/>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c r="AS458" s="33"/>
      <c r="AT458" s="33"/>
      <c r="AU458" s="33"/>
      <c r="AV458" s="33"/>
      <c r="AW458" s="33"/>
      <c r="AX458" s="33"/>
      <c r="AY458" s="33"/>
      <c r="AZ458" s="33"/>
      <c r="BA458" s="33"/>
      <c r="BB458" s="33"/>
      <c r="BC458" s="33"/>
      <c r="BD458" s="33"/>
      <c r="BE458" s="33"/>
      <c r="BF458" s="33"/>
      <c r="BG458" s="33"/>
      <c r="BH458" s="33"/>
      <c r="BI458" s="33"/>
      <c r="BJ458" s="33"/>
      <c r="BK458" s="33"/>
      <c r="BL458" s="33"/>
      <c r="BM458" s="33"/>
      <c r="BN458" s="33"/>
      <c r="BO458" s="33"/>
      <c r="BP458" s="33"/>
      <c r="BQ458" s="33"/>
      <c r="BR458" s="33"/>
      <c r="BS458" s="33"/>
      <c r="BT458" s="33"/>
      <c r="BU458" s="33"/>
      <c r="BV458" s="33"/>
      <c r="BW458" s="33"/>
      <c r="BX458" s="33"/>
      <c r="BY458" s="33"/>
      <c r="BZ458" s="33"/>
      <c r="CA458" s="33"/>
      <c r="CB458" s="33"/>
      <c r="CC458" s="33"/>
      <c r="CD458" s="33"/>
    </row>
    <row r="459" spans="1:82" x14ac:dyDescent="0.25">
      <c r="A459" s="32"/>
      <c r="B459" s="32"/>
      <c r="C459" s="32"/>
      <c r="D459" s="32"/>
      <c r="E459" s="32"/>
      <c r="F459" s="32"/>
      <c r="G459" s="32"/>
      <c r="H459" s="32"/>
      <c r="I459" s="32"/>
      <c r="J459" s="32"/>
      <c r="K459" s="32"/>
      <c r="L459" s="32"/>
      <c r="M459" s="32"/>
      <c r="N459" s="32"/>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c r="AS459" s="33"/>
      <c r="AT459" s="33"/>
      <c r="AU459" s="33"/>
      <c r="AV459" s="33"/>
      <c r="AW459" s="33"/>
      <c r="AX459" s="33"/>
      <c r="AY459" s="33"/>
      <c r="AZ459" s="33"/>
      <c r="BA459" s="33"/>
      <c r="BB459" s="33"/>
      <c r="BC459" s="33"/>
      <c r="BD459" s="33"/>
      <c r="BE459" s="33"/>
      <c r="BF459" s="33"/>
      <c r="BG459" s="33"/>
      <c r="BH459" s="33"/>
      <c r="BI459" s="33"/>
      <c r="BJ459" s="33"/>
      <c r="BK459" s="33"/>
      <c r="BL459" s="33"/>
      <c r="BM459" s="33"/>
      <c r="BN459" s="33"/>
      <c r="BO459" s="33"/>
      <c r="BP459" s="33"/>
      <c r="BQ459" s="33"/>
      <c r="BR459" s="33"/>
      <c r="BS459" s="33"/>
      <c r="BT459" s="33"/>
      <c r="BU459" s="33"/>
      <c r="BV459" s="33"/>
      <c r="BW459" s="33"/>
      <c r="BX459" s="33"/>
      <c r="BY459" s="33"/>
      <c r="BZ459" s="33"/>
      <c r="CA459" s="33"/>
      <c r="CB459" s="33"/>
      <c r="CC459" s="33"/>
      <c r="CD459" s="33"/>
    </row>
    <row r="460" spans="1:82" x14ac:dyDescent="0.25">
      <c r="A460" s="32"/>
      <c r="B460" s="32"/>
      <c r="C460" s="32"/>
      <c r="D460" s="32"/>
      <c r="E460" s="32"/>
      <c r="F460" s="32"/>
      <c r="G460" s="32"/>
      <c r="H460" s="32"/>
      <c r="I460" s="32"/>
      <c r="J460" s="32"/>
      <c r="K460" s="32"/>
      <c r="L460" s="32"/>
      <c r="M460" s="32"/>
      <c r="N460" s="32"/>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c r="AS460" s="33"/>
      <c r="AT460" s="33"/>
      <c r="AU460" s="33"/>
      <c r="AV460" s="33"/>
      <c r="AW460" s="33"/>
      <c r="AX460" s="33"/>
      <c r="AY460" s="33"/>
      <c r="AZ460" s="33"/>
      <c r="BA460" s="33"/>
      <c r="BB460" s="33"/>
      <c r="BC460" s="33"/>
      <c r="BD460" s="33"/>
      <c r="BE460" s="33"/>
      <c r="BF460" s="33"/>
      <c r="BG460" s="33"/>
      <c r="BH460" s="33"/>
      <c r="BI460" s="33"/>
      <c r="BJ460" s="33"/>
      <c r="BK460" s="33"/>
      <c r="BL460" s="33"/>
      <c r="BM460" s="33"/>
      <c r="BN460" s="33"/>
      <c r="BO460" s="33"/>
      <c r="BP460" s="33"/>
      <c r="BQ460" s="33"/>
      <c r="BR460" s="33"/>
      <c r="BS460" s="33"/>
      <c r="BT460" s="33"/>
      <c r="BU460" s="33"/>
      <c r="BV460" s="33"/>
      <c r="BW460" s="33"/>
      <c r="BX460" s="33"/>
      <c r="BY460" s="33"/>
      <c r="BZ460" s="33"/>
      <c r="CA460" s="33"/>
      <c r="CB460" s="33"/>
      <c r="CC460" s="33"/>
      <c r="CD460" s="33"/>
    </row>
    <row r="461" spans="1:82" x14ac:dyDescent="0.25">
      <c r="A461" s="32"/>
      <c r="B461" s="32"/>
      <c r="C461" s="32"/>
      <c r="D461" s="32"/>
      <c r="E461" s="32"/>
      <c r="F461" s="32"/>
      <c r="G461" s="32"/>
      <c r="H461" s="32"/>
      <c r="I461" s="32"/>
      <c r="J461" s="32"/>
      <c r="K461" s="32"/>
      <c r="L461" s="32"/>
      <c r="M461" s="32"/>
      <c r="N461" s="32"/>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c r="AS461" s="33"/>
      <c r="AT461" s="33"/>
      <c r="AU461" s="33"/>
      <c r="AV461" s="33"/>
      <c r="AW461" s="33"/>
      <c r="AX461" s="33"/>
      <c r="AY461" s="33"/>
      <c r="AZ461" s="33"/>
      <c r="BA461" s="33"/>
      <c r="BB461" s="33"/>
      <c r="BC461" s="33"/>
      <c r="BD461" s="33"/>
      <c r="BE461" s="33"/>
      <c r="BF461" s="33"/>
      <c r="BG461" s="33"/>
      <c r="BH461" s="33"/>
      <c r="BI461" s="33"/>
      <c r="BJ461" s="33"/>
      <c r="BK461" s="33"/>
      <c r="BL461" s="33"/>
      <c r="BM461" s="33"/>
      <c r="BN461" s="33"/>
      <c r="BO461" s="33"/>
      <c r="BP461" s="33"/>
      <c r="BQ461" s="33"/>
      <c r="BR461" s="33"/>
      <c r="BS461" s="33"/>
      <c r="BT461" s="33"/>
      <c r="BU461" s="33"/>
      <c r="BV461" s="33"/>
      <c r="BW461" s="33"/>
      <c r="BX461" s="33"/>
      <c r="BY461" s="33"/>
      <c r="BZ461" s="33"/>
      <c r="CA461" s="33"/>
      <c r="CB461" s="33"/>
      <c r="CC461" s="33"/>
      <c r="CD461" s="33"/>
    </row>
    <row r="462" spans="1:82" x14ac:dyDescent="0.25">
      <c r="A462" s="32"/>
      <c r="B462" s="32"/>
      <c r="C462" s="32"/>
      <c r="D462" s="32"/>
      <c r="E462" s="32"/>
      <c r="F462" s="32"/>
      <c r="G462" s="32"/>
      <c r="H462" s="32"/>
      <c r="I462" s="32"/>
      <c r="J462" s="32"/>
      <c r="K462" s="32"/>
      <c r="L462" s="32"/>
      <c r="M462" s="32"/>
      <c r="N462" s="32"/>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c r="AS462" s="33"/>
      <c r="AT462" s="33"/>
      <c r="AU462" s="33"/>
      <c r="AV462" s="33"/>
      <c r="AW462" s="33"/>
      <c r="AX462" s="33"/>
      <c r="AY462" s="33"/>
      <c r="AZ462" s="33"/>
      <c r="BA462" s="33"/>
      <c r="BB462" s="33"/>
      <c r="BC462" s="33"/>
      <c r="BD462" s="33"/>
      <c r="BE462" s="33"/>
      <c r="BF462" s="33"/>
      <c r="BG462" s="33"/>
      <c r="BH462" s="33"/>
      <c r="BI462" s="33"/>
      <c r="BJ462" s="33"/>
      <c r="BK462" s="33"/>
      <c r="BL462" s="33"/>
      <c r="BM462" s="33"/>
      <c r="BN462" s="33"/>
      <c r="BO462" s="33"/>
      <c r="BP462" s="33"/>
      <c r="BQ462" s="33"/>
      <c r="BR462" s="33"/>
      <c r="BS462" s="33"/>
      <c r="BT462" s="33"/>
      <c r="BU462" s="33"/>
      <c r="BV462" s="33"/>
      <c r="BW462" s="33"/>
      <c r="BX462" s="33"/>
      <c r="BY462" s="33"/>
      <c r="BZ462" s="33"/>
      <c r="CA462" s="33"/>
      <c r="CB462" s="33"/>
      <c r="CC462" s="33"/>
      <c r="CD462" s="33"/>
    </row>
    <row r="463" spans="1:82" x14ac:dyDescent="0.25">
      <c r="A463" s="32"/>
      <c r="B463" s="32"/>
      <c r="C463" s="32"/>
      <c r="D463" s="32"/>
      <c r="E463" s="32"/>
      <c r="F463" s="32"/>
      <c r="G463" s="32"/>
      <c r="H463" s="32"/>
      <c r="I463" s="32"/>
      <c r="J463" s="32"/>
      <c r="K463" s="32"/>
      <c r="L463" s="32"/>
      <c r="M463" s="32"/>
      <c r="N463" s="32"/>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c r="AS463" s="33"/>
      <c r="AT463" s="33"/>
      <c r="AU463" s="33"/>
      <c r="AV463" s="33"/>
      <c r="AW463" s="33"/>
      <c r="AX463" s="33"/>
      <c r="AY463" s="33"/>
      <c r="AZ463" s="33"/>
      <c r="BA463" s="33"/>
      <c r="BB463" s="33"/>
      <c r="BC463" s="33"/>
      <c r="BD463" s="33"/>
      <c r="BE463" s="33"/>
      <c r="BF463" s="33"/>
      <c r="BG463" s="33"/>
      <c r="BH463" s="33"/>
      <c r="BI463" s="33"/>
      <c r="BJ463" s="33"/>
      <c r="BK463" s="33"/>
      <c r="BL463" s="33"/>
      <c r="BM463" s="33"/>
      <c r="BN463" s="33"/>
      <c r="BO463" s="33"/>
      <c r="BP463" s="33"/>
      <c r="BQ463" s="33"/>
      <c r="BR463" s="33"/>
      <c r="BS463" s="33"/>
      <c r="BT463" s="33"/>
      <c r="BU463" s="33"/>
      <c r="BV463" s="33"/>
      <c r="BW463" s="33"/>
      <c r="BX463" s="33"/>
      <c r="BY463" s="33"/>
      <c r="BZ463" s="33"/>
      <c r="CA463" s="33"/>
      <c r="CB463" s="33"/>
      <c r="CC463" s="33"/>
      <c r="CD463" s="33"/>
    </row>
    <row r="464" spans="1:82" x14ac:dyDescent="0.25">
      <c r="A464" s="32"/>
      <c r="B464" s="32"/>
      <c r="C464" s="32"/>
      <c r="D464" s="32"/>
      <c r="E464" s="32"/>
      <c r="F464" s="32"/>
      <c r="G464" s="32"/>
      <c r="H464" s="32"/>
      <c r="I464" s="32"/>
      <c r="J464" s="32"/>
      <c r="K464" s="32"/>
      <c r="L464" s="32"/>
      <c r="M464" s="32"/>
      <c r="N464" s="32"/>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c r="AS464" s="33"/>
      <c r="AT464" s="33"/>
      <c r="AU464" s="33"/>
      <c r="AV464" s="33"/>
      <c r="AW464" s="33"/>
      <c r="AX464" s="33"/>
      <c r="AY464" s="33"/>
      <c r="AZ464" s="33"/>
      <c r="BA464" s="33"/>
      <c r="BB464" s="33"/>
      <c r="BC464" s="33"/>
      <c r="BD464" s="33"/>
      <c r="BE464" s="33"/>
      <c r="BF464" s="33"/>
      <c r="BG464" s="33"/>
      <c r="BH464" s="33"/>
      <c r="BI464" s="33"/>
      <c r="BJ464" s="33"/>
      <c r="BK464" s="33"/>
      <c r="BL464" s="33"/>
      <c r="BM464" s="33"/>
      <c r="BN464" s="33"/>
      <c r="BO464" s="33"/>
      <c r="BP464" s="33"/>
      <c r="BQ464" s="33"/>
      <c r="BR464" s="33"/>
      <c r="BS464" s="33"/>
      <c r="BT464" s="33"/>
      <c r="BU464" s="33"/>
      <c r="BV464" s="33"/>
      <c r="BW464" s="33"/>
      <c r="BX464" s="33"/>
      <c r="BY464" s="33"/>
      <c r="BZ464" s="33"/>
      <c r="CA464" s="33"/>
      <c r="CB464" s="33"/>
      <c r="CC464" s="33"/>
      <c r="CD464" s="33"/>
    </row>
    <row r="465" spans="1:82" x14ac:dyDescent="0.25">
      <c r="A465" s="32"/>
      <c r="B465" s="32"/>
      <c r="C465" s="32"/>
      <c r="D465" s="32"/>
      <c r="E465" s="32"/>
      <c r="F465" s="32"/>
      <c r="G465" s="32"/>
      <c r="H465" s="32"/>
      <c r="I465" s="32"/>
      <c r="J465" s="32"/>
      <c r="K465" s="32"/>
      <c r="L465" s="32"/>
      <c r="M465" s="32"/>
      <c r="N465" s="32"/>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c r="AS465" s="33"/>
      <c r="AT465" s="33"/>
      <c r="AU465" s="33"/>
      <c r="AV465" s="33"/>
      <c r="AW465" s="33"/>
      <c r="AX465" s="33"/>
      <c r="AY465" s="33"/>
      <c r="AZ465" s="33"/>
      <c r="BA465" s="33"/>
      <c r="BB465" s="33"/>
      <c r="BC465" s="33"/>
      <c r="BD465" s="33"/>
      <c r="BE465" s="33"/>
      <c r="BF465" s="33"/>
      <c r="BG465" s="33"/>
      <c r="BH465" s="33"/>
      <c r="BI465" s="33"/>
      <c r="BJ465" s="33"/>
      <c r="BK465" s="33"/>
      <c r="BL465" s="33"/>
      <c r="BM465" s="33"/>
      <c r="BN465" s="33"/>
      <c r="BO465" s="33"/>
      <c r="BP465" s="33"/>
      <c r="BQ465" s="33"/>
      <c r="BR465" s="33"/>
      <c r="BS465" s="33"/>
      <c r="BT465" s="33"/>
      <c r="BU465" s="33"/>
      <c r="BV465" s="33"/>
      <c r="BW465" s="33"/>
      <c r="BX465" s="33"/>
      <c r="BY465" s="33"/>
      <c r="BZ465" s="33"/>
      <c r="CA465" s="33"/>
      <c r="CB465" s="33"/>
      <c r="CC465" s="33"/>
      <c r="CD465" s="33"/>
    </row>
    <row r="466" spans="1:82" x14ac:dyDescent="0.25">
      <c r="A466" s="32"/>
      <c r="B466" s="32"/>
      <c r="C466" s="32"/>
      <c r="D466" s="32"/>
      <c r="E466" s="32"/>
      <c r="F466" s="32"/>
      <c r="G466" s="32"/>
      <c r="H466" s="32"/>
      <c r="I466" s="32"/>
      <c r="J466" s="32"/>
      <c r="K466" s="32"/>
      <c r="L466" s="32"/>
      <c r="M466" s="32"/>
      <c r="N466" s="32"/>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c r="AS466" s="33"/>
      <c r="AT466" s="33"/>
      <c r="AU466" s="33"/>
      <c r="AV466" s="33"/>
      <c r="AW466" s="33"/>
      <c r="AX466" s="33"/>
      <c r="AY466" s="33"/>
      <c r="AZ466" s="33"/>
      <c r="BA466" s="33"/>
      <c r="BB466" s="33"/>
      <c r="BC466" s="33"/>
      <c r="BD466" s="33"/>
      <c r="BE466" s="33"/>
      <c r="BF466" s="33"/>
      <c r="BG466" s="33"/>
      <c r="BH466" s="33"/>
      <c r="BI466" s="33"/>
      <c r="BJ466" s="33"/>
      <c r="BK466" s="33"/>
      <c r="BL466" s="33"/>
      <c r="BM466" s="33"/>
      <c r="BN466" s="33"/>
      <c r="BO466" s="33"/>
      <c r="BP466" s="33"/>
      <c r="BQ466" s="33"/>
      <c r="BR466" s="33"/>
      <c r="BS466" s="33"/>
      <c r="BT466" s="33"/>
      <c r="BU466" s="33"/>
      <c r="BV466" s="33"/>
      <c r="BW466" s="33"/>
      <c r="BX466" s="33"/>
      <c r="BY466" s="33"/>
      <c r="BZ466" s="33"/>
      <c r="CA466" s="33"/>
      <c r="CB466" s="33"/>
      <c r="CC466" s="33"/>
      <c r="CD466" s="33"/>
    </row>
    <row r="467" spans="1:82" x14ac:dyDescent="0.25">
      <c r="A467" s="32"/>
      <c r="B467" s="32"/>
      <c r="C467" s="32"/>
      <c r="D467" s="32"/>
      <c r="E467" s="32"/>
      <c r="F467" s="32"/>
      <c r="G467" s="32"/>
      <c r="H467" s="32"/>
      <c r="I467" s="32"/>
      <c r="J467" s="32"/>
      <c r="K467" s="32"/>
      <c r="L467" s="32"/>
      <c r="M467" s="32"/>
      <c r="N467" s="32"/>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c r="AS467" s="33"/>
      <c r="AT467" s="33"/>
      <c r="AU467" s="33"/>
      <c r="AV467" s="33"/>
      <c r="AW467" s="33"/>
      <c r="AX467" s="33"/>
      <c r="AY467" s="33"/>
      <c r="AZ467" s="33"/>
      <c r="BA467" s="33"/>
      <c r="BB467" s="33"/>
      <c r="BC467" s="33"/>
      <c r="BD467" s="33"/>
      <c r="BE467" s="33"/>
      <c r="BF467" s="33"/>
      <c r="BG467" s="33"/>
      <c r="BH467" s="33"/>
      <c r="BI467" s="33"/>
      <c r="BJ467" s="33"/>
      <c r="BK467" s="33"/>
      <c r="BL467" s="33"/>
      <c r="BM467" s="33"/>
      <c r="BN467" s="33"/>
      <c r="BO467" s="33"/>
      <c r="BP467" s="33"/>
      <c r="BQ467" s="33"/>
      <c r="BR467" s="33"/>
      <c r="BS467" s="33"/>
      <c r="BT467" s="33"/>
      <c r="BU467" s="33"/>
      <c r="BV467" s="33"/>
      <c r="BW467" s="33"/>
      <c r="BX467" s="33"/>
      <c r="BY467" s="33"/>
      <c r="BZ467" s="33"/>
      <c r="CA467" s="33"/>
      <c r="CB467" s="33"/>
      <c r="CC467" s="33"/>
      <c r="CD467" s="33"/>
    </row>
    <row r="468" spans="1:82" x14ac:dyDescent="0.25">
      <c r="A468" s="32"/>
      <c r="B468" s="32"/>
      <c r="C468" s="32"/>
      <c r="D468" s="32"/>
      <c r="E468" s="32"/>
      <c r="F468" s="32"/>
      <c r="G468" s="32"/>
      <c r="H468" s="32"/>
      <c r="I468" s="32"/>
      <c r="J468" s="32"/>
      <c r="K468" s="32"/>
      <c r="L468" s="32"/>
      <c r="M468" s="32"/>
      <c r="N468" s="32"/>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c r="AS468" s="33"/>
      <c r="AT468" s="33"/>
      <c r="AU468" s="33"/>
      <c r="AV468" s="33"/>
      <c r="AW468" s="33"/>
      <c r="AX468" s="33"/>
      <c r="AY468" s="33"/>
      <c r="AZ468" s="33"/>
      <c r="BA468" s="33"/>
      <c r="BB468" s="33"/>
      <c r="BC468" s="33"/>
      <c r="BD468" s="33"/>
      <c r="BE468" s="33"/>
      <c r="BF468" s="33"/>
      <c r="BG468" s="33"/>
      <c r="BH468" s="33"/>
      <c r="BI468" s="33"/>
      <c r="BJ468" s="33"/>
      <c r="BK468" s="33"/>
      <c r="BL468" s="33"/>
      <c r="BM468" s="33"/>
      <c r="BN468" s="33"/>
      <c r="BO468" s="33"/>
      <c r="BP468" s="33"/>
      <c r="BQ468" s="33"/>
      <c r="BR468" s="33"/>
      <c r="BS468" s="33"/>
      <c r="BT468" s="33"/>
      <c r="BU468" s="33"/>
      <c r="BV468" s="33"/>
      <c r="BW468" s="33"/>
      <c r="BX468" s="33"/>
      <c r="BY468" s="33"/>
      <c r="BZ468" s="33"/>
      <c r="CA468" s="33"/>
      <c r="CB468" s="33"/>
      <c r="CC468" s="33"/>
      <c r="CD468" s="33"/>
    </row>
    <row r="469" spans="1:82" x14ac:dyDescent="0.25">
      <c r="A469" s="32"/>
      <c r="B469" s="32"/>
      <c r="C469" s="32"/>
      <c r="D469" s="32"/>
      <c r="E469" s="32"/>
      <c r="F469" s="32"/>
      <c r="G469" s="32"/>
      <c r="H469" s="32"/>
      <c r="I469" s="32"/>
      <c r="J469" s="32"/>
      <c r="K469" s="32"/>
      <c r="L469" s="32"/>
      <c r="M469" s="32"/>
      <c r="N469" s="32"/>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c r="AS469" s="33"/>
      <c r="AT469" s="33"/>
      <c r="AU469" s="33"/>
      <c r="AV469" s="33"/>
      <c r="AW469" s="33"/>
      <c r="AX469" s="33"/>
      <c r="AY469" s="33"/>
      <c r="AZ469" s="33"/>
      <c r="BA469" s="33"/>
      <c r="BB469" s="33"/>
      <c r="BC469" s="33"/>
      <c r="BD469" s="33"/>
      <c r="BE469" s="33"/>
      <c r="BF469" s="33"/>
      <c r="BG469" s="33"/>
      <c r="BH469" s="33"/>
      <c r="BI469" s="33"/>
      <c r="BJ469" s="33"/>
      <c r="BK469" s="33"/>
      <c r="BL469" s="33"/>
      <c r="BM469" s="33"/>
      <c r="BN469" s="33"/>
      <c r="BO469" s="33"/>
      <c r="BP469" s="33"/>
      <c r="BQ469" s="33"/>
      <c r="BR469" s="33"/>
      <c r="BS469" s="33"/>
      <c r="BT469" s="33"/>
      <c r="BU469" s="33"/>
      <c r="BV469" s="33"/>
      <c r="BW469" s="33"/>
      <c r="BX469" s="33"/>
      <c r="BY469" s="33"/>
      <c r="BZ469" s="33"/>
      <c r="CA469" s="33"/>
      <c r="CB469" s="33"/>
      <c r="CC469" s="33"/>
      <c r="CD469" s="33"/>
    </row>
    <row r="470" spans="1:82" x14ac:dyDescent="0.25">
      <c r="A470" s="32"/>
      <c r="B470" s="32"/>
      <c r="C470" s="32"/>
      <c r="D470" s="32"/>
      <c r="E470" s="32"/>
      <c r="F470" s="32"/>
      <c r="G470" s="32"/>
      <c r="H470" s="32"/>
      <c r="I470" s="32"/>
      <c r="J470" s="32"/>
      <c r="K470" s="32"/>
      <c r="L470" s="32"/>
      <c r="M470" s="32"/>
      <c r="N470" s="32"/>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c r="AS470" s="33"/>
      <c r="AT470" s="33"/>
      <c r="AU470" s="33"/>
      <c r="AV470" s="33"/>
      <c r="AW470" s="33"/>
      <c r="AX470" s="33"/>
      <c r="AY470" s="33"/>
      <c r="AZ470" s="33"/>
      <c r="BA470" s="33"/>
      <c r="BB470" s="33"/>
      <c r="BC470" s="33"/>
      <c r="BD470" s="33"/>
      <c r="BE470" s="33"/>
      <c r="BF470" s="33"/>
      <c r="BG470" s="33"/>
      <c r="BH470" s="33"/>
      <c r="BI470" s="33"/>
      <c r="BJ470" s="33"/>
      <c r="BK470" s="33"/>
      <c r="BL470" s="33"/>
      <c r="BM470" s="33"/>
      <c r="BN470" s="33"/>
      <c r="BO470" s="33"/>
      <c r="BP470" s="33"/>
      <c r="BQ470" s="33"/>
      <c r="BR470" s="33"/>
      <c r="BS470" s="33"/>
      <c r="BT470" s="33"/>
      <c r="BU470" s="33"/>
      <c r="BV470" s="33"/>
      <c r="BW470" s="33"/>
      <c r="BX470" s="33"/>
      <c r="BY470" s="33"/>
      <c r="BZ470" s="33"/>
      <c r="CA470" s="33"/>
      <c r="CB470" s="33"/>
      <c r="CC470" s="33"/>
      <c r="CD470" s="33"/>
    </row>
    <row r="471" spans="1:82" x14ac:dyDescent="0.25">
      <c r="A471" s="32"/>
      <c r="B471" s="32"/>
      <c r="C471" s="32"/>
      <c r="D471" s="32"/>
      <c r="E471" s="32"/>
      <c r="F471" s="32"/>
      <c r="G471" s="32"/>
      <c r="H471" s="32"/>
      <c r="I471" s="32"/>
      <c r="J471" s="32"/>
      <c r="K471" s="32"/>
      <c r="L471" s="32"/>
      <c r="M471" s="32"/>
      <c r="N471" s="32"/>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c r="AV471" s="33"/>
      <c r="AW471" s="33"/>
      <c r="AX471" s="33"/>
      <c r="AY471" s="33"/>
      <c r="AZ471" s="33"/>
      <c r="BA471" s="33"/>
      <c r="BB471" s="33"/>
      <c r="BC471" s="33"/>
      <c r="BD471" s="33"/>
      <c r="BE471" s="33"/>
      <c r="BF471" s="33"/>
      <c r="BG471" s="33"/>
      <c r="BH471" s="33"/>
      <c r="BI471" s="33"/>
      <c r="BJ471" s="33"/>
      <c r="BK471" s="33"/>
      <c r="BL471" s="33"/>
      <c r="BM471" s="33"/>
      <c r="BN471" s="33"/>
      <c r="BO471" s="33"/>
      <c r="BP471" s="33"/>
      <c r="BQ471" s="33"/>
      <c r="BR471" s="33"/>
      <c r="BS471" s="33"/>
      <c r="BT471" s="33"/>
      <c r="BU471" s="33"/>
      <c r="BV471" s="33"/>
      <c r="BW471" s="33"/>
      <c r="BX471" s="33"/>
      <c r="BY471" s="33"/>
      <c r="BZ471" s="33"/>
      <c r="CA471" s="33"/>
      <c r="CB471" s="33"/>
      <c r="CC471" s="33"/>
      <c r="CD471" s="33"/>
    </row>
    <row r="472" spans="1:82" x14ac:dyDescent="0.25">
      <c r="A472" s="32"/>
      <c r="B472" s="32"/>
      <c r="C472" s="32"/>
      <c r="D472" s="32"/>
      <c r="E472" s="32"/>
      <c r="F472" s="32"/>
      <c r="G472" s="32"/>
      <c r="H472" s="32"/>
      <c r="I472" s="32"/>
      <c r="J472" s="32"/>
      <c r="K472" s="32"/>
      <c r="L472" s="32"/>
      <c r="M472" s="32"/>
      <c r="N472" s="32"/>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c r="AV472" s="33"/>
      <c r="AW472" s="33"/>
      <c r="AX472" s="33"/>
      <c r="AY472" s="33"/>
      <c r="AZ472" s="33"/>
      <c r="BA472" s="33"/>
      <c r="BB472" s="33"/>
      <c r="BC472" s="33"/>
      <c r="BD472" s="33"/>
      <c r="BE472" s="33"/>
      <c r="BF472" s="33"/>
      <c r="BG472" s="33"/>
      <c r="BH472" s="33"/>
      <c r="BI472" s="33"/>
      <c r="BJ472" s="33"/>
      <c r="BK472" s="33"/>
      <c r="BL472" s="33"/>
      <c r="BM472" s="33"/>
      <c r="BN472" s="33"/>
      <c r="BO472" s="33"/>
      <c r="BP472" s="33"/>
      <c r="BQ472" s="33"/>
      <c r="BR472" s="33"/>
      <c r="BS472" s="33"/>
      <c r="BT472" s="33"/>
      <c r="BU472" s="33"/>
      <c r="BV472" s="33"/>
      <c r="BW472" s="33"/>
      <c r="BX472" s="33"/>
      <c r="BY472" s="33"/>
      <c r="BZ472" s="33"/>
      <c r="CA472" s="33"/>
      <c r="CB472" s="33"/>
      <c r="CC472" s="33"/>
      <c r="CD472" s="33"/>
    </row>
    <row r="473" spans="1:82" x14ac:dyDescent="0.25">
      <c r="A473" s="32"/>
      <c r="B473" s="32"/>
      <c r="C473" s="32"/>
      <c r="D473" s="32"/>
      <c r="E473" s="32"/>
      <c r="F473" s="32"/>
      <c r="G473" s="32"/>
      <c r="H473" s="32"/>
      <c r="I473" s="32"/>
      <c r="J473" s="32"/>
      <c r="K473" s="32"/>
      <c r="L473" s="32"/>
      <c r="M473" s="32"/>
      <c r="N473" s="32"/>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c r="AS473" s="33"/>
      <c r="AT473" s="33"/>
      <c r="AU473" s="33"/>
      <c r="AV473" s="33"/>
      <c r="AW473" s="33"/>
      <c r="AX473" s="33"/>
      <c r="AY473" s="33"/>
      <c r="AZ473" s="33"/>
      <c r="BA473" s="33"/>
      <c r="BB473" s="33"/>
      <c r="BC473" s="33"/>
      <c r="BD473" s="33"/>
      <c r="BE473" s="33"/>
      <c r="BF473" s="33"/>
      <c r="BG473" s="33"/>
      <c r="BH473" s="33"/>
      <c r="BI473" s="33"/>
      <c r="BJ473" s="33"/>
      <c r="BK473" s="33"/>
      <c r="BL473" s="33"/>
      <c r="BM473" s="33"/>
      <c r="BN473" s="33"/>
      <c r="BO473" s="33"/>
      <c r="BP473" s="33"/>
      <c r="BQ473" s="33"/>
      <c r="BR473" s="33"/>
      <c r="BS473" s="33"/>
      <c r="BT473" s="33"/>
      <c r="BU473" s="33"/>
      <c r="BV473" s="33"/>
      <c r="BW473" s="33"/>
      <c r="BX473" s="33"/>
      <c r="BY473" s="33"/>
      <c r="BZ473" s="33"/>
      <c r="CA473" s="33"/>
      <c r="CB473" s="33"/>
      <c r="CC473" s="33"/>
      <c r="CD473" s="33"/>
    </row>
    <row r="474" spans="1:82" x14ac:dyDescent="0.25">
      <c r="A474" s="32"/>
      <c r="B474" s="32"/>
      <c r="C474" s="32"/>
      <c r="D474" s="32"/>
      <c r="E474" s="32"/>
      <c r="F474" s="32"/>
      <c r="G474" s="32"/>
      <c r="H474" s="32"/>
      <c r="I474" s="32"/>
      <c r="J474" s="32"/>
      <c r="K474" s="32"/>
      <c r="L474" s="32"/>
      <c r="M474" s="32"/>
      <c r="N474" s="32"/>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c r="AS474" s="33"/>
      <c r="AT474" s="33"/>
      <c r="AU474" s="33"/>
      <c r="AV474" s="33"/>
      <c r="AW474" s="33"/>
      <c r="AX474" s="33"/>
      <c r="AY474" s="33"/>
      <c r="AZ474" s="33"/>
      <c r="BA474" s="33"/>
      <c r="BB474" s="33"/>
      <c r="BC474" s="33"/>
      <c r="BD474" s="33"/>
      <c r="BE474" s="33"/>
      <c r="BF474" s="33"/>
      <c r="BG474" s="33"/>
      <c r="BH474" s="33"/>
      <c r="BI474" s="33"/>
      <c r="BJ474" s="33"/>
      <c r="BK474" s="33"/>
      <c r="BL474" s="33"/>
      <c r="BM474" s="33"/>
      <c r="BN474" s="33"/>
      <c r="BO474" s="33"/>
      <c r="BP474" s="33"/>
      <c r="BQ474" s="33"/>
      <c r="BR474" s="33"/>
      <c r="BS474" s="33"/>
      <c r="BT474" s="33"/>
      <c r="BU474" s="33"/>
      <c r="BV474" s="33"/>
      <c r="BW474" s="33"/>
      <c r="BX474" s="33"/>
      <c r="BY474" s="33"/>
      <c r="BZ474" s="33"/>
      <c r="CA474" s="33"/>
      <c r="CB474" s="33"/>
      <c r="CC474" s="33"/>
      <c r="CD474" s="33"/>
    </row>
    <row r="475" spans="1:82" x14ac:dyDescent="0.25">
      <c r="A475" s="32"/>
      <c r="B475" s="32"/>
      <c r="C475" s="32"/>
      <c r="D475" s="32"/>
      <c r="E475" s="32"/>
      <c r="F475" s="32"/>
      <c r="G475" s="32"/>
      <c r="H475" s="32"/>
      <c r="I475" s="32"/>
      <c r="J475" s="32"/>
      <c r="K475" s="32"/>
      <c r="L475" s="32"/>
      <c r="M475" s="32"/>
      <c r="N475" s="32"/>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c r="AS475" s="33"/>
      <c r="AT475" s="33"/>
      <c r="AU475" s="33"/>
      <c r="AV475" s="33"/>
      <c r="AW475" s="33"/>
      <c r="AX475" s="33"/>
      <c r="AY475" s="33"/>
      <c r="AZ475" s="33"/>
      <c r="BA475" s="33"/>
      <c r="BB475" s="33"/>
      <c r="BC475" s="33"/>
      <c r="BD475" s="33"/>
      <c r="BE475" s="33"/>
      <c r="BF475" s="33"/>
      <c r="BG475" s="33"/>
      <c r="BH475" s="33"/>
      <c r="BI475" s="33"/>
      <c r="BJ475" s="33"/>
      <c r="BK475" s="33"/>
      <c r="BL475" s="33"/>
      <c r="BM475" s="33"/>
      <c r="BN475" s="33"/>
      <c r="BO475" s="33"/>
      <c r="BP475" s="33"/>
      <c r="BQ475" s="33"/>
      <c r="BR475" s="33"/>
      <c r="BS475" s="33"/>
      <c r="BT475" s="33"/>
      <c r="BU475" s="33"/>
      <c r="BV475" s="33"/>
      <c r="BW475" s="33"/>
      <c r="BX475" s="33"/>
      <c r="BY475" s="33"/>
      <c r="BZ475" s="33"/>
      <c r="CA475" s="33"/>
      <c r="CB475" s="33"/>
      <c r="CC475" s="33"/>
      <c r="CD475" s="33"/>
    </row>
    <row r="476" spans="1:82" x14ac:dyDescent="0.25">
      <c r="A476" s="32"/>
      <c r="B476" s="32"/>
      <c r="C476" s="32"/>
      <c r="D476" s="32"/>
      <c r="E476" s="32"/>
      <c r="F476" s="32"/>
      <c r="G476" s="32"/>
      <c r="H476" s="32"/>
      <c r="I476" s="32"/>
      <c r="J476" s="32"/>
      <c r="K476" s="32"/>
      <c r="L476" s="32"/>
      <c r="M476" s="32"/>
      <c r="N476" s="32"/>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c r="AS476" s="33"/>
      <c r="AT476" s="33"/>
      <c r="AU476" s="33"/>
      <c r="AV476" s="33"/>
      <c r="AW476" s="33"/>
      <c r="AX476" s="33"/>
      <c r="AY476" s="33"/>
      <c r="AZ476" s="33"/>
      <c r="BA476" s="33"/>
      <c r="BB476" s="33"/>
      <c r="BC476" s="33"/>
      <c r="BD476" s="33"/>
      <c r="BE476" s="33"/>
      <c r="BF476" s="33"/>
      <c r="BG476" s="33"/>
      <c r="BH476" s="33"/>
      <c r="BI476" s="33"/>
      <c r="BJ476" s="33"/>
      <c r="BK476" s="33"/>
      <c r="BL476" s="33"/>
      <c r="BM476" s="33"/>
      <c r="BN476" s="33"/>
      <c r="BO476" s="33"/>
      <c r="BP476" s="33"/>
      <c r="BQ476" s="33"/>
      <c r="BR476" s="33"/>
      <c r="BS476" s="33"/>
      <c r="BT476" s="33"/>
      <c r="BU476" s="33"/>
      <c r="BV476" s="33"/>
      <c r="BW476" s="33"/>
      <c r="BX476" s="33"/>
      <c r="BY476" s="33"/>
      <c r="BZ476" s="33"/>
      <c r="CA476" s="33"/>
      <c r="CB476" s="33"/>
      <c r="CC476" s="33"/>
      <c r="CD476" s="33"/>
    </row>
    <row r="477" spans="1:82" x14ac:dyDescent="0.25">
      <c r="A477" s="32"/>
      <c r="B477" s="32"/>
      <c r="C477" s="32"/>
      <c r="D477" s="32"/>
      <c r="E477" s="32"/>
      <c r="F477" s="32"/>
      <c r="G477" s="32"/>
      <c r="H477" s="32"/>
      <c r="I477" s="32"/>
      <c r="J477" s="32"/>
      <c r="K477" s="32"/>
      <c r="L477" s="32"/>
      <c r="M477" s="32"/>
      <c r="N477" s="32"/>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c r="AS477" s="33"/>
      <c r="AT477" s="33"/>
      <c r="AU477" s="33"/>
      <c r="AV477" s="33"/>
      <c r="AW477" s="33"/>
      <c r="AX477" s="33"/>
      <c r="AY477" s="33"/>
      <c r="AZ477" s="33"/>
      <c r="BA477" s="33"/>
      <c r="BB477" s="33"/>
      <c r="BC477" s="33"/>
      <c r="BD477" s="33"/>
      <c r="BE477" s="33"/>
      <c r="BF477" s="33"/>
      <c r="BG477" s="33"/>
      <c r="BH477" s="33"/>
      <c r="BI477" s="33"/>
      <c r="BJ477" s="33"/>
      <c r="BK477" s="33"/>
      <c r="BL477" s="33"/>
      <c r="BM477" s="33"/>
      <c r="BN477" s="33"/>
      <c r="BO477" s="33"/>
      <c r="BP477" s="33"/>
      <c r="BQ477" s="33"/>
      <c r="BR477" s="33"/>
      <c r="BS477" s="33"/>
      <c r="BT477" s="33"/>
      <c r="BU477" s="33"/>
      <c r="BV477" s="33"/>
      <c r="BW477" s="33"/>
      <c r="BX477" s="33"/>
      <c r="BY477" s="33"/>
      <c r="BZ477" s="33"/>
      <c r="CA477" s="33"/>
      <c r="CB477" s="33"/>
      <c r="CC477" s="33"/>
      <c r="CD477" s="33"/>
    </row>
    <row r="478" spans="1:82" x14ac:dyDescent="0.25">
      <c r="A478" s="32"/>
      <c r="B478" s="32"/>
      <c r="C478" s="32"/>
      <c r="D478" s="32"/>
      <c r="E478" s="32"/>
      <c r="F478" s="32"/>
      <c r="G478" s="32"/>
      <c r="H478" s="32"/>
      <c r="I478" s="32"/>
      <c r="J478" s="32"/>
      <c r="K478" s="32"/>
      <c r="L478" s="32"/>
      <c r="M478" s="32"/>
      <c r="N478" s="32"/>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c r="AS478" s="33"/>
      <c r="AT478" s="33"/>
      <c r="AU478" s="33"/>
      <c r="AV478" s="33"/>
      <c r="AW478" s="33"/>
      <c r="AX478" s="33"/>
      <c r="AY478" s="33"/>
      <c r="AZ478" s="33"/>
      <c r="BA478" s="33"/>
      <c r="BB478" s="33"/>
      <c r="BC478" s="33"/>
      <c r="BD478" s="33"/>
      <c r="BE478" s="33"/>
      <c r="BF478" s="33"/>
      <c r="BG478" s="33"/>
      <c r="BH478" s="33"/>
      <c r="BI478" s="33"/>
      <c r="BJ478" s="33"/>
      <c r="BK478" s="33"/>
      <c r="BL478" s="33"/>
      <c r="BM478" s="33"/>
      <c r="BN478" s="33"/>
      <c r="BO478" s="33"/>
      <c r="BP478" s="33"/>
      <c r="BQ478" s="33"/>
      <c r="BR478" s="33"/>
      <c r="BS478" s="33"/>
      <c r="BT478" s="33"/>
      <c r="BU478" s="33"/>
      <c r="BV478" s="33"/>
      <c r="BW478" s="33"/>
      <c r="BX478" s="33"/>
      <c r="BY478" s="33"/>
      <c r="BZ478" s="33"/>
      <c r="CA478" s="33"/>
      <c r="CB478" s="33"/>
      <c r="CC478" s="33"/>
      <c r="CD478" s="33"/>
    </row>
    <row r="479" spans="1:82" x14ac:dyDescent="0.25">
      <c r="A479" s="32"/>
      <c r="B479" s="32"/>
      <c r="C479" s="32"/>
      <c r="D479" s="32"/>
      <c r="E479" s="32"/>
      <c r="F479" s="32"/>
      <c r="G479" s="32"/>
      <c r="H479" s="32"/>
      <c r="I479" s="32"/>
      <c r="J479" s="32"/>
      <c r="K479" s="32"/>
      <c r="L479" s="32"/>
      <c r="M479" s="32"/>
      <c r="N479" s="32"/>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c r="AS479" s="33"/>
      <c r="AT479" s="33"/>
      <c r="AU479" s="33"/>
      <c r="AV479" s="33"/>
      <c r="AW479" s="33"/>
      <c r="AX479" s="33"/>
      <c r="AY479" s="33"/>
      <c r="AZ479" s="33"/>
      <c r="BA479" s="33"/>
      <c r="BB479" s="33"/>
      <c r="BC479" s="33"/>
      <c r="BD479" s="33"/>
      <c r="BE479" s="33"/>
      <c r="BF479" s="33"/>
      <c r="BG479" s="33"/>
      <c r="BH479" s="33"/>
      <c r="BI479" s="33"/>
      <c r="BJ479" s="33"/>
      <c r="BK479" s="33"/>
      <c r="BL479" s="33"/>
      <c r="BM479" s="33"/>
      <c r="BN479" s="33"/>
      <c r="BO479" s="33"/>
      <c r="BP479" s="33"/>
      <c r="BQ479" s="33"/>
      <c r="BR479" s="33"/>
      <c r="BS479" s="33"/>
      <c r="BT479" s="33"/>
      <c r="BU479" s="33"/>
      <c r="BV479" s="33"/>
      <c r="BW479" s="33"/>
      <c r="BX479" s="33"/>
      <c r="BY479" s="33"/>
      <c r="BZ479" s="33"/>
      <c r="CA479" s="33"/>
      <c r="CB479" s="33"/>
      <c r="CC479" s="33"/>
      <c r="CD479" s="33"/>
    </row>
    <row r="480" spans="1:82" x14ac:dyDescent="0.25">
      <c r="A480" s="32"/>
      <c r="B480" s="32"/>
      <c r="C480" s="32"/>
      <c r="D480" s="32"/>
      <c r="E480" s="32"/>
      <c r="F480" s="32"/>
      <c r="G480" s="32"/>
      <c r="H480" s="32"/>
      <c r="I480" s="32"/>
      <c r="J480" s="32"/>
      <c r="K480" s="32"/>
      <c r="L480" s="32"/>
      <c r="M480" s="32"/>
      <c r="N480" s="32"/>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c r="AS480" s="33"/>
      <c r="AT480" s="33"/>
      <c r="AU480" s="33"/>
      <c r="AV480" s="33"/>
      <c r="AW480" s="33"/>
      <c r="AX480" s="33"/>
      <c r="AY480" s="33"/>
      <c r="AZ480" s="33"/>
      <c r="BA480" s="33"/>
      <c r="BB480" s="33"/>
      <c r="BC480" s="33"/>
      <c r="BD480" s="33"/>
      <c r="BE480" s="33"/>
      <c r="BF480" s="33"/>
      <c r="BG480" s="33"/>
      <c r="BH480" s="33"/>
      <c r="BI480" s="33"/>
      <c r="BJ480" s="33"/>
      <c r="BK480" s="33"/>
      <c r="BL480" s="33"/>
      <c r="BM480" s="33"/>
      <c r="BN480" s="33"/>
      <c r="BO480" s="33"/>
      <c r="BP480" s="33"/>
      <c r="BQ480" s="33"/>
      <c r="BR480" s="33"/>
      <c r="BS480" s="33"/>
      <c r="BT480" s="33"/>
      <c r="BU480" s="33"/>
      <c r="BV480" s="33"/>
      <c r="BW480" s="33"/>
      <c r="BX480" s="33"/>
      <c r="BY480" s="33"/>
      <c r="BZ480" s="33"/>
      <c r="CA480" s="33"/>
      <c r="CB480" s="33"/>
      <c r="CC480" s="33"/>
      <c r="CD480" s="33"/>
    </row>
    <row r="481" spans="1:82" x14ac:dyDescent="0.25">
      <c r="A481" s="32"/>
      <c r="B481" s="32"/>
      <c r="C481" s="32"/>
      <c r="D481" s="32"/>
      <c r="E481" s="32"/>
      <c r="F481" s="32"/>
      <c r="G481" s="32"/>
      <c r="H481" s="32"/>
      <c r="I481" s="32"/>
      <c r="J481" s="32"/>
      <c r="K481" s="32"/>
      <c r="L481" s="32"/>
      <c r="M481" s="32"/>
      <c r="N481" s="32"/>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c r="AS481" s="33"/>
      <c r="AT481" s="33"/>
      <c r="AU481" s="33"/>
      <c r="AV481" s="33"/>
      <c r="AW481" s="33"/>
      <c r="AX481" s="33"/>
      <c r="AY481" s="33"/>
      <c r="AZ481" s="33"/>
      <c r="BA481" s="33"/>
      <c r="BB481" s="33"/>
      <c r="BC481" s="33"/>
      <c r="BD481" s="33"/>
      <c r="BE481" s="33"/>
      <c r="BF481" s="33"/>
      <c r="BG481" s="33"/>
      <c r="BH481" s="33"/>
      <c r="BI481" s="33"/>
      <c r="BJ481" s="33"/>
      <c r="BK481" s="33"/>
      <c r="BL481" s="33"/>
      <c r="BM481" s="33"/>
      <c r="BN481" s="33"/>
      <c r="BO481" s="33"/>
      <c r="BP481" s="33"/>
      <c r="BQ481" s="33"/>
      <c r="BR481" s="33"/>
      <c r="BS481" s="33"/>
      <c r="BT481" s="33"/>
      <c r="BU481" s="33"/>
      <c r="BV481" s="33"/>
      <c r="BW481" s="33"/>
      <c r="BX481" s="33"/>
      <c r="BY481" s="33"/>
      <c r="BZ481" s="33"/>
      <c r="CA481" s="33"/>
      <c r="CB481" s="33"/>
      <c r="CC481" s="33"/>
      <c r="CD481" s="33"/>
    </row>
    <row r="482" spans="1:82" x14ac:dyDescent="0.25">
      <c r="A482" s="32"/>
      <c r="B482" s="32"/>
      <c r="C482" s="32"/>
      <c r="D482" s="32"/>
      <c r="E482" s="32"/>
      <c r="F482" s="32"/>
      <c r="G482" s="32"/>
      <c r="H482" s="32"/>
      <c r="I482" s="32"/>
      <c r="J482" s="32"/>
      <c r="K482" s="32"/>
      <c r="L482" s="32"/>
      <c r="M482" s="32"/>
      <c r="N482" s="32"/>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c r="AS482" s="33"/>
      <c r="AT482" s="33"/>
      <c r="AU482" s="33"/>
      <c r="AV482" s="33"/>
      <c r="AW482" s="33"/>
      <c r="AX482" s="33"/>
      <c r="AY482" s="33"/>
      <c r="AZ482" s="33"/>
      <c r="BA482" s="33"/>
      <c r="BB482" s="33"/>
      <c r="BC482" s="33"/>
      <c r="BD482" s="33"/>
      <c r="BE482" s="33"/>
      <c r="BF482" s="33"/>
      <c r="BG482" s="33"/>
      <c r="BH482" s="33"/>
      <c r="BI482" s="33"/>
      <c r="BJ482" s="33"/>
      <c r="BK482" s="33"/>
      <c r="BL482" s="33"/>
      <c r="BM482" s="33"/>
      <c r="BN482" s="33"/>
      <c r="BO482" s="33"/>
      <c r="BP482" s="33"/>
      <c r="BQ482" s="33"/>
      <c r="BR482" s="33"/>
      <c r="BS482" s="33"/>
      <c r="BT482" s="33"/>
      <c r="BU482" s="33"/>
      <c r="BV482" s="33"/>
      <c r="BW482" s="33"/>
      <c r="BX482" s="33"/>
      <c r="BY482" s="33"/>
      <c r="BZ482" s="33"/>
      <c r="CA482" s="33"/>
      <c r="CB482" s="33"/>
      <c r="CC482" s="33"/>
      <c r="CD482" s="33"/>
    </row>
    <row r="483" spans="1:82" x14ac:dyDescent="0.25">
      <c r="A483" s="32"/>
      <c r="B483" s="32"/>
      <c r="C483" s="32"/>
      <c r="D483" s="32"/>
      <c r="E483" s="32"/>
      <c r="F483" s="32"/>
      <c r="G483" s="32"/>
      <c r="H483" s="32"/>
      <c r="I483" s="32"/>
      <c r="J483" s="32"/>
      <c r="K483" s="32"/>
      <c r="L483" s="32"/>
      <c r="M483" s="32"/>
      <c r="N483" s="32"/>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c r="AS483" s="33"/>
      <c r="AT483" s="33"/>
      <c r="AU483" s="33"/>
      <c r="AV483" s="33"/>
      <c r="AW483" s="33"/>
      <c r="AX483" s="33"/>
      <c r="AY483" s="33"/>
      <c r="AZ483" s="33"/>
      <c r="BA483" s="33"/>
      <c r="BB483" s="33"/>
      <c r="BC483" s="33"/>
      <c r="BD483" s="33"/>
      <c r="BE483" s="33"/>
      <c r="BF483" s="33"/>
      <c r="BG483" s="33"/>
      <c r="BH483" s="33"/>
      <c r="BI483" s="33"/>
      <c r="BJ483" s="33"/>
      <c r="BK483" s="33"/>
      <c r="BL483" s="33"/>
      <c r="BM483" s="33"/>
      <c r="BN483" s="33"/>
      <c r="BO483" s="33"/>
      <c r="BP483" s="33"/>
      <c r="BQ483" s="33"/>
      <c r="BR483" s="33"/>
      <c r="BS483" s="33"/>
      <c r="BT483" s="33"/>
      <c r="BU483" s="33"/>
      <c r="BV483" s="33"/>
      <c r="BW483" s="33"/>
      <c r="BX483" s="33"/>
      <c r="BY483" s="33"/>
      <c r="BZ483" s="33"/>
      <c r="CA483" s="33"/>
      <c r="CB483" s="33"/>
      <c r="CC483" s="33"/>
      <c r="CD483" s="33"/>
    </row>
    <row r="484" spans="1:82" x14ac:dyDescent="0.25">
      <c r="A484" s="32"/>
      <c r="B484" s="32"/>
      <c r="C484" s="32"/>
      <c r="D484" s="32"/>
      <c r="E484" s="32"/>
      <c r="F484" s="32"/>
      <c r="G484" s="32"/>
      <c r="H484" s="32"/>
      <c r="I484" s="32"/>
      <c r="J484" s="32"/>
      <c r="K484" s="32"/>
      <c r="L484" s="32"/>
      <c r="M484" s="32"/>
      <c r="N484" s="32"/>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c r="AS484" s="33"/>
      <c r="AT484" s="33"/>
      <c r="AU484" s="33"/>
      <c r="AV484" s="33"/>
      <c r="AW484" s="33"/>
      <c r="AX484" s="33"/>
      <c r="AY484" s="33"/>
      <c r="AZ484" s="33"/>
      <c r="BA484" s="33"/>
      <c r="BB484" s="33"/>
      <c r="BC484" s="33"/>
      <c r="BD484" s="33"/>
      <c r="BE484" s="33"/>
      <c r="BF484" s="33"/>
      <c r="BG484" s="33"/>
      <c r="BH484" s="33"/>
      <c r="BI484" s="33"/>
      <c r="BJ484" s="33"/>
      <c r="BK484" s="33"/>
      <c r="BL484" s="33"/>
      <c r="BM484" s="33"/>
      <c r="BN484" s="33"/>
      <c r="BO484" s="33"/>
      <c r="BP484" s="33"/>
      <c r="BQ484" s="33"/>
      <c r="BR484" s="33"/>
      <c r="BS484" s="33"/>
      <c r="BT484" s="33"/>
      <c r="BU484" s="33"/>
      <c r="BV484" s="33"/>
      <c r="BW484" s="33"/>
      <c r="BX484" s="33"/>
      <c r="BY484" s="33"/>
      <c r="BZ484" s="33"/>
      <c r="CA484" s="33"/>
      <c r="CB484" s="33"/>
      <c r="CC484" s="33"/>
      <c r="CD484" s="33"/>
    </row>
    <row r="485" spans="1:82" x14ac:dyDescent="0.25">
      <c r="A485" s="32"/>
      <c r="B485" s="32"/>
      <c r="C485" s="32"/>
      <c r="D485" s="32"/>
      <c r="E485" s="32"/>
      <c r="F485" s="32"/>
      <c r="G485" s="32"/>
      <c r="H485" s="32"/>
      <c r="I485" s="32"/>
      <c r="J485" s="32"/>
      <c r="K485" s="32"/>
      <c r="L485" s="32"/>
      <c r="M485" s="32"/>
      <c r="N485" s="32"/>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c r="AS485" s="33"/>
      <c r="AT485" s="33"/>
      <c r="AU485" s="33"/>
      <c r="AV485" s="33"/>
      <c r="AW485" s="33"/>
      <c r="AX485" s="33"/>
      <c r="AY485" s="33"/>
      <c r="AZ485" s="33"/>
      <c r="BA485" s="33"/>
      <c r="BB485" s="33"/>
      <c r="BC485" s="33"/>
      <c r="BD485" s="33"/>
      <c r="BE485" s="33"/>
      <c r="BF485" s="33"/>
      <c r="BG485" s="33"/>
      <c r="BH485" s="33"/>
      <c r="BI485" s="33"/>
      <c r="BJ485" s="33"/>
      <c r="BK485" s="33"/>
      <c r="BL485" s="33"/>
      <c r="BM485" s="33"/>
      <c r="BN485" s="33"/>
      <c r="BO485" s="33"/>
      <c r="BP485" s="33"/>
      <c r="BQ485" s="33"/>
      <c r="BR485" s="33"/>
      <c r="BS485" s="33"/>
      <c r="BT485" s="33"/>
      <c r="BU485" s="33"/>
      <c r="BV485" s="33"/>
      <c r="BW485" s="33"/>
      <c r="BX485" s="33"/>
      <c r="BY485" s="33"/>
      <c r="BZ485" s="33"/>
      <c r="CA485" s="33"/>
      <c r="CB485" s="33"/>
      <c r="CC485" s="33"/>
      <c r="CD485" s="33"/>
    </row>
    <row r="486" spans="1:82" x14ac:dyDescent="0.25">
      <c r="A486" s="32"/>
      <c r="B486" s="32"/>
      <c r="C486" s="32"/>
      <c r="D486" s="32"/>
      <c r="E486" s="32"/>
      <c r="F486" s="32"/>
      <c r="G486" s="32"/>
      <c r="H486" s="32"/>
      <c r="I486" s="32"/>
      <c r="J486" s="32"/>
      <c r="K486" s="32"/>
      <c r="L486" s="32"/>
      <c r="M486" s="32"/>
      <c r="N486" s="32"/>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33"/>
      <c r="BR486" s="33"/>
      <c r="BS486" s="33"/>
      <c r="BT486" s="33"/>
      <c r="BU486" s="33"/>
      <c r="BV486" s="33"/>
      <c r="BW486" s="33"/>
      <c r="BX486" s="33"/>
      <c r="BY486" s="33"/>
      <c r="BZ486" s="33"/>
      <c r="CA486" s="33"/>
      <c r="CB486" s="33"/>
      <c r="CC486" s="33"/>
      <c r="CD486" s="33"/>
    </row>
    <row r="487" spans="1:82" x14ac:dyDescent="0.25">
      <c r="A487" s="32"/>
      <c r="B487" s="32"/>
      <c r="C487" s="32"/>
      <c r="D487" s="32"/>
      <c r="E487" s="32"/>
      <c r="F487" s="32"/>
      <c r="G487" s="32"/>
      <c r="H487" s="32"/>
      <c r="I487" s="32"/>
      <c r="J487" s="32"/>
      <c r="K487" s="32"/>
      <c r="L487" s="32"/>
      <c r="M487" s="32"/>
      <c r="N487" s="32"/>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c r="AS487" s="33"/>
      <c r="AT487" s="33"/>
      <c r="AU487" s="33"/>
      <c r="AV487" s="33"/>
      <c r="AW487" s="33"/>
      <c r="AX487" s="33"/>
      <c r="AY487" s="33"/>
      <c r="AZ487" s="33"/>
      <c r="BA487" s="33"/>
      <c r="BB487" s="33"/>
      <c r="BC487" s="33"/>
      <c r="BD487" s="33"/>
      <c r="BE487" s="33"/>
      <c r="BF487" s="33"/>
      <c r="BG487" s="33"/>
      <c r="BH487" s="33"/>
      <c r="BI487" s="33"/>
      <c r="BJ487" s="33"/>
      <c r="BK487" s="33"/>
      <c r="BL487" s="33"/>
      <c r="BM487" s="33"/>
      <c r="BN487" s="33"/>
      <c r="BO487" s="33"/>
      <c r="BP487" s="33"/>
      <c r="BQ487" s="33"/>
      <c r="BR487" s="33"/>
      <c r="BS487" s="33"/>
      <c r="BT487" s="33"/>
      <c r="BU487" s="33"/>
      <c r="BV487" s="33"/>
      <c r="BW487" s="33"/>
      <c r="BX487" s="33"/>
      <c r="BY487" s="33"/>
      <c r="BZ487" s="33"/>
      <c r="CA487" s="33"/>
      <c r="CB487" s="33"/>
      <c r="CC487" s="33"/>
      <c r="CD487" s="33"/>
    </row>
    <row r="488" spans="1:82" x14ac:dyDescent="0.25">
      <c r="A488" s="32"/>
      <c r="B488" s="32"/>
      <c r="C488" s="32"/>
      <c r="D488" s="32"/>
      <c r="E488" s="32"/>
      <c r="F488" s="32"/>
      <c r="G488" s="32"/>
      <c r="H488" s="32"/>
      <c r="I488" s="32"/>
      <c r="J488" s="32"/>
      <c r="K488" s="32"/>
      <c r="L488" s="32"/>
      <c r="M488" s="32"/>
      <c r="N488" s="32"/>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c r="AS488" s="33"/>
      <c r="AT488" s="33"/>
      <c r="AU488" s="33"/>
      <c r="AV488" s="33"/>
      <c r="AW488" s="33"/>
      <c r="AX488" s="33"/>
      <c r="AY488" s="33"/>
      <c r="AZ488" s="33"/>
      <c r="BA488" s="33"/>
      <c r="BB488" s="33"/>
      <c r="BC488" s="33"/>
      <c r="BD488" s="33"/>
      <c r="BE488" s="33"/>
      <c r="BF488" s="33"/>
      <c r="BG488" s="33"/>
      <c r="BH488" s="33"/>
      <c r="BI488" s="33"/>
      <c r="BJ488" s="33"/>
      <c r="BK488" s="33"/>
      <c r="BL488" s="33"/>
      <c r="BM488" s="33"/>
      <c r="BN488" s="33"/>
      <c r="BO488" s="33"/>
      <c r="BP488" s="33"/>
      <c r="BQ488" s="33"/>
      <c r="BR488" s="33"/>
      <c r="BS488" s="33"/>
      <c r="BT488" s="33"/>
      <c r="BU488" s="33"/>
      <c r="BV488" s="33"/>
      <c r="BW488" s="33"/>
      <c r="BX488" s="33"/>
      <c r="BY488" s="33"/>
      <c r="BZ488" s="33"/>
      <c r="CA488" s="33"/>
      <c r="CB488" s="33"/>
      <c r="CC488" s="33"/>
      <c r="CD488" s="33"/>
    </row>
    <row r="489" spans="1:82" x14ac:dyDescent="0.25">
      <c r="A489" s="32"/>
      <c r="B489" s="32"/>
      <c r="C489" s="32"/>
      <c r="D489" s="32"/>
      <c r="E489" s="32"/>
      <c r="F489" s="32"/>
      <c r="G489" s="32"/>
      <c r="H489" s="32"/>
      <c r="I489" s="32"/>
      <c r="J489" s="32"/>
      <c r="K489" s="32"/>
      <c r="L489" s="32"/>
      <c r="M489" s="32"/>
      <c r="N489" s="32"/>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c r="AS489" s="33"/>
      <c r="AT489" s="33"/>
      <c r="AU489" s="33"/>
      <c r="AV489" s="33"/>
      <c r="AW489" s="33"/>
      <c r="AX489" s="33"/>
      <c r="AY489" s="33"/>
      <c r="AZ489" s="33"/>
      <c r="BA489" s="33"/>
      <c r="BB489" s="33"/>
      <c r="BC489" s="33"/>
      <c r="BD489" s="33"/>
      <c r="BE489" s="33"/>
      <c r="BF489" s="33"/>
      <c r="BG489" s="33"/>
      <c r="BH489" s="33"/>
      <c r="BI489" s="33"/>
      <c r="BJ489" s="33"/>
      <c r="BK489" s="33"/>
      <c r="BL489" s="33"/>
      <c r="BM489" s="33"/>
      <c r="BN489" s="33"/>
      <c r="BO489" s="33"/>
      <c r="BP489" s="33"/>
      <c r="BQ489" s="33"/>
      <c r="BR489" s="33"/>
      <c r="BS489" s="33"/>
      <c r="BT489" s="33"/>
      <c r="BU489" s="33"/>
      <c r="BV489" s="33"/>
      <c r="BW489" s="33"/>
      <c r="BX489" s="33"/>
      <c r="BY489" s="33"/>
      <c r="BZ489" s="33"/>
      <c r="CA489" s="33"/>
      <c r="CB489" s="33"/>
      <c r="CC489" s="33"/>
      <c r="CD489" s="33"/>
    </row>
    <row r="490" spans="1:82" x14ac:dyDescent="0.25">
      <c r="A490" s="32"/>
      <c r="B490" s="32"/>
      <c r="C490" s="32"/>
      <c r="D490" s="32"/>
      <c r="E490" s="32"/>
      <c r="F490" s="32"/>
      <c r="G490" s="32"/>
      <c r="H490" s="32"/>
      <c r="I490" s="32"/>
      <c r="J490" s="32"/>
      <c r="K490" s="32"/>
      <c r="L490" s="32"/>
      <c r="M490" s="32"/>
      <c r="N490" s="32"/>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33"/>
      <c r="BR490" s="33"/>
      <c r="BS490" s="33"/>
      <c r="BT490" s="33"/>
      <c r="BU490" s="33"/>
      <c r="BV490" s="33"/>
      <c r="BW490" s="33"/>
      <c r="BX490" s="33"/>
      <c r="BY490" s="33"/>
      <c r="BZ490" s="33"/>
      <c r="CA490" s="33"/>
      <c r="CB490" s="33"/>
      <c r="CC490" s="33"/>
      <c r="CD490" s="33"/>
    </row>
    <row r="491" spans="1:82" x14ac:dyDescent="0.25">
      <c r="A491" s="32"/>
      <c r="B491" s="32"/>
      <c r="C491" s="32"/>
      <c r="D491" s="32"/>
      <c r="E491" s="32"/>
      <c r="F491" s="32"/>
      <c r="G491" s="32"/>
      <c r="H491" s="32"/>
      <c r="I491" s="32"/>
      <c r="J491" s="32"/>
      <c r="K491" s="32"/>
      <c r="L491" s="32"/>
      <c r="M491" s="32"/>
      <c r="N491" s="32"/>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c r="AS491" s="33"/>
      <c r="AT491" s="33"/>
      <c r="AU491" s="33"/>
      <c r="AV491" s="33"/>
      <c r="AW491" s="33"/>
      <c r="AX491" s="33"/>
      <c r="AY491" s="33"/>
      <c r="AZ491" s="33"/>
      <c r="BA491" s="33"/>
      <c r="BB491" s="33"/>
      <c r="BC491" s="33"/>
      <c r="BD491" s="33"/>
      <c r="BE491" s="33"/>
      <c r="BF491" s="33"/>
      <c r="BG491" s="33"/>
      <c r="BH491" s="33"/>
      <c r="BI491" s="33"/>
      <c r="BJ491" s="33"/>
      <c r="BK491" s="33"/>
      <c r="BL491" s="33"/>
      <c r="BM491" s="33"/>
      <c r="BN491" s="33"/>
      <c r="BO491" s="33"/>
      <c r="BP491" s="33"/>
      <c r="BQ491" s="33"/>
      <c r="BR491" s="33"/>
      <c r="BS491" s="33"/>
      <c r="BT491" s="33"/>
      <c r="BU491" s="33"/>
      <c r="BV491" s="33"/>
      <c r="BW491" s="33"/>
      <c r="BX491" s="33"/>
      <c r="BY491" s="33"/>
      <c r="BZ491" s="33"/>
      <c r="CA491" s="33"/>
      <c r="CB491" s="33"/>
      <c r="CC491" s="33"/>
      <c r="CD491" s="33"/>
    </row>
    <row r="492" spans="1:82" x14ac:dyDescent="0.25">
      <c r="A492" s="32"/>
      <c r="B492" s="32"/>
      <c r="C492" s="32"/>
      <c r="D492" s="32"/>
      <c r="E492" s="32"/>
      <c r="F492" s="32"/>
      <c r="G492" s="32"/>
      <c r="H492" s="32"/>
      <c r="I492" s="32"/>
      <c r="J492" s="32"/>
      <c r="K492" s="32"/>
      <c r="L492" s="32"/>
      <c r="M492" s="32"/>
      <c r="N492" s="32"/>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c r="AS492" s="33"/>
      <c r="AT492" s="33"/>
      <c r="AU492" s="33"/>
      <c r="AV492" s="33"/>
      <c r="AW492" s="33"/>
      <c r="AX492" s="33"/>
      <c r="AY492" s="33"/>
      <c r="AZ492" s="33"/>
      <c r="BA492" s="33"/>
      <c r="BB492" s="33"/>
      <c r="BC492" s="33"/>
      <c r="BD492" s="33"/>
      <c r="BE492" s="33"/>
      <c r="BF492" s="33"/>
      <c r="BG492" s="33"/>
      <c r="BH492" s="33"/>
      <c r="BI492" s="33"/>
      <c r="BJ492" s="33"/>
      <c r="BK492" s="33"/>
      <c r="BL492" s="33"/>
      <c r="BM492" s="33"/>
      <c r="BN492" s="33"/>
      <c r="BO492" s="33"/>
      <c r="BP492" s="33"/>
      <c r="BQ492" s="33"/>
      <c r="BR492" s="33"/>
      <c r="BS492" s="33"/>
      <c r="BT492" s="33"/>
      <c r="BU492" s="33"/>
      <c r="BV492" s="33"/>
      <c r="BW492" s="33"/>
      <c r="BX492" s="33"/>
      <c r="BY492" s="33"/>
      <c r="BZ492" s="33"/>
      <c r="CA492" s="33"/>
      <c r="CB492" s="33"/>
      <c r="CC492" s="33"/>
      <c r="CD492" s="33"/>
    </row>
    <row r="493" spans="1:82" x14ac:dyDescent="0.25">
      <c r="A493" s="32"/>
      <c r="B493" s="32"/>
      <c r="C493" s="32"/>
      <c r="D493" s="32"/>
      <c r="E493" s="32"/>
      <c r="F493" s="32"/>
      <c r="G493" s="32"/>
      <c r="H493" s="32"/>
      <c r="I493" s="32"/>
      <c r="J493" s="32"/>
      <c r="K493" s="32"/>
      <c r="L493" s="32"/>
      <c r="M493" s="32"/>
      <c r="N493" s="32"/>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c r="AS493" s="33"/>
      <c r="AT493" s="33"/>
      <c r="AU493" s="33"/>
      <c r="AV493" s="33"/>
      <c r="AW493" s="33"/>
      <c r="AX493" s="33"/>
      <c r="AY493" s="33"/>
      <c r="AZ493" s="33"/>
      <c r="BA493" s="33"/>
      <c r="BB493" s="33"/>
      <c r="BC493" s="33"/>
      <c r="BD493" s="33"/>
      <c r="BE493" s="33"/>
      <c r="BF493" s="33"/>
      <c r="BG493" s="33"/>
      <c r="BH493" s="33"/>
      <c r="BI493" s="33"/>
      <c r="BJ493" s="33"/>
      <c r="BK493" s="33"/>
      <c r="BL493" s="33"/>
      <c r="BM493" s="33"/>
      <c r="BN493" s="33"/>
      <c r="BO493" s="33"/>
      <c r="BP493" s="33"/>
      <c r="BQ493" s="33"/>
      <c r="BR493" s="33"/>
      <c r="BS493" s="33"/>
      <c r="BT493" s="33"/>
      <c r="BU493" s="33"/>
      <c r="BV493" s="33"/>
      <c r="BW493" s="33"/>
      <c r="BX493" s="33"/>
      <c r="BY493" s="33"/>
      <c r="BZ493" s="33"/>
      <c r="CA493" s="33"/>
      <c r="CB493" s="33"/>
      <c r="CC493" s="33"/>
      <c r="CD493" s="33"/>
    </row>
    <row r="494" spans="1:82" x14ac:dyDescent="0.25">
      <c r="A494" s="32"/>
      <c r="B494" s="32"/>
      <c r="C494" s="32"/>
      <c r="D494" s="32"/>
      <c r="E494" s="32"/>
      <c r="F494" s="32"/>
      <c r="G494" s="32"/>
      <c r="H494" s="32"/>
      <c r="I494" s="32"/>
      <c r="J494" s="32"/>
      <c r="K494" s="32"/>
      <c r="L494" s="32"/>
      <c r="M494" s="32"/>
      <c r="N494" s="32"/>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c r="AS494" s="33"/>
      <c r="AT494" s="33"/>
      <c r="AU494" s="33"/>
      <c r="AV494" s="33"/>
      <c r="AW494" s="33"/>
      <c r="AX494" s="33"/>
      <c r="AY494" s="33"/>
      <c r="AZ494" s="33"/>
      <c r="BA494" s="33"/>
      <c r="BB494" s="33"/>
      <c r="BC494" s="33"/>
      <c r="BD494" s="33"/>
      <c r="BE494" s="33"/>
      <c r="BF494" s="33"/>
      <c r="BG494" s="33"/>
      <c r="BH494" s="33"/>
      <c r="BI494" s="33"/>
      <c r="BJ494" s="33"/>
      <c r="BK494" s="33"/>
      <c r="BL494" s="33"/>
      <c r="BM494" s="33"/>
      <c r="BN494" s="33"/>
      <c r="BO494" s="33"/>
      <c r="BP494" s="33"/>
      <c r="BQ494" s="33"/>
      <c r="BR494" s="33"/>
      <c r="BS494" s="33"/>
      <c r="BT494" s="33"/>
      <c r="BU494" s="33"/>
      <c r="BV494" s="33"/>
      <c r="BW494" s="33"/>
      <c r="BX494" s="33"/>
      <c r="BY494" s="33"/>
      <c r="BZ494" s="33"/>
      <c r="CA494" s="33"/>
      <c r="CB494" s="33"/>
      <c r="CC494" s="33"/>
      <c r="CD494" s="33"/>
    </row>
    <row r="495" spans="1:82" x14ac:dyDescent="0.25">
      <c r="A495" s="32"/>
      <c r="B495" s="32"/>
      <c r="C495" s="32"/>
      <c r="D495" s="32"/>
      <c r="E495" s="32"/>
      <c r="F495" s="32"/>
      <c r="G495" s="32"/>
      <c r="H495" s="32"/>
      <c r="I495" s="32"/>
      <c r="J495" s="32"/>
      <c r="K495" s="32"/>
      <c r="L495" s="32"/>
      <c r="M495" s="32"/>
      <c r="N495" s="32"/>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c r="AS495" s="33"/>
      <c r="AT495" s="33"/>
      <c r="AU495" s="33"/>
      <c r="AV495" s="33"/>
      <c r="AW495" s="33"/>
      <c r="AX495" s="33"/>
      <c r="AY495" s="33"/>
      <c r="AZ495" s="33"/>
      <c r="BA495" s="33"/>
      <c r="BB495" s="33"/>
      <c r="BC495" s="33"/>
      <c r="BD495" s="33"/>
      <c r="BE495" s="33"/>
      <c r="BF495" s="33"/>
      <c r="BG495" s="33"/>
      <c r="BH495" s="33"/>
      <c r="BI495" s="33"/>
      <c r="BJ495" s="33"/>
      <c r="BK495" s="33"/>
      <c r="BL495" s="33"/>
      <c r="BM495" s="33"/>
      <c r="BN495" s="33"/>
      <c r="BO495" s="33"/>
      <c r="BP495" s="33"/>
      <c r="BQ495" s="33"/>
      <c r="BR495" s="33"/>
      <c r="BS495" s="33"/>
      <c r="BT495" s="33"/>
      <c r="BU495" s="33"/>
      <c r="BV495" s="33"/>
      <c r="BW495" s="33"/>
      <c r="BX495" s="33"/>
      <c r="BY495" s="33"/>
      <c r="BZ495" s="33"/>
      <c r="CA495" s="33"/>
      <c r="CB495" s="33"/>
      <c r="CC495" s="33"/>
      <c r="CD495" s="33"/>
    </row>
    <row r="496" spans="1:82" x14ac:dyDescent="0.25">
      <c r="A496" s="32"/>
      <c r="B496" s="32"/>
      <c r="C496" s="32"/>
      <c r="D496" s="32"/>
      <c r="E496" s="32"/>
      <c r="F496" s="32"/>
      <c r="G496" s="32"/>
      <c r="H496" s="32"/>
      <c r="I496" s="32"/>
      <c r="J496" s="32"/>
      <c r="K496" s="32"/>
      <c r="L496" s="32"/>
      <c r="M496" s="32"/>
      <c r="N496" s="32"/>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c r="AS496" s="33"/>
      <c r="AT496" s="33"/>
      <c r="AU496" s="33"/>
      <c r="AV496" s="33"/>
      <c r="AW496" s="33"/>
      <c r="AX496" s="33"/>
      <c r="AY496" s="33"/>
      <c r="AZ496" s="33"/>
      <c r="BA496" s="33"/>
      <c r="BB496" s="33"/>
      <c r="BC496" s="33"/>
      <c r="BD496" s="33"/>
      <c r="BE496" s="33"/>
      <c r="BF496" s="33"/>
      <c r="BG496" s="33"/>
      <c r="BH496" s="33"/>
      <c r="BI496" s="33"/>
      <c r="BJ496" s="33"/>
      <c r="BK496" s="33"/>
      <c r="BL496" s="33"/>
      <c r="BM496" s="33"/>
      <c r="BN496" s="33"/>
      <c r="BO496" s="33"/>
      <c r="BP496" s="33"/>
      <c r="BQ496" s="33"/>
      <c r="BR496" s="33"/>
      <c r="BS496" s="33"/>
      <c r="BT496" s="33"/>
      <c r="BU496" s="33"/>
      <c r="BV496" s="33"/>
      <c r="BW496" s="33"/>
      <c r="BX496" s="33"/>
      <c r="BY496" s="33"/>
      <c r="BZ496" s="33"/>
      <c r="CA496" s="33"/>
      <c r="CB496" s="33"/>
      <c r="CC496" s="33"/>
      <c r="CD496" s="33"/>
    </row>
    <row r="497" spans="1:82" x14ac:dyDescent="0.25">
      <c r="A497" s="32"/>
      <c r="B497" s="32"/>
      <c r="C497" s="32"/>
      <c r="D497" s="32"/>
      <c r="E497" s="32"/>
      <c r="F497" s="32"/>
      <c r="G497" s="32"/>
      <c r="H497" s="32"/>
      <c r="I497" s="32"/>
      <c r="J497" s="32"/>
      <c r="K497" s="32"/>
      <c r="L497" s="32"/>
      <c r="M497" s="32"/>
      <c r="N497" s="32"/>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c r="AS497" s="33"/>
      <c r="AT497" s="33"/>
      <c r="AU497" s="33"/>
      <c r="AV497" s="33"/>
      <c r="AW497" s="33"/>
      <c r="AX497" s="33"/>
      <c r="AY497" s="33"/>
      <c r="AZ497" s="33"/>
      <c r="BA497" s="33"/>
      <c r="BB497" s="33"/>
      <c r="BC497" s="33"/>
      <c r="BD497" s="33"/>
      <c r="BE497" s="33"/>
      <c r="BF497" s="33"/>
      <c r="BG497" s="33"/>
      <c r="BH497" s="33"/>
      <c r="BI497" s="33"/>
      <c r="BJ497" s="33"/>
      <c r="BK497" s="33"/>
      <c r="BL497" s="33"/>
      <c r="BM497" s="33"/>
      <c r="BN497" s="33"/>
      <c r="BO497" s="33"/>
      <c r="BP497" s="33"/>
      <c r="BQ497" s="33"/>
      <c r="BR497" s="33"/>
      <c r="BS497" s="33"/>
      <c r="BT497" s="33"/>
      <c r="BU497" s="33"/>
      <c r="BV497" s="33"/>
      <c r="BW497" s="33"/>
      <c r="BX497" s="33"/>
      <c r="BY497" s="33"/>
      <c r="BZ497" s="33"/>
      <c r="CA497" s="33"/>
      <c r="CB497" s="33"/>
      <c r="CC497" s="33"/>
      <c r="CD497" s="33"/>
    </row>
    <row r="498" spans="1:82" x14ac:dyDescent="0.25">
      <c r="A498" s="32"/>
      <c r="B498" s="32"/>
      <c r="C498" s="32"/>
      <c r="D498" s="32"/>
      <c r="E498" s="32"/>
      <c r="F498" s="32"/>
      <c r="G498" s="32"/>
      <c r="H498" s="32"/>
      <c r="I498" s="32"/>
      <c r="J498" s="32"/>
      <c r="K498" s="32"/>
      <c r="L498" s="32"/>
      <c r="M498" s="32"/>
      <c r="N498" s="32"/>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c r="AS498" s="33"/>
      <c r="AT498" s="33"/>
      <c r="AU498" s="33"/>
      <c r="AV498" s="33"/>
      <c r="AW498" s="33"/>
      <c r="AX498" s="33"/>
      <c r="AY498" s="33"/>
      <c r="AZ498" s="33"/>
      <c r="BA498" s="33"/>
      <c r="BB498" s="33"/>
      <c r="BC498" s="33"/>
      <c r="BD498" s="33"/>
      <c r="BE498" s="33"/>
      <c r="BF498" s="33"/>
      <c r="BG498" s="33"/>
      <c r="BH498" s="33"/>
      <c r="BI498" s="33"/>
      <c r="BJ498" s="33"/>
      <c r="BK498" s="33"/>
      <c r="BL498" s="33"/>
      <c r="BM498" s="33"/>
      <c r="BN498" s="33"/>
      <c r="BO498" s="33"/>
      <c r="BP498" s="33"/>
      <c r="BQ498" s="33"/>
      <c r="BR498" s="33"/>
      <c r="BS498" s="33"/>
      <c r="BT498" s="33"/>
      <c r="BU498" s="33"/>
      <c r="BV498" s="33"/>
      <c r="BW498" s="33"/>
      <c r="BX498" s="33"/>
      <c r="BY498" s="33"/>
      <c r="BZ498" s="33"/>
      <c r="CA498" s="33"/>
      <c r="CB498" s="33"/>
      <c r="CC498" s="33"/>
      <c r="CD498" s="33"/>
    </row>
    <row r="499" spans="1:82" x14ac:dyDescent="0.25">
      <c r="A499" s="32"/>
      <c r="B499" s="32"/>
      <c r="C499" s="32"/>
      <c r="D499" s="32"/>
      <c r="E499" s="32"/>
      <c r="F499" s="32"/>
      <c r="G499" s="32"/>
      <c r="H499" s="32"/>
      <c r="I499" s="32"/>
      <c r="J499" s="32"/>
      <c r="K499" s="32"/>
      <c r="L499" s="32"/>
      <c r="M499" s="32"/>
      <c r="N499" s="32"/>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c r="AS499" s="33"/>
      <c r="AT499" s="33"/>
      <c r="AU499" s="33"/>
      <c r="AV499" s="33"/>
      <c r="AW499" s="33"/>
      <c r="AX499" s="33"/>
      <c r="AY499" s="33"/>
      <c r="AZ499" s="33"/>
      <c r="BA499" s="33"/>
      <c r="BB499" s="33"/>
      <c r="BC499" s="33"/>
      <c r="BD499" s="33"/>
      <c r="BE499" s="33"/>
      <c r="BF499" s="33"/>
      <c r="BG499" s="33"/>
      <c r="BH499" s="33"/>
      <c r="BI499" s="33"/>
      <c r="BJ499" s="33"/>
      <c r="BK499" s="33"/>
      <c r="BL499" s="33"/>
      <c r="BM499" s="33"/>
      <c r="BN499" s="33"/>
      <c r="BO499" s="33"/>
      <c r="BP499" s="33"/>
      <c r="BQ499" s="33"/>
      <c r="BR499" s="33"/>
      <c r="BS499" s="33"/>
      <c r="BT499" s="33"/>
      <c r="BU499" s="33"/>
      <c r="BV499" s="33"/>
      <c r="BW499" s="33"/>
      <c r="BX499" s="33"/>
      <c r="BY499" s="33"/>
      <c r="BZ499" s="33"/>
      <c r="CA499" s="33"/>
      <c r="CB499" s="33"/>
      <c r="CC499" s="33"/>
      <c r="CD499" s="33"/>
    </row>
    <row r="500" spans="1:82" x14ac:dyDescent="0.25">
      <c r="A500" s="32"/>
      <c r="B500" s="32"/>
      <c r="C500" s="32"/>
      <c r="D500" s="32"/>
      <c r="E500" s="32"/>
      <c r="F500" s="32"/>
      <c r="G500" s="32"/>
      <c r="H500" s="32"/>
      <c r="I500" s="32"/>
      <c r="J500" s="32"/>
      <c r="K500" s="32"/>
      <c r="L500" s="32"/>
      <c r="M500" s="32"/>
      <c r="N500" s="32"/>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c r="AS500" s="33"/>
      <c r="AT500" s="33"/>
      <c r="AU500" s="33"/>
      <c r="AV500" s="33"/>
      <c r="AW500" s="33"/>
      <c r="AX500" s="33"/>
      <c r="AY500" s="33"/>
      <c r="AZ500" s="33"/>
      <c r="BA500" s="33"/>
      <c r="BB500" s="33"/>
      <c r="BC500" s="33"/>
      <c r="BD500" s="33"/>
      <c r="BE500" s="33"/>
      <c r="BF500" s="33"/>
      <c r="BG500" s="33"/>
      <c r="BH500" s="33"/>
      <c r="BI500" s="33"/>
      <c r="BJ500" s="33"/>
      <c r="BK500" s="33"/>
      <c r="BL500" s="33"/>
      <c r="BM500" s="33"/>
      <c r="BN500" s="33"/>
      <c r="BO500" s="33"/>
      <c r="BP500" s="33"/>
      <c r="BQ500" s="33"/>
      <c r="BR500" s="33"/>
      <c r="BS500" s="33"/>
      <c r="BT500" s="33"/>
      <c r="BU500" s="33"/>
      <c r="BV500" s="33"/>
      <c r="BW500" s="33"/>
      <c r="BX500" s="33"/>
      <c r="BY500" s="33"/>
      <c r="BZ500" s="33"/>
      <c r="CA500" s="33"/>
      <c r="CB500" s="33"/>
      <c r="CC500" s="33"/>
      <c r="CD500" s="33"/>
    </row>
    <row r="501" spans="1:82" x14ac:dyDescent="0.25">
      <c r="A501" s="32"/>
      <c r="B501" s="32"/>
      <c r="C501" s="32"/>
      <c r="D501" s="32"/>
      <c r="E501" s="32"/>
      <c r="F501" s="32"/>
      <c r="G501" s="32"/>
      <c r="H501" s="32"/>
      <c r="I501" s="32"/>
      <c r="J501" s="32"/>
      <c r="K501" s="32"/>
      <c r="L501" s="32"/>
      <c r="M501" s="32"/>
      <c r="N501" s="32"/>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c r="AS501" s="33"/>
      <c r="AT501" s="33"/>
      <c r="AU501" s="33"/>
      <c r="AV501" s="33"/>
      <c r="AW501" s="33"/>
      <c r="AX501" s="33"/>
      <c r="AY501" s="33"/>
      <c r="AZ501" s="33"/>
      <c r="BA501" s="33"/>
      <c r="BB501" s="33"/>
      <c r="BC501" s="33"/>
      <c r="BD501" s="33"/>
      <c r="BE501" s="33"/>
      <c r="BF501" s="33"/>
      <c r="BG501" s="33"/>
      <c r="BH501" s="33"/>
      <c r="BI501" s="33"/>
      <c r="BJ501" s="33"/>
      <c r="BK501" s="33"/>
      <c r="BL501" s="33"/>
      <c r="BM501" s="33"/>
      <c r="BN501" s="33"/>
      <c r="BO501" s="33"/>
      <c r="BP501" s="33"/>
      <c r="BQ501" s="33"/>
      <c r="BR501" s="33"/>
      <c r="BS501" s="33"/>
      <c r="BT501" s="33"/>
      <c r="BU501" s="33"/>
      <c r="BV501" s="33"/>
      <c r="BW501" s="33"/>
      <c r="BX501" s="33"/>
      <c r="BY501" s="33"/>
      <c r="BZ501" s="33"/>
      <c r="CA501" s="33"/>
      <c r="CB501" s="33"/>
      <c r="CC501" s="33"/>
      <c r="CD501" s="33"/>
    </row>
    <row r="502" spans="1:82" x14ac:dyDescent="0.25">
      <c r="A502" s="32"/>
      <c r="B502" s="32"/>
      <c r="C502" s="32"/>
      <c r="D502" s="32"/>
      <c r="E502" s="32"/>
      <c r="F502" s="32"/>
      <c r="G502" s="32"/>
      <c r="H502" s="32"/>
      <c r="I502" s="32"/>
      <c r="J502" s="32"/>
      <c r="K502" s="32"/>
      <c r="L502" s="32"/>
      <c r="M502" s="32"/>
      <c r="N502" s="32"/>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33"/>
      <c r="BR502" s="33"/>
      <c r="BS502" s="33"/>
      <c r="BT502" s="33"/>
      <c r="BU502" s="33"/>
      <c r="BV502" s="33"/>
      <c r="BW502" s="33"/>
      <c r="BX502" s="33"/>
      <c r="BY502" s="33"/>
      <c r="BZ502" s="33"/>
      <c r="CA502" s="33"/>
      <c r="CB502" s="33"/>
      <c r="CC502" s="33"/>
      <c r="CD502" s="33"/>
    </row>
    <row r="503" spans="1:82" x14ac:dyDescent="0.25">
      <c r="A503" s="32"/>
      <c r="B503" s="32"/>
      <c r="C503" s="32"/>
      <c r="D503" s="32"/>
      <c r="E503" s="32"/>
      <c r="F503" s="32"/>
      <c r="G503" s="32"/>
      <c r="H503" s="32"/>
      <c r="I503" s="32"/>
      <c r="J503" s="32"/>
      <c r="K503" s="32"/>
      <c r="L503" s="32"/>
      <c r="M503" s="32"/>
      <c r="N503" s="32"/>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c r="AS503" s="33"/>
      <c r="AT503" s="33"/>
      <c r="AU503" s="33"/>
      <c r="AV503" s="33"/>
      <c r="AW503" s="33"/>
      <c r="AX503" s="33"/>
      <c r="AY503" s="33"/>
      <c r="AZ503" s="33"/>
      <c r="BA503" s="33"/>
      <c r="BB503" s="33"/>
      <c r="BC503" s="33"/>
      <c r="BD503" s="33"/>
      <c r="BE503" s="33"/>
      <c r="BF503" s="33"/>
      <c r="BG503" s="33"/>
      <c r="BH503" s="33"/>
      <c r="BI503" s="33"/>
      <c r="BJ503" s="33"/>
      <c r="BK503" s="33"/>
      <c r="BL503" s="33"/>
      <c r="BM503" s="33"/>
      <c r="BN503" s="33"/>
      <c r="BO503" s="33"/>
      <c r="BP503" s="33"/>
      <c r="BQ503" s="33"/>
      <c r="BR503" s="33"/>
      <c r="BS503" s="33"/>
      <c r="BT503" s="33"/>
      <c r="BU503" s="33"/>
      <c r="BV503" s="33"/>
      <c r="BW503" s="33"/>
      <c r="BX503" s="33"/>
      <c r="BY503" s="33"/>
      <c r="BZ503" s="33"/>
      <c r="CA503" s="33"/>
      <c r="CB503" s="33"/>
      <c r="CC503" s="33"/>
      <c r="CD503" s="33"/>
    </row>
    <row r="504" spans="1:82" x14ac:dyDescent="0.25">
      <c r="A504" s="32"/>
      <c r="B504" s="32"/>
      <c r="C504" s="32"/>
      <c r="D504" s="32"/>
      <c r="E504" s="32"/>
      <c r="F504" s="32"/>
      <c r="G504" s="32"/>
      <c r="H504" s="32"/>
      <c r="I504" s="32"/>
      <c r="J504" s="32"/>
      <c r="K504" s="32"/>
      <c r="L504" s="32"/>
      <c r="M504" s="32"/>
      <c r="N504" s="32"/>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AZ504" s="33"/>
      <c r="BA504" s="33"/>
      <c r="BB504" s="33"/>
      <c r="BC504" s="33"/>
      <c r="BD504" s="33"/>
      <c r="BE504" s="33"/>
      <c r="BF504" s="33"/>
      <c r="BG504" s="33"/>
      <c r="BH504" s="33"/>
      <c r="BI504" s="33"/>
      <c r="BJ504" s="33"/>
      <c r="BK504" s="33"/>
      <c r="BL504" s="33"/>
      <c r="BM504" s="33"/>
      <c r="BN504" s="33"/>
      <c r="BO504" s="33"/>
      <c r="BP504" s="33"/>
      <c r="BQ504" s="33"/>
      <c r="BR504" s="33"/>
      <c r="BS504" s="33"/>
      <c r="BT504" s="33"/>
      <c r="BU504" s="33"/>
      <c r="BV504" s="33"/>
      <c r="BW504" s="33"/>
      <c r="BX504" s="33"/>
      <c r="BY504" s="33"/>
      <c r="BZ504" s="33"/>
      <c r="CA504" s="33"/>
      <c r="CB504" s="33"/>
      <c r="CC504" s="33"/>
      <c r="CD504" s="33"/>
    </row>
    <row r="505" spans="1:82" x14ac:dyDescent="0.25">
      <c r="A505" s="32"/>
      <c r="B505" s="32"/>
      <c r="C505" s="32"/>
      <c r="D505" s="32"/>
      <c r="E505" s="32"/>
      <c r="F505" s="32"/>
      <c r="G505" s="32"/>
      <c r="H505" s="32"/>
      <c r="I505" s="32"/>
      <c r="J505" s="32"/>
      <c r="K505" s="32"/>
      <c r="L505" s="32"/>
      <c r="M505" s="32"/>
      <c r="N505" s="32"/>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c r="AS505" s="33"/>
      <c r="AT505" s="33"/>
      <c r="AU505" s="33"/>
      <c r="AV505" s="33"/>
      <c r="AW505" s="33"/>
      <c r="AX505" s="33"/>
      <c r="AY505" s="33"/>
      <c r="AZ505" s="33"/>
      <c r="BA505" s="33"/>
      <c r="BB505" s="33"/>
      <c r="BC505" s="33"/>
      <c r="BD505" s="33"/>
      <c r="BE505" s="33"/>
      <c r="BF505" s="33"/>
      <c r="BG505" s="33"/>
      <c r="BH505" s="33"/>
      <c r="BI505" s="33"/>
      <c r="BJ505" s="33"/>
      <c r="BK505" s="33"/>
      <c r="BL505" s="33"/>
      <c r="BM505" s="33"/>
      <c r="BN505" s="33"/>
      <c r="BO505" s="33"/>
      <c r="BP505" s="33"/>
      <c r="BQ505" s="33"/>
      <c r="BR505" s="33"/>
      <c r="BS505" s="33"/>
      <c r="BT505" s="33"/>
      <c r="BU505" s="33"/>
      <c r="BV505" s="33"/>
      <c r="BW505" s="33"/>
      <c r="BX505" s="33"/>
      <c r="BY505" s="33"/>
      <c r="BZ505" s="33"/>
      <c r="CA505" s="33"/>
      <c r="CB505" s="33"/>
      <c r="CC505" s="33"/>
      <c r="CD505" s="33"/>
    </row>
    <row r="506" spans="1:82" x14ac:dyDescent="0.25">
      <c r="A506" s="32"/>
      <c r="B506" s="32"/>
      <c r="C506" s="32"/>
      <c r="D506" s="32"/>
      <c r="E506" s="32"/>
      <c r="F506" s="32"/>
      <c r="G506" s="32"/>
      <c r="H506" s="32"/>
      <c r="I506" s="32"/>
      <c r="J506" s="32"/>
      <c r="K506" s="32"/>
      <c r="L506" s="32"/>
      <c r="M506" s="32"/>
      <c r="N506" s="32"/>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c r="AS506" s="33"/>
      <c r="AT506" s="33"/>
      <c r="AU506" s="33"/>
      <c r="AV506" s="33"/>
      <c r="AW506" s="33"/>
      <c r="AX506" s="33"/>
      <c r="AY506" s="33"/>
      <c r="AZ506" s="33"/>
      <c r="BA506" s="33"/>
      <c r="BB506" s="33"/>
      <c r="BC506" s="33"/>
      <c r="BD506" s="33"/>
      <c r="BE506" s="33"/>
      <c r="BF506" s="33"/>
      <c r="BG506" s="33"/>
      <c r="BH506" s="33"/>
      <c r="BI506" s="33"/>
      <c r="BJ506" s="33"/>
      <c r="BK506" s="33"/>
      <c r="BL506" s="33"/>
      <c r="BM506" s="33"/>
      <c r="BN506" s="33"/>
      <c r="BO506" s="33"/>
      <c r="BP506" s="33"/>
      <c r="BQ506" s="33"/>
      <c r="BR506" s="33"/>
      <c r="BS506" s="33"/>
      <c r="BT506" s="33"/>
      <c r="BU506" s="33"/>
      <c r="BV506" s="33"/>
      <c r="BW506" s="33"/>
      <c r="BX506" s="33"/>
      <c r="BY506" s="33"/>
      <c r="BZ506" s="33"/>
      <c r="CA506" s="33"/>
      <c r="CB506" s="33"/>
      <c r="CC506" s="33"/>
      <c r="CD506" s="33"/>
    </row>
    <row r="507" spans="1:82" x14ac:dyDescent="0.25">
      <c r="A507" s="32"/>
      <c r="B507" s="32"/>
      <c r="C507" s="32"/>
      <c r="D507" s="32"/>
      <c r="E507" s="32"/>
      <c r="F507" s="32"/>
      <c r="G507" s="32"/>
      <c r="H507" s="32"/>
      <c r="I507" s="32"/>
      <c r="J507" s="32"/>
      <c r="K507" s="32"/>
      <c r="L507" s="32"/>
      <c r="M507" s="32"/>
      <c r="N507" s="32"/>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c r="BB507" s="33"/>
      <c r="BC507" s="33"/>
      <c r="BD507" s="33"/>
      <c r="BE507" s="33"/>
      <c r="BF507" s="33"/>
      <c r="BG507" s="33"/>
      <c r="BH507" s="33"/>
      <c r="BI507" s="33"/>
      <c r="BJ507" s="33"/>
      <c r="BK507" s="33"/>
      <c r="BL507" s="33"/>
      <c r="BM507" s="33"/>
      <c r="BN507" s="33"/>
      <c r="BO507" s="33"/>
      <c r="BP507" s="33"/>
      <c r="BQ507" s="33"/>
      <c r="BR507" s="33"/>
      <c r="BS507" s="33"/>
      <c r="BT507" s="33"/>
      <c r="BU507" s="33"/>
      <c r="BV507" s="33"/>
      <c r="BW507" s="33"/>
      <c r="BX507" s="33"/>
      <c r="BY507" s="33"/>
      <c r="BZ507" s="33"/>
      <c r="CA507" s="33"/>
      <c r="CB507" s="33"/>
      <c r="CC507" s="33"/>
      <c r="CD507" s="33"/>
    </row>
    <row r="508" spans="1:82" x14ac:dyDescent="0.25">
      <c r="A508" s="32"/>
      <c r="B508" s="32"/>
      <c r="C508" s="32"/>
      <c r="D508" s="32"/>
      <c r="E508" s="32"/>
      <c r="F508" s="32"/>
      <c r="G508" s="32"/>
      <c r="H508" s="32"/>
      <c r="I508" s="32"/>
      <c r="J508" s="32"/>
      <c r="K508" s="32"/>
      <c r="L508" s="32"/>
      <c r="M508" s="32"/>
      <c r="N508" s="32"/>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c r="AS508" s="33"/>
      <c r="AT508" s="33"/>
      <c r="AU508" s="33"/>
      <c r="AV508" s="33"/>
      <c r="AW508" s="33"/>
      <c r="AX508" s="33"/>
      <c r="AY508" s="33"/>
      <c r="AZ508" s="33"/>
      <c r="BA508" s="33"/>
      <c r="BB508" s="33"/>
      <c r="BC508" s="33"/>
      <c r="BD508" s="33"/>
      <c r="BE508" s="33"/>
      <c r="BF508" s="33"/>
      <c r="BG508" s="33"/>
      <c r="BH508" s="33"/>
      <c r="BI508" s="33"/>
      <c r="BJ508" s="33"/>
      <c r="BK508" s="33"/>
      <c r="BL508" s="33"/>
      <c r="BM508" s="33"/>
      <c r="BN508" s="33"/>
      <c r="BO508" s="33"/>
      <c r="BP508" s="33"/>
      <c r="BQ508" s="33"/>
      <c r="BR508" s="33"/>
      <c r="BS508" s="33"/>
      <c r="BT508" s="33"/>
      <c r="BU508" s="33"/>
      <c r="BV508" s="33"/>
      <c r="BW508" s="33"/>
      <c r="BX508" s="33"/>
      <c r="BY508" s="33"/>
      <c r="BZ508" s="33"/>
      <c r="CA508" s="33"/>
      <c r="CB508" s="33"/>
      <c r="CC508" s="33"/>
      <c r="CD508" s="33"/>
    </row>
    <row r="509" spans="1:82" x14ac:dyDescent="0.25">
      <c r="A509" s="32"/>
      <c r="B509" s="32"/>
      <c r="C509" s="32"/>
      <c r="D509" s="32"/>
      <c r="E509" s="32"/>
      <c r="F509" s="32"/>
      <c r="G509" s="32"/>
      <c r="H509" s="32"/>
      <c r="I509" s="32"/>
      <c r="J509" s="32"/>
      <c r="K509" s="32"/>
      <c r="L509" s="32"/>
      <c r="M509" s="32"/>
      <c r="N509" s="32"/>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33"/>
      <c r="BR509" s="33"/>
      <c r="BS509" s="33"/>
      <c r="BT509" s="33"/>
      <c r="BU509" s="33"/>
      <c r="BV509" s="33"/>
      <c r="BW509" s="33"/>
      <c r="BX509" s="33"/>
      <c r="BY509" s="33"/>
      <c r="BZ509" s="33"/>
      <c r="CA509" s="33"/>
      <c r="CB509" s="33"/>
      <c r="CC509" s="33"/>
      <c r="CD509" s="33"/>
    </row>
    <row r="510" spans="1:82" x14ac:dyDescent="0.25">
      <c r="A510" s="32"/>
      <c r="B510" s="32"/>
      <c r="C510" s="32"/>
      <c r="D510" s="32"/>
      <c r="E510" s="32"/>
      <c r="F510" s="32"/>
      <c r="G510" s="32"/>
      <c r="H510" s="32"/>
      <c r="I510" s="32"/>
      <c r="J510" s="32"/>
      <c r="K510" s="32"/>
      <c r="L510" s="32"/>
      <c r="M510" s="32"/>
      <c r="N510" s="32"/>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c r="AS510" s="33"/>
      <c r="AT510" s="33"/>
      <c r="AU510" s="33"/>
      <c r="AV510" s="33"/>
      <c r="AW510" s="33"/>
      <c r="AX510" s="33"/>
      <c r="AY510" s="33"/>
      <c r="AZ510" s="33"/>
      <c r="BA510" s="33"/>
      <c r="BB510" s="33"/>
      <c r="BC510" s="33"/>
      <c r="BD510" s="33"/>
      <c r="BE510" s="33"/>
      <c r="BF510" s="33"/>
      <c r="BG510" s="33"/>
      <c r="BH510" s="33"/>
      <c r="BI510" s="33"/>
      <c r="BJ510" s="33"/>
      <c r="BK510" s="33"/>
      <c r="BL510" s="33"/>
      <c r="BM510" s="33"/>
      <c r="BN510" s="33"/>
      <c r="BO510" s="33"/>
      <c r="BP510" s="33"/>
      <c r="BQ510" s="33"/>
      <c r="BR510" s="33"/>
      <c r="BS510" s="33"/>
      <c r="BT510" s="33"/>
      <c r="BU510" s="33"/>
      <c r="BV510" s="33"/>
      <c r="BW510" s="33"/>
      <c r="BX510" s="33"/>
      <c r="BY510" s="33"/>
      <c r="BZ510" s="33"/>
      <c r="CA510" s="33"/>
      <c r="CB510" s="33"/>
      <c r="CC510" s="33"/>
      <c r="CD510" s="33"/>
    </row>
    <row r="511" spans="1:82" x14ac:dyDescent="0.25">
      <c r="A511" s="32"/>
      <c r="B511" s="32"/>
      <c r="C511" s="32"/>
      <c r="D511" s="32"/>
      <c r="E511" s="32"/>
      <c r="F511" s="32"/>
      <c r="G511" s="32"/>
      <c r="H511" s="32"/>
      <c r="I511" s="32"/>
      <c r="J511" s="32"/>
      <c r="K511" s="32"/>
      <c r="L511" s="32"/>
      <c r="M511" s="32"/>
      <c r="N511" s="32"/>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c r="AS511" s="33"/>
      <c r="AT511" s="33"/>
      <c r="AU511" s="33"/>
      <c r="AV511" s="33"/>
      <c r="AW511" s="33"/>
      <c r="AX511" s="33"/>
      <c r="AY511" s="33"/>
      <c r="AZ511" s="33"/>
      <c r="BA511" s="33"/>
      <c r="BB511" s="33"/>
      <c r="BC511" s="33"/>
      <c r="BD511" s="33"/>
      <c r="BE511" s="33"/>
      <c r="BF511" s="33"/>
      <c r="BG511" s="33"/>
      <c r="BH511" s="33"/>
      <c r="BI511" s="33"/>
      <c r="BJ511" s="33"/>
      <c r="BK511" s="33"/>
      <c r="BL511" s="33"/>
      <c r="BM511" s="33"/>
      <c r="BN511" s="33"/>
      <c r="BO511" s="33"/>
      <c r="BP511" s="33"/>
      <c r="BQ511" s="33"/>
      <c r="BR511" s="33"/>
      <c r="BS511" s="33"/>
      <c r="BT511" s="33"/>
      <c r="BU511" s="33"/>
      <c r="BV511" s="33"/>
      <c r="BW511" s="33"/>
      <c r="BX511" s="33"/>
      <c r="BY511" s="33"/>
      <c r="BZ511" s="33"/>
      <c r="CA511" s="33"/>
      <c r="CB511" s="33"/>
      <c r="CC511" s="33"/>
      <c r="CD511" s="33"/>
    </row>
    <row r="512" spans="1:82" x14ac:dyDescent="0.25">
      <c r="A512" s="32"/>
      <c r="B512" s="32"/>
      <c r="C512" s="32"/>
      <c r="D512" s="32"/>
      <c r="E512" s="32"/>
      <c r="F512" s="32"/>
      <c r="G512" s="32"/>
      <c r="H512" s="32"/>
      <c r="I512" s="32"/>
      <c r="J512" s="32"/>
      <c r="K512" s="32"/>
      <c r="L512" s="32"/>
      <c r="M512" s="32"/>
      <c r="N512" s="32"/>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c r="AS512" s="33"/>
      <c r="AT512" s="33"/>
      <c r="AU512" s="33"/>
      <c r="AV512" s="33"/>
      <c r="AW512" s="33"/>
      <c r="AX512" s="33"/>
      <c r="AY512" s="33"/>
      <c r="AZ512" s="33"/>
      <c r="BA512" s="33"/>
      <c r="BB512" s="33"/>
      <c r="BC512" s="33"/>
      <c r="BD512" s="33"/>
      <c r="BE512" s="33"/>
      <c r="BF512" s="33"/>
      <c r="BG512" s="33"/>
      <c r="BH512" s="33"/>
      <c r="BI512" s="33"/>
      <c r="BJ512" s="33"/>
      <c r="BK512" s="33"/>
      <c r="BL512" s="33"/>
      <c r="BM512" s="33"/>
      <c r="BN512" s="33"/>
      <c r="BO512" s="33"/>
      <c r="BP512" s="33"/>
      <c r="BQ512" s="33"/>
      <c r="BR512" s="33"/>
      <c r="BS512" s="33"/>
      <c r="BT512" s="33"/>
      <c r="BU512" s="33"/>
      <c r="BV512" s="33"/>
      <c r="BW512" s="33"/>
      <c r="BX512" s="33"/>
      <c r="BY512" s="33"/>
      <c r="BZ512" s="33"/>
      <c r="CA512" s="33"/>
      <c r="CB512" s="33"/>
      <c r="CC512" s="33"/>
      <c r="CD512" s="33"/>
    </row>
    <row r="513" spans="1:82" x14ac:dyDescent="0.25">
      <c r="A513" s="32"/>
      <c r="B513" s="32"/>
      <c r="C513" s="32"/>
      <c r="D513" s="32"/>
      <c r="E513" s="32"/>
      <c r="F513" s="32"/>
      <c r="G513" s="32"/>
      <c r="H513" s="32"/>
      <c r="I513" s="32"/>
      <c r="J513" s="32"/>
      <c r="K513" s="32"/>
      <c r="L513" s="32"/>
      <c r="M513" s="32"/>
      <c r="N513" s="32"/>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c r="AS513" s="33"/>
      <c r="AT513" s="33"/>
      <c r="AU513" s="33"/>
      <c r="AV513" s="33"/>
      <c r="AW513" s="33"/>
      <c r="AX513" s="33"/>
      <c r="AY513" s="33"/>
      <c r="AZ513" s="33"/>
      <c r="BA513" s="33"/>
      <c r="BB513" s="33"/>
      <c r="BC513" s="33"/>
      <c r="BD513" s="33"/>
      <c r="BE513" s="33"/>
      <c r="BF513" s="33"/>
      <c r="BG513" s="33"/>
      <c r="BH513" s="33"/>
      <c r="BI513" s="33"/>
      <c r="BJ513" s="33"/>
      <c r="BK513" s="33"/>
      <c r="BL513" s="33"/>
      <c r="BM513" s="33"/>
      <c r="BN513" s="33"/>
      <c r="BO513" s="33"/>
      <c r="BP513" s="33"/>
      <c r="BQ513" s="33"/>
      <c r="BR513" s="33"/>
      <c r="BS513" s="33"/>
      <c r="BT513" s="33"/>
      <c r="BU513" s="33"/>
      <c r="BV513" s="33"/>
      <c r="BW513" s="33"/>
      <c r="BX513" s="33"/>
      <c r="BY513" s="33"/>
      <c r="BZ513" s="33"/>
      <c r="CA513" s="33"/>
      <c r="CB513" s="33"/>
      <c r="CC513" s="33"/>
      <c r="CD513" s="33"/>
    </row>
    <row r="514" spans="1:82" x14ac:dyDescent="0.25">
      <c r="A514" s="32"/>
      <c r="B514" s="32"/>
      <c r="C514" s="32"/>
      <c r="D514" s="32"/>
      <c r="E514" s="32"/>
      <c r="F514" s="32"/>
      <c r="G514" s="32"/>
      <c r="H514" s="32"/>
      <c r="I514" s="32"/>
      <c r="J514" s="32"/>
      <c r="K514" s="32"/>
      <c r="L514" s="32"/>
      <c r="M514" s="32"/>
      <c r="N514" s="32"/>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c r="AS514" s="33"/>
      <c r="AT514" s="33"/>
      <c r="AU514" s="33"/>
      <c r="AV514" s="33"/>
      <c r="AW514" s="33"/>
      <c r="AX514" s="33"/>
      <c r="AY514" s="33"/>
      <c r="AZ514" s="33"/>
      <c r="BA514" s="33"/>
      <c r="BB514" s="33"/>
      <c r="BC514" s="33"/>
      <c r="BD514" s="33"/>
      <c r="BE514" s="33"/>
      <c r="BF514" s="33"/>
      <c r="BG514" s="33"/>
      <c r="BH514" s="33"/>
      <c r="BI514" s="33"/>
      <c r="BJ514" s="33"/>
      <c r="BK514" s="33"/>
      <c r="BL514" s="33"/>
      <c r="BM514" s="33"/>
      <c r="BN514" s="33"/>
      <c r="BO514" s="33"/>
      <c r="BP514" s="33"/>
      <c r="BQ514" s="33"/>
      <c r="BR514" s="33"/>
      <c r="BS514" s="33"/>
      <c r="BT514" s="33"/>
      <c r="BU514" s="33"/>
      <c r="BV514" s="33"/>
      <c r="BW514" s="33"/>
      <c r="BX514" s="33"/>
      <c r="BY514" s="33"/>
      <c r="BZ514" s="33"/>
      <c r="CA514" s="33"/>
      <c r="CB514" s="33"/>
      <c r="CC514" s="33"/>
      <c r="CD514" s="33"/>
    </row>
    <row r="515" spans="1:82" x14ac:dyDescent="0.25">
      <c r="A515" s="32"/>
      <c r="B515" s="32"/>
      <c r="C515" s="32"/>
      <c r="D515" s="32"/>
      <c r="E515" s="32"/>
      <c r="F515" s="32"/>
      <c r="G515" s="32"/>
      <c r="H515" s="32"/>
      <c r="I515" s="32"/>
      <c r="J515" s="32"/>
      <c r="K515" s="32"/>
      <c r="L515" s="32"/>
      <c r="M515" s="32"/>
      <c r="N515" s="32"/>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c r="AS515" s="33"/>
      <c r="AT515" s="33"/>
      <c r="AU515" s="33"/>
      <c r="AV515" s="33"/>
      <c r="AW515" s="33"/>
      <c r="AX515" s="33"/>
      <c r="AY515" s="33"/>
      <c r="AZ515" s="33"/>
      <c r="BA515" s="33"/>
      <c r="BB515" s="33"/>
      <c r="BC515" s="33"/>
      <c r="BD515" s="33"/>
      <c r="BE515" s="33"/>
      <c r="BF515" s="33"/>
      <c r="BG515" s="33"/>
      <c r="BH515" s="33"/>
      <c r="BI515" s="33"/>
      <c r="BJ515" s="33"/>
      <c r="BK515" s="33"/>
      <c r="BL515" s="33"/>
      <c r="BM515" s="33"/>
      <c r="BN515" s="33"/>
      <c r="BO515" s="33"/>
      <c r="BP515" s="33"/>
      <c r="BQ515" s="33"/>
      <c r="BR515" s="33"/>
      <c r="BS515" s="33"/>
      <c r="BT515" s="33"/>
      <c r="BU515" s="33"/>
      <c r="BV515" s="33"/>
      <c r="BW515" s="33"/>
      <c r="BX515" s="33"/>
      <c r="BY515" s="33"/>
      <c r="BZ515" s="33"/>
      <c r="CA515" s="33"/>
      <c r="CB515" s="33"/>
      <c r="CC515" s="33"/>
      <c r="CD515" s="33"/>
    </row>
    <row r="516" spans="1:82" x14ac:dyDescent="0.25">
      <c r="A516" s="32"/>
      <c r="B516" s="32"/>
      <c r="C516" s="32"/>
      <c r="D516" s="32"/>
      <c r="E516" s="32"/>
      <c r="F516" s="32"/>
      <c r="G516" s="32"/>
      <c r="H516" s="32"/>
      <c r="I516" s="32"/>
      <c r="J516" s="32"/>
      <c r="K516" s="32"/>
      <c r="L516" s="32"/>
      <c r="M516" s="32"/>
      <c r="N516" s="32"/>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c r="AS516" s="33"/>
      <c r="AT516" s="33"/>
      <c r="AU516" s="33"/>
      <c r="AV516" s="33"/>
      <c r="AW516" s="33"/>
      <c r="AX516" s="33"/>
      <c r="AY516" s="33"/>
      <c r="AZ516" s="33"/>
      <c r="BA516" s="33"/>
      <c r="BB516" s="33"/>
      <c r="BC516" s="33"/>
      <c r="BD516" s="33"/>
      <c r="BE516" s="33"/>
      <c r="BF516" s="33"/>
      <c r="BG516" s="33"/>
      <c r="BH516" s="33"/>
      <c r="BI516" s="33"/>
      <c r="BJ516" s="33"/>
      <c r="BK516" s="33"/>
      <c r="BL516" s="33"/>
      <c r="BM516" s="33"/>
      <c r="BN516" s="33"/>
      <c r="BO516" s="33"/>
      <c r="BP516" s="33"/>
      <c r="BQ516" s="33"/>
      <c r="BR516" s="33"/>
      <c r="BS516" s="33"/>
      <c r="BT516" s="33"/>
      <c r="BU516" s="33"/>
      <c r="BV516" s="33"/>
      <c r="BW516" s="33"/>
      <c r="BX516" s="33"/>
      <c r="BY516" s="33"/>
      <c r="BZ516" s="33"/>
      <c r="CA516" s="33"/>
      <c r="CB516" s="33"/>
      <c r="CC516" s="33"/>
      <c r="CD516" s="33"/>
    </row>
    <row r="517" spans="1:82" x14ac:dyDescent="0.25">
      <c r="A517" s="32"/>
      <c r="B517" s="32"/>
      <c r="C517" s="32"/>
      <c r="D517" s="32"/>
      <c r="E517" s="32"/>
      <c r="F517" s="32"/>
      <c r="G517" s="32"/>
      <c r="H517" s="32"/>
      <c r="I517" s="32"/>
      <c r="J517" s="32"/>
      <c r="K517" s="32"/>
      <c r="L517" s="32"/>
      <c r="M517" s="32"/>
      <c r="N517" s="32"/>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c r="AS517" s="33"/>
      <c r="AT517" s="33"/>
      <c r="AU517" s="33"/>
      <c r="AV517" s="33"/>
      <c r="AW517" s="33"/>
      <c r="AX517" s="33"/>
      <c r="AY517" s="33"/>
      <c r="AZ517" s="33"/>
      <c r="BA517" s="33"/>
      <c r="BB517" s="33"/>
      <c r="BC517" s="33"/>
      <c r="BD517" s="33"/>
      <c r="BE517" s="33"/>
      <c r="BF517" s="33"/>
      <c r="BG517" s="33"/>
      <c r="BH517" s="33"/>
      <c r="BI517" s="33"/>
      <c r="BJ517" s="33"/>
      <c r="BK517" s="33"/>
      <c r="BL517" s="33"/>
      <c r="BM517" s="33"/>
      <c r="BN517" s="33"/>
      <c r="BO517" s="33"/>
      <c r="BP517" s="33"/>
      <c r="BQ517" s="33"/>
      <c r="BR517" s="33"/>
      <c r="BS517" s="33"/>
      <c r="BT517" s="33"/>
      <c r="BU517" s="33"/>
      <c r="BV517" s="33"/>
      <c r="BW517" s="33"/>
      <c r="BX517" s="33"/>
      <c r="BY517" s="33"/>
      <c r="BZ517" s="33"/>
      <c r="CA517" s="33"/>
      <c r="CB517" s="33"/>
      <c r="CC517" s="33"/>
      <c r="CD517" s="33"/>
    </row>
    <row r="518" spans="1:82" x14ac:dyDescent="0.25">
      <c r="A518" s="32"/>
      <c r="B518" s="32"/>
      <c r="C518" s="32"/>
      <c r="D518" s="32"/>
      <c r="E518" s="32"/>
      <c r="F518" s="32"/>
      <c r="G518" s="32"/>
      <c r="H518" s="32"/>
      <c r="I518" s="32"/>
      <c r="J518" s="32"/>
      <c r="K518" s="32"/>
      <c r="L518" s="32"/>
      <c r="M518" s="32"/>
      <c r="N518" s="32"/>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c r="AS518" s="33"/>
      <c r="AT518" s="33"/>
      <c r="AU518" s="33"/>
      <c r="AV518" s="33"/>
      <c r="AW518" s="33"/>
      <c r="AX518" s="33"/>
      <c r="AY518" s="33"/>
      <c r="AZ518" s="33"/>
      <c r="BA518" s="33"/>
      <c r="BB518" s="33"/>
      <c r="BC518" s="33"/>
      <c r="BD518" s="33"/>
      <c r="BE518" s="33"/>
      <c r="BF518" s="33"/>
      <c r="BG518" s="33"/>
      <c r="BH518" s="33"/>
      <c r="BI518" s="33"/>
      <c r="BJ518" s="33"/>
      <c r="BK518" s="33"/>
      <c r="BL518" s="33"/>
      <c r="BM518" s="33"/>
      <c r="BN518" s="33"/>
      <c r="BO518" s="33"/>
      <c r="BP518" s="33"/>
      <c r="BQ518" s="33"/>
      <c r="BR518" s="33"/>
      <c r="BS518" s="33"/>
      <c r="BT518" s="33"/>
      <c r="BU518" s="33"/>
      <c r="BV518" s="33"/>
      <c r="BW518" s="33"/>
      <c r="BX518" s="33"/>
      <c r="BY518" s="33"/>
      <c r="BZ518" s="33"/>
      <c r="CA518" s="33"/>
      <c r="CB518" s="33"/>
      <c r="CC518" s="33"/>
      <c r="CD518" s="33"/>
    </row>
    <row r="519" spans="1:82" x14ac:dyDescent="0.25">
      <c r="A519" s="32"/>
      <c r="B519" s="32"/>
      <c r="C519" s="32"/>
      <c r="D519" s="32"/>
      <c r="E519" s="32"/>
      <c r="F519" s="32"/>
      <c r="G519" s="32"/>
      <c r="H519" s="32"/>
      <c r="I519" s="32"/>
      <c r="J519" s="32"/>
      <c r="K519" s="32"/>
      <c r="L519" s="32"/>
      <c r="M519" s="32"/>
      <c r="N519" s="32"/>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c r="AS519" s="33"/>
      <c r="AT519" s="33"/>
      <c r="AU519" s="33"/>
      <c r="AV519" s="33"/>
      <c r="AW519" s="33"/>
      <c r="AX519" s="33"/>
      <c r="AY519" s="33"/>
      <c r="AZ519" s="33"/>
      <c r="BA519" s="33"/>
      <c r="BB519" s="33"/>
      <c r="BC519" s="33"/>
      <c r="BD519" s="33"/>
      <c r="BE519" s="33"/>
      <c r="BF519" s="33"/>
      <c r="BG519" s="33"/>
      <c r="BH519" s="33"/>
      <c r="BI519" s="33"/>
      <c r="BJ519" s="33"/>
      <c r="BK519" s="33"/>
      <c r="BL519" s="33"/>
      <c r="BM519" s="33"/>
      <c r="BN519" s="33"/>
      <c r="BO519" s="33"/>
      <c r="BP519" s="33"/>
      <c r="BQ519" s="33"/>
      <c r="BR519" s="33"/>
      <c r="BS519" s="33"/>
      <c r="BT519" s="33"/>
      <c r="BU519" s="33"/>
      <c r="BV519" s="33"/>
      <c r="BW519" s="33"/>
      <c r="BX519" s="33"/>
      <c r="BY519" s="33"/>
      <c r="BZ519" s="33"/>
      <c r="CA519" s="33"/>
      <c r="CB519" s="33"/>
      <c r="CC519" s="33"/>
      <c r="CD519" s="33"/>
    </row>
    <row r="520" spans="1:82" x14ac:dyDescent="0.25">
      <c r="A520" s="32"/>
      <c r="B520" s="32"/>
      <c r="C520" s="32"/>
      <c r="D520" s="32"/>
      <c r="E520" s="32"/>
      <c r="F520" s="32"/>
      <c r="G520" s="32"/>
      <c r="H520" s="32"/>
      <c r="I520" s="32"/>
      <c r="J520" s="32"/>
      <c r="K520" s="32"/>
      <c r="L520" s="32"/>
      <c r="M520" s="32"/>
      <c r="N520" s="32"/>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c r="AS520" s="33"/>
      <c r="AT520" s="33"/>
      <c r="AU520" s="33"/>
      <c r="AV520" s="33"/>
      <c r="AW520" s="33"/>
      <c r="AX520" s="33"/>
      <c r="AY520" s="33"/>
      <c r="AZ520" s="33"/>
      <c r="BA520" s="33"/>
      <c r="BB520" s="33"/>
      <c r="BC520" s="33"/>
      <c r="BD520" s="33"/>
      <c r="BE520" s="33"/>
      <c r="BF520" s="33"/>
      <c r="BG520" s="33"/>
      <c r="BH520" s="33"/>
      <c r="BI520" s="33"/>
      <c r="BJ520" s="33"/>
      <c r="BK520" s="33"/>
      <c r="BL520" s="33"/>
      <c r="BM520" s="33"/>
      <c r="BN520" s="33"/>
      <c r="BO520" s="33"/>
      <c r="BP520" s="33"/>
      <c r="BQ520" s="33"/>
      <c r="BR520" s="33"/>
      <c r="BS520" s="33"/>
      <c r="BT520" s="33"/>
      <c r="BU520" s="33"/>
      <c r="BV520" s="33"/>
      <c r="BW520" s="33"/>
      <c r="BX520" s="33"/>
      <c r="BY520" s="33"/>
      <c r="BZ520" s="33"/>
      <c r="CA520" s="33"/>
      <c r="CB520" s="33"/>
      <c r="CC520" s="33"/>
      <c r="CD520" s="33"/>
    </row>
    <row r="521" spans="1:82" x14ac:dyDescent="0.25">
      <c r="A521" s="32"/>
      <c r="B521" s="32"/>
      <c r="C521" s="32"/>
      <c r="D521" s="32"/>
      <c r="E521" s="32"/>
      <c r="F521" s="32"/>
      <c r="G521" s="32"/>
      <c r="H521" s="32"/>
      <c r="I521" s="32"/>
      <c r="J521" s="32"/>
      <c r="K521" s="32"/>
      <c r="L521" s="32"/>
      <c r="M521" s="32"/>
      <c r="N521" s="32"/>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c r="AS521" s="33"/>
      <c r="AT521" s="33"/>
      <c r="AU521" s="33"/>
      <c r="AV521" s="33"/>
      <c r="AW521" s="33"/>
      <c r="AX521" s="33"/>
      <c r="AY521" s="33"/>
      <c r="AZ521" s="33"/>
      <c r="BA521" s="33"/>
      <c r="BB521" s="33"/>
      <c r="BC521" s="33"/>
      <c r="BD521" s="33"/>
      <c r="BE521" s="33"/>
      <c r="BF521" s="33"/>
      <c r="BG521" s="33"/>
      <c r="BH521" s="33"/>
      <c r="BI521" s="33"/>
      <c r="BJ521" s="33"/>
      <c r="BK521" s="33"/>
      <c r="BL521" s="33"/>
      <c r="BM521" s="33"/>
      <c r="BN521" s="33"/>
      <c r="BO521" s="33"/>
      <c r="BP521" s="33"/>
      <c r="BQ521" s="33"/>
      <c r="BR521" s="33"/>
      <c r="BS521" s="33"/>
      <c r="BT521" s="33"/>
      <c r="BU521" s="33"/>
      <c r="BV521" s="33"/>
      <c r="BW521" s="33"/>
      <c r="BX521" s="33"/>
      <c r="BY521" s="33"/>
      <c r="BZ521" s="33"/>
      <c r="CA521" s="33"/>
      <c r="CB521" s="33"/>
      <c r="CC521" s="33"/>
      <c r="CD521" s="33"/>
    </row>
    <row r="522" spans="1:82" x14ac:dyDescent="0.25">
      <c r="A522" s="32"/>
      <c r="B522" s="32"/>
      <c r="C522" s="32"/>
      <c r="D522" s="32"/>
      <c r="E522" s="32"/>
      <c r="F522" s="32"/>
      <c r="G522" s="32"/>
      <c r="H522" s="32"/>
      <c r="I522" s="32"/>
      <c r="J522" s="32"/>
      <c r="K522" s="32"/>
      <c r="L522" s="32"/>
      <c r="M522" s="32"/>
      <c r="N522" s="32"/>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c r="AS522" s="33"/>
      <c r="AT522" s="33"/>
      <c r="AU522" s="33"/>
      <c r="AV522" s="33"/>
      <c r="AW522" s="33"/>
      <c r="AX522" s="33"/>
      <c r="AY522" s="33"/>
      <c r="AZ522" s="33"/>
      <c r="BA522" s="33"/>
      <c r="BB522" s="33"/>
      <c r="BC522" s="33"/>
      <c r="BD522" s="33"/>
      <c r="BE522" s="33"/>
      <c r="BF522" s="33"/>
      <c r="BG522" s="33"/>
      <c r="BH522" s="33"/>
      <c r="BI522" s="33"/>
      <c r="BJ522" s="33"/>
      <c r="BK522" s="33"/>
      <c r="BL522" s="33"/>
      <c r="BM522" s="33"/>
      <c r="BN522" s="33"/>
      <c r="BO522" s="33"/>
      <c r="BP522" s="33"/>
      <c r="BQ522" s="33"/>
      <c r="BR522" s="33"/>
      <c r="BS522" s="33"/>
      <c r="BT522" s="33"/>
      <c r="BU522" s="33"/>
      <c r="BV522" s="33"/>
      <c r="BW522" s="33"/>
      <c r="BX522" s="33"/>
      <c r="BY522" s="33"/>
      <c r="BZ522" s="33"/>
      <c r="CA522" s="33"/>
      <c r="CB522" s="33"/>
      <c r="CC522" s="33"/>
      <c r="CD522" s="33"/>
    </row>
    <row r="523" spans="1:82" x14ac:dyDescent="0.25">
      <c r="A523" s="32"/>
      <c r="B523" s="32"/>
      <c r="C523" s="32"/>
      <c r="D523" s="32"/>
      <c r="E523" s="32"/>
      <c r="F523" s="32"/>
      <c r="G523" s="32"/>
      <c r="H523" s="32"/>
      <c r="I523" s="32"/>
      <c r="J523" s="32"/>
      <c r="K523" s="32"/>
      <c r="L523" s="32"/>
      <c r="M523" s="32"/>
      <c r="N523" s="32"/>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c r="AS523" s="33"/>
      <c r="AT523" s="33"/>
      <c r="AU523" s="33"/>
      <c r="AV523" s="33"/>
      <c r="AW523" s="33"/>
      <c r="AX523" s="33"/>
      <c r="AY523" s="33"/>
      <c r="AZ523" s="33"/>
      <c r="BA523" s="33"/>
      <c r="BB523" s="33"/>
      <c r="BC523" s="33"/>
      <c r="BD523" s="33"/>
      <c r="BE523" s="33"/>
      <c r="BF523" s="33"/>
      <c r="BG523" s="33"/>
      <c r="BH523" s="33"/>
      <c r="BI523" s="33"/>
      <c r="BJ523" s="33"/>
      <c r="BK523" s="33"/>
      <c r="BL523" s="33"/>
      <c r="BM523" s="33"/>
      <c r="BN523" s="33"/>
      <c r="BO523" s="33"/>
      <c r="BP523" s="33"/>
      <c r="BQ523" s="33"/>
      <c r="BR523" s="33"/>
      <c r="BS523" s="33"/>
      <c r="BT523" s="33"/>
      <c r="BU523" s="33"/>
      <c r="BV523" s="33"/>
      <c r="BW523" s="33"/>
      <c r="BX523" s="33"/>
      <c r="BY523" s="33"/>
      <c r="BZ523" s="33"/>
      <c r="CA523" s="33"/>
      <c r="CB523" s="33"/>
      <c r="CC523" s="33"/>
      <c r="CD523" s="33"/>
    </row>
    <row r="524" spans="1:82" x14ac:dyDescent="0.25">
      <c r="A524" s="32"/>
      <c r="B524" s="32"/>
      <c r="C524" s="32"/>
      <c r="D524" s="32"/>
      <c r="E524" s="32"/>
      <c r="F524" s="32"/>
      <c r="G524" s="32"/>
      <c r="H524" s="32"/>
      <c r="I524" s="32"/>
      <c r="J524" s="32"/>
      <c r="K524" s="32"/>
      <c r="L524" s="32"/>
      <c r="M524" s="32"/>
      <c r="N524" s="32"/>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c r="AS524" s="33"/>
      <c r="AT524" s="33"/>
      <c r="AU524" s="33"/>
      <c r="AV524" s="33"/>
      <c r="AW524" s="33"/>
      <c r="AX524" s="33"/>
      <c r="AY524" s="33"/>
      <c r="AZ524" s="33"/>
      <c r="BA524" s="33"/>
      <c r="BB524" s="33"/>
      <c r="BC524" s="33"/>
      <c r="BD524" s="33"/>
      <c r="BE524" s="33"/>
      <c r="BF524" s="33"/>
      <c r="BG524" s="33"/>
      <c r="BH524" s="33"/>
      <c r="BI524" s="33"/>
      <c r="BJ524" s="33"/>
      <c r="BK524" s="33"/>
      <c r="BL524" s="33"/>
      <c r="BM524" s="33"/>
      <c r="BN524" s="33"/>
      <c r="BO524" s="33"/>
      <c r="BP524" s="33"/>
      <c r="BQ524" s="33"/>
      <c r="BR524" s="33"/>
      <c r="BS524" s="33"/>
      <c r="BT524" s="33"/>
      <c r="BU524" s="33"/>
      <c r="BV524" s="33"/>
      <c r="BW524" s="33"/>
      <c r="BX524" s="33"/>
      <c r="BY524" s="33"/>
      <c r="BZ524" s="33"/>
      <c r="CA524" s="33"/>
      <c r="CB524" s="33"/>
      <c r="CC524" s="33"/>
      <c r="CD524" s="33"/>
    </row>
    <row r="525" spans="1:82" x14ac:dyDescent="0.25">
      <c r="A525" s="32"/>
      <c r="B525" s="32"/>
      <c r="C525" s="32"/>
      <c r="D525" s="32"/>
      <c r="E525" s="32"/>
      <c r="F525" s="32"/>
      <c r="G525" s="32"/>
      <c r="H525" s="32"/>
      <c r="I525" s="32"/>
      <c r="J525" s="32"/>
      <c r="K525" s="32"/>
      <c r="L525" s="32"/>
      <c r="M525" s="32"/>
      <c r="N525" s="32"/>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c r="AS525" s="33"/>
      <c r="AT525" s="33"/>
      <c r="AU525" s="33"/>
      <c r="AV525" s="33"/>
      <c r="AW525" s="33"/>
      <c r="AX525" s="33"/>
      <c r="AY525" s="33"/>
      <c r="AZ525" s="33"/>
      <c r="BA525" s="33"/>
      <c r="BB525" s="33"/>
      <c r="BC525" s="33"/>
      <c r="BD525" s="33"/>
      <c r="BE525" s="33"/>
      <c r="BF525" s="33"/>
      <c r="BG525" s="33"/>
      <c r="BH525" s="33"/>
      <c r="BI525" s="33"/>
      <c r="BJ525" s="33"/>
      <c r="BK525" s="33"/>
      <c r="BL525" s="33"/>
      <c r="BM525" s="33"/>
      <c r="BN525" s="33"/>
      <c r="BO525" s="33"/>
      <c r="BP525" s="33"/>
      <c r="BQ525" s="33"/>
      <c r="BR525" s="33"/>
      <c r="BS525" s="33"/>
      <c r="BT525" s="33"/>
      <c r="BU525" s="33"/>
      <c r="BV525" s="33"/>
      <c r="BW525" s="33"/>
      <c r="BX525" s="33"/>
      <c r="BY525" s="33"/>
      <c r="BZ525" s="33"/>
      <c r="CA525" s="33"/>
      <c r="CB525" s="33"/>
      <c r="CC525" s="33"/>
      <c r="CD525" s="33"/>
    </row>
    <row r="526" spans="1:82" x14ac:dyDescent="0.25">
      <c r="A526" s="32"/>
      <c r="B526" s="32"/>
      <c r="C526" s="32"/>
      <c r="D526" s="32"/>
      <c r="E526" s="32"/>
      <c r="F526" s="32"/>
      <c r="G526" s="32"/>
      <c r="H526" s="32"/>
      <c r="I526" s="32"/>
      <c r="J526" s="32"/>
      <c r="K526" s="32"/>
      <c r="L526" s="32"/>
      <c r="M526" s="32"/>
      <c r="N526" s="32"/>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c r="AS526" s="33"/>
      <c r="AT526" s="33"/>
      <c r="AU526" s="33"/>
      <c r="AV526" s="33"/>
      <c r="AW526" s="33"/>
      <c r="AX526" s="33"/>
      <c r="AY526" s="33"/>
      <c r="AZ526" s="33"/>
      <c r="BA526" s="33"/>
      <c r="BB526" s="33"/>
      <c r="BC526" s="33"/>
      <c r="BD526" s="33"/>
      <c r="BE526" s="33"/>
      <c r="BF526" s="33"/>
      <c r="BG526" s="33"/>
      <c r="BH526" s="33"/>
      <c r="BI526" s="33"/>
      <c r="BJ526" s="33"/>
      <c r="BK526" s="33"/>
      <c r="BL526" s="33"/>
      <c r="BM526" s="33"/>
      <c r="BN526" s="33"/>
      <c r="BO526" s="33"/>
      <c r="BP526" s="33"/>
      <c r="BQ526" s="33"/>
      <c r="BR526" s="33"/>
      <c r="BS526" s="33"/>
      <c r="BT526" s="33"/>
      <c r="BU526" s="33"/>
      <c r="BV526" s="33"/>
      <c r="BW526" s="33"/>
      <c r="BX526" s="33"/>
      <c r="BY526" s="33"/>
      <c r="BZ526" s="33"/>
      <c r="CA526" s="33"/>
      <c r="CB526" s="33"/>
      <c r="CC526" s="33"/>
      <c r="CD526" s="33"/>
    </row>
    <row r="527" spans="1:82" x14ac:dyDescent="0.25">
      <c r="A527" s="32"/>
      <c r="B527" s="32"/>
      <c r="C527" s="32"/>
      <c r="D527" s="32"/>
      <c r="E527" s="32"/>
      <c r="F527" s="32"/>
      <c r="G527" s="32"/>
      <c r="H527" s="32"/>
      <c r="I527" s="32"/>
      <c r="J527" s="32"/>
      <c r="K527" s="32"/>
      <c r="L527" s="32"/>
      <c r="M527" s="32"/>
      <c r="N527" s="32"/>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c r="AS527" s="33"/>
      <c r="AT527" s="33"/>
      <c r="AU527" s="33"/>
      <c r="AV527" s="33"/>
      <c r="AW527" s="33"/>
      <c r="AX527" s="33"/>
      <c r="AY527" s="33"/>
      <c r="AZ527" s="33"/>
      <c r="BA527" s="33"/>
      <c r="BB527" s="33"/>
      <c r="BC527" s="33"/>
      <c r="BD527" s="33"/>
      <c r="BE527" s="33"/>
      <c r="BF527" s="33"/>
      <c r="BG527" s="33"/>
      <c r="BH527" s="33"/>
      <c r="BI527" s="33"/>
      <c r="BJ527" s="33"/>
      <c r="BK527" s="33"/>
      <c r="BL527" s="33"/>
      <c r="BM527" s="33"/>
      <c r="BN527" s="33"/>
      <c r="BO527" s="33"/>
      <c r="BP527" s="33"/>
      <c r="BQ527" s="33"/>
      <c r="BR527" s="33"/>
      <c r="BS527" s="33"/>
      <c r="BT527" s="33"/>
      <c r="BU527" s="33"/>
      <c r="BV527" s="33"/>
      <c r="BW527" s="33"/>
      <c r="BX527" s="33"/>
      <c r="BY527" s="33"/>
      <c r="BZ527" s="33"/>
      <c r="CA527" s="33"/>
      <c r="CB527" s="33"/>
      <c r="CC527" s="33"/>
      <c r="CD527" s="33"/>
    </row>
    <row r="528" spans="1:82" x14ac:dyDescent="0.25">
      <c r="A528" s="32"/>
      <c r="B528" s="32"/>
      <c r="C528" s="32"/>
      <c r="D528" s="32"/>
      <c r="E528" s="32"/>
      <c r="F528" s="32"/>
      <c r="G528" s="32"/>
      <c r="H528" s="32"/>
      <c r="I528" s="32"/>
      <c r="J528" s="32"/>
      <c r="K528" s="32"/>
      <c r="L528" s="32"/>
      <c r="M528" s="32"/>
      <c r="N528" s="32"/>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c r="AS528" s="33"/>
      <c r="AT528" s="33"/>
      <c r="AU528" s="33"/>
      <c r="AV528" s="33"/>
      <c r="AW528" s="33"/>
      <c r="AX528" s="33"/>
      <c r="AY528" s="33"/>
      <c r="AZ528" s="33"/>
      <c r="BA528" s="33"/>
      <c r="BB528" s="33"/>
      <c r="BC528" s="33"/>
      <c r="BD528" s="33"/>
      <c r="BE528" s="33"/>
      <c r="BF528" s="33"/>
      <c r="BG528" s="33"/>
      <c r="BH528" s="33"/>
      <c r="BI528" s="33"/>
      <c r="BJ528" s="33"/>
      <c r="BK528" s="33"/>
      <c r="BL528" s="33"/>
      <c r="BM528" s="33"/>
      <c r="BN528" s="33"/>
      <c r="BO528" s="33"/>
      <c r="BP528" s="33"/>
      <c r="BQ528" s="33"/>
      <c r="BR528" s="33"/>
      <c r="BS528" s="33"/>
      <c r="BT528" s="33"/>
      <c r="BU528" s="33"/>
      <c r="BV528" s="33"/>
      <c r="BW528" s="33"/>
      <c r="BX528" s="33"/>
      <c r="BY528" s="33"/>
      <c r="BZ528" s="33"/>
      <c r="CA528" s="33"/>
      <c r="CB528" s="33"/>
      <c r="CC528" s="33"/>
      <c r="CD528" s="33"/>
    </row>
    <row r="529" spans="1:82" x14ac:dyDescent="0.25">
      <c r="A529" s="32"/>
      <c r="B529" s="32"/>
      <c r="C529" s="32"/>
      <c r="D529" s="32"/>
      <c r="E529" s="32"/>
      <c r="F529" s="32"/>
      <c r="G529" s="32"/>
      <c r="H529" s="32"/>
      <c r="I529" s="32"/>
      <c r="J529" s="32"/>
      <c r="K529" s="32"/>
      <c r="L529" s="32"/>
      <c r="M529" s="32"/>
      <c r="N529" s="32"/>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c r="AS529" s="33"/>
      <c r="AT529" s="33"/>
      <c r="AU529" s="33"/>
      <c r="AV529" s="33"/>
      <c r="AW529" s="33"/>
      <c r="AX529" s="33"/>
      <c r="AY529" s="33"/>
      <c r="AZ529" s="33"/>
      <c r="BA529" s="33"/>
      <c r="BB529" s="33"/>
      <c r="BC529" s="33"/>
      <c r="BD529" s="33"/>
      <c r="BE529" s="33"/>
      <c r="BF529" s="33"/>
      <c r="BG529" s="33"/>
      <c r="BH529" s="33"/>
      <c r="BI529" s="33"/>
      <c r="BJ529" s="33"/>
      <c r="BK529" s="33"/>
      <c r="BL529" s="33"/>
      <c r="BM529" s="33"/>
      <c r="BN529" s="33"/>
      <c r="BO529" s="33"/>
      <c r="BP529" s="33"/>
      <c r="BQ529" s="33"/>
      <c r="BR529" s="33"/>
      <c r="BS529" s="33"/>
      <c r="BT529" s="33"/>
      <c r="BU529" s="33"/>
      <c r="BV529" s="33"/>
      <c r="BW529" s="33"/>
      <c r="BX529" s="33"/>
      <c r="BY529" s="33"/>
      <c r="BZ529" s="33"/>
      <c r="CA529" s="33"/>
      <c r="CB529" s="33"/>
      <c r="CC529" s="33"/>
      <c r="CD529" s="33"/>
    </row>
    <row r="530" spans="1:82" x14ac:dyDescent="0.25">
      <c r="A530" s="32"/>
      <c r="B530" s="32"/>
      <c r="C530" s="32"/>
      <c r="D530" s="32"/>
      <c r="E530" s="32"/>
      <c r="F530" s="32"/>
      <c r="G530" s="32"/>
      <c r="H530" s="32"/>
      <c r="I530" s="32"/>
      <c r="J530" s="32"/>
      <c r="K530" s="32"/>
      <c r="L530" s="32"/>
      <c r="M530" s="32"/>
      <c r="N530" s="32"/>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c r="AS530" s="33"/>
      <c r="AT530" s="33"/>
      <c r="AU530" s="33"/>
      <c r="AV530" s="33"/>
      <c r="AW530" s="33"/>
      <c r="AX530" s="33"/>
      <c r="AY530" s="33"/>
      <c r="AZ530" s="33"/>
      <c r="BA530" s="33"/>
      <c r="BB530" s="33"/>
      <c r="BC530" s="33"/>
      <c r="BD530" s="33"/>
      <c r="BE530" s="33"/>
      <c r="BF530" s="33"/>
      <c r="BG530" s="33"/>
      <c r="BH530" s="33"/>
      <c r="BI530" s="33"/>
      <c r="BJ530" s="33"/>
      <c r="BK530" s="33"/>
      <c r="BL530" s="33"/>
      <c r="BM530" s="33"/>
      <c r="BN530" s="33"/>
      <c r="BO530" s="33"/>
      <c r="BP530" s="33"/>
      <c r="BQ530" s="33"/>
      <c r="BR530" s="33"/>
      <c r="BS530" s="33"/>
      <c r="BT530" s="33"/>
      <c r="BU530" s="33"/>
      <c r="BV530" s="33"/>
      <c r="BW530" s="33"/>
      <c r="BX530" s="33"/>
      <c r="BY530" s="33"/>
      <c r="BZ530" s="33"/>
      <c r="CA530" s="33"/>
      <c r="CB530" s="33"/>
      <c r="CC530" s="33"/>
      <c r="CD530" s="33"/>
    </row>
    <row r="531" spans="1:82" x14ac:dyDescent="0.25">
      <c r="A531" s="32"/>
      <c r="B531" s="32"/>
      <c r="C531" s="32"/>
      <c r="D531" s="32"/>
      <c r="E531" s="32"/>
      <c r="F531" s="32"/>
      <c r="G531" s="32"/>
      <c r="H531" s="32"/>
      <c r="I531" s="32"/>
      <c r="J531" s="32"/>
      <c r="K531" s="32"/>
      <c r="L531" s="32"/>
      <c r="M531" s="32"/>
      <c r="N531" s="32"/>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c r="AS531" s="33"/>
      <c r="AT531" s="33"/>
      <c r="AU531" s="33"/>
      <c r="AV531" s="33"/>
      <c r="AW531" s="33"/>
      <c r="AX531" s="33"/>
      <c r="AY531" s="33"/>
      <c r="AZ531" s="33"/>
      <c r="BA531" s="33"/>
      <c r="BB531" s="33"/>
      <c r="BC531" s="33"/>
      <c r="BD531" s="33"/>
      <c r="BE531" s="33"/>
      <c r="BF531" s="33"/>
      <c r="BG531" s="33"/>
      <c r="BH531" s="33"/>
      <c r="BI531" s="33"/>
      <c r="BJ531" s="33"/>
      <c r="BK531" s="33"/>
      <c r="BL531" s="33"/>
      <c r="BM531" s="33"/>
      <c r="BN531" s="33"/>
      <c r="BO531" s="33"/>
      <c r="BP531" s="33"/>
      <c r="BQ531" s="33"/>
      <c r="BR531" s="33"/>
      <c r="BS531" s="33"/>
      <c r="BT531" s="33"/>
      <c r="BU531" s="33"/>
      <c r="BV531" s="33"/>
      <c r="BW531" s="33"/>
      <c r="BX531" s="33"/>
      <c r="BY531" s="33"/>
      <c r="BZ531" s="33"/>
      <c r="CA531" s="33"/>
      <c r="CB531" s="33"/>
      <c r="CC531" s="33"/>
      <c r="CD531" s="33"/>
    </row>
    <row r="532" spans="1:82" x14ac:dyDescent="0.25">
      <c r="A532" s="32"/>
      <c r="B532" s="32"/>
      <c r="C532" s="32"/>
      <c r="D532" s="32"/>
      <c r="E532" s="32"/>
      <c r="F532" s="32"/>
      <c r="G532" s="32"/>
      <c r="H532" s="32"/>
      <c r="I532" s="32"/>
      <c r="J532" s="32"/>
      <c r="K532" s="32"/>
      <c r="L532" s="32"/>
      <c r="M532" s="32"/>
      <c r="N532" s="32"/>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c r="AS532" s="33"/>
      <c r="AT532" s="33"/>
      <c r="AU532" s="33"/>
      <c r="AV532" s="33"/>
      <c r="AW532" s="33"/>
      <c r="AX532" s="33"/>
      <c r="AY532" s="33"/>
      <c r="AZ532" s="33"/>
      <c r="BA532" s="33"/>
      <c r="BB532" s="33"/>
      <c r="BC532" s="33"/>
      <c r="BD532" s="33"/>
      <c r="BE532" s="33"/>
      <c r="BF532" s="33"/>
      <c r="BG532" s="33"/>
      <c r="BH532" s="33"/>
      <c r="BI532" s="33"/>
      <c r="BJ532" s="33"/>
      <c r="BK532" s="33"/>
      <c r="BL532" s="33"/>
      <c r="BM532" s="33"/>
      <c r="BN532" s="33"/>
      <c r="BO532" s="33"/>
      <c r="BP532" s="33"/>
      <c r="BQ532" s="33"/>
      <c r="BR532" s="33"/>
      <c r="BS532" s="33"/>
      <c r="BT532" s="33"/>
      <c r="BU532" s="33"/>
      <c r="BV532" s="33"/>
      <c r="BW532" s="33"/>
      <c r="BX532" s="33"/>
      <c r="BY532" s="33"/>
      <c r="BZ532" s="33"/>
      <c r="CA532" s="33"/>
      <c r="CB532" s="33"/>
      <c r="CC532" s="33"/>
      <c r="CD532" s="33"/>
    </row>
    <row r="533" spans="1:82" x14ac:dyDescent="0.25">
      <c r="A533" s="32"/>
      <c r="B533" s="32"/>
      <c r="C533" s="32"/>
      <c r="D533" s="32"/>
      <c r="E533" s="32"/>
      <c r="F533" s="32"/>
      <c r="G533" s="32"/>
      <c r="H533" s="32"/>
      <c r="I533" s="32"/>
      <c r="J533" s="32"/>
      <c r="K533" s="32"/>
      <c r="L533" s="32"/>
      <c r="M533" s="32"/>
      <c r="N533" s="32"/>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c r="AS533" s="33"/>
      <c r="AT533" s="33"/>
      <c r="AU533" s="33"/>
      <c r="AV533" s="33"/>
      <c r="AW533" s="33"/>
      <c r="AX533" s="33"/>
      <c r="AY533" s="33"/>
      <c r="AZ533" s="33"/>
      <c r="BA533" s="33"/>
      <c r="BB533" s="33"/>
      <c r="BC533" s="33"/>
      <c r="BD533" s="33"/>
      <c r="BE533" s="33"/>
      <c r="BF533" s="33"/>
      <c r="BG533" s="33"/>
      <c r="BH533" s="33"/>
      <c r="BI533" s="33"/>
      <c r="BJ533" s="33"/>
      <c r="BK533" s="33"/>
      <c r="BL533" s="33"/>
      <c r="BM533" s="33"/>
      <c r="BN533" s="33"/>
      <c r="BO533" s="33"/>
      <c r="BP533" s="33"/>
      <c r="BQ533" s="33"/>
      <c r="BR533" s="33"/>
      <c r="BS533" s="33"/>
      <c r="BT533" s="33"/>
      <c r="BU533" s="33"/>
      <c r="BV533" s="33"/>
      <c r="BW533" s="33"/>
      <c r="BX533" s="33"/>
      <c r="BY533" s="33"/>
      <c r="BZ533" s="33"/>
      <c r="CA533" s="33"/>
      <c r="CB533" s="33"/>
      <c r="CC533" s="33"/>
      <c r="CD533" s="33"/>
    </row>
    <row r="534" spans="1:82" x14ac:dyDescent="0.25">
      <c r="A534" s="32"/>
      <c r="B534" s="32"/>
      <c r="C534" s="32"/>
      <c r="D534" s="32"/>
      <c r="E534" s="32"/>
      <c r="F534" s="32"/>
      <c r="G534" s="32"/>
      <c r="H534" s="32"/>
      <c r="I534" s="32"/>
      <c r="J534" s="32"/>
      <c r="K534" s="32"/>
      <c r="L534" s="32"/>
      <c r="M534" s="32"/>
      <c r="N534" s="32"/>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c r="AS534" s="33"/>
      <c r="AT534" s="33"/>
      <c r="AU534" s="33"/>
      <c r="AV534" s="33"/>
      <c r="AW534" s="33"/>
      <c r="AX534" s="33"/>
      <c r="AY534" s="33"/>
      <c r="AZ534" s="33"/>
      <c r="BA534" s="33"/>
      <c r="BB534" s="33"/>
      <c r="BC534" s="33"/>
      <c r="BD534" s="33"/>
      <c r="BE534" s="33"/>
      <c r="BF534" s="33"/>
      <c r="BG534" s="33"/>
      <c r="BH534" s="33"/>
      <c r="BI534" s="33"/>
      <c r="BJ534" s="33"/>
      <c r="BK534" s="33"/>
      <c r="BL534" s="33"/>
      <c r="BM534" s="33"/>
      <c r="BN534" s="33"/>
      <c r="BO534" s="33"/>
      <c r="BP534" s="33"/>
      <c r="BQ534" s="33"/>
      <c r="BR534" s="33"/>
      <c r="BS534" s="33"/>
      <c r="BT534" s="33"/>
      <c r="BU534" s="33"/>
      <c r="BV534" s="33"/>
      <c r="BW534" s="33"/>
      <c r="BX534" s="33"/>
      <c r="BY534" s="33"/>
      <c r="BZ534" s="33"/>
      <c r="CA534" s="33"/>
      <c r="CB534" s="33"/>
      <c r="CC534" s="33"/>
      <c r="CD534" s="33"/>
    </row>
    <row r="535" spans="1:82" x14ac:dyDescent="0.25">
      <c r="A535" s="32"/>
      <c r="B535" s="32"/>
      <c r="C535" s="32"/>
      <c r="D535" s="32"/>
      <c r="E535" s="32"/>
      <c r="F535" s="32"/>
      <c r="G535" s="32"/>
      <c r="H535" s="32"/>
      <c r="I535" s="32"/>
      <c r="J535" s="32"/>
      <c r="K535" s="32"/>
      <c r="L535" s="32"/>
      <c r="M535" s="32"/>
      <c r="N535" s="32"/>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c r="AS535" s="33"/>
      <c r="AT535" s="33"/>
      <c r="AU535" s="33"/>
      <c r="AV535" s="33"/>
      <c r="AW535" s="33"/>
      <c r="AX535" s="33"/>
      <c r="AY535" s="33"/>
      <c r="AZ535" s="33"/>
      <c r="BA535" s="33"/>
      <c r="BB535" s="33"/>
      <c r="BC535" s="33"/>
      <c r="BD535" s="33"/>
      <c r="BE535" s="33"/>
      <c r="BF535" s="33"/>
      <c r="BG535" s="33"/>
      <c r="BH535" s="33"/>
      <c r="BI535" s="33"/>
      <c r="BJ535" s="33"/>
      <c r="BK535" s="33"/>
      <c r="BL535" s="33"/>
      <c r="BM535" s="33"/>
      <c r="BN535" s="33"/>
      <c r="BO535" s="33"/>
      <c r="BP535" s="33"/>
      <c r="BQ535" s="33"/>
      <c r="BR535" s="33"/>
      <c r="BS535" s="33"/>
      <c r="BT535" s="33"/>
      <c r="BU535" s="33"/>
      <c r="BV535" s="33"/>
      <c r="BW535" s="33"/>
      <c r="BX535" s="33"/>
      <c r="BY535" s="33"/>
      <c r="BZ535" s="33"/>
      <c r="CA535" s="33"/>
      <c r="CB535" s="33"/>
      <c r="CC535" s="33"/>
      <c r="CD535" s="33"/>
    </row>
    <row r="536" spans="1:82" x14ac:dyDescent="0.25">
      <c r="A536" s="32"/>
      <c r="B536" s="32"/>
      <c r="C536" s="32"/>
      <c r="D536" s="32"/>
      <c r="E536" s="32"/>
      <c r="F536" s="32"/>
      <c r="G536" s="32"/>
      <c r="H536" s="32"/>
      <c r="I536" s="32"/>
      <c r="J536" s="32"/>
      <c r="K536" s="32"/>
      <c r="L536" s="32"/>
      <c r="M536" s="32"/>
      <c r="N536" s="32"/>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c r="AS536" s="33"/>
      <c r="AT536" s="33"/>
      <c r="AU536" s="33"/>
      <c r="AV536" s="33"/>
      <c r="AW536" s="33"/>
      <c r="AX536" s="33"/>
      <c r="AY536" s="33"/>
      <c r="AZ536" s="33"/>
      <c r="BA536" s="33"/>
      <c r="BB536" s="33"/>
      <c r="BC536" s="33"/>
      <c r="BD536" s="33"/>
      <c r="BE536" s="33"/>
      <c r="BF536" s="33"/>
      <c r="BG536" s="33"/>
      <c r="BH536" s="33"/>
      <c r="BI536" s="33"/>
      <c r="BJ536" s="33"/>
      <c r="BK536" s="33"/>
      <c r="BL536" s="33"/>
      <c r="BM536" s="33"/>
      <c r="BN536" s="33"/>
      <c r="BO536" s="33"/>
      <c r="BP536" s="33"/>
      <c r="BQ536" s="33"/>
      <c r="BR536" s="33"/>
      <c r="BS536" s="33"/>
      <c r="BT536" s="33"/>
      <c r="BU536" s="33"/>
      <c r="BV536" s="33"/>
      <c r="BW536" s="33"/>
      <c r="BX536" s="33"/>
      <c r="BY536" s="33"/>
      <c r="BZ536" s="33"/>
      <c r="CA536" s="33"/>
      <c r="CB536" s="33"/>
      <c r="CC536" s="33"/>
      <c r="CD536" s="33"/>
    </row>
    <row r="537" spans="1:82" x14ac:dyDescent="0.25">
      <c r="A537" s="32"/>
      <c r="B537" s="32"/>
      <c r="C537" s="32"/>
      <c r="D537" s="32"/>
      <c r="E537" s="32"/>
      <c r="F537" s="32"/>
      <c r="G537" s="32"/>
      <c r="H537" s="32"/>
      <c r="I537" s="32"/>
      <c r="J537" s="32"/>
      <c r="K537" s="32"/>
      <c r="L537" s="32"/>
      <c r="M537" s="32"/>
      <c r="N537" s="32"/>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c r="AS537" s="33"/>
      <c r="AT537" s="33"/>
      <c r="AU537" s="33"/>
      <c r="AV537" s="33"/>
      <c r="AW537" s="33"/>
      <c r="AX537" s="33"/>
      <c r="AY537" s="33"/>
      <c r="AZ537" s="33"/>
      <c r="BA537" s="33"/>
      <c r="BB537" s="33"/>
      <c r="BC537" s="33"/>
      <c r="BD537" s="33"/>
      <c r="BE537" s="33"/>
      <c r="BF537" s="33"/>
      <c r="BG537" s="33"/>
      <c r="BH537" s="33"/>
      <c r="BI537" s="33"/>
      <c r="BJ537" s="33"/>
      <c r="BK537" s="33"/>
      <c r="BL537" s="33"/>
      <c r="BM537" s="33"/>
      <c r="BN537" s="33"/>
      <c r="BO537" s="33"/>
      <c r="BP537" s="33"/>
      <c r="BQ537" s="33"/>
      <c r="BR537" s="33"/>
      <c r="BS537" s="33"/>
      <c r="BT537" s="33"/>
      <c r="BU537" s="33"/>
      <c r="BV537" s="33"/>
      <c r="BW537" s="33"/>
      <c r="BX537" s="33"/>
      <c r="BY537" s="33"/>
      <c r="BZ537" s="33"/>
      <c r="CA537" s="33"/>
      <c r="CB537" s="33"/>
      <c r="CC537" s="33"/>
      <c r="CD537" s="33"/>
    </row>
    <row r="538" spans="1:82" x14ac:dyDescent="0.25">
      <c r="A538" s="32"/>
      <c r="B538" s="32"/>
      <c r="C538" s="32"/>
      <c r="D538" s="32"/>
      <c r="E538" s="32"/>
      <c r="F538" s="32"/>
      <c r="G538" s="32"/>
      <c r="H538" s="32"/>
      <c r="I538" s="32"/>
      <c r="J538" s="32"/>
      <c r="K538" s="32"/>
      <c r="L538" s="32"/>
      <c r="M538" s="32"/>
      <c r="N538" s="32"/>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c r="AS538" s="33"/>
      <c r="AT538" s="33"/>
      <c r="AU538" s="33"/>
      <c r="AV538" s="33"/>
      <c r="AW538" s="33"/>
      <c r="AX538" s="33"/>
      <c r="AY538" s="33"/>
      <c r="AZ538" s="33"/>
      <c r="BA538" s="33"/>
      <c r="BB538" s="33"/>
      <c r="BC538" s="33"/>
      <c r="BD538" s="33"/>
      <c r="BE538" s="33"/>
      <c r="BF538" s="33"/>
      <c r="BG538" s="33"/>
      <c r="BH538" s="33"/>
      <c r="BI538" s="33"/>
      <c r="BJ538" s="33"/>
      <c r="BK538" s="33"/>
      <c r="BL538" s="33"/>
      <c r="BM538" s="33"/>
      <c r="BN538" s="33"/>
      <c r="BO538" s="33"/>
      <c r="BP538" s="33"/>
      <c r="BQ538" s="33"/>
      <c r="BR538" s="33"/>
      <c r="BS538" s="33"/>
      <c r="BT538" s="33"/>
      <c r="BU538" s="33"/>
      <c r="BV538" s="33"/>
      <c r="BW538" s="33"/>
      <c r="BX538" s="33"/>
      <c r="BY538" s="33"/>
      <c r="BZ538" s="33"/>
      <c r="CA538" s="33"/>
      <c r="CB538" s="33"/>
      <c r="CC538" s="33"/>
      <c r="CD538" s="33"/>
    </row>
    <row r="539" spans="1:82" x14ac:dyDescent="0.25">
      <c r="A539" s="32"/>
      <c r="B539" s="32"/>
      <c r="C539" s="32"/>
      <c r="D539" s="32"/>
      <c r="E539" s="32"/>
      <c r="F539" s="32"/>
      <c r="G539" s="32"/>
      <c r="H539" s="32"/>
      <c r="I539" s="32"/>
      <c r="J539" s="32"/>
      <c r="K539" s="32"/>
      <c r="L539" s="32"/>
      <c r="M539" s="32"/>
      <c r="N539" s="32"/>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3"/>
      <c r="BE539" s="33"/>
      <c r="BF539" s="33"/>
      <c r="BG539" s="33"/>
      <c r="BH539" s="33"/>
      <c r="BI539" s="33"/>
      <c r="BJ539" s="33"/>
      <c r="BK539" s="33"/>
      <c r="BL539" s="33"/>
      <c r="BM539" s="33"/>
      <c r="BN539" s="33"/>
      <c r="BO539" s="33"/>
      <c r="BP539" s="33"/>
      <c r="BQ539" s="33"/>
      <c r="BR539" s="33"/>
      <c r="BS539" s="33"/>
      <c r="BT539" s="33"/>
      <c r="BU539" s="33"/>
      <c r="BV539" s="33"/>
      <c r="BW539" s="33"/>
      <c r="BX539" s="33"/>
      <c r="BY539" s="33"/>
      <c r="BZ539" s="33"/>
      <c r="CA539" s="33"/>
      <c r="CB539" s="33"/>
      <c r="CC539" s="33"/>
      <c r="CD539" s="33"/>
    </row>
    <row r="540" spans="1:82" x14ac:dyDescent="0.25">
      <c r="A540" s="32"/>
      <c r="B540" s="32"/>
      <c r="C540" s="32"/>
      <c r="D540" s="32"/>
      <c r="E540" s="32"/>
      <c r="F540" s="32"/>
      <c r="G540" s="32"/>
      <c r="H540" s="32"/>
      <c r="I540" s="32"/>
      <c r="J540" s="32"/>
      <c r="K540" s="32"/>
      <c r="L540" s="32"/>
      <c r="M540" s="32"/>
      <c r="N540" s="32"/>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c r="BB540" s="33"/>
      <c r="BC540" s="33"/>
      <c r="BD540" s="33"/>
      <c r="BE540" s="33"/>
      <c r="BF540" s="33"/>
      <c r="BG540" s="33"/>
      <c r="BH540" s="33"/>
      <c r="BI540" s="33"/>
      <c r="BJ540" s="33"/>
      <c r="BK540" s="33"/>
      <c r="BL540" s="33"/>
      <c r="BM540" s="33"/>
      <c r="BN540" s="33"/>
      <c r="BO540" s="33"/>
      <c r="BP540" s="33"/>
      <c r="BQ540" s="33"/>
      <c r="BR540" s="33"/>
      <c r="BS540" s="33"/>
      <c r="BT540" s="33"/>
      <c r="BU540" s="33"/>
      <c r="BV540" s="33"/>
      <c r="BW540" s="33"/>
      <c r="BX540" s="33"/>
      <c r="BY540" s="33"/>
      <c r="BZ540" s="33"/>
      <c r="CA540" s="33"/>
      <c r="CB540" s="33"/>
      <c r="CC540" s="33"/>
      <c r="CD540" s="33"/>
    </row>
    <row r="541" spans="1:82" x14ac:dyDescent="0.25">
      <c r="A541" s="32"/>
      <c r="B541" s="32"/>
      <c r="C541" s="32"/>
      <c r="D541" s="32"/>
      <c r="E541" s="32"/>
      <c r="F541" s="32"/>
      <c r="G541" s="32"/>
      <c r="H541" s="32"/>
      <c r="I541" s="32"/>
      <c r="J541" s="32"/>
      <c r="K541" s="32"/>
      <c r="L541" s="32"/>
      <c r="M541" s="32"/>
      <c r="N541" s="32"/>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c r="BB541" s="33"/>
      <c r="BC541" s="33"/>
      <c r="BD541" s="33"/>
      <c r="BE541" s="33"/>
      <c r="BF541" s="33"/>
      <c r="BG541" s="33"/>
      <c r="BH541" s="33"/>
      <c r="BI541" s="33"/>
      <c r="BJ541" s="33"/>
      <c r="BK541" s="33"/>
      <c r="BL541" s="33"/>
      <c r="BM541" s="33"/>
      <c r="BN541" s="33"/>
      <c r="BO541" s="33"/>
      <c r="BP541" s="33"/>
      <c r="BQ541" s="33"/>
      <c r="BR541" s="33"/>
      <c r="BS541" s="33"/>
      <c r="BT541" s="33"/>
      <c r="BU541" s="33"/>
      <c r="BV541" s="33"/>
      <c r="BW541" s="33"/>
      <c r="BX541" s="33"/>
      <c r="BY541" s="33"/>
      <c r="BZ541" s="33"/>
      <c r="CA541" s="33"/>
      <c r="CB541" s="33"/>
      <c r="CC541" s="33"/>
      <c r="CD541" s="33"/>
    </row>
    <row r="542" spans="1:82" x14ac:dyDescent="0.25">
      <c r="A542" s="32"/>
      <c r="B542" s="32"/>
      <c r="C542" s="32"/>
      <c r="D542" s="32"/>
      <c r="E542" s="32"/>
      <c r="F542" s="32"/>
      <c r="G542" s="32"/>
      <c r="H542" s="32"/>
      <c r="I542" s="32"/>
      <c r="J542" s="32"/>
      <c r="K542" s="32"/>
      <c r="L542" s="32"/>
      <c r="M542" s="32"/>
      <c r="N542" s="32"/>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3"/>
      <c r="BC542" s="33"/>
      <c r="BD542" s="33"/>
      <c r="BE542" s="33"/>
      <c r="BF542" s="33"/>
      <c r="BG542" s="33"/>
      <c r="BH542" s="33"/>
      <c r="BI542" s="33"/>
      <c r="BJ542" s="33"/>
      <c r="BK542" s="33"/>
      <c r="BL542" s="33"/>
      <c r="BM542" s="33"/>
      <c r="BN542" s="33"/>
      <c r="BO542" s="33"/>
      <c r="BP542" s="33"/>
      <c r="BQ542" s="33"/>
      <c r="BR542" s="33"/>
      <c r="BS542" s="33"/>
      <c r="BT542" s="33"/>
      <c r="BU542" s="33"/>
      <c r="BV542" s="33"/>
      <c r="BW542" s="33"/>
      <c r="BX542" s="33"/>
      <c r="BY542" s="33"/>
      <c r="BZ542" s="33"/>
      <c r="CA542" s="33"/>
      <c r="CB542" s="33"/>
      <c r="CC542" s="33"/>
      <c r="CD542" s="33"/>
    </row>
    <row r="543" spans="1:82" x14ac:dyDescent="0.25">
      <c r="A543" s="32"/>
      <c r="B543" s="32"/>
      <c r="C543" s="32"/>
      <c r="D543" s="32"/>
      <c r="E543" s="32"/>
      <c r="F543" s="32"/>
      <c r="G543" s="32"/>
      <c r="H543" s="32"/>
      <c r="I543" s="32"/>
      <c r="J543" s="32"/>
      <c r="K543" s="32"/>
      <c r="L543" s="32"/>
      <c r="M543" s="32"/>
      <c r="N543" s="32"/>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c r="BB543" s="33"/>
      <c r="BC543" s="33"/>
      <c r="BD543" s="33"/>
      <c r="BE543" s="33"/>
      <c r="BF543" s="33"/>
      <c r="BG543" s="33"/>
      <c r="BH543" s="33"/>
      <c r="BI543" s="33"/>
      <c r="BJ543" s="33"/>
      <c r="BK543" s="33"/>
      <c r="BL543" s="33"/>
      <c r="BM543" s="33"/>
      <c r="BN543" s="33"/>
      <c r="BO543" s="33"/>
      <c r="BP543" s="33"/>
      <c r="BQ543" s="33"/>
      <c r="BR543" s="33"/>
      <c r="BS543" s="33"/>
      <c r="BT543" s="33"/>
      <c r="BU543" s="33"/>
      <c r="BV543" s="33"/>
      <c r="BW543" s="33"/>
      <c r="BX543" s="33"/>
      <c r="BY543" s="33"/>
      <c r="BZ543" s="33"/>
      <c r="CA543" s="33"/>
      <c r="CB543" s="33"/>
      <c r="CC543" s="33"/>
      <c r="CD543" s="33"/>
    </row>
    <row r="544" spans="1:82" x14ac:dyDescent="0.25">
      <c r="A544" s="32"/>
      <c r="B544" s="32"/>
      <c r="C544" s="32"/>
      <c r="D544" s="32"/>
      <c r="E544" s="32"/>
      <c r="F544" s="32"/>
      <c r="G544" s="32"/>
      <c r="H544" s="32"/>
      <c r="I544" s="32"/>
      <c r="J544" s="32"/>
      <c r="K544" s="32"/>
      <c r="L544" s="32"/>
      <c r="M544" s="32"/>
      <c r="N544" s="32"/>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c r="BB544" s="33"/>
      <c r="BC544" s="33"/>
      <c r="BD544" s="33"/>
      <c r="BE544" s="33"/>
      <c r="BF544" s="33"/>
      <c r="BG544" s="33"/>
      <c r="BH544" s="33"/>
      <c r="BI544" s="33"/>
      <c r="BJ544" s="33"/>
      <c r="BK544" s="33"/>
      <c r="BL544" s="33"/>
      <c r="BM544" s="33"/>
      <c r="BN544" s="33"/>
      <c r="BO544" s="33"/>
      <c r="BP544" s="33"/>
      <c r="BQ544" s="33"/>
      <c r="BR544" s="33"/>
      <c r="BS544" s="33"/>
      <c r="BT544" s="33"/>
      <c r="BU544" s="33"/>
      <c r="BV544" s="33"/>
      <c r="BW544" s="33"/>
      <c r="BX544" s="33"/>
      <c r="BY544" s="33"/>
      <c r="BZ544" s="33"/>
      <c r="CA544" s="33"/>
      <c r="CB544" s="33"/>
      <c r="CC544" s="33"/>
      <c r="CD544" s="33"/>
    </row>
    <row r="545" spans="1:82" x14ac:dyDescent="0.25">
      <c r="A545" s="32"/>
      <c r="B545" s="32"/>
      <c r="C545" s="32"/>
      <c r="D545" s="32"/>
      <c r="E545" s="32"/>
      <c r="F545" s="32"/>
      <c r="G545" s="32"/>
      <c r="H545" s="32"/>
      <c r="I545" s="32"/>
      <c r="J545" s="32"/>
      <c r="K545" s="32"/>
      <c r="L545" s="32"/>
      <c r="M545" s="32"/>
      <c r="N545" s="32"/>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c r="BB545" s="33"/>
      <c r="BC545" s="33"/>
      <c r="BD545" s="33"/>
      <c r="BE545" s="33"/>
      <c r="BF545" s="33"/>
      <c r="BG545" s="33"/>
      <c r="BH545" s="33"/>
      <c r="BI545" s="33"/>
      <c r="BJ545" s="33"/>
      <c r="BK545" s="33"/>
      <c r="BL545" s="33"/>
      <c r="BM545" s="33"/>
      <c r="BN545" s="33"/>
      <c r="BO545" s="33"/>
      <c r="BP545" s="33"/>
      <c r="BQ545" s="33"/>
      <c r="BR545" s="33"/>
      <c r="BS545" s="33"/>
      <c r="BT545" s="33"/>
      <c r="BU545" s="33"/>
      <c r="BV545" s="33"/>
      <c r="BW545" s="33"/>
      <c r="BX545" s="33"/>
      <c r="BY545" s="33"/>
      <c r="BZ545" s="33"/>
      <c r="CA545" s="33"/>
      <c r="CB545" s="33"/>
      <c r="CC545" s="33"/>
      <c r="CD545" s="33"/>
    </row>
    <row r="546" spans="1:82" x14ac:dyDescent="0.25">
      <c r="A546" s="32"/>
      <c r="B546" s="32"/>
      <c r="C546" s="32"/>
      <c r="D546" s="32"/>
      <c r="E546" s="32"/>
      <c r="F546" s="32"/>
      <c r="G546" s="32"/>
      <c r="H546" s="32"/>
      <c r="I546" s="32"/>
      <c r="J546" s="32"/>
      <c r="K546" s="32"/>
      <c r="L546" s="32"/>
      <c r="M546" s="32"/>
      <c r="N546" s="32"/>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c r="BB546" s="33"/>
      <c r="BC546" s="33"/>
      <c r="BD546" s="33"/>
      <c r="BE546" s="33"/>
      <c r="BF546" s="33"/>
      <c r="BG546" s="33"/>
      <c r="BH546" s="33"/>
      <c r="BI546" s="33"/>
      <c r="BJ546" s="33"/>
      <c r="BK546" s="33"/>
      <c r="BL546" s="33"/>
      <c r="BM546" s="33"/>
      <c r="BN546" s="33"/>
      <c r="BO546" s="33"/>
      <c r="BP546" s="33"/>
      <c r="BQ546" s="33"/>
      <c r="BR546" s="33"/>
      <c r="BS546" s="33"/>
      <c r="BT546" s="33"/>
      <c r="BU546" s="33"/>
      <c r="BV546" s="33"/>
      <c r="BW546" s="33"/>
      <c r="BX546" s="33"/>
      <c r="BY546" s="33"/>
      <c r="BZ546" s="33"/>
      <c r="CA546" s="33"/>
      <c r="CB546" s="33"/>
      <c r="CC546" s="33"/>
      <c r="CD546" s="33"/>
    </row>
    <row r="547" spans="1:82" x14ac:dyDescent="0.25">
      <c r="A547" s="32"/>
      <c r="B547" s="32"/>
      <c r="C547" s="32"/>
      <c r="D547" s="32"/>
      <c r="E547" s="32"/>
      <c r="F547" s="32"/>
      <c r="G547" s="32"/>
      <c r="H547" s="32"/>
      <c r="I547" s="32"/>
      <c r="J547" s="32"/>
      <c r="K547" s="32"/>
      <c r="L547" s="32"/>
      <c r="M547" s="32"/>
      <c r="N547" s="32"/>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c r="BB547" s="33"/>
      <c r="BC547" s="33"/>
      <c r="BD547" s="33"/>
      <c r="BE547" s="33"/>
      <c r="BF547" s="33"/>
      <c r="BG547" s="33"/>
      <c r="BH547" s="33"/>
      <c r="BI547" s="33"/>
      <c r="BJ547" s="33"/>
      <c r="BK547" s="33"/>
      <c r="BL547" s="33"/>
      <c r="BM547" s="33"/>
      <c r="BN547" s="33"/>
      <c r="BO547" s="33"/>
      <c r="BP547" s="33"/>
      <c r="BQ547" s="33"/>
      <c r="BR547" s="33"/>
      <c r="BS547" s="33"/>
      <c r="BT547" s="33"/>
      <c r="BU547" s="33"/>
      <c r="BV547" s="33"/>
      <c r="BW547" s="33"/>
      <c r="BX547" s="33"/>
      <c r="BY547" s="33"/>
      <c r="BZ547" s="33"/>
      <c r="CA547" s="33"/>
      <c r="CB547" s="33"/>
      <c r="CC547" s="33"/>
      <c r="CD547" s="33"/>
    </row>
    <row r="548" spans="1:82" x14ac:dyDescent="0.25">
      <c r="A548" s="32"/>
      <c r="B548" s="32"/>
      <c r="C548" s="32"/>
      <c r="D548" s="32"/>
      <c r="E548" s="32"/>
      <c r="F548" s="32"/>
      <c r="G548" s="32"/>
      <c r="H548" s="32"/>
      <c r="I548" s="32"/>
      <c r="J548" s="32"/>
      <c r="K548" s="32"/>
      <c r="L548" s="32"/>
      <c r="M548" s="32"/>
      <c r="N548" s="32"/>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33"/>
      <c r="BV548" s="33"/>
      <c r="BW548" s="33"/>
      <c r="BX548" s="33"/>
      <c r="BY548" s="33"/>
      <c r="BZ548" s="33"/>
      <c r="CA548" s="33"/>
      <c r="CB548" s="33"/>
      <c r="CC548" s="33"/>
      <c r="CD548" s="33"/>
    </row>
    <row r="549" spans="1:82" x14ac:dyDescent="0.25">
      <c r="A549" s="32"/>
      <c r="B549" s="32"/>
      <c r="C549" s="32"/>
      <c r="D549" s="32"/>
      <c r="E549" s="32"/>
      <c r="F549" s="32"/>
      <c r="G549" s="32"/>
      <c r="H549" s="32"/>
      <c r="I549" s="32"/>
      <c r="J549" s="32"/>
      <c r="K549" s="32"/>
      <c r="L549" s="32"/>
      <c r="M549" s="32"/>
      <c r="N549" s="32"/>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c r="BB549" s="33"/>
      <c r="BC549" s="33"/>
      <c r="BD549" s="33"/>
      <c r="BE549" s="33"/>
      <c r="BF549" s="33"/>
      <c r="BG549" s="33"/>
      <c r="BH549" s="33"/>
      <c r="BI549" s="33"/>
      <c r="BJ549" s="33"/>
      <c r="BK549" s="33"/>
      <c r="BL549" s="33"/>
      <c r="BM549" s="33"/>
      <c r="BN549" s="33"/>
      <c r="BO549" s="33"/>
      <c r="BP549" s="33"/>
      <c r="BQ549" s="33"/>
      <c r="BR549" s="33"/>
      <c r="BS549" s="33"/>
      <c r="BT549" s="33"/>
      <c r="BU549" s="33"/>
      <c r="BV549" s="33"/>
      <c r="BW549" s="33"/>
      <c r="BX549" s="33"/>
      <c r="BY549" s="33"/>
      <c r="BZ549" s="33"/>
      <c r="CA549" s="33"/>
      <c r="CB549" s="33"/>
      <c r="CC549" s="33"/>
      <c r="CD549" s="33"/>
    </row>
    <row r="550" spans="1:82" x14ac:dyDescent="0.25">
      <c r="A550" s="32"/>
      <c r="B550" s="32"/>
      <c r="C550" s="32"/>
      <c r="D550" s="32"/>
      <c r="E550" s="32"/>
      <c r="F550" s="32"/>
      <c r="G550" s="32"/>
      <c r="H550" s="32"/>
      <c r="I550" s="32"/>
      <c r="J550" s="32"/>
      <c r="K550" s="32"/>
      <c r="L550" s="32"/>
      <c r="M550" s="32"/>
      <c r="N550" s="32"/>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c r="BB550" s="33"/>
      <c r="BC550" s="33"/>
      <c r="BD550" s="33"/>
      <c r="BE550" s="33"/>
      <c r="BF550" s="33"/>
      <c r="BG550" s="33"/>
      <c r="BH550" s="33"/>
      <c r="BI550" s="33"/>
      <c r="BJ550" s="33"/>
      <c r="BK550" s="33"/>
      <c r="BL550" s="33"/>
      <c r="BM550" s="33"/>
      <c r="BN550" s="33"/>
      <c r="BO550" s="33"/>
      <c r="BP550" s="33"/>
      <c r="BQ550" s="33"/>
      <c r="BR550" s="33"/>
      <c r="BS550" s="33"/>
      <c r="BT550" s="33"/>
      <c r="BU550" s="33"/>
      <c r="BV550" s="33"/>
      <c r="BW550" s="33"/>
      <c r="BX550" s="33"/>
      <c r="BY550" s="33"/>
      <c r="BZ550" s="33"/>
      <c r="CA550" s="33"/>
      <c r="CB550" s="33"/>
      <c r="CC550" s="33"/>
      <c r="CD550" s="33"/>
    </row>
    <row r="551" spans="1:82" x14ac:dyDescent="0.25">
      <c r="A551" s="32"/>
      <c r="B551" s="32"/>
      <c r="C551" s="32"/>
      <c r="D551" s="32"/>
      <c r="E551" s="32"/>
      <c r="F551" s="32"/>
      <c r="G551" s="32"/>
      <c r="H551" s="32"/>
      <c r="I551" s="32"/>
      <c r="J551" s="32"/>
      <c r="K551" s="32"/>
      <c r="L551" s="32"/>
      <c r="M551" s="32"/>
      <c r="N551" s="32"/>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c r="BB551" s="33"/>
      <c r="BC551" s="33"/>
      <c r="BD551" s="33"/>
      <c r="BE551" s="33"/>
      <c r="BF551" s="33"/>
      <c r="BG551" s="33"/>
      <c r="BH551" s="33"/>
      <c r="BI551" s="33"/>
      <c r="BJ551" s="33"/>
      <c r="BK551" s="33"/>
      <c r="BL551" s="33"/>
      <c r="BM551" s="33"/>
      <c r="BN551" s="33"/>
      <c r="BO551" s="33"/>
      <c r="BP551" s="33"/>
      <c r="BQ551" s="33"/>
      <c r="BR551" s="33"/>
      <c r="BS551" s="33"/>
      <c r="BT551" s="33"/>
      <c r="BU551" s="33"/>
      <c r="BV551" s="33"/>
      <c r="BW551" s="33"/>
      <c r="BX551" s="33"/>
      <c r="BY551" s="33"/>
      <c r="BZ551" s="33"/>
      <c r="CA551" s="33"/>
      <c r="CB551" s="33"/>
      <c r="CC551" s="33"/>
      <c r="CD551" s="33"/>
    </row>
    <row r="552" spans="1:82" x14ac:dyDescent="0.25">
      <c r="A552" s="32"/>
      <c r="B552" s="32"/>
      <c r="C552" s="32"/>
      <c r="D552" s="32"/>
      <c r="E552" s="32"/>
      <c r="F552" s="32"/>
      <c r="G552" s="32"/>
      <c r="H552" s="32"/>
      <c r="I552" s="32"/>
      <c r="J552" s="32"/>
      <c r="K552" s="32"/>
      <c r="L552" s="32"/>
      <c r="M552" s="32"/>
      <c r="N552" s="32"/>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c r="BB552" s="33"/>
      <c r="BC552" s="33"/>
      <c r="BD552" s="33"/>
      <c r="BE552" s="33"/>
      <c r="BF552" s="33"/>
      <c r="BG552" s="33"/>
      <c r="BH552" s="33"/>
      <c r="BI552" s="33"/>
      <c r="BJ552" s="33"/>
      <c r="BK552" s="33"/>
      <c r="BL552" s="33"/>
      <c r="BM552" s="33"/>
      <c r="BN552" s="33"/>
      <c r="BO552" s="33"/>
      <c r="BP552" s="33"/>
      <c r="BQ552" s="33"/>
      <c r="BR552" s="33"/>
      <c r="BS552" s="33"/>
      <c r="BT552" s="33"/>
      <c r="BU552" s="33"/>
      <c r="BV552" s="33"/>
      <c r="BW552" s="33"/>
      <c r="BX552" s="33"/>
      <c r="BY552" s="33"/>
      <c r="BZ552" s="33"/>
      <c r="CA552" s="33"/>
      <c r="CB552" s="33"/>
      <c r="CC552" s="33"/>
      <c r="CD552" s="33"/>
    </row>
    <row r="553" spans="1:82" x14ac:dyDescent="0.25">
      <c r="A553" s="32"/>
      <c r="B553" s="32"/>
      <c r="C553" s="32"/>
      <c r="D553" s="32"/>
      <c r="E553" s="32"/>
      <c r="F553" s="32"/>
      <c r="G553" s="32"/>
      <c r="H553" s="32"/>
      <c r="I553" s="32"/>
      <c r="J553" s="32"/>
      <c r="K553" s="32"/>
      <c r="L553" s="32"/>
      <c r="M553" s="32"/>
      <c r="N553" s="32"/>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c r="BB553" s="33"/>
      <c r="BC553" s="33"/>
      <c r="BD553" s="33"/>
      <c r="BE553" s="33"/>
      <c r="BF553" s="33"/>
      <c r="BG553" s="33"/>
      <c r="BH553" s="33"/>
      <c r="BI553" s="33"/>
      <c r="BJ553" s="33"/>
      <c r="BK553" s="33"/>
      <c r="BL553" s="33"/>
      <c r="BM553" s="33"/>
      <c r="BN553" s="33"/>
      <c r="BO553" s="33"/>
      <c r="BP553" s="33"/>
      <c r="BQ553" s="33"/>
      <c r="BR553" s="33"/>
      <c r="BS553" s="33"/>
      <c r="BT553" s="33"/>
      <c r="BU553" s="33"/>
      <c r="BV553" s="33"/>
      <c r="BW553" s="33"/>
      <c r="BX553" s="33"/>
      <c r="BY553" s="33"/>
      <c r="BZ553" s="33"/>
      <c r="CA553" s="33"/>
      <c r="CB553" s="33"/>
      <c r="CC553" s="33"/>
      <c r="CD553" s="33"/>
    </row>
    <row r="554" spans="1:82" x14ac:dyDescent="0.25">
      <c r="A554" s="32"/>
      <c r="B554" s="32"/>
      <c r="C554" s="32"/>
      <c r="D554" s="32"/>
      <c r="E554" s="32"/>
      <c r="F554" s="32"/>
      <c r="G554" s="32"/>
      <c r="H554" s="32"/>
      <c r="I554" s="32"/>
      <c r="J554" s="32"/>
      <c r="K554" s="32"/>
      <c r="L554" s="32"/>
      <c r="M554" s="32"/>
      <c r="N554" s="32"/>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c r="BB554" s="33"/>
      <c r="BC554" s="33"/>
      <c r="BD554" s="33"/>
      <c r="BE554" s="33"/>
      <c r="BF554" s="33"/>
      <c r="BG554" s="33"/>
      <c r="BH554" s="33"/>
      <c r="BI554" s="33"/>
      <c r="BJ554" s="33"/>
      <c r="BK554" s="33"/>
      <c r="BL554" s="33"/>
      <c r="BM554" s="33"/>
      <c r="BN554" s="33"/>
      <c r="BO554" s="33"/>
      <c r="BP554" s="33"/>
      <c r="BQ554" s="33"/>
      <c r="BR554" s="33"/>
      <c r="BS554" s="33"/>
      <c r="BT554" s="33"/>
      <c r="BU554" s="33"/>
      <c r="BV554" s="33"/>
      <c r="BW554" s="33"/>
      <c r="BX554" s="33"/>
      <c r="BY554" s="33"/>
      <c r="BZ554" s="33"/>
      <c r="CA554" s="33"/>
      <c r="CB554" s="33"/>
      <c r="CC554" s="33"/>
      <c r="CD554" s="33"/>
    </row>
    <row r="555" spans="1:82" x14ac:dyDescent="0.25">
      <c r="A555" s="32"/>
      <c r="B555" s="32"/>
      <c r="C555" s="32"/>
      <c r="D555" s="32"/>
      <c r="E555" s="32"/>
      <c r="F555" s="32"/>
      <c r="G555" s="32"/>
      <c r="H555" s="32"/>
      <c r="I555" s="32"/>
      <c r="J555" s="32"/>
      <c r="K555" s="32"/>
      <c r="L555" s="32"/>
      <c r="M555" s="32"/>
      <c r="N555" s="32"/>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33"/>
      <c r="BW555" s="33"/>
      <c r="BX555" s="33"/>
      <c r="BY555" s="33"/>
      <c r="BZ555" s="33"/>
      <c r="CA555" s="33"/>
      <c r="CB555" s="33"/>
      <c r="CC555" s="33"/>
      <c r="CD555" s="33"/>
    </row>
    <row r="556" spans="1:82" x14ac:dyDescent="0.25">
      <c r="A556" s="32"/>
      <c r="B556" s="32"/>
      <c r="C556" s="32"/>
      <c r="D556" s="32"/>
      <c r="E556" s="32"/>
      <c r="F556" s="32"/>
      <c r="G556" s="32"/>
      <c r="H556" s="32"/>
      <c r="I556" s="32"/>
      <c r="J556" s="32"/>
      <c r="K556" s="32"/>
      <c r="L556" s="32"/>
      <c r="M556" s="32"/>
      <c r="N556" s="32"/>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c r="BB556" s="33"/>
      <c r="BC556" s="33"/>
      <c r="BD556" s="33"/>
      <c r="BE556" s="33"/>
      <c r="BF556" s="33"/>
      <c r="BG556" s="33"/>
      <c r="BH556" s="33"/>
      <c r="BI556" s="33"/>
      <c r="BJ556" s="33"/>
      <c r="BK556" s="33"/>
      <c r="BL556" s="33"/>
      <c r="BM556" s="33"/>
      <c r="BN556" s="33"/>
      <c r="BO556" s="33"/>
      <c r="BP556" s="33"/>
      <c r="BQ556" s="33"/>
      <c r="BR556" s="33"/>
      <c r="BS556" s="33"/>
      <c r="BT556" s="33"/>
      <c r="BU556" s="33"/>
      <c r="BV556" s="33"/>
      <c r="BW556" s="33"/>
      <c r="BX556" s="33"/>
      <c r="BY556" s="33"/>
      <c r="BZ556" s="33"/>
      <c r="CA556" s="33"/>
      <c r="CB556" s="33"/>
      <c r="CC556" s="33"/>
      <c r="CD556" s="33"/>
    </row>
    <row r="557" spans="1:82" x14ac:dyDescent="0.25">
      <c r="A557" s="32"/>
      <c r="B557" s="32"/>
      <c r="C557" s="32"/>
      <c r="D557" s="32"/>
      <c r="E557" s="32"/>
      <c r="F557" s="32"/>
      <c r="G557" s="32"/>
      <c r="H557" s="32"/>
      <c r="I557" s="32"/>
      <c r="J557" s="32"/>
      <c r="K557" s="32"/>
      <c r="L557" s="32"/>
      <c r="M557" s="32"/>
      <c r="N557" s="32"/>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c r="BB557" s="33"/>
      <c r="BC557" s="33"/>
      <c r="BD557" s="33"/>
      <c r="BE557" s="33"/>
      <c r="BF557" s="33"/>
      <c r="BG557" s="33"/>
      <c r="BH557" s="33"/>
      <c r="BI557" s="33"/>
      <c r="BJ557" s="33"/>
      <c r="BK557" s="33"/>
      <c r="BL557" s="33"/>
      <c r="BM557" s="33"/>
      <c r="BN557" s="33"/>
      <c r="BO557" s="33"/>
      <c r="BP557" s="33"/>
      <c r="BQ557" s="33"/>
      <c r="BR557" s="33"/>
      <c r="BS557" s="33"/>
      <c r="BT557" s="33"/>
      <c r="BU557" s="33"/>
      <c r="BV557" s="33"/>
      <c r="BW557" s="33"/>
      <c r="BX557" s="33"/>
      <c r="BY557" s="33"/>
      <c r="BZ557" s="33"/>
      <c r="CA557" s="33"/>
      <c r="CB557" s="33"/>
      <c r="CC557" s="33"/>
      <c r="CD557" s="33"/>
    </row>
    <row r="558" spans="1:82" x14ac:dyDescent="0.25">
      <c r="A558" s="32"/>
      <c r="B558" s="32"/>
      <c r="C558" s="32"/>
      <c r="D558" s="32"/>
      <c r="E558" s="32"/>
      <c r="F558" s="32"/>
      <c r="G558" s="32"/>
      <c r="H558" s="32"/>
      <c r="I558" s="32"/>
      <c r="J558" s="32"/>
      <c r="K558" s="32"/>
      <c r="L558" s="32"/>
      <c r="M558" s="32"/>
      <c r="N558" s="32"/>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c r="BB558" s="33"/>
      <c r="BC558" s="33"/>
      <c r="BD558" s="33"/>
      <c r="BE558" s="33"/>
      <c r="BF558" s="33"/>
      <c r="BG558" s="33"/>
      <c r="BH558" s="33"/>
      <c r="BI558" s="33"/>
      <c r="BJ558" s="33"/>
      <c r="BK558" s="33"/>
      <c r="BL558" s="33"/>
      <c r="BM558" s="33"/>
      <c r="BN558" s="33"/>
      <c r="BO558" s="33"/>
      <c r="BP558" s="33"/>
      <c r="BQ558" s="33"/>
      <c r="BR558" s="33"/>
      <c r="BS558" s="33"/>
      <c r="BT558" s="33"/>
      <c r="BU558" s="33"/>
      <c r="BV558" s="33"/>
      <c r="BW558" s="33"/>
      <c r="BX558" s="33"/>
      <c r="BY558" s="33"/>
      <c r="BZ558" s="33"/>
      <c r="CA558" s="33"/>
      <c r="CB558" s="33"/>
      <c r="CC558" s="33"/>
      <c r="CD558" s="33"/>
    </row>
    <row r="559" spans="1:82" x14ac:dyDescent="0.25">
      <c r="A559" s="32"/>
      <c r="B559" s="32"/>
      <c r="C559" s="32"/>
      <c r="D559" s="32"/>
      <c r="E559" s="32"/>
      <c r="F559" s="32"/>
      <c r="G559" s="32"/>
      <c r="H559" s="32"/>
      <c r="I559" s="32"/>
      <c r="J559" s="32"/>
      <c r="K559" s="32"/>
      <c r="L559" s="32"/>
      <c r="M559" s="32"/>
      <c r="N559" s="32"/>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c r="BB559" s="33"/>
      <c r="BC559" s="33"/>
      <c r="BD559" s="33"/>
      <c r="BE559" s="33"/>
      <c r="BF559" s="33"/>
      <c r="BG559" s="33"/>
      <c r="BH559" s="33"/>
      <c r="BI559" s="33"/>
      <c r="BJ559" s="33"/>
      <c r="BK559" s="33"/>
      <c r="BL559" s="33"/>
      <c r="BM559" s="33"/>
      <c r="BN559" s="33"/>
      <c r="BO559" s="33"/>
      <c r="BP559" s="33"/>
      <c r="BQ559" s="33"/>
      <c r="BR559" s="33"/>
      <c r="BS559" s="33"/>
      <c r="BT559" s="33"/>
      <c r="BU559" s="33"/>
      <c r="BV559" s="33"/>
      <c r="BW559" s="33"/>
      <c r="BX559" s="33"/>
      <c r="BY559" s="33"/>
      <c r="BZ559" s="33"/>
      <c r="CA559" s="33"/>
      <c r="CB559" s="33"/>
      <c r="CC559" s="33"/>
      <c r="CD559" s="33"/>
    </row>
    <row r="560" spans="1:82" x14ac:dyDescent="0.25">
      <c r="A560" s="32"/>
      <c r="B560" s="32"/>
      <c r="C560" s="32"/>
      <c r="D560" s="32"/>
      <c r="E560" s="32"/>
      <c r="F560" s="32"/>
      <c r="G560" s="32"/>
      <c r="H560" s="32"/>
      <c r="I560" s="32"/>
      <c r="J560" s="32"/>
      <c r="K560" s="32"/>
      <c r="L560" s="32"/>
      <c r="M560" s="32"/>
      <c r="N560" s="32"/>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c r="BB560" s="33"/>
      <c r="BC560" s="33"/>
      <c r="BD560" s="33"/>
      <c r="BE560" s="33"/>
      <c r="BF560" s="33"/>
      <c r="BG560" s="33"/>
      <c r="BH560" s="33"/>
      <c r="BI560" s="33"/>
      <c r="BJ560" s="33"/>
      <c r="BK560" s="33"/>
      <c r="BL560" s="33"/>
      <c r="BM560" s="33"/>
      <c r="BN560" s="33"/>
      <c r="BO560" s="33"/>
      <c r="BP560" s="33"/>
      <c r="BQ560" s="33"/>
      <c r="BR560" s="33"/>
      <c r="BS560" s="33"/>
      <c r="BT560" s="33"/>
      <c r="BU560" s="33"/>
      <c r="BV560" s="33"/>
      <c r="BW560" s="33"/>
      <c r="BX560" s="33"/>
      <c r="BY560" s="33"/>
      <c r="BZ560" s="33"/>
      <c r="CA560" s="33"/>
      <c r="CB560" s="33"/>
      <c r="CC560" s="33"/>
      <c r="CD560" s="33"/>
    </row>
    <row r="561" spans="1:82" x14ac:dyDescent="0.25">
      <c r="A561" s="32"/>
      <c r="B561" s="32"/>
      <c r="C561" s="32"/>
      <c r="D561" s="32"/>
      <c r="E561" s="32"/>
      <c r="F561" s="32"/>
      <c r="G561" s="32"/>
      <c r="H561" s="32"/>
      <c r="I561" s="32"/>
      <c r="J561" s="32"/>
      <c r="K561" s="32"/>
      <c r="L561" s="32"/>
      <c r="M561" s="32"/>
      <c r="N561" s="32"/>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c r="BB561" s="33"/>
      <c r="BC561" s="33"/>
      <c r="BD561" s="33"/>
      <c r="BE561" s="33"/>
      <c r="BF561" s="33"/>
      <c r="BG561" s="33"/>
      <c r="BH561" s="33"/>
      <c r="BI561" s="33"/>
      <c r="BJ561" s="33"/>
      <c r="BK561" s="33"/>
      <c r="BL561" s="33"/>
      <c r="BM561" s="33"/>
      <c r="BN561" s="33"/>
      <c r="BO561" s="33"/>
      <c r="BP561" s="33"/>
      <c r="BQ561" s="33"/>
      <c r="BR561" s="33"/>
      <c r="BS561" s="33"/>
      <c r="BT561" s="33"/>
      <c r="BU561" s="33"/>
      <c r="BV561" s="33"/>
      <c r="BW561" s="33"/>
      <c r="BX561" s="33"/>
      <c r="BY561" s="33"/>
      <c r="BZ561" s="33"/>
      <c r="CA561" s="33"/>
      <c r="CB561" s="33"/>
      <c r="CC561" s="33"/>
      <c r="CD561" s="33"/>
    </row>
    <row r="562" spans="1:82" x14ac:dyDescent="0.25">
      <c r="A562" s="32"/>
      <c r="B562" s="32"/>
      <c r="C562" s="32"/>
      <c r="D562" s="32"/>
      <c r="E562" s="32"/>
      <c r="F562" s="32"/>
      <c r="G562" s="32"/>
      <c r="H562" s="32"/>
      <c r="I562" s="32"/>
      <c r="J562" s="32"/>
      <c r="K562" s="32"/>
      <c r="L562" s="32"/>
      <c r="M562" s="32"/>
      <c r="N562" s="32"/>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33"/>
      <c r="BW562" s="33"/>
      <c r="BX562" s="33"/>
      <c r="BY562" s="33"/>
      <c r="BZ562" s="33"/>
      <c r="CA562" s="33"/>
      <c r="CB562" s="33"/>
      <c r="CC562" s="33"/>
      <c r="CD562" s="33"/>
    </row>
    <row r="563" spans="1:82" x14ac:dyDescent="0.25">
      <c r="A563" s="32"/>
      <c r="B563" s="32"/>
      <c r="C563" s="32"/>
      <c r="D563" s="32"/>
      <c r="E563" s="32"/>
      <c r="F563" s="32"/>
      <c r="G563" s="32"/>
      <c r="H563" s="32"/>
      <c r="I563" s="32"/>
      <c r="J563" s="32"/>
      <c r="K563" s="32"/>
      <c r="L563" s="32"/>
      <c r="M563" s="32"/>
      <c r="N563" s="32"/>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c r="BB563" s="33"/>
      <c r="BC563" s="33"/>
      <c r="BD563" s="33"/>
      <c r="BE563" s="33"/>
      <c r="BF563" s="33"/>
      <c r="BG563" s="33"/>
      <c r="BH563" s="33"/>
      <c r="BI563" s="33"/>
      <c r="BJ563" s="33"/>
      <c r="BK563" s="33"/>
      <c r="BL563" s="33"/>
      <c r="BM563" s="33"/>
      <c r="BN563" s="33"/>
      <c r="BO563" s="33"/>
      <c r="BP563" s="33"/>
      <c r="BQ563" s="33"/>
      <c r="BR563" s="33"/>
      <c r="BS563" s="33"/>
      <c r="BT563" s="33"/>
      <c r="BU563" s="33"/>
      <c r="BV563" s="33"/>
      <c r="BW563" s="33"/>
      <c r="BX563" s="33"/>
      <c r="BY563" s="33"/>
      <c r="BZ563" s="33"/>
      <c r="CA563" s="33"/>
      <c r="CB563" s="33"/>
      <c r="CC563" s="33"/>
      <c r="CD563" s="33"/>
    </row>
    <row r="564" spans="1:82" x14ac:dyDescent="0.25">
      <c r="A564" s="32"/>
      <c r="B564" s="32"/>
      <c r="C564" s="32"/>
      <c r="D564" s="32"/>
      <c r="E564" s="32"/>
      <c r="F564" s="32"/>
      <c r="G564" s="32"/>
      <c r="H564" s="32"/>
      <c r="I564" s="32"/>
      <c r="J564" s="32"/>
      <c r="K564" s="32"/>
      <c r="L564" s="32"/>
      <c r="M564" s="32"/>
      <c r="N564" s="32"/>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c r="BB564" s="33"/>
      <c r="BC564" s="33"/>
      <c r="BD564" s="33"/>
      <c r="BE564" s="33"/>
      <c r="BF564" s="33"/>
      <c r="BG564" s="33"/>
      <c r="BH564" s="33"/>
      <c r="BI564" s="33"/>
      <c r="BJ564" s="33"/>
      <c r="BK564" s="33"/>
      <c r="BL564" s="33"/>
      <c r="BM564" s="33"/>
      <c r="BN564" s="33"/>
      <c r="BO564" s="33"/>
      <c r="BP564" s="33"/>
      <c r="BQ564" s="33"/>
      <c r="BR564" s="33"/>
      <c r="BS564" s="33"/>
      <c r="BT564" s="33"/>
      <c r="BU564" s="33"/>
      <c r="BV564" s="33"/>
      <c r="BW564" s="33"/>
      <c r="BX564" s="33"/>
      <c r="BY564" s="33"/>
      <c r="BZ564" s="33"/>
      <c r="CA564" s="33"/>
      <c r="CB564" s="33"/>
      <c r="CC564" s="33"/>
      <c r="CD564" s="33"/>
    </row>
    <row r="565" spans="1:82" x14ac:dyDescent="0.25">
      <c r="A565" s="32"/>
      <c r="B565" s="32"/>
      <c r="C565" s="32"/>
      <c r="D565" s="32"/>
      <c r="E565" s="32"/>
      <c r="F565" s="32"/>
      <c r="G565" s="32"/>
      <c r="H565" s="32"/>
      <c r="I565" s="32"/>
      <c r="J565" s="32"/>
      <c r="K565" s="32"/>
      <c r="L565" s="32"/>
      <c r="M565" s="32"/>
      <c r="N565" s="32"/>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33"/>
      <c r="BW565" s="33"/>
      <c r="BX565" s="33"/>
      <c r="BY565" s="33"/>
      <c r="BZ565" s="33"/>
      <c r="CA565" s="33"/>
      <c r="CB565" s="33"/>
      <c r="CC565" s="33"/>
      <c r="CD565" s="33"/>
    </row>
    <row r="566" spans="1:82" x14ac:dyDescent="0.25">
      <c r="A566" s="32"/>
      <c r="B566" s="32"/>
      <c r="C566" s="32"/>
      <c r="D566" s="32"/>
      <c r="E566" s="32"/>
      <c r="F566" s="32"/>
      <c r="G566" s="32"/>
      <c r="H566" s="32"/>
      <c r="I566" s="32"/>
      <c r="J566" s="32"/>
      <c r="K566" s="32"/>
      <c r="L566" s="32"/>
      <c r="M566" s="32"/>
      <c r="N566" s="32"/>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33"/>
      <c r="BW566" s="33"/>
      <c r="BX566" s="33"/>
      <c r="BY566" s="33"/>
      <c r="BZ566" s="33"/>
      <c r="CA566" s="33"/>
      <c r="CB566" s="33"/>
      <c r="CC566" s="33"/>
      <c r="CD566" s="33"/>
    </row>
    <row r="567" spans="1:82" x14ac:dyDescent="0.25">
      <c r="A567" s="32"/>
      <c r="B567" s="32"/>
      <c r="C567" s="32"/>
      <c r="D567" s="32"/>
      <c r="E567" s="32"/>
      <c r="F567" s="32"/>
      <c r="G567" s="32"/>
      <c r="H567" s="32"/>
      <c r="I567" s="32"/>
      <c r="J567" s="32"/>
      <c r="K567" s="32"/>
      <c r="L567" s="32"/>
      <c r="M567" s="32"/>
      <c r="N567" s="32"/>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c r="BB567" s="33"/>
      <c r="BC567" s="33"/>
      <c r="BD567" s="33"/>
      <c r="BE567" s="33"/>
      <c r="BF567" s="33"/>
      <c r="BG567" s="33"/>
      <c r="BH567" s="33"/>
      <c r="BI567" s="33"/>
      <c r="BJ567" s="33"/>
      <c r="BK567" s="33"/>
      <c r="BL567" s="33"/>
      <c r="BM567" s="33"/>
      <c r="BN567" s="33"/>
      <c r="BO567" s="33"/>
      <c r="BP567" s="33"/>
      <c r="BQ567" s="33"/>
      <c r="BR567" s="33"/>
      <c r="BS567" s="33"/>
      <c r="BT567" s="33"/>
      <c r="BU567" s="33"/>
      <c r="BV567" s="33"/>
      <c r="BW567" s="33"/>
      <c r="BX567" s="33"/>
      <c r="BY567" s="33"/>
      <c r="BZ567" s="33"/>
      <c r="CA567" s="33"/>
      <c r="CB567" s="33"/>
      <c r="CC567" s="33"/>
      <c r="CD567" s="33"/>
    </row>
    <row r="568" spans="1:82" x14ac:dyDescent="0.25">
      <c r="A568" s="32"/>
      <c r="B568" s="32"/>
      <c r="C568" s="32"/>
      <c r="D568" s="32"/>
      <c r="E568" s="32"/>
      <c r="F568" s="32"/>
      <c r="G568" s="32"/>
      <c r="H568" s="32"/>
      <c r="I568" s="32"/>
      <c r="J568" s="32"/>
      <c r="K568" s="32"/>
      <c r="L568" s="32"/>
      <c r="M568" s="32"/>
      <c r="N568" s="32"/>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c r="BB568" s="33"/>
      <c r="BC568" s="33"/>
      <c r="BD568" s="33"/>
      <c r="BE568" s="33"/>
      <c r="BF568" s="33"/>
      <c r="BG568" s="33"/>
      <c r="BH568" s="33"/>
      <c r="BI568" s="33"/>
      <c r="BJ568" s="33"/>
      <c r="BK568" s="33"/>
      <c r="BL568" s="33"/>
      <c r="BM568" s="33"/>
      <c r="BN568" s="33"/>
      <c r="BO568" s="33"/>
      <c r="BP568" s="33"/>
      <c r="BQ568" s="33"/>
      <c r="BR568" s="33"/>
      <c r="BS568" s="33"/>
      <c r="BT568" s="33"/>
      <c r="BU568" s="33"/>
      <c r="BV568" s="33"/>
      <c r="BW568" s="33"/>
      <c r="BX568" s="33"/>
      <c r="BY568" s="33"/>
      <c r="BZ568" s="33"/>
      <c r="CA568" s="33"/>
      <c r="CB568" s="33"/>
      <c r="CC568" s="33"/>
      <c r="CD568" s="33"/>
    </row>
    <row r="569" spans="1:82" x14ac:dyDescent="0.25">
      <c r="A569" s="32"/>
      <c r="B569" s="32"/>
      <c r="C569" s="32"/>
      <c r="D569" s="32"/>
      <c r="E569" s="32"/>
      <c r="F569" s="32"/>
      <c r="G569" s="32"/>
      <c r="H569" s="32"/>
      <c r="I569" s="32"/>
      <c r="J569" s="32"/>
      <c r="K569" s="32"/>
      <c r="L569" s="32"/>
      <c r="M569" s="32"/>
      <c r="N569" s="32"/>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33"/>
      <c r="BV569" s="33"/>
      <c r="BW569" s="33"/>
      <c r="BX569" s="33"/>
      <c r="BY569" s="33"/>
      <c r="BZ569" s="33"/>
      <c r="CA569" s="33"/>
      <c r="CB569" s="33"/>
      <c r="CC569" s="33"/>
      <c r="CD569" s="33"/>
    </row>
    <row r="570" spans="1:82" x14ac:dyDescent="0.25">
      <c r="A570" s="32"/>
      <c r="B570" s="32"/>
      <c r="C570" s="32"/>
      <c r="D570" s="32"/>
      <c r="E570" s="32"/>
      <c r="F570" s="32"/>
      <c r="G570" s="32"/>
      <c r="H570" s="32"/>
      <c r="I570" s="32"/>
      <c r="J570" s="32"/>
      <c r="K570" s="32"/>
      <c r="L570" s="32"/>
      <c r="M570" s="32"/>
      <c r="N570" s="32"/>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c r="BB570" s="33"/>
      <c r="BC570" s="33"/>
      <c r="BD570" s="33"/>
      <c r="BE570" s="33"/>
      <c r="BF570" s="33"/>
      <c r="BG570" s="33"/>
      <c r="BH570" s="33"/>
      <c r="BI570" s="33"/>
      <c r="BJ570" s="33"/>
      <c r="BK570" s="33"/>
      <c r="BL570" s="33"/>
      <c r="BM570" s="33"/>
      <c r="BN570" s="33"/>
      <c r="BO570" s="33"/>
      <c r="BP570" s="33"/>
      <c r="BQ570" s="33"/>
      <c r="BR570" s="33"/>
      <c r="BS570" s="33"/>
      <c r="BT570" s="33"/>
      <c r="BU570" s="33"/>
      <c r="BV570" s="33"/>
      <c r="BW570" s="33"/>
      <c r="BX570" s="33"/>
      <c r="BY570" s="33"/>
      <c r="BZ570" s="33"/>
      <c r="CA570" s="33"/>
      <c r="CB570" s="33"/>
      <c r="CC570" s="33"/>
      <c r="CD570" s="33"/>
    </row>
    <row r="571" spans="1:82" x14ac:dyDescent="0.25">
      <c r="A571" s="32"/>
      <c r="B571" s="32"/>
      <c r="C571" s="32"/>
      <c r="D571" s="32"/>
      <c r="E571" s="32"/>
      <c r="F571" s="32"/>
      <c r="G571" s="32"/>
      <c r="H571" s="32"/>
      <c r="I571" s="32"/>
      <c r="J571" s="32"/>
      <c r="K571" s="32"/>
      <c r="L571" s="32"/>
      <c r="M571" s="32"/>
      <c r="N571" s="32"/>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c r="BB571" s="33"/>
      <c r="BC571" s="33"/>
      <c r="BD571" s="33"/>
      <c r="BE571" s="33"/>
      <c r="BF571" s="33"/>
      <c r="BG571" s="33"/>
      <c r="BH571" s="33"/>
      <c r="BI571" s="33"/>
      <c r="BJ571" s="33"/>
      <c r="BK571" s="33"/>
      <c r="BL571" s="33"/>
      <c r="BM571" s="33"/>
      <c r="BN571" s="33"/>
      <c r="BO571" s="33"/>
      <c r="BP571" s="33"/>
      <c r="BQ571" s="33"/>
      <c r="BR571" s="33"/>
      <c r="BS571" s="33"/>
      <c r="BT571" s="33"/>
      <c r="BU571" s="33"/>
      <c r="BV571" s="33"/>
      <c r="BW571" s="33"/>
      <c r="BX571" s="33"/>
      <c r="BY571" s="33"/>
      <c r="BZ571" s="33"/>
      <c r="CA571" s="33"/>
      <c r="CB571" s="33"/>
      <c r="CC571" s="33"/>
      <c r="CD571" s="33"/>
    </row>
    <row r="572" spans="1:82" x14ac:dyDescent="0.25">
      <c r="A572" s="32"/>
      <c r="B572" s="32"/>
      <c r="C572" s="32"/>
      <c r="D572" s="32"/>
      <c r="E572" s="32"/>
      <c r="F572" s="32"/>
      <c r="G572" s="32"/>
      <c r="H572" s="32"/>
      <c r="I572" s="32"/>
      <c r="J572" s="32"/>
      <c r="K572" s="32"/>
      <c r="L572" s="32"/>
      <c r="M572" s="32"/>
      <c r="N572" s="32"/>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c r="BB572" s="33"/>
      <c r="BC572" s="33"/>
      <c r="BD572" s="33"/>
      <c r="BE572" s="33"/>
      <c r="BF572" s="33"/>
      <c r="BG572" s="33"/>
      <c r="BH572" s="33"/>
      <c r="BI572" s="33"/>
      <c r="BJ572" s="33"/>
      <c r="BK572" s="33"/>
      <c r="BL572" s="33"/>
      <c r="BM572" s="33"/>
      <c r="BN572" s="33"/>
      <c r="BO572" s="33"/>
      <c r="BP572" s="33"/>
      <c r="BQ572" s="33"/>
      <c r="BR572" s="33"/>
      <c r="BS572" s="33"/>
      <c r="BT572" s="33"/>
      <c r="BU572" s="33"/>
      <c r="BV572" s="33"/>
      <c r="BW572" s="33"/>
      <c r="BX572" s="33"/>
      <c r="BY572" s="33"/>
      <c r="BZ572" s="33"/>
      <c r="CA572" s="33"/>
      <c r="CB572" s="33"/>
      <c r="CC572" s="33"/>
      <c r="CD572" s="33"/>
    </row>
    <row r="573" spans="1:82" x14ac:dyDescent="0.25">
      <c r="A573" s="32"/>
      <c r="B573" s="32"/>
      <c r="C573" s="32"/>
      <c r="D573" s="32"/>
      <c r="E573" s="32"/>
      <c r="F573" s="32"/>
      <c r="G573" s="32"/>
      <c r="H573" s="32"/>
      <c r="I573" s="32"/>
      <c r="J573" s="32"/>
      <c r="K573" s="32"/>
      <c r="L573" s="32"/>
      <c r="M573" s="32"/>
      <c r="N573" s="32"/>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c r="BB573" s="33"/>
      <c r="BC573" s="33"/>
      <c r="BD573" s="33"/>
      <c r="BE573" s="33"/>
      <c r="BF573" s="33"/>
      <c r="BG573" s="33"/>
      <c r="BH573" s="33"/>
      <c r="BI573" s="33"/>
      <c r="BJ573" s="33"/>
      <c r="BK573" s="33"/>
      <c r="BL573" s="33"/>
      <c r="BM573" s="33"/>
      <c r="BN573" s="33"/>
      <c r="BO573" s="33"/>
      <c r="BP573" s="33"/>
      <c r="BQ573" s="33"/>
      <c r="BR573" s="33"/>
      <c r="BS573" s="33"/>
      <c r="BT573" s="33"/>
      <c r="BU573" s="33"/>
      <c r="BV573" s="33"/>
      <c r="BW573" s="33"/>
      <c r="BX573" s="33"/>
      <c r="BY573" s="33"/>
      <c r="BZ573" s="33"/>
      <c r="CA573" s="33"/>
      <c r="CB573" s="33"/>
      <c r="CC573" s="33"/>
      <c r="CD573" s="33"/>
    </row>
    <row r="574" spans="1:82" x14ac:dyDescent="0.25">
      <c r="A574" s="32"/>
      <c r="B574" s="32"/>
      <c r="C574" s="32"/>
      <c r="D574" s="32"/>
      <c r="E574" s="32"/>
      <c r="F574" s="32"/>
      <c r="G574" s="32"/>
      <c r="H574" s="32"/>
      <c r="I574" s="32"/>
      <c r="J574" s="32"/>
      <c r="K574" s="32"/>
      <c r="L574" s="32"/>
      <c r="M574" s="32"/>
      <c r="N574" s="32"/>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c r="BB574" s="33"/>
      <c r="BC574" s="33"/>
      <c r="BD574" s="33"/>
      <c r="BE574" s="33"/>
      <c r="BF574" s="33"/>
      <c r="BG574" s="33"/>
      <c r="BH574" s="33"/>
      <c r="BI574" s="33"/>
      <c r="BJ574" s="33"/>
      <c r="BK574" s="33"/>
      <c r="BL574" s="33"/>
      <c r="BM574" s="33"/>
      <c r="BN574" s="33"/>
      <c r="BO574" s="33"/>
      <c r="BP574" s="33"/>
      <c r="BQ574" s="33"/>
      <c r="BR574" s="33"/>
      <c r="BS574" s="33"/>
      <c r="BT574" s="33"/>
      <c r="BU574" s="33"/>
      <c r="BV574" s="33"/>
      <c r="BW574" s="33"/>
      <c r="BX574" s="33"/>
      <c r="BY574" s="33"/>
      <c r="BZ574" s="33"/>
      <c r="CA574" s="33"/>
      <c r="CB574" s="33"/>
      <c r="CC574" s="33"/>
      <c r="CD574" s="33"/>
    </row>
    <row r="575" spans="1:82" x14ac:dyDescent="0.25">
      <c r="A575" s="32"/>
      <c r="B575" s="32"/>
      <c r="C575" s="32"/>
      <c r="D575" s="32"/>
      <c r="E575" s="32"/>
      <c r="F575" s="32"/>
      <c r="G575" s="32"/>
      <c r="H575" s="32"/>
      <c r="I575" s="32"/>
      <c r="J575" s="32"/>
      <c r="K575" s="32"/>
      <c r="L575" s="32"/>
      <c r="M575" s="32"/>
      <c r="N575" s="32"/>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c r="AS575" s="33"/>
      <c r="AT575" s="33"/>
      <c r="AU575" s="33"/>
      <c r="AV575" s="33"/>
      <c r="AW575" s="33"/>
      <c r="AX575" s="33"/>
      <c r="AY575" s="33"/>
      <c r="AZ575" s="33"/>
      <c r="BA575" s="33"/>
      <c r="BB575" s="33"/>
      <c r="BC575" s="33"/>
      <c r="BD575" s="33"/>
      <c r="BE575" s="33"/>
      <c r="BF575" s="33"/>
      <c r="BG575" s="33"/>
      <c r="BH575" s="33"/>
      <c r="BI575" s="33"/>
      <c r="BJ575" s="33"/>
      <c r="BK575" s="33"/>
      <c r="BL575" s="33"/>
      <c r="BM575" s="33"/>
      <c r="BN575" s="33"/>
      <c r="BO575" s="33"/>
      <c r="BP575" s="33"/>
      <c r="BQ575" s="33"/>
      <c r="BR575" s="33"/>
      <c r="BS575" s="33"/>
      <c r="BT575" s="33"/>
      <c r="BU575" s="33"/>
      <c r="BV575" s="33"/>
      <c r="BW575" s="33"/>
      <c r="BX575" s="33"/>
      <c r="BY575" s="33"/>
      <c r="BZ575" s="33"/>
      <c r="CA575" s="33"/>
      <c r="CB575" s="33"/>
      <c r="CC575" s="33"/>
      <c r="CD575" s="33"/>
    </row>
    <row r="576" spans="1:82" x14ac:dyDescent="0.25">
      <c r="A576" s="32"/>
      <c r="B576" s="32"/>
      <c r="C576" s="32"/>
      <c r="D576" s="32"/>
      <c r="E576" s="32"/>
      <c r="F576" s="32"/>
      <c r="G576" s="32"/>
      <c r="H576" s="32"/>
      <c r="I576" s="32"/>
      <c r="J576" s="32"/>
      <c r="K576" s="32"/>
      <c r="L576" s="32"/>
      <c r="M576" s="32"/>
      <c r="N576" s="32"/>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c r="AS576" s="33"/>
      <c r="AT576" s="33"/>
      <c r="AU576" s="33"/>
      <c r="AV576" s="33"/>
      <c r="AW576" s="33"/>
      <c r="AX576" s="33"/>
      <c r="AY576" s="33"/>
      <c r="AZ576" s="33"/>
      <c r="BA576" s="33"/>
      <c r="BB576" s="33"/>
      <c r="BC576" s="33"/>
      <c r="BD576" s="33"/>
      <c r="BE576" s="33"/>
      <c r="BF576" s="33"/>
      <c r="BG576" s="33"/>
      <c r="BH576" s="33"/>
      <c r="BI576" s="33"/>
      <c r="BJ576" s="33"/>
      <c r="BK576" s="33"/>
      <c r="BL576" s="33"/>
      <c r="BM576" s="33"/>
      <c r="BN576" s="33"/>
      <c r="BO576" s="33"/>
      <c r="BP576" s="33"/>
      <c r="BQ576" s="33"/>
      <c r="BR576" s="33"/>
      <c r="BS576" s="33"/>
      <c r="BT576" s="33"/>
      <c r="BU576" s="33"/>
      <c r="BV576" s="33"/>
      <c r="BW576" s="33"/>
      <c r="BX576" s="33"/>
      <c r="BY576" s="33"/>
      <c r="BZ576" s="33"/>
      <c r="CA576" s="33"/>
      <c r="CB576" s="33"/>
      <c r="CC576" s="33"/>
      <c r="CD576" s="33"/>
    </row>
    <row r="577" spans="1:82" x14ac:dyDescent="0.25">
      <c r="A577" s="32"/>
      <c r="B577" s="32"/>
      <c r="C577" s="32"/>
      <c r="D577" s="32"/>
      <c r="E577" s="32"/>
      <c r="F577" s="32"/>
      <c r="G577" s="32"/>
      <c r="H577" s="32"/>
      <c r="I577" s="32"/>
      <c r="J577" s="32"/>
      <c r="K577" s="32"/>
      <c r="L577" s="32"/>
      <c r="M577" s="32"/>
      <c r="N577" s="32"/>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c r="AS577" s="33"/>
      <c r="AT577" s="33"/>
      <c r="AU577" s="33"/>
      <c r="AV577" s="33"/>
      <c r="AW577" s="33"/>
      <c r="AX577" s="33"/>
      <c r="AY577" s="33"/>
      <c r="AZ577" s="33"/>
      <c r="BA577" s="33"/>
      <c r="BB577" s="33"/>
      <c r="BC577" s="33"/>
      <c r="BD577" s="33"/>
      <c r="BE577" s="33"/>
      <c r="BF577" s="33"/>
      <c r="BG577" s="33"/>
      <c r="BH577" s="33"/>
      <c r="BI577" s="33"/>
      <c r="BJ577" s="33"/>
      <c r="BK577" s="33"/>
      <c r="BL577" s="33"/>
      <c r="BM577" s="33"/>
      <c r="BN577" s="33"/>
      <c r="BO577" s="33"/>
      <c r="BP577" s="33"/>
      <c r="BQ577" s="33"/>
      <c r="BR577" s="33"/>
      <c r="BS577" s="33"/>
      <c r="BT577" s="33"/>
      <c r="BU577" s="33"/>
      <c r="BV577" s="33"/>
      <c r="BW577" s="33"/>
      <c r="BX577" s="33"/>
      <c r="BY577" s="33"/>
      <c r="BZ577" s="33"/>
      <c r="CA577" s="33"/>
      <c r="CB577" s="33"/>
      <c r="CC577" s="33"/>
      <c r="CD577" s="33"/>
    </row>
    <row r="578" spans="1:82" x14ac:dyDescent="0.25">
      <c r="A578" s="32"/>
      <c r="B578" s="32"/>
      <c r="C578" s="32"/>
      <c r="D578" s="32"/>
      <c r="E578" s="32"/>
      <c r="F578" s="32"/>
      <c r="G578" s="32"/>
      <c r="H578" s="32"/>
      <c r="I578" s="32"/>
      <c r="J578" s="32"/>
      <c r="K578" s="32"/>
      <c r="L578" s="32"/>
      <c r="M578" s="32"/>
      <c r="N578" s="32"/>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c r="AS578" s="33"/>
      <c r="AT578" s="33"/>
      <c r="AU578" s="33"/>
      <c r="AV578" s="33"/>
      <c r="AW578" s="33"/>
      <c r="AX578" s="33"/>
      <c r="AY578" s="33"/>
      <c r="AZ578" s="33"/>
      <c r="BA578" s="33"/>
      <c r="BB578" s="33"/>
      <c r="BC578" s="33"/>
      <c r="BD578" s="33"/>
      <c r="BE578" s="33"/>
      <c r="BF578" s="33"/>
      <c r="BG578" s="33"/>
      <c r="BH578" s="33"/>
      <c r="BI578" s="33"/>
      <c r="BJ578" s="33"/>
      <c r="BK578" s="33"/>
      <c r="BL578" s="33"/>
      <c r="BM578" s="33"/>
      <c r="BN578" s="33"/>
      <c r="BO578" s="33"/>
      <c r="BP578" s="33"/>
      <c r="BQ578" s="33"/>
      <c r="BR578" s="33"/>
      <c r="BS578" s="33"/>
      <c r="BT578" s="33"/>
      <c r="BU578" s="33"/>
      <c r="BV578" s="33"/>
      <c r="BW578" s="33"/>
      <c r="BX578" s="33"/>
      <c r="BY578" s="33"/>
      <c r="BZ578" s="33"/>
      <c r="CA578" s="33"/>
      <c r="CB578" s="33"/>
      <c r="CC578" s="33"/>
      <c r="CD578" s="33"/>
    </row>
    <row r="579" spans="1:82" x14ac:dyDescent="0.25">
      <c r="A579" s="32"/>
      <c r="B579" s="32"/>
      <c r="C579" s="32"/>
      <c r="D579" s="32"/>
      <c r="E579" s="32"/>
      <c r="F579" s="32"/>
      <c r="G579" s="32"/>
      <c r="H579" s="32"/>
      <c r="I579" s="32"/>
      <c r="J579" s="32"/>
      <c r="K579" s="32"/>
      <c r="L579" s="32"/>
      <c r="M579" s="32"/>
      <c r="N579" s="32"/>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c r="AS579" s="33"/>
      <c r="AT579" s="33"/>
      <c r="AU579" s="33"/>
      <c r="AV579" s="33"/>
      <c r="AW579" s="33"/>
      <c r="AX579" s="33"/>
      <c r="AY579" s="33"/>
      <c r="AZ579" s="33"/>
      <c r="BA579" s="33"/>
      <c r="BB579" s="33"/>
      <c r="BC579" s="33"/>
      <c r="BD579" s="33"/>
      <c r="BE579" s="33"/>
      <c r="BF579" s="33"/>
      <c r="BG579" s="33"/>
      <c r="BH579" s="33"/>
      <c r="BI579" s="33"/>
      <c r="BJ579" s="33"/>
      <c r="BK579" s="33"/>
      <c r="BL579" s="33"/>
      <c r="BM579" s="33"/>
      <c r="BN579" s="33"/>
      <c r="BO579" s="33"/>
      <c r="BP579" s="33"/>
      <c r="BQ579" s="33"/>
      <c r="BR579" s="33"/>
      <c r="BS579" s="33"/>
      <c r="BT579" s="33"/>
      <c r="BU579" s="33"/>
      <c r="BV579" s="33"/>
      <c r="BW579" s="33"/>
      <c r="BX579" s="33"/>
      <c r="BY579" s="33"/>
      <c r="BZ579" s="33"/>
      <c r="CA579" s="33"/>
      <c r="CB579" s="33"/>
      <c r="CC579" s="33"/>
      <c r="CD579" s="33"/>
    </row>
    <row r="580" spans="1:82" x14ac:dyDescent="0.25">
      <c r="A580" s="32"/>
      <c r="B580" s="32"/>
      <c r="C580" s="32"/>
      <c r="D580" s="32"/>
      <c r="E580" s="32"/>
      <c r="F580" s="32"/>
      <c r="G580" s="32"/>
      <c r="H580" s="32"/>
      <c r="I580" s="32"/>
      <c r="J580" s="32"/>
      <c r="K580" s="32"/>
      <c r="L580" s="32"/>
      <c r="M580" s="32"/>
      <c r="N580" s="32"/>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c r="BB580" s="33"/>
      <c r="BC580" s="33"/>
      <c r="BD580" s="33"/>
      <c r="BE580" s="33"/>
      <c r="BF580" s="33"/>
      <c r="BG580" s="33"/>
      <c r="BH580" s="33"/>
      <c r="BI580" s="33"/>
      <c r="BJ580" s="33"/>
      <c r="BK580" s="33"/>
      <c r="BL580" s="33"/>
      <c r="BM580" s="33"/>
      <c r="BN580" s="33"/>
      <c r="BO580" s="33"/>
      <c r="BP580" s="33"/>
      <c r="BQ580" s="33"/>
      <c r="BR580" s="33"/>
      <c r="BS580" s="33"/>
      <c r="BT580" s="33"/>
      <c r="BU580" s="33"/>
      <c r="BV580" s="33"/>
      <c r="BW580" s="33"/>
      <c r="BX580" s="33"/>
      <c r="BY580" s="33"/>
      <c r="BZ580" s="33"/>
      <c r="CA580" s="33"/>
      <c r="CB580" s="33"/>
      <c r="CC580" s="33"/>
      <c r="CD580" s="33"/>
    </row>
    <row r="581" spans="1:82" x14ac:dyDescent="0.25">
      <c r="A581" s="32"/>
      <c r="B581" s="32"/>
      <c r="C581" s="32"/>
      <c r="D581" s="32"/>
      <c r="E581" s="32"/>
      <c r="F581" s="32"/>
      <c r="G581" s="32"/>
      <c r="H581" s="32"/>
      <c r="I581" s="32"/>
      <c r="J581" s="32"/>
      <c r="K581" s="32"/>
      <c r="L581" s="32"/>
      <c r="M581" s="32"/>
      <c r="N581" s="32"/>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c r="AS581" s="33"/>
      <c r="AT581" s="33"/>
      <c r="AU581" s="33"/>
      <c r="AV581" s="33"/>
      <c r="AW581" s="33"/>
      <c r="AX581" s="33"/>
      <c r="AY581" s="33"/>
      <c r="AZ581" s="33"/>
      <c r="BA581" s="33"/>
      <c r="BB581" s="33"/>
      <c r="BC581" s="33"/>
      <c r="BD581" s="33"/>
      <c r="BE581" s="33"/>
      <c r="BF581" s="33"/>
      <c r="BG581" s="33"/>
      <c r="BH581" s="33"/>
      <c r="BI581" s="33"/>
      <c r="BJ581" s="33"/>
      <c r="BK581" s="33"/>
      <c r="BL581" s="33"/>
      <c r="BM581" s="33"/>
      <c r="BN581" s="33"/>
      <c r="BO581" s="33"/>
      <c r="BP581" s="33"/>
      <c r="BQ581" s="33"/>
      <c r="BR581" s="33"/>
      <c r="BS581" s="33"/>
      <c r="BT581" s="33"/>
      <c r="BU581" s="33"/>
      <c r="BV581" s="33"/>
      <c r="BW581" s="33"/>
      <c r="BX581" s="33"/>
      <c r="BY581" s="33"/>
      <c r="BZ581" s="33"/>
      <c r="CA581" s="33"/>
      <c r="CB581" s="33"/>
      <c r="CC581" s="33"/>
      <c r="CD581" s="33"/>
    </row>
    <row r="582" spans="1:82" x14ac:dyDescent="0.25">
      <c r="A582" s="32"/>
      <c r="B582" s="32"/>
      <c r="C582" s="32"/>
      <c r="D582" s="32"/>
      <c r="E582" s="32"/>
      <c r="F582" s="32"/>
      <c r="G582" s="32"/>
      <c r="H582" s="32"/>
      <c r="I582" s="32"/>
      <c r="J582" s="32"/>
      <c r="K582" s="32"/>
      <c r="L582" s="32"/>
      <c r="M582" s="32"/>
      <c r="N582" s="32"/>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c r="AS582" s="33"/>
      <c r="AT582" s="33"/>
      <c r="AU582" s="33"/>
      <c r="AV582" s="33"/>
      <c r="AW582" s="33"/>
      <c r="AX582" s="33"/>
      <c r="AY582" s="33"/>
      <c r="AZ582" s="33"/>
      <c r="BA582" s="33"/>
      <c r="BB582" s="33"/>
      <c r="BC582" s="33"/>
      <c r="BD582" s="33"/>
      <c r="BE582" s="33"/>
      <c r="BF582" s="33"/>
      <c r="BG582" s="33"/>
      <c r="BH582" s="33"/>
      <c r="BI582" s="33"/>
      <c r="BJ582" s="33"/>
      <c r="BK582" s="33"/>
      <c r="BL582" s="33"/>
      <c r="BM582" s="33"/>
      <c r="BN582" s="33"/>
      <c r="BO582" s="33"/>
      <c r="BP582" s="33"/>
      <c r="BQ582" s="33"/>
      <c r="BR582" s="33"/>
      <c r="BS582" s="33"/>
      <c r="BT582" s="33"/>
      <c r="BU582" s="33"/>
      <c r="BV582" s="33"/>
      <c r="BW582" s="33"/>
      <c r="BX582" s="33"/>
      <c r="BY582" s="33"/>
      <c r="BZ582" s="33"/>
      <c r="CA582" s="33"/>
      <c r="CB582" s="33"/>
      <c r="CC582" s="33"/>
      <c r="CD582" s="33"/>
    </row>
    <row r="583" spans="1:82" x14ac:dyDescent="0.25">
      <c r="A583" s="32"/>
      <c r="B583" s="32"/>
      <c r="C583" s="32"/>
      <c r="D583" s="32"/>
      <c r="E583" s="32"/>
      <c r="F583" s="32"/>
      <c r="G583" s="32"/>
      <c r="H583" s="32"/>
      <c r="I583" s="32"/>
      <c r="J583" s="32"/>
      <c r="K583" s="32"/>
      <c r="L583" s="32"/>
      <c r="M583" s="32"/>
      <c r="N583" s="32"/>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c r="BB583" s="33"/>
      <c r="BC583" s="33"/>
      <c r="BD583" s="33"/>
      <c r="BE583" s="33"/>
      <c r="BF583" s="33"/>
      <c r="BG583" s="33"/>
      <c r="BH583" s="33"/>
      <c r="BI583" s="33"/>
      <c r="BJ583" s="33"/>
      <c r="BK583" s="33"/>
      <c r="BL583" s="33"/>
      <c r="BM583" s="33"/>
      <c r="BN583" s="33"/>
      <c r="BO583" s="33"/>
      <c r="BP583" s="33"/>
      <c r="BQ583" s="33"/>
      <c r="BR583" s="33"/>
      <c r="BS583" s="33"/>
      <c r="BT583" s="33"/>
      <c r="BU583" s="33"/>
      <c r="BV583" s="33"/>
      <c r="BW583" s="33"/>
      <c r="BX583" s="33"/>
      <c r="BY583" s="33"/>
      <c r="BZ583" s="33"/>
      <c r="CA583" s="33"/>
      <c r="CB583" s="33"/>
      <c r="CC583" s="33"/>
      <c r="CD583" s="33"/>
    </row>
    <row r="584" spans="1:82" x14ac:dyDescent="0.25">
      <c r="A584" s="32"/>
      <c r="B584" s="32"/>
      <c r="C584" s="32"/>
      <c r="D584" s="32"/>
      <c r="E584" s="32"/>
      <c r="F584" s="32"/>
      <c r="G584" s="32"/>
      <c r="H584" s="32"/>
      <c r="I584" s="32"/>
      <c r="J584" s="32"/>
      <c r="K584" s="32"/>
      <c r="L584" s="32"/>
      <c r="M584" s="32"/>
      <c r="N584" s="32"/>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c r="BB584" s="33"/>
      <c r="BC584" s="33"/>
      <c r="BD584" s="33"/>
      <c r="BE584" s="33"/>
      <c r="BF584" s="33"/>
      <c r="BG584" s="33"/>
      <c r="BH584" s="33"/>
      <c r="BI584" s="33"/>
      <c r="BJ584" s="33"/>
      <c r="BK584" s="33"/>
      <c r="BL584" s="33"/>
      <c r="BM584" s="33"/>
      <c r="BN584" s="33"/>
      <c r="BO584" s="33"/>
      <c r="BP584" s="33"/>
      <c r="BQ584" s="33"/>
      <c r="BR584" s="33"/>
      <c r="BS584" s="33"/>
      <c r="BT584" s="33"/>
      <c r="BU584" s="33"/>
      <c r="BV584" s="33"/>
      <c r="BW584" s="33"/>
      <c r="BX584" s="33"/>
      <c r="BY584" s="33"/>
      <c r="BZ584" s="33"/>
      <c r="CA584" s="33"/>
      <c r="CB584" s="33"/>
      <c r="CC584" s="33"/>
      <c r="CD584" s="33"/>
    </row>
    <row r="585" spans="1:82" x14ac:dyDescent="0.25">
      <c r="A585" s="32"/>
      <c r="B585" s="32"/>
      <c r="C585" s="32"/>
      <c r="D585" s="32"/>
      <c r="E585" s="32"/>
      <c r="F585" s="32"/>
      <c r="G585" s="32"/>
      <c r="H585" s="32"/>
      <c r="I585" s="32"/>
      <c r="J585" s="32"/>
      <c r="K585" s="32"/>
      <c r="L585" s="32"/>
      <c r="M585" s="32"/>
      <c r="N585" s="32"/>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c r="AS585" s="33"/>
      <c r="AT585" s="33"/>
      <c r="AU585" s="33"/>
      <c r="AV585" s="33"/>
      <c r="AW585" s="33"/>
      <c r="AX585" s="33"/>
      <c r="AY585" s="33"/>
      <c r="AZ585" s="33"/>
      <c r="BA585" s="33"/>
      <c r="BB585" s="33"/>
      <c r="BC585" s="33"/>
      <c r="BD585" s="33"/>
      <c r="BE585" s="33"/>
      <c r="BF585" s="33"/>
      <c r="BG585" s="33"/>
      <c r="BH585" s="33"/>
      <c r="BI585" s="33"/>
      <c r="BJ585" s="33"/>
      <c r="BK585" s="33"/>
      <c r="BL585" s="33"/>
      <c r="BM585" s="33"/>
      <c r="BN585" s="33"/>
      <c r="BO585" s="33"/>
      <c r="BP585" s="33"/>
      <c r="BQ585" s="33"/>
      <c r="BR585" s="33"/>
      <c r="BS585" s="33"/>
      <c r="BT585" s="33"/>
      <c r="BU585" s="33"/>
      <c r="BV585" s="33"/>
      <c r="BW585" s="33"/>
      <c r="BX585" s="33"/>
      <c r="BY585" s="33"/>
      <c r="BZ585" s="33"/>
      <c r="CA585" s="33"/>
      <c r="CB585" s="33"/>
      <c r="CC585" s="33"/>
      <c r="CD585" s="33"/>
    </row>
    <row r="586" spans="1:82" x14ac:dyDescent="0.25">
      <c r="A586" s="32"/>
      <c r="B586" s="32"/>
      <c r="C586" s="32"/>
      <c r="D586" s="32"/>
      <c r="E586" s="32"/>
      <c r="F586" s="32"/>
      <c r="G586" s="32"/>
      <c r="H586" s="32"/>
      <c r="I586" s="32"/>
      <c r="J586" s="32"/>
      <c r="K586" s="32"/>
      <c r="L586" s="32"/>
      <c r="M586" s="32"/>
      <c r="N586" s="32"/>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c r="AS586" s="33"/>
      <c r="AT586" s="33"/>
      <c r="AU586" s="33"/>
      <c r="AV586" s="33"/>
      <c r="AW586" s="33"/>
      <c r="AX586" s="33"/>
      <c r="AY586" s="33"/>
      <c r="AZ586" s="33"/>
      <c r="BA586" s="33"/>
      <c r="BB586" s="33"/>
      <c r="BC586" s="33"/>
      <c r="BD586" s="33"/>
      <c r="BE586" s="33"/>
      <c r="BF586" s="33"/>
      <c r="BG586" s="33"/>
      <c r="BH586" s="33"/>
      <c r="BI586" s="33"/>
      <c r="BJ586" s="33"/>
      <c r="BK586" s="33"/>
      <c r="BL586" s="33"/>
      <c r="BM586" s="33"/>
      <c r="BN586" s="33"/>
      <c r="BO586" s="33"/>
      <c r="BP586" s="33"/>
      <c r="BQ586" s="33"/>
      <c r="BR586" s="33"/>
      <c r="BS586" s="33"/>
      <c r="BT586" s="33"/>
      <c r="BU586" s="33"/>
      <c r="BV586" s="33"/>
      <c r="BW586" s="33"/>
      <c r="BX586" s="33"/>
      <c r="BY586" s="33"/>
      <c r="BZ586" s="33"/>
      <c r="CA586" s="33"/>
      <c r="CB586" s="33"/>
      <c r="CC586" s="33"/>
      <c r="CD586" s="33"/>
    </row>
    <row r="587" spans="1:82" x14ac:dyDescent="0.25">
      <c r="A587" s="32"/>
      <c r="B587" s="32"/>
      <c r="C587" s="32"/>
      <c r="D587" s="32"/>
      <c r="E587" s="32"/>
      <c r="F587" s="32"/>
      <c r="G587" s="32"/>
      <c r="H587" s="32"/>
      <c r="I587" s="32"/>
      <c r="J587" s="32"/>
      <c r="K587" s="32"/>
      <c r="L587" s="32"/>
      <c r="M587" s="32"/>
      <c r="N587" s="32"/>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c r="AS587" s="33"/>
      <c r="AT587" s="33"/>
      <c r="AU587" s="33"/>
      <c r="AV587" s="33"/>
      <c r="AW587" s="33"/>
      <c r="AX587" s="33"/>
      <c r="AY587" s="33"/>
      <c r="AZ587" s="33"/>
      <c r="BA587" s="33"/>
      <c r="BB587" s="33"/>
      <c r="BC587" s="33"/>
      <c r="BD587" s="33"/>
      <c r="BE587" s="33"/>
      <c r="BF587" s="33"/>
      <c r="BG587" s="33"/>
      <c r="BH587" s="33"/>
      <c r="BI587" s="33"/>
      <c r="BJ587" s="33"/>
      <c r="BK587" s="33"/>
      <c r="BL587" s="33"/>
      <c r="BM587" s="33"/>
      <c r="BN587" s="33"/>
      <c r="BO587" s="33"/>
      <c r="BP587" s="33"/>
      <c r="BQ587" s="33"/>
      <c r="BR587" s="33"/>
      <c r="BS587" s="33"/>
      <c r="BT587" s="33"/>
      <c r="BU587" s="33"/>
      <c r="BV587" s="33"/>
      <c r="BW587" s="33"/>
      <c r="BX587" s="33"/>
      <c r="BY587" s="33"/>
      <c r="BZ587" s="33"/>
      <c r="CA587" s="33"/>
      <c r="CB587" s="33"/>
      <c r="CC587" s="33"/>
      <c r="CD587" s="33"/>
    </row>
    <row r="588" spans="1:82" x14ac:dyDescent="0.25">
      <c r="A588" s="32"/>
      <c r="B588" s="32"/>
      <c r="C588" s="32"/>
      <c r="D588" s="32"/>
      <c r="E588" s="32"/>
      <c r="F588" s="32"/>
      <c r="G588" s="32"/>
      <c r="H588" s="32"/>
      <c r="I588" s="32"/>
      <c r="J588" s="32"/>
      <c r="K588" s="32"/>
      <c r="L588" s="32"/>
      <c r="M588" s="32"/>
      <c r="N588" s="32"/>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c r="AS588" s="33"/>
      <c r="AT588" s="33"/>
      <c r="AU588" s="33"/>
      <c r="AV588" s="33"/>
      <c r="AW588" s="33"/>
      <c r="AX588" s="33"/>
      <c r="AY588" s="33"/>
      <c r="AZ588" s="33"/>
      <c r="BA588" s="33"/>
      <c r="BB588" s="33"/>
      <c r="BC588" s="33"/>
      <c r="BD588" s="33"/>
      <c r="BE588" s="33"/>
      <c r="BF588" s="33"/>
      <c r="BG588" s="33"/>
      <c r="BH588" s="33"/>
      <c r="BI588" s="33"/>
      <c r="BJ588" s="33"/>
      <c r="BK588" s="33"/>
      <c r="BL588" s="33"/>
      <c r="BM588" s="33"/>
      <c r="BN588" s="33"/>
      <c r="BO588" s="33"/>
      <c r="BP588" s="33"/>
      <c r="BQ588" s="33"/>
      <c r="BR588" s="33"/>
      <c r="BS588" s="33"/>
      <c r="BT588" s="33"/>
      <c r="BU588" s="33"/>
      <c r="BV588" s="33"/>
      <c r="BW588" s="33"/>
      <c r="BX588" s="33"/>
      <c r="BY588" s="33"/>
      <c r="BZ588" s="33"/>
      <c r="CA588" s="33"/>
      <c r="CB588" s="33"/>
      <c r="CC588" s="33"/>
      <c r="CD588" s="33"/>
    </row>
    <row r="589" spans="1:82" x14ac:dyDescent="0.25">
      <c r="A589" s="32"/>
      <c r="B589" s="32"/>
      <c r="C589" s="32"/>
      <c r="D589" s="32"/>
      <c r="E589" s="32"/>
      <c r="F589" s="32"/>
      <c r="G589" s="32"/>
      <c r="H589" s="32"/>
      <c r="I589" s="32"/>
      <c r="J589" s="32"/>
      <c r="K589" s="32"/>
      <c r="L589" s="32"/>
      <c r="M589" s="32"/>
      <c r="N589" s="32"/>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c r="AS589" s="33"/>
      <c r="AT589" s="33"/>
      <c r="AU589" s="33"/>
      <c r="AV589" s="33"/>
      <c r="AW589" s="33"/>
      <c r="AX589" s="33"/>
      <c r="AY589" s="33"/>
      <c r="AZ589" s="33"/>
      <c r="BA589" s="33"/>
      <c r="BB589" s="33"/>
      <c r="BC589" s="33"/>
      <c r="BD589" s="33"/>
      <c r="BE589" s="33"/>
      <c r="BF589" s="33"/>
      <c r="BG589" s="33"/>
      <c r="BH589" s="33"/>
      <c r="BI589" s="33"/>
      <c r="BJ589" s="33"/>
      <c r="BK589" s="33"/>
      <c r="BL589" s="33"/>
      <c r="BM589" s="33"/>
      <c r="BN589" s="33"/>
      <c r="BO589" s="33"/>
      <c r="BP589" s="33"/>
      <c r="BQ589" s="33"/>
      <c r="BR589" s="33"/>
      <c r="BS589" s="33"/>
      <c r="BT589" s="33"/>
      <c r="BU589" s="33"/>
      <c r="BV589" s="33"/>
      <c r="BW589" s="33"/>
      <c r="BX589" s="33"/>
      <c r="BY589" s="33"/>
      <c r="BZ589" s="33"/>
      <c r="CA589" s="33"/>
      <c r="CB589" s="33"/>
      <c r="CC589" s="33"/>
      <c r="CD589" s="33"/>
    </row>
    <row r="590" spans="1:82" x14ac:dyDescent="0.25">
      <c r="A590" s="32"/>
      <c r="B590" s="32"/>
      <c r="C590" s="32"/>
      <c r="D590" s="32"/>
      <c r="E590" s="32"/>
      <c r="F590" s="32"/>
      <c r="G590" s="32"/>
      <c r="H590" s="32"/>
      <c r="I590" s="32"/>
      <c r="J590" s="32"/>
      <c r="K590" s="32"/>
      <c r="L590" s="32"/>
      <c r="M590" s="32"/>
      <c r="N590" s="32"/>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c r="BB590" s="33"/>
      <c r="BC590" s="33"/>
      <c r="BD590" s="33"/>
      <c r="BE590" s="33"/>
      <c r="BF590" s="33"/>
      <c r="BG590" s="33"/>
      <c r="BH590" s="33"/>
      <c r="BI590" s="33"/>
      <c r="BJ590" s="33"/>
      <c r="BK590" s="33"/>
      <c r="BL590" s="33"/>
      <c r="BM590" s="33"/>
      <c r="BN590" s="33"/>
      <c r="BO590" s="33"/>
      <c r="BP590" s="33"/>
      <c r="BQ590" s="33"/>
      <c r="BR590" s="33"/>
      <c r="BS590" s="33"/>
      <c r="BT590" s="33"/>
      <c r="BU590" s="33"/>
      <c r="BV590" s="33"/>
      <c r="BW590" s="33"/>
      <c r="BX590" s="33"/>
      <c r="BY590" s="33"/>
      <c r="BZ590" s="33"/>
      <c r="CA590" s="33"/>
      <c r="CB590" s="33"/>
      <c r="CC590" s="33"/>
      <c r="CD590" s="33"/>
    </row>
    <row r="591" spans="1:82" x14ac:dyDescent="0.25">
      <c r="A591" s="32"/>
      <c r="B591" s="32"/>
      <c r="C591" s="32"/>
      <c r="D591" s="32"/>
      <c r="E591" s="32"/>
      <c r="F591" s="32"/>
      <c r="G591" s="32"/>
      <c r="H591" s="32"/>
      <c r="I591" s="32"/>
      <c r="J591" s="32"/>
      <c r="K591" s="32"/>
      <c r="L591" s="32"/>
      <c r="M591" s="32"/>
      <c r="N591" s="32"/>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c r="AS591" s="33"/>
      <c r="AT591" s="33"/>
      <c r="AU591" s="33"/>
      <c r="AV591" s="33"/>
      <c r="AW591" s="33"/>
      <c r="AX591" s="33"/>
      <c r="AY591" s="33"/>
      <c r="AZ591" s="33"/>
      <c r="BA591" s="33"/>
      <c r="BB591" s="33"/>
      <c r="BC591" s="33"/>
      <c r="BD591" s="33"/>
      <c r="BE591" s="33"/>
      <c r="BF591" s="33"/>
      <c r="BG591" s="33"/>
      <c r="BH591" s="33"/>
      <c r="BI591" s="33"/>
      <c r="BJ591" s="33"/>
      <c r="BK591" s="33"/>
      <c r="BL591" s="33"/>
      <c r="BM591" s="33"/>
      <c r="BN591" s="33"/>
      <c r="BO591" s="33"/>
      <c r="BP591" s="33"/>
      <c r="BQ591" s="33"/>
      <c r="BR591" s="33"/>
      <c r="BS591" s="33"/>
      <c r="BT591" s="33"/>
      <c r="BU591" s="33"/>
      <c r="BV591" s="33"/>
      <c r="BW591" s="33"/>
      <c r="BX591" s="33"/>
      <c r="BY591" s="33"/>
      <c r="BZ591" s="33"/>
      <c r="CA591" s="33"/>
      <c r="CB591" s="33"/>
      <c r="CC591" s="33"/>
      <c r="CD591" s="33"/>
    </row>
    <row r="592" spans="1:82" x14ac:dyDescent="0.25">
      <c r="A592" s="32"/>
      <c r="B592" s="32"/>
      <c r="C592" s="32"/>
      <c r="D592" s="32"/>
      <c r="E592" s="32"/>
      <c r="F592" s="32"/>
      <c r="G592" s="32"/>
      <c r="H592" s="32"/>
      <c r="I592" s="32"/>
      <c r="J592" s="32"/>
      <c r="K592" s="32"/>
      <c r="L592" s="32"/>
      <c r="M592" s="32"/>
      <c r="N592" s="32"/>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c r="AS592" s="33"/>
      <c r="AT592" s="33"/>
      <c r="AU592" s="33"/>
      <c r="AV592" s="33"/>
      <c r="AW592" s="33"/>
      <c r="AX592" s="33"/>
      <c r="AY592" s="33"/>
      <c r="AZ592" s="33"/>
      <c r="BA592" s="33"/>
      <c r="BB592" s="33"/>
      <c r="BC592" s="33"/>
      <c r="BD592" s="33"/>
      <c r="BE592" s="33"/>
      <c r="BF592" s="33"/>
      <c r="BG592" s="33"/>
      <c r="BH592" s="33"/>
      <c r="BI592" s="33"/>
      <c r="BJ592" s="33"/>
      <c r="BK592" s="33"/>
      <c r="BL592" s="33"/>
      <c r="BM592" s="33"/>
      <c r="BN592" s="33"/>
      <c r="BO592" s="33"/>
      <c r="BP592" s="33"/>
      <c r="BQ592" s="33"/>
      <c r="BR592" s="33"/>
      <c r="BS592" s="33"/>
      <c r="BT592" s="33"/>
      <c r="BU592" s="33"/>
      <c r="BV592" s="33"/>
      <c r="BW592" s="33"/>
      <c r="BX592" s="33"/>
      <c r="BY592" s="33"/>
      <c r="BZ592" s="33"/>
      <c r="CA592" s="33"/>
      <c r="CB592" s="33"/>
      <c r="CC592" s="33"/>
      <c r="CD592" s="33"/>
    </row>
    <row r="593" spans="1:82" x14ac:dyDescent="0.25">
      <c r="A593" s="32"/>
      <c r="B593" s="32"/>
      <c r="C593" s="32"/>
      <c r="D593" s="32"/>
      <c r="E593" s="32"/>
      <c r="F593" s="32"/>
      <c r="G593" s="32"/>
      <c r="H593" s="32"/>
      <c r="I593" s="32"/>
      <c r="J593" s="32"/>
      <c r="K593" s="32"/>
      <c r="L593" s="32"/>
      <c r="M593" s="32"/>
      <c r="N593" s="32"/>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c r="AS593" s="33"/>
      <c r="AT593" s="33"/>
      <c r="AU593" s="33"/>
      <c r="AV593" s="33"/>
      <c r="AW593" s="33"/>
      <c r="AX593" s="33"/>
      <c r="AY593" s="33"/>
      <c r="AZ593" s="33"/>
      <c r="BA593" s="33"/>
      <c r="BB593" s="33"/>
      <c r="BC593" s="33"/>
      <c r="BD593" s="33"/>
      <c r="BE593" s="33"/>
      <c r="BF593" s="33"/>
      <c r="BG593" s="33"/>
      <c r="BH593" s="33"/>
      <c r="BI593" s="33"/>
      <c r="BJ593" s="33"/>
      <c r="BK593" s="33"/>
      <c r="BL593" s="33"/>
      <c r="BM593" s="33"/>
      <c r="BN593" s="33"/>
      <c r="BO593" s="33"/>
      <c r="BP593" s="33"/>
      <c r="BQ593" s="33"/>
      <c r="BR593" s="33"/>
      <c r="BS593" s="33"/>
      <c r="BT593" s="33"/>
      <c r="BU593" s="33"/>
      <c r="BV593" s="33"/>
      <c r="BW593" s="33"/>
      <c r="BX593" s="33"/>
      <c r="BY593" s="33"/>
      <c r="BZ593" s="33"/>
      <c r="CA593" s="33"/>
      <c r="CB593" s="33"/>
      <c r="CC593" s="33"/>
      <c r="CD593" s="33"/>
    </row>
    <row r="594" spans="1:82" x14ac:dyDescent="0.25">
      <c r="A594" s="32"/>
      <c r="B594" s="32"/>
      <c r="C594" s="32"/>
      <c r="D594" s="32"/>
      <c r="E594" s="32"/>
      <c r="F594" s="32"/>
      <c r="G594" s="32"/>
      <c r="H594" s="32"/>
      <c r="I594" s="32"/>
      <c r="J594" s="32"/>
      <c r="K594" s="32"/>
      <c r="L594" s="32"/>
      <c r="M594" s="32"/>
      <c r="N594" s="32"/>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c r="AS594" s="33"/>
      <c r="AT594" s="33"/>
      <c r="AU594" s="33"/>
      <c r="AV594" s="33"/>
      <c r="AW594" s="33"/>
      <c r="AX594" s="33"/>
      <c r="AY594" s="33"/>
      <c r="AZ594" s="33"/>
      <c r="BA594" s="33"/>
      <c r="BB594" s="33"/>
      <c r="BC594" s="33"/>
      <c r="BD594" s="33"/>
      <c r="BE594" s="33"/>
      <c r="BF594" s="33"/>
      <c r="BG594" s="33"/>
      <c r="BH594" s="33"/>
      <c r="BI594" s="33"/>
      <c r="BJ594" s="33"/>
      <c r="BK594" s="33"/>
      <c r="BL594" s="33"/>
      <c r="BM594" s="33"/>
      <c r="BN594" s="33"/>
      <c r="BO594" s="33"/>
      <c r="BP594" s="33"/>
      <c r="BQ594" s="33"/>
      <c r="BR594" s="33"/>
      <c r="BS594" s="33"/>
      <c r="BT594" s="33"/>
      <c r="BU594" s="33"/>
      <c r="BV594" s="33"/>
      <c r="BW594" s="33"/>
      <c r="BX594" s="33"/>
      <c r="BY594" s="33"/>
      <c r="BZ594" s="33"/>
      <c r="CA594" s="33"/>
      <c r="CB594" s="33"/>
      <c r="CC594" s="33"/>
      <c r="CD594" s="33"/>
    </row>
    <row r="595" spans="1:82" x14ac:dyDescent="0.25">
      <c r="A595" s="32"/>
      <c r="B595" s="32"/>
      <c r="C595" s="32"/>
      <c r="D595" s="32"/>
      <c r="E595" s="32"/>
      <c r="F595" s="32"/>
      <c r="G595" s="32"/>
      <c r="H595" s="32"/>
      <c r="I595" s="32"/>
      <c r="J595" s="32"/>
      <c r="K595" s="32"/>
      <c r="L595" s="32"/>
      <c r="M595" s="32"/>
      <c r="N595" s="32"/>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c r="AS595" s="33"/>
      <c r="AT595" s="33"/>
      <c r="AU595" s="33"/>
      <c r="AV595" s="33"/>
      <c r="AW595" s="33"/>
      <c r="AX595" s="33"/>
      <c r="AY595" s="33"/>
      <c r="AZ595" s="33"/>
      <c r="BA595" s="33"/>
      <c r="BB595" s="33"/>
      <c r="BC595" s="33"/>
      <c r="BD595" s="33"/>
      <c r="BE595" s="33"/>
      <c r="BF595" s="33"/>
      <c r="BG595" s="33"/>
      <c r="BH595" s="33"/>
      <c r="BI595" s="33"/>
      <c r="BJ595" s="33"/>
      <c r="BK595" s="33"/>
      <c r="BL595" s="33"/>
      <c r="BM595" s="33"/>
      <c r="BN595" s="33"/>
      <c r="BO595" s="33"/>
      <c r="BP595" s="33"/>
      <c r="BQ595" s="33"/>
      <c r="BR595" s="33"/>
      <c r="BS595" s="33"/>
      <c r="BT595" s="33"/>
      <c r="BU595" s="33"/>
      <c r="BV595" s="33"/>
      <c r="BW595" s="33"/>
      <c r="BX595" s="33"/>
      <c r="BY595" s="33"/>
      <c r="BZ595" s="33"/>
      <c r="CA595" s="33"/>
      <c r="CB595" s="33"/>
      <c r="CC595" s="33"/>
      <c r="CD595" s="33"/>
    </row>
    <row r="596" spans="1:82" x14ac:dyDescent="0.25">
      <c r="A596" s="32"/>
      <c r="B596" s="32"/>
      <c r="C596" s="32"/>
      <c r="D596" s="32"/>
      <c r="E596" s="32"/>
      <c r="F596" s="32"/>
      <c r="G596" s="32"/>
      <c r="H596" s="32"/>
      <c r="I596" s="32"/>
      <c r="J596" s="32"/>
      <c r="K596" s="32"/>
      <c r="L596" s="32"/>
      <c r="M596" s="32"/>
      <c r="N596" s="32"/>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c r="AS596" s="33"/>
      <c r="AT596" s="33"/>
      <c r="AU596" s="33"/>
      <c r="AV596" s="33"/>
      <c r="AW596" s="33"/>
      <c r="AX596" s="33"/>
      <c r="AY596" s="33"/>
      <c r="AZ596" s="33"/>
      <c r="BA596" s="33"/>
      <c r="BB596" s="33"/>
      <c r="BC596" s="33"/>
      <c r="BD596" s="33"/>
      <c r="BE596" s="33"/>
      <c r="BF596" s="33"/>
      <c r="BG596" s="33"/>
      <c r="BH596" s="33"/>
      <c r="BI596" s="33"/>
      <c r="BJ596" s="33"/>
      <c r="BK596" s="33"/>
      <c r="BL596" s="33"/>
      <c r="BM596" s="33"/>
      <c r="BN596" s="33"/>
      <c r="BO596" s="33"/>
      <c r="BP596" s="33"/>
      <c r="BQ596" s="33"/>
      <c r="BR596" s="33"/>
      <c r="BS596" s="33"/>
      <c r="BT596" s="33"/>
      <c r="BU596" s="33"/>
      <c r="BV596" s="33"/>
      <c r="BW596" s="33"/>
      <c r="BX596" s="33"/>
      <c r="BY596" s="33"/>
      <c r="BZ596" s="33"/>
      <c r="CA596" s="33"/>
      <c r="CB596" s="33"/>
      <c r="CC596" s="33"/>
      <c r="CD596" s="33"/>
    </row>
    <row r="597" spans="1:82" x14ac:dyDescent="0.25">
      <c r="A597" s="32"/>
      <c r="B597" s="32"/>
      <c r="C597" s="32"/>
      <c r="D597" s="32"/>
      <c r="E597" s="32"/>
      <c r="F597" s="32"/>
      <c r="G597" s="32"/>
      <c r="H597" s="32"/>
      <c r="I597" s="32"/>
      <c r="J597" s="32"/>
      <c r="K597" s="32"/>
      <c r="L597" s="32"/>
      <c r="M597" s="32"/>
      <c r="N597" s="32"/>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c r="AS597" s="33"/>
      <c r="AT597" s="33"/>
      <c r="AU597" s="33"/>
      <c r="AV597" s="33"/>
      <c r="AW597" s="33"/>
      <c r="AX597" s="33"/>
      <c r="AY597" s="33"/>
      <c r="AZ597" s="33"/>
      <c r="BA597" s="33"/>
      <c r="BB597" s="33"/>
      <c r="BC597" s="33"/>
      <c r="BD597" s="33"/>
      <c r="BE597" s="33"/>
      <c r="BF597" s="33"/>
      <c r="BG597" s="33"/>
      <c r="BH597" s="33"/>
      <c r="BI597" s="33"/>
      <c r="BJ597" s="33"/>
      <c r="BK597" s="33"/>
      <c r="BL597" s="33"/>
      <c r="BM597" s="33"/>
      <c r="BN597" s="33"/>
      <c r="BO597" s="33"/>
      <c r="BP597" s="33"/>
      <c r="BQ597" s="33"/>
      <c r="BR597" s="33"/>
      <c r="BS597" s="33"/>
      <c r="BT597" s="33"/>
      <c r="BU597" s="33"/>
      <c r="BV597" s="33"/>
      <c r="BW597" s="33"/>
      <c r="BX597" s="33"/>
      <c r="BY597" s="33"/>
      <c r="BZ597" s="33"/>
      <c r="CA597" s="33"/>
      <c r="CB597" s="33"/>
      <c r="CC597" s="33"/>
      <c r="CD597" s="33"/>
    </row>
    <row r="598" spans="1:82" x14ac:dyDescent="0.25">
      <c r="A598" s="32"/>
      <c r="B598" s="32"/>
      <c r="C598" s="32"/>
      <c r="D598" s="32"/>
      <c r="E598" s="32"/>
      <c r="F598" s="32"/>
      <c r="G598" s="32"/>
      <c r="H598" s="32"/>
      <c r="I598" s="32"/>
      <c r="J598" s="32"/>
      <c r="K598" s="32"/>
      <c r="L598" s="32"/>
      <c r="M598" s="32"/>
      <c r="N598" s="32"/>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c r="AS598" s="33"/>
      <c r="AT598" s="33"/>
      <c r="AU598" s="33"/>
      <c r="AV598" s="33"/>
      <c r="AW598" s="33"/>
      <c r="AX598" s="33"/>
      <c r="AY598" s="33"/>
      <c r="AZ598" s="33"/>
      <c r="BA598" s="33"/>
      <c r="BB598" s="33"/>
      <c r="BC598" s="33"/>
      <c r="BD598" s="33"/>
      <c r="BE598" s="33"/>
      <c r="BF598" s="33"/>
      <c r="BG598" s="33"/>
      <c r="BH598" s="33"/>
      <c r="BI598" s="33"/>
      <c r="BJ598" s="33"/>
      <c r="BK598" s="33"/>
      <c r="BL598" s="33"/>
      <c r="BM598" s="33"/>
      <c r="BN598" s="33"/>
      <c r="BO598" s="33"/>
      <c r="BP598" s="33"/>
      <c r="BQ598" s="33"/>
      <c r="BR598" s="33"/>
      <c r="BS598" s="33"/>
      <c r="BT598" s="33"/>
      <c r="BU598" s="33"/>
      <c r="BV598" s="33"/>
      <c r="BW598" s="33"/>
      <c r="BX598" s="33"/>
      <c r="BY598" s="33"/>
      <c r="BZ598" s="33"/>
      <c r="CA598" s="33"/>
      <c r="CB598" s="33"/>
      <c r="CC598" s="33"/>
      <c r="CD598" s="33"/>
    </row>
    <row r="599" spans="1:82" x14ac:dyDescent="0.25">
      <c r="A599" s="32"/>
      <c r="B599" s="32"/>
      <c r="C599" s="32"/>
      <c r="D599" s="32"/>
      <c r="E599" s="32"/>
      <c r="F599" s="32"/>
      <c r="G599" s="32"/>
      <c r="H599" s="32"/>
      <c r="I599" s="32"/>
      <c r="J599" s="32"/>
      <c r="K599" s="32"/>
      <c r="L599" s="32"/>
      <c r="M599" s="32"/>
      <c r="N599" s="32"/>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c r="AS599" s="33"/>
      <c r="AT599" s="33"/>
      <c r="AU599" s="33"/>
      <c r="AV599" s="33"/>
      <c r="AW599" s="33"/>
      <c r="AX599" s="33"/>
      <c r="AY599" s="33"/>
      <c r="AZ599" s="33"/>
      <c r="BA599" s="33"/>
      <c r="BB599" s="33"/>
      <c r="BC599" s="33"/>
      <c r="BD599" s="33"/>
      <c r="BE599" s="33"/>
      <c r="BF599" s="33"/>
      <c r="BG599" s="33"/>
      <c r="BH599" s="33"/>
      <c r="BI599" s="33"/>
      <c r="BJ599" s="33"/>
      <c r="BK599" s="33"/>
      <c r="BL599" s="33"/>
      <c r="BM599" s="33"/>
      <c r="BN599" s="33"/>
      <c r="BO599" s="33"/>
      <c r="BP599" s="33"/>
      <c r="BQ599" s="33"/>
      <c r="BR599" s="33"/>
      <c r="BS599" s="33"/>
      <c r="BT599" s="33"/>
      <c r="BU599" s="33"/>
      <c r="BV599" s="33"/>
      <c r="BW599" s="33"/>
      <c r="BX599" s="33"/>
      <c r="BY599" s="33"/>
      <c r="BZ599" s="33"/>
      <c r="CA599" s="33"/>
      <c r="CB599" s="33"/>
      <c r="CC599" s="33"/>
      <c r="CD599" s="33"/>
    </row>
    <row r="600" spans="1:82" x14ac:dyDescent="0.25">
      <c r="A600" s="32"/>
      <c r="B600" s="32"/>
      <c r="C600" s="32"/>
      <c r="D600" s="32"/>
      <c r="E600" s="32"/>
      <c r="F600" s="32"/>
      <c r="G600" s="32"/>
      <c r="H600" s="32"/>
      <c r="I600" s="32"/>
      <c r="J600" s="32"/>
      <c r="K600" s="32"/>
      <c r="L600" s="32"/>
      <c r="M600" s="32"/>
      <c r="N600" s="32"/>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AZ600" s="33"/>
      <c r="BA600" s="33"/>
      <c r="BB600" s="33"/>
      <c r="BC600" s="33"/>
      <c r="BD600" s="33"/>
      <c r="BE600" s="33"/>
      <c r="BF600" s="33"/>
      <c r="BG600" s="33"/>
      <c r="BH600" s="33"/>
      <c r="BI600" s="33"/>
      <c r="BJ600" s="33"/>
      <c r="BK600" s="33"/>
      <c r="BL600" s="33"/>
      <c r="BM600" s="33"/>
      <c r="BN600" s="33"/>
      <c r="BO600" s="33"/>
      <c r="BP600" s="33"/>
      <c r="BQ600" s="33"/>
      <c r="BR600" s="33"/>
      <c r="BS600" s="33"/>
      <c r="BT600" s="33"/>
      <c r="BU600" s="33"/>
      <c r="BV600" s="33"/>
      <c r="BW600" s="33"/>
      <c r="BX600" s="33"/>
      <c r="BY600" s="33"/>
      <c r="BZ600" s="33"/>
      <c r="CA600" s="33"/>
      <c r="CB600" s="33"/>
      <c r="CC600" s="33"/>
      <c r="CD600" s="33"/>
    </row>
    <row r="601" spans="1:82" x14ac:dyDescent="0.25">
      <c r="A601" s="32"/>
      <c r="B601" s="32"/>
      <c r="C601" s="32"/>
      <c r="D601" s="32"/>
      <c r="E601" s="32"/>
      <c r="F601" s="32"/>
      <c r="G601" s="32"/>
      <c r="H601" s="32"/>
      <c r="I601" s="32"/>
      <c r="J601" s="32"/>
      <c r="K601" s="32"/>
      <c r="L601" s="32"/>
      <c r="M601" s="32"/>
      <c r="N601" s="32"/>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c r="AS601" s="33"/>
      <c r="AT601" s="33"/>
      <c r="AU601" s="33"/>
      <c r="AV601" s="33"/>
      <c r="AW601" s="33"/>
      <c r="AX601" s="33"/>
      <c r="AY601" s="33"/>
      <c r="AZ601" s="33"/>
      <c r="BA601" s="33"/>
      <c r="BB601" s="33"/>
      <c r="BC601" s="33"/>
      <c r="BD601" s="33"/>
      <c r="BE601" s="33"/>
      <c r="BF601" s="33"/>
      <c r="BG601" s="33"/>
      <c r="BH601" s="33"/>
      <c r="BI601" s="33"/>
      <c r="BJ601" s="33"/>
      <c r="BK601" s="33"/>
      <c r="BL601" s="33"/>
      <c r="BM601" s="33"/>
      <c r="BN601" s="33"/>
      <c r="BO601" s="33"/>
      <c r="BP601" s="33"/>
      <c r="BQ601" s="33"/>
      <c r="BR601" s="33"/>
      <c r="BS601" s="33"/>
      <c r="BT601" s="33"/>
      <c r="BU601" s="33"/>
      <c r="BV601" s="33"/>
      <c r="BW601" s="33"/>
      <c r="BX601" s="33"/>
      <c r="BY601" s="33"/>
      <c r="BZ601" s="33"/>
      <c r="CA601" s="33"/>
      <c r="CB601" s="33"/>
      <c r="CC601" s="33"/>
      <c r="CD601" s="33"/>
    </row>
    <row r="602" spans="1:82" x14ac:dyDescent="0.25">
      <c r="A602" s="32"/>
      <c r="B602" s="32"/>
      <c r="C602" s="32"/>
      <c r="D602" s="32"/>
      <c r="E602" s="32"/>
      <c r="F602" s="32"/>
      <c r="G602" s="32"/>
      <c r="H602" s="32"/>
      <c r="I602" s="32"/>
      <c r="J602" s="32"/>
      <c r="K602" s="32"/>
      <c r="L602" s="32"/>
      <c r="M602" s="32"/>
      <c r="N602" s="32"/>
      <c r="O602" s="33"/>
      <c r="P602" s="33"/>
      <c r="Q602" s="33"/>
      <c r="R602" s="33"/>
      <c r="S602" s="33"/>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c r="AQ602" s="33"/>
      <c r="AR602" s="33"/>
      <c r="AS602" s="33"/>
      <c r="AT602" s="33"/>
      <c r="AU602" s="33"/>
      <c r="AV602" s="33"/>
      <c r="AW602" s="33"/>
      <c r="AX602" s="33"/>
      <c r="AY602" s="33"/>
      <c r="AZ602" s="33"/>
      <c r="BA602" s="33"/>
      <c r="BB602" s="33"/>
      <c r="BC602" s="33"/>
      <c r="BD602" s="33"/>
      <c r="BE602" s="33"/>
      <c r="BF602" s="33"/>
      <c r="BG602" s="33"/>
      <c r="BH602" s="33"/>
      <c r="BI602" s="33"/>
      <c r="BJ602" s="33"/>
      <c r="BK602" s="33"/>
      <c r="BL602" s="33"/>
      <c r="BM602" s="33"/>
      <c r="BN602" s="33"/>
      <c r="BO602" s="33"/>
      <c r="BP602" s="33"/>
      <c r="BQ602" s="33"/>
      <c r="BR602" s="33"/>
      <c r="BS602" s="33"/>
      <c r="BT602" s="33"/>
      <c r="BU602" s="33"/>
      <c r="BV602" s="33"/>
      <c r="BW602" s="33"/>
      <c r="BX602" s="33"/>
      <c r="BY602" s="33"/>
      <c r="BZ602" s="33"/>
      <c r="CA602" s="33"/>
      <c r="CB602" s="33"/>
      <c r="CC602" s="33"/>
      <c r="CD602" s="33"/>
    </row>
    <row r="603" spans="1:82" x14ac:dyDescent="0.25">
      <c r="A603" s="32"/>
      <c r="B603" s="32"/>
      <c r="C603" s="32"/>
      <c r="D603" s="32"/>
      <c r="E603" s="32"/>
      <c r="F603" s="32"/>
      <c r="G603" s="32"/>
      <c r="H603" s="32"/>
      <c r="I603" s="32"/>
      <c r="J603" s="32"/>
      <c r="K603" s="32"/>
      <c r="L603" s="32"/>
      <c r="M603" s="32"/>
      <c r="N603" s="32"/>
      <c r="O603" s="33"/>
      <c r="P603" s="33"/>
      <c r="Q603" s="33"/>
      <c r="R603" s="33"/>
      <c r="S603" s="33"/>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c r="AQ603" s="33"/>
      <c r="AR603" s="33"/>
      <c r="AS603" s="33"/>
      <c r="AT603" s="33"/>
      <c r="AU603" s="33"/>
      <c r="AV603" s="33"/>
      <c r="AW603" s="33"/>
      <c r="AX603" s="33"/>
      <c r="AY603" s="33"/>
      <c r="AZ603" s="33"/>
      <c r="BA603" s="33"/>
      <c r="BB603" s="33"/>
      <c r="BC603" s="33"/>
      <c r="BD603" s="33"/>
      <c r="BE603" s="33"/>
      <c r="BF603" s="33"/>
      <c r="BG603" s="33"/>
      <c r="BH603" s="33"/>
      <c r="BI603" s="33"/>
      <c r="BJ603" s="33"/>
      <c r="BK603" s="33"/>
      <c r="BL603" s="33"/>
      <c r="BM603" s="33"/>
      <c r="BN603" s="33"/>
      <c r="BO603" s="33"/>
      <c r="BP603" s="33"/>
      <c r="BQ603" s="33"/>
      <c r="BR603" s="33"/>
      <c r="BS603" s="33"/>
      <c r="BT603" s="33"/>
      <c r="BU603" s="33"/>
      <c r="BV603" s="33"/>
      <c r="BW603" s="33"/>
      <c r="BX603" s="33"/>
      <c r="BY603" s="33"/>
      <c r="BZ603" s="33"/>
      <c r="CA603" s="33"/>
      <c r="CB603" s="33"/>
      <c r="CC603" s="33"/>
      <c r="CD603" s="33"/>
    </row>
    <row r="604" spans="1:82" x14ac:dyDescent="0.25">
      <c r="A604" s="32"/>
      <c r="B604" s="32"/>
      <c r="C604" s="32"/>
      <c r="D604" s="32"/>
      <c r="E604" s="32"/>
      <c r="F604" s="32"/>
      <c r="G604" s="32"/>
      <c r="H604" s="32"/>
      <c r="I604" s="32"/>
      <c r="J604" s="32"/>
      <c r="K604" s="32"/>
      <c r="L604" s="32"/>
      <c r="M604" s="32"/>
      <c r="N604" s="32"/>
      <c r="O604" s="33"/>
      <c r="P604" s="33"/>
      <c r="Q604" s="33"/>
      <c r="R604" s="33"/>
      <c r="S604" s="33"/>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c r="AQ604" s="33"/>
      <c r="AR604" s="33"/>
      <c r="AS604" s="33"/>
      <c r="AT604" s="33"/>
      <c r="AU604" s="33"/>
      <c r="AV604" s="33"/>
      <c r="AW604" s="33"/>
      <c r="AX604" s="33"/>
      <c r="AY604" s="33"/>
      <c r="AZ604" s="33"/>
      <c r="BA604" s="33"/>
      <c r="BB604" s="33"/>
      <c r="BC604" s="33"/>
      <c r="BD604" s="33"/>
      <c r="BE604" s="33"/>
      <c r="BF604" s="33"/>
      <c r="BG604" s="33"/>
      <c r="BH604" s="33"/>
      <c r="BI604" s="33"/>
      <c r="BJ604" s="33"/>
      <c r="BK604" s="33"/>
      <c r="BL604" s="33"/>
      <c r="BM604" s="33"/>
      <c r="BN604" s="33"/>
      <c r="BO604" s="33"/>
      <c r="BP604" s="33"/>
      <c r="BQ604" s="33"/>
      <c r="BR604" s="33"/>
      <c r="BS604" s="33"/>
      <c r="BT604" s="33"/>
      <c r="BU604" s="33"/>
      <c r="BV604" s="33"/>
      <c r="BW604" s="33"/>
      <c r="BX604" s="33"/>
      <c r="BY604" s="33"/>
      <c r="BZ604" s="33"/>
      <c r="CA604" s="33"/>
      <c r="CB604" s="33"/>
      <c r="CC604" s="33"/>
      <c r="CD604" s="33"/>
    </row>
    <row r="605" spans="1:82" x14ac:dyDescent="0.25">
      <c r="A605" s="32"/>
      <c r="B605" s="32"/>
      <c r="C605" s="32"/>
      <c r="D605" s="32"/>
      <c r="E605" s="32"/>
      <c r="F605" s="32"/>
      <c r="G605" s="32"/>
      <c r="H605" s="32"/>
      <c r="I605" s="32"/>
      <c r="J605" s="32"/>
      <c r="K605" s="32"/>
      <c r="L605" s="32"/>
      <c r="M605" s="32"/>
      <c r="N605" s="32"/>
      <c r="O605" s="33"/>
      <c r="P605" s="33"/>
      <c r="Q605" s="33"/>
      <c r="R605" s="33"/>
      <c r="S605" s="33"/>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c r="AQ605" s="33"/>
      <c r="AR605" s="33"/>
      <c r="AS605" s="33"/>
      <c r="AT605" s="33"/>
      <c r="AU605" s="33"/>
      <c r="AV605" s="33"/>
      <c r="AW605" s="33"/>
      <c r="AX605" s="33"/>
      <c r="AY605" s="33"/>
      <c r="AZ605" s="33"/>
      <c r="BA605" s="33"/>
      <c r="BB605" s="33"/>
      <c r="BC605" s="33"/>
      <c r="BD605" s="33"/>
      <c r="BE605" s="33"/>
      <c r="BF605" s="33"/>
      <c r="BG605" s="33"/>
      <c r="BH605" s="33"/>
      <c r="BI605" s="33"/>
      <c r="BJ605" s="33"/>
      <c r="BK605" s="33"/>
      <c r="BL605" s="33"/>
      <c r="BM605" s="33"/>
      <c r="BN605" s="33"/>
      <c r="BO605" s="33"/>
      <c r="BP605" s="33"/>
      <c r="BQ605" s="33"/>
      <c r="BR605" s="33"/>
      <c r="BS605" s="33"/>
      <c r="BT605" s="33"/>
      <c r="BU605" s="33"/>
      <c r="BV605" s="33"/>
      <c r="BW605" s="33"/>
      <c r="BX605" s="33"/>
      <c r="BY605" s="33"/>
      <c r="BZ605" s="33"/>
      <c r="CA605" s="33"/>
      <c r="CB605" s="33"/>
      <c r="CC605" s="33"/>
      <c r="CD605" s="33"/>
    </row>
    <row r="606" spans="1:82" x14ac:dyDescent="0.25">
      <c r="A606" s="32"/>
      <c r="B606" s="32"/>
      <c r="C606" s="32"/>
      <c r="D606" s="32"/>
      <c r="E606" s="32"/>
      <c r="F606" s="32"/>
      <c r="G606" s="32"/>
      <c r="H606" s="32"/>
      <c r="I606" s="32"/>
      <c r="J606" s="32"/>
      <c r="K606" s="32"/>
      <c r="L606" s="32"/>
      <c r="M606" s="32"/>
      <c r="N606" s="32"/>
      <c r="O606" s="33"/>
      <c r="P606" s="33"/>
      <c r="Q606" s="33"/>
      <c r="R606" s="33"/>
      <c r="S606" s="33"/>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c r="AQ606" s="33"/>
      <c r="AR606" s="33"/>
      <c r="AS606" s="33"/>
      <c r="AT606" s="33"/>
      <c r="AU606" s="33"/>
      <c r="AV606" s="33"/>
      <c r="AW606" s="33"/>
      <c r="AX606" s="33"/>
      <c r="AY606" s="33"/>
      <c r="AZ606" s="33"/>
      <c r="BA606" s="33"/>
      <c r="BB606" s="33"/>
      <c r="BC606" s="33"/>
      <c r="BD606" s="33"/>
      <c r="BE606" s="33"/>
      <c r="BF606" s="33"/>
      <c r="BG606" s="33"/>
      <c r="BH606" s="33"/>
      <c r="BI606" s="33"/>
      <c r="BJ606" s="33"/>
      <c r="BK606" s="33"/>
      <c r="BL606" s="33"/>
      <c r="BM606" s="33"/>
      <c r="BN606" s="33"/>
      <c r="BO606" s="33"/>
      <c r="BP606" s="33"/>
      <c r="BQ606" s="33"/>
      <c r="BR606" s="33"/>
      <c r="BS606" s="33"/>
      <c r="BT606" s="33"/>
      <c r="BU606" s="33"/>
      <c r="BV606" s="33"/>
      <c r="BW606" s="33"/>
      <c r="BX606" s="33"/>
      <c r="BY606" s="33"/>
      <c r="BZ606" s="33"/>
      <c r="CA606" s="33"/>
      <c r="CB606" s="33"/>
      <c r="CC606" s="33"/>
      <c r="CD606" s="33"/>
    </row>
    <row r="607" spans="1:82" x14ac:dyDescent="0.25">
      <c r="A607" s="32"/>
      <c r="B607" s="32"/>
      <c r="C607" s="32"/>
      <c r="D607" s="32"/>
      <c r="E607" s="32"/>
      <c r="F607" s="32"/>
      <c r="G607" s="32"/>
      <c r="H607" s="32"/>
      <c r="I607" s="32"/>
      <c r="J607" s="32"/>
      <c r="K607" s="32"/>
      <c r="L607" s="32"/>
      <c r="M607" s="32"/>
      <c r="N607" s="32"/>
      <c r="O607" s="33"/>
      <c r="P607" s="33"/>
      <c r="Q607" s="33"/>
      <c r="R607" s="33"/>
      <c r="S607" s="33"/>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c r="AQ607" s="33"/>
      <c r="AR607" s="33"/>
      <c r="AS607" s="33"/>
      <c r="AT607" s="33"/>
      <c r="AU607" s="33"/>
      <c r="AV607" s="33"/>
      <c r="AW607" s="33"/>
      <c r="AX607" s="33"/>
      <c r="AY607" s="33"/>
      <c r="AZ607" s="33"/>
      <c r="BA607" s="33"/>
      <c r="BB607" s="33"/>
      <c r="BC607" s="33"/>
      <c r="BD607" s="33"/>
      <c r="BE607" s="33"/>
      <c r="BF607" s="33"/>
      <c r="BG607" s="33"/>
      <c r="BH607" s="33"/>
      <c r="BI607" s="33"/>
      <c r="BJ607" s="33"/>
      <c r="BK607" s="33"/>
      <c r="BL607" s="33"/>
      <c r="BM607" s="33"/>
      <c r="BN607" s="33"/>
      <c r="BO607" s="33"/>
      <c r="BP607" s="33"/>
      <c r="BQ607" s="33"/>
      <c r="BR607" s="33"/>
      <c r="BS607" s="33"/>
      <c r="BT607" s="33"/>
      <c r="BU607" s="33"/>
      <c r="BV607" s="33"/>
      <c r="BW607" s="33"/>
      <c r="BX607" s="33"/>
      <c r="BY607" s="33"/>
      <c r="BZ607" s="33"/>
      <c r="CA607" s="33"/>
      <c r="CB607" s="33"/>
      <c r="CC607" s="33"/>
      <c r="CD607" s="33"/>
    </row>
    <row r="608" spans="1:82" x14ac:dyDescent="0.25">
      <c r="A608" s="32"/>
      <c r="B608" s="32"/>
      <c r="C608" s="32"/>
      <c r="D608" s="32"/>
      <c r="E608" s="32"/>
      <c r="F608" s="32"/>
      <c r="G608" s="32"/>
      <c r="H608" s="32"/>
      <c r="I608" s="32"/>
      <c r="J608" s="32"/>
      <c r="K608" s="32"/>
      <c r="L608" s="32"/>
      <c r="M608" s="32"/>
      <c r="N608" s="32"/>
      <c r="O608" s="33"/>
      <c r="P608" s="33"/>
      <c r="Q608" s="33"/>
      <c r="R608" s="33"/>
      <c r="S608" s="33"/>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c r="AQ608" s="33"/>
      <c r="AR608" s="33"/>
      <c r="AS608" s="33"/>
      <c r="AT608" s="33"/>
      <c r="AU608" s="33"/>
      <c r="AV608" s="33"/>
      <c r="AW608" s="33"/>
      <c r="AX608" s="33"/>
      <c r="AY608" s="33"/>
      <c r="AZ608" s="33"/>
      <c r="BA608" s="33"/>
      <c r="BB608" s="33"/>
      <c r="BC608" s="33"/>
      <c r="BD608" s="33"/>
      <c r="BE608" s="33"/>
      <c r="BF608" s="33"/>
      <c r="BG608" s="33"/>
      <c r="BH608" s="33"/>
      <c r="BI608" s="33"/>
      <c r="BJ608" s="33"/>
      <c r="BK608" s="33"/>
      <c r="BL608" s="33"/>
      <c r="BM608" s="33"/>
      <c r="BN608" s="33"/>
      <c r="BO608" s="33"/>
      <c r="BP608" s="33"/>
      <c r="BQ608" s="33"/>
      <c r="BR608" s="33"/>
      <c r="BS608" s="33"/>
      <c r="BT608" s="33"/>
      <c r="BU608" s="33"/>
      <c r="BV608" s="33"/>
      <c r="BW608" s="33"/>
      <c r="BX608" s="33"/>
      <c r="BY608" s="33"/>
      <c r="BZ608" s="33"/>
      <c r="CA608" s="33"/>
      <c r="CB608" s="33"/>
      <c r="CC608" s="33"/>
      <c r="CD608" s="33"/>
    </row>
    <row r="609" spans="1:82" x14ac:dyDescent="0.25">
      <c r="A609" s="32"/>
      <c r="B609" s="32"/>
      <c r="C609" s="32"/>
      <c r="D609" s="32"/>
      <c r="E609" s="32"/>
      <c r="F609" s="32"/>
      <c r="G609" s="32"/>
      <c r="H609" s="32"/>
      <c r="I609" s="32"/>
      <c r="J609" s="32"/>
      <c r="K609" s="32"/>
      <c r="L609" s="32"/>
      <c r="M609" s="32"/>
      <c r="N609" s="32"/>
      <c r="O609" s="33"/>
      <c r="P609" s="33"/>
      <c r="Q609" s="33"/>
      <c r="R609" s="33"/>
      <c r="S609" s="33"/>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c r="AQ609" s="33"/>
      <c r="AR609" s="33"/>
      <c r="AS609" s="33"/>
      <c r="AT609" s="33"/>
      <c r="AU609" s="33"/>
      <c r="AV609" s="33"/>
      <c r="AW609" s="33"/>
      <c r="AX609" s="33"/>
      <c r="AY609" s="33"/>
      <c r="AZ609" s="33"/>
      <c r="BA609" s="33"/>
      <c r="BB609" s="33"/>
      <c r="BC609" s="33"/>
      <c r="BD609" s="33"/>
      <c r="BE609" s="33"/>
      <c r="BF609" s="33"/>
      <c r="BG609" s="33"/>
      <c r="BH609" s="33"/>
      <c r="BI609" s="33"/>
      <c r="BJ609" s="33"/>
      <c r="BK609" s="33"/>
      <c r="BL609" s="33"/>
      <c r="BM609" s="33"/>
      <c r="BN609" s="33"/>
      <c r="BO609" s="33"/>
      <c r="BP609" s="33"/>
      <c r="BQ609" s="33"/>
      <c r="BR609" s="33"/>
      <c r="BS609" s="33"/>
      <c r="BT609" s="33"/>
      <c r="BU609" s="33"/>
      <c r="BV609" s="33"/>
      <c r="BW609" s="33"/>
      <c r="BX609" s="33"/>
      <c r="BY609" s="33"/>
      <c r="BZ609" s="33"/>
      <c r="CA609" s="33"/>
      <c r="CB609" s="33"/>
      <c r="CC609" s="33"/>
      <c r="CD609" s="33"/>
    </row>
    <row r="610" spans="1:82" x14ac:dyDescent="0.25">
      <c r="A610" s="32"/>
      <c r="B610" s="32"/>
      <c r="C610" s="32"/>
      <c r="D610" s="32"/>
      <c r="E610" s="32"/>
      <c r="F610" s="32"/>
      <c r="G610" s="32"/>
      <c r="H610" s="32"/>
      <c r="I610" s="32"/>
      <c r="J610" s="32"/>
      <c r="K610" s="32"/>
      <c r="L610" s="32"/>
      <c r="M610" s="32"/>
      <c r="N610" s="32"/>
      <c r="O610" s="33"/>
      <c r="P610" s="33"/>
      <c r="Q610" s="33"/>
      <c r="R610" s="33"/>
      <c r="S610" s="33"/>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c r="AQ610" s="33"/>
      <c r="AR610" s="33"/>
      <c r="AS610" s="33"/>
      <c r="AT610" s="33"/>
      <c r="AU610" s="33"/>
      <c r="AV610" s="33"/>
      <c r="AW610" s="33"/>
      <c r="AX610" s="33"/>
      <c r="AY610" s="33"/>
      <c r="AZ610" s="33"/>
      <c r="BA610" s="33"/>
      <c r="BB610" s="33"/>
      <c r="BC610" s="33"/>
      <c r="BD610" s="33"/>
      <c r="BE610" s="33"/>
      <c r="BF610" s="33"/>
      <c r="BG610" s="33"/>
      <c r="BH610" s="33"/>
      <c r="BI610" s="33"/>
      <c r="BJ610" s="33"/>
      <c r="BK610" s="33"/>
      <c r="BL610" s="33"/>
      <c r="BM610" s="33"/>
      <c r="BN610" s="33"/>
      <c r="BO610" s="33"/>
      <c r="BP610" s="33"/>
      <c r="BQ610" s="33"/>
      <c r="BR610" s="33"/>
      <c r="BS610" s="33"/>
      <c r="BT610" s="33"/>
      <c r="BU610" s="33"/>
      <c r="BV610" s="33"/>
      <c r="BW610" s="33"/>
      <c r="BX610" s="33"/>
      <c r="BY610" s="33"/>
      <c r="BZ610" s="33"/>
      <c r="CA610" s="33"/>
      <c r="CB610" s="33"/>
      <c r="CC610" s="33"/>
      <c r="CD610" s="33"/>
    </row>
    <row r="611" spans="1:82" x14ac:dyDescent="0.25">
      <c r="A611" s="32"/>
      <c r="B611" s="32"/>
      <c r="C611" s="32"/>
      <c r="D611" s="32"/>
      <c r="E611" s="32"/>
      <c r="F611" s="32"/>
      <c r="G611" s="32"/>
      <c r="H611" s="32"/>
      <c r="I611" s="32"/>
      <c r="J611" s="32"/>
      <c r="K611" s="32"/>
      <c r="L611" s="32"/>
      <c r="M611" s="32"/>
      <c r="N611" s="32"/>
      <c r="O611" s="33"/>
      <c r="P611" s="33"/>
      <c r="Q611" s="33"/>
      <c r="R611" s="33"/>
      <c r="S611" s="33"/>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c r="AQ611" s="33"/>
      <c r="AR611" s="33"/>
      <c r="AS611" s="33"/>
      <c r="AT611" s="33"/>
      <c r="AU611" s="33"/>
      <c r="AV611" s="33"/>
      <c r="AW611" s="33"/>
      <c r="AX611" s="33"/>
      <c r="AY611" s="33"/>
      <c r="AZ611" s="33"/>
      <c r="BA611" s="33"/>
      <c r="BB611" s="33"/>
      <c r="BC611" s="33"/>
      <c r="BD611" s="33"/>
      <c r="BE611" s="33"/>
      <c r="BF611" s="33"/>
      <c r="BG611" s="33"/>
      <c r="BH611" s="33"/>
      <c r="BI611" s="33"/>
      <c r="BJ611" s="33"/>
      <c r="BK611" s="33"/>
      <c r="BL611" s="33"/>
      <c r="BM611" s="33"/>
      <c r="BN611" s="33"/>
      <c r="BO611" s="33"/>
      <c r="BP611" s="33"/>
      <c r="BQ611" s="33"/>
      <c r="BR611" s="33"/>
      <c r="BS611" s="33"/>
      <c r="BT611" s="33"/>
      <c r="BU611" s="33"/>
      <c r="BV611" s="33"/>
      <c r="BW611" s="33"/>
      <c r="BX611" s="33"/>
      <c r="BY611" s="33"/>
      <c r="BZ611" s="33"/>
      <c r="CA611" s="33"/>
      <c r="CB611" s="33"/>
      <c r="CC611" s="33"/>
      <c r="CD611" s="33"/>
    </row>
    <row r="612" spans="1:82" x14ac:dyDescent="0.25">
      <c r="A612" s="32"/>
      <c r="B612" s="32"/>
      <c r="C612" s="32"/>
      <c r="D612" s="32"/>
      <c r="E612" s="32"/>
      <c r="F612" s="32"/>
      <c r="G612" s="32"/>
      <c r="H612" s="32"/>
      <c r="I612" s="32"/>
      <c r="J612" s="32"/>
      <c r="K612" s="32"/>
      <c r="L612" s="32"/>
      <c r="M612" s="32"/>
      <c r="N612" s="32"/>
      <c r="O612" s="33"/>
      <c r="P612" s="33"/>
      <c r="Q612" s="33"/>
      <c r="R612" s="33"/>
      <c r="S612" s="33"/>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c r="AQ612" s="33"/>
      <c r="AR612" s="33"/>
      <c r="AS612" s="33"/>
      <c r="AT612" s="33"/>
      <c r="AU612" s="33"/>
      <c r="AV612" s="33"/>
      <c r="AW612" s="33"/>
      <c r="AX612" s="33"/>
      <c r="AY612" s="33"/>
      <c r="AZ612" s="33"/>
      <c r="BA612" s="33"/>
      <c r="BB612" s="33"/>
      <c r="BC612" s="33"/>
      <c r="BD612" s="33"/>
      <c r="BE612" s="33"/>
      <c r="BF612" s="33"/>
      <c r="BG612" s="33"/>
      <c r="BH612" s="33"/>
      <c r="BI612" s="33"/>
      <c r="BJ612" s="33"/>
      <c r="BK612" s="33"/>
      <c r="BL612" s="33"/>
      <c r="BM612" s="33"/>
      <c r="BN612" s="33"/>
      <c r="BO612" s="33"/>
      <c r="BP612" s="33"/>
      <c r="BQ612" s="33"/>
      <c r="BR612" s="33"/>
      <c r="BS612" s="33"/>
      <c r="BT612" s="33"/>
      <c r="BU612" s="33"/>
      <c r="BV612" s="33"/>
      <c r="BW612" s="33"/>
      <c r="BX612" s="33"/>
      <c r="BY612" s="33"/>
      <c r="BZ612" s="33"/>
      <c r="CA612" s="33"/>
      <c r="CB612" s="33"/>
      <c r="CC612" s="33"/>
      <c r="CD612" s="33"/>
    </row>
    <row r="613" spans="1:82" x14ac:dyDescent="0.25">
      <c r="A613" s="32"/>
      <c r="B613" s="32"/>
      <c r="C613" s="32"/>
      <c r="D613" s="32"/>
      <c r="E613" s="32"/>
      <c r="F613" s="32"/>
      <c r="G613" s="32"/>
      <c r="H613" s="32"/>
      <c r="I613" s="32"/>
      <c r="J613" s="32"/>
      <c r="K613" s="32"/>
      <c r="L613" s="32"/>
      <c r="M613" s="32"/>
      <c r="N613" s="32"/>
      <c r="O613" s="33"/>
      <c r="P613" s="33"/>
      <c r="Q613" s="33"/>
      <c r="R613" s="33"/>
      <c r="S613" s="33"/>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c r="AQ613" s="33"/>
      <c r="AR613" s="33"/>
      <c r="AS613" s="33"/>
      <c r="AT613" s="33"/>
      <c r="AU613" s="33"/>
      <c r="AV613" s="33"/>
      <c r="AW613" s="33"/>
      <c r="AX613" s="33"/>
      <c r="AY613" s="33"/>
      <c r="AZ613" s="33"/>
      <c r="BA613" s="33"/>
      <c r="BB613" s="33"/>
      <c r="BC613" s="33"/>
      <c r="BD613" s="33"/>
      <c r="BE613" s="33"/>
      <c r="BF613" s="33"/>
      <c r="BG613" s="33"/>
      <c r="BH613" s="33"/>
      <c r="BI613" s="33"/>
      <c r="BJ613" s="33"/>
      <c r="BK613" s="33"/>
      <c r="BL613" s="33"/>
      <c r="BM613" s="33"/>
      <c r="BN613" s="33"/>
      <c r="BO613" s="33"/>
      <c r="BP613" s="33"/>
      <c r="BQ613" s="33"/>
      <c r="BR613" s="33"/>
      <c r="BS613" s="33"/>
      <c r="BT613" s="33"/>
      <c r="BU613" s="33"/>
      <c r="BV613" s="33"/>
      <c r="BW613" s="33"/>
      <c r="BX613" s="33"/>
      <c r="BY613" s="33"/>
      <c r="BZ613" s="33"/>
      <c r="CA613" s="33"/>
      <c r="CB613" s="33"/>
      <c r="CC613" s="33"/>
      <c r="CD613" s="33"/>
    </row>
    <row r="614" spans="1:82" x14ac:dyDescent="0.25">
      <c r="A614" s="32"/>
      <c r="B614" s="32"/>
      <c r="C614" s="32"/>
      <c r="D614" s="32"/>
      <c r="E614" s="32"/>
      <c r="F614" s="32"/>
      <c r="G614" s="32"/>
      <c r="H614" s="32"/>
      <c r="I614" s="32"/>
      <c r="J614" s="32"/>
      <c r="K614" s="32"/>
      <c r="L614" s="32"/>
      <c r="M614" s="32"/>
      <c r="N614" s="32"/>
      <c r="O614" s="33"/>
      <c r="P614" s="33"/>
      <c r="Q614" s="33"/>
      <c r="R614" s="33"/>
      <c r="S614" s="33"/>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c r="AQ614" s="33"/>
      <c r="AR614" s="33"/>
      <c r="AS614" s="33"/>
      <c r="AT614" s="33"/>
      <c r="AU614" s="33"/>
      <c r="AV614" s="33"/>
      <c r="AW614" s="33"/>
      <c r="AX614" s="33"/>
      <c r="AY614" s="33"/>
      <c r="AZ614" s="33"/>
      <c r="BA614" s="33"/>
      <c r="BB614" s="33"/>
      <c r="BC614" s="33"/>
      <c r="BD614" s="33"/>
      <c r="BE614" s="33"/>
      <c r="BF614" s="33"/>
      <c r="BG614" s="33"/>
      <c r="BH614" s="33"/>
      <c r="BI614" s="33"/>
      <c r="BJ614" s="33"/>
      <c r="BK614" s="33"/>
      <c r="BL614" s="33"/>
      <c r="BM614" s="33"/>
      <c r="BN614" s="33"/>
      <c r="BO614" s="33"/>
      <c r="BP614" s="33"/>
      <c r="BQ614" s="33"/>
      <c r="BR614" s="33"/>
      <c r="BS614" s="33"/>
      <c r="BT614" s="33"/>
      <c r="BU614" s="33"/>
      <c r="BV614" s="33"/>
      <c r="BW614" s="33"/>
      <c r="BX614" s="33"/>
      <c r="BY614" s="33"/>
      <c r="BZ614" s="33"/>
      <c r="CA614" s="33"/>
      <c r="CB614" s="33"/>
      <c r="CC614" s="33"/>
      <c r="CD614" s="33"/>
    </row>
    <row r="615" spans="1:82" x14ac:dyDescent="0.25">
      <c r="A615" s="32"/>
      <c r="B615" s="32"/>
      <c r="C615" s="32"/>
      <c r="D615" s="32"/>
      <c r="E615" s="32"/>
      <c r="F615" s="32"/>
      <c r="G615" s="32"/>
      <c r="H615" s="32"/>
      <c r="I615" s="32"/>
      <c r="J615" s="32"/>
      <c r="K615" s="32"/>
      <c r="L615" s="32"/>
      <c r="M615" s="32"/>
      <c r="N615" s="32"/>
      <c r="O615" s="33"/>
      <c r="P615" s="33"/>
      <c r="Q615" s="33"/>
      <c r="R615" s="33"/>
      <c r="S615" s="33"/>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c r="AQ615" s="33"/>
      <c r="AR615" s="33"/>
      <c r="AS615" s="33"/>
      <c r="AT615" s="33"/>
      <c r="AU615" s="33"/>
      <c r="AV615" s="33"/>
      <c r="AW615" s="33"/>
      <c r="AX615" s="33"/>
      <c r="AY615" s="33"/>
      <c r="AZ615" s="33"/>
      <c r="BA615" s="33"/>
      <c r="BB615" s="33"/>
      <c r="BC615" s="33"/>
      <c r="BD615" s="33"/>
      <c r="BE615" s="33"/>
      <c r="BF615" s="33"/>
      <c r="BG615" s="33"/>
      <c r="BH615" s="33"/>
      <c r="BI615" s="33"/>
      <c r="BJ615" s="33"/>
      <c r="BK615" s="33"/>
      <c r="BL615" s="33"/>
      <c r="BM615" s="33"/>
      <c r="BN615" s="33"/>
      <c r="BO615" s="33"/>
      <c r="BP615" s="33"/>
      <c r="BQ615" s="33"/>
      <c r="BR615" s="33"/>
      <c r="BS615" s="33"/>
      <c r="BT615" s="33"/>
      <c r="BU615" s="33"/>
      <c r="BV615" s="33"/>
      <c r="BW615" s="33"/>
      <c r="BX615" s="33"/>
      <c r="BY615" s="33"/>
      <c r="BZ615" s="33"/>
      <c r="CA615" s="33"/>
      <c r="CB615" s="33"/>
      <c r="CC615" s="33"/>
      <c r="CD615" s="33"/>
    </row>
    <row r="616" spans="1:82" x14ac:dyDescent="0.25">
      <c r="A616" s="32"/>
      <c r="B616" s="32"/>
      <c r="C616" s="32"/>
      <c r="D616" s="32"/>
      <c r="E616" s="32"/>
      <c r="F616" s="32"/>
      <c r="G616" s="32"/>
      <c r="H616" s="32"/>
      <c r="I616" s="32"/>
      <c r="J616" s="32"/>
      <c r="K616" s="32"/>
      <c r="L616" s="32"/>
      <c r="M616" s="32"/>
      <c r="N616" s="32"/>
      <c r="O616" s="33"/>
      <c r="P616" s="33"/>
      <c r="Q616" s="33"/>
      <c r="R616" s="33"/>
      <c r="S616" s="33"/>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c r="AQ616" s="33"/>
      <c r="AR616" s="33"/>
      <c r="AS616" s="33"/>
      <c r="AT616" s="33"/>
      <c r="AU616" s="33"/>
      <c r="AV616" s="33"/>
      <c r="AW616" s="33"/>
      <c r="AX616" s="33"/>
      <c r="AY616" s="33"/>
      <c r="AZ616" s="33"/>
      <c r="BA616" s="33"/>
      <c r="BB616" s="33"/>
      <c r="BC616" s="33"/>
      <c r="BD616" s="33"/>
      <c r="BE616" s="33"/>
      <c r="BF616" s="33"/>
      <c r="BG616" s="33"/>
      <c r="BH616" s="33"/>
      <c r="BI616" s="33"/>
      <c r="BJ616" s="33"/>
      <c r="BK616" s="33"/>
      <c r="BL616" s="33"/>
      <c r="BM616" s="33"/>
      <c r="BN616" s="33"/>
      <c r="BO616" s="33"/>
      <c r="BP616" s="33"/>
      <c r="BQ616" s="33"/>
      <c r="BR616" s="33"/>
      <c r="BS616" s="33"/>
      <c r="BT616" s="33"/>
      <c r="BU616" s="33"/>
      <c r="BV616" s="33"/>
      <c r="BW616" s="33"/>
      <c r="BX616" s="33"/>
      <c r="BY616" s="33"/>
      <c r="BZ616" s="33"/>
      <c r="CA616" s="33"/>
      <c r="CB616" s="33"/>
      <c r="CC616" s="33"/>
      <c r="CD616" s="33"/>
    </row>
    <row r="617" spans="1:82" x14ac:dyDescent="0.25">
      <c r="A617" s="32"/>
      <c r="B617" s="32"/>
      <c r="C617" s="32"/>
      <c r="D617" s="32"/>
      <c r="E617" s="32"/>
      <c r="F617" s="32"/>
      <c r="G617" s="32"/>
      <c r="H617" s="32"/>
      <c r="I617" s="32"/>
      <c r="J617" s="32"/>
      <c r="K617" s="32"/>
      <c r="L617" s="32"/>
      <c r="M617" s="32"/>
      <c r="N617" s="32"/>
      <c r="O617" s="33"/>
      <c r="P617" s="33"/>
      <c r="Q617" s="33"/>
      <c r="R617" s="33"/>
      <c r="S617" s="33"/>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c r="AQ617" s="33"/>
      <c r="AR617" s="33"/>
      <c r="AS617" s="33"/>
      <c r="AT617" s="33"/>
      <c r="AU617" s="33"/>
      <c r="AV617" s="33"/>
      <c r="AW617" s="33"/>
      <c r="AX617" s="33"/>
      <c r="AY617" s="33"/>
      <c r="AZ617" s="33"/>
      <c r="BA617" s="33"/>
      <c r="BB617" s="33"/>
      <c r="BC617" s="33"/>
      <c r="BD617" s="33"/>
      <c r="BE617" s="33"/>
      <c r="BF617" s="33"/>
      <c r="BG617" s="33"/>
      <c r="BH617" s="33"/>
      <c r="BI617" s="33"/>
      <c r="BJ617" s="33"/>
      <c r="BK617" s="33"/>
      <c r="BL617" s="33"/>
      <c r="BM617" s="33"/>
      <c r="BN617" s="33"/>
      <c r="BO617" s="33"/>
      <c r="BP617" s="33"/>
      <c r="BQ617" s="33"/>
      <c r="BR617" s="33"/>
      <c r="BS617" s="33"/>
      <c r="BT617" s="33"/>
      <c r="BU617" s="33"/>
      <c r="BV617" s="33"/>
      <c r="BW617" s="33"/>
      <c r="BX617" s="33"/>
      <c r="BY617" s="33"/>
      <c r="BZ617" s="33"/>
      <c r="CA617" s="33"/>
      <c r="CB617" s="33"/>
      <c r="CC617" s="33"/>
      <c r="CD617" s="33"/>
    </row>
    <row r="618" spans="1:82" x14ac:dyDescent="0.25">
      <c r="A618" s="32"/>
      <c r="B618" s="32"/>
      <c r="C618" s="32"/>
      <c r="D618" s="32"/>
      <c r="E618" s="32"/>
      <c r="F618" s="32"/>
      <c r="G618" s="32"/>
      <c r="H618" s="32"/>
      <c r="I618" s="32"/>
      <c r="J618" s="32"/>
      <c r="K618" s="32"/>
      <c r="L618" s="32"/>
      <c r="M618" s="32"/>
      <c r="N618" s="32"/>
      <c r="O618" s="33"/>
      <c r="P618" s="33"/>
      <c r="Q618" s="33"/>
      <c r="R618" s="33"/>
      <c r="S618" s="33"/>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c r="AQ618" s="33"/>
      <c r="AR618" s="33"/>
      <c r="AS618" s="33"/>
      <c r="AT618" s="33"/>
      <c r="AU618" s="33"/>
      <c r="AV618" s="33"/>
      <c r="AW618" s="33"/>
      <c r="AX618" s="33"/>
      <c r="AY618" s="33"/>
      <c r="AZ618" s="33"/>
      <c r="BA618" s="33"/>
      <c r="BB618" s="33"/>
      <c r="BC618" s="33"/>
      <c r="BD618" s="33"/>
      <c r="BE618" s="33"/>
      <c r="BF618" s="33"/>
      <c r="BG618" s="33"/>
      <c r="BH618" s="33"/>
      <c r="BI618" s="33"/>
      <c r="BJ618" s="33"/>
      <c r="BK618" s="33"/>
      <c r="BL618" s="33"/>
      <c r="BM618" s="33"/>
      <c r="BN618" s="33"/>
      <c r="BO618" s="33"/>
      <c r="BP618" s="33"/>
      <c r="BQ618" s="33"/>
      <c r="BR618" s="33"/>
      <c r="BS618" s="33"/>
      <c r="BT618" s="33"/>
      <c r="BU618" s="33"/>
      <c r="BV618" s="33"/>
      <c r="BW618" s="33"/>
      <c r="BX618" s="33"/>
      <c r="BY618" s="33"/>
      <c r="BZ618" s="33"/>
      <c r="CA618" s="33"/>
      <c r="CB618" s="33"/>
      <c r="CC618" s="33"/>
      <c r="CD618" s="33"/>
    </row>
    <row r="619" spans="1:82" x14ac:dyDescent="0.25">
      <c r="A619" s="32"/>
      <c r="B619" s="32"/>
      <c r="C619" s="32"/>
      <c r="D619" s="32"/>
      <c r="E619" s="32"/>
      <c r="F619" s="32"/>
      <c r="G619" s="32"/>
      <c r="H619" s="32"/>
      <c r="I619" s="32"/>
      <c r="J619" s="32"/>
      <c r="K619" s="32"/>
      <c r="L619" s="32"/>
      <c r="M619" s="32"/>
      <c r="N619" s="32"/>
      <c r="O619" s="33"/>
      <c r="P619" s="33"/>
      <c r="Q619" s="33"/>
      <c r="R619" s="33"/>
      <c r="S619" s="33"/>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c r="AQ619" s="33"/>
      <c r="AR619" s="33"/>
      <c r="AS619" s="33"/>
      <c r="AT619" s="33"/>
      <c r="AU619" s="33"/>
      <c r="AV619" s="33"/>
      <c r="AW619" s="33"/>
      <c r="AX619" s="33"/>
      <c r="AY619" s="33"/>
      <c r="AZ619" s="33"/>
      <c r="BA619" s="33"/>
      <c r="BB619" s="33"/>
      <c r="BC619" s="33"/>
      <c r="BD619" s="33"/>
      <c r="BE619" s="33"/>
      <c r="BF619" s="33"/>
      <c r="BG619" s="33"/>
      <c r="BH619" s="33"/>
      <c r="BI619" s="33"/>
      <c r="BJ619" s="33"/>
      <c r="BK619" s="33"/>
      <c r="BL619" s="33"/>
      <c r="BM619" s="33"/>
      <c r="BN619" s="33"/>
      <c r="BO619" s="33"/>
      <c r="BP619" s="33"/>
      <c r="BQ619" s="33"/>
      <c r="BR619" s="33"/>
      <c r="BS619" s="33"/>
      <c r="BT619" s="33"/>
      <c r="BU619" s="33"/>
      <c r="BV619" s="33"/>
      <c r="BW619" s="33"/>
      <c r="BX619" s="33"/>
      <c r="BY619" s="33"/>
      <c r="BZ619" s="33"/>
      <c r="CA619" s="33"/>
      <c r="CB619" s="33"/>
      <c r="CC619" s="33"/>
      <c r="CD619" s="33"/>
    </row>
    <row r="620" spans="1:82" x14ac:dyDescent="0.25">
      <c r="A620" s="32"/>
      <c r="B620" s="32"/>
      <c r="C620" s="32"/>
      <c r="D620" s="32"/>
      <c r="E620" s="32"/>
      <c r="F620" s="32"/>
      <c r="G620" s="32"/>
      <c r="H620" s="32"/>
      <c r="I620" s="32"/>
      <c r="J620" s="32"/>
      <c r="K620" s="32"/>
      <c r="L620" s="32"/>
      <c r="M620" s="32"/>
      <c r="N620" s="32"/>
      <c r="O620" s="33"/>
      <c r="P620" s="33"/>
      <c r="Q620" s="33"/>
      <c r="R620" s="33"/>
      <c r="S620" s="33"/>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c r="AQ620" s="33"/>
      <c r="AR620" s="33"/>
      <c r="AS620" s="33"/>
      <c r="AT620" s="33"/>
      <c r="AU620" s="33"/>
      <c r="AV620" s="33"/>
      <c r="AW620" s="33"/>
      <c r="AX620" s="33"/>
      <c r="AY620" s="33"/>
      <c r="AZ620" s="33"/>
      <c r="BA620" s="33"/>
      <c r="BB620" s="33"/>
      <c r="BC620" s="33"/>
      <c r="BD620" s="33"/>
      <c r="BE620" s="33"/>
      <c r="BF620" s="33"/>
      <c r="BG620" s="33"/>
      <c r="BH620" s="33"/>
      <c r="BI620" s="33"/>
      <c r="BJ620" s="33"/>
      <c r="BK620" s="33"/>
      <c r="BL620" s="33"/>
      <c r="BM620" s="33"/>
      <c r="BN620" s="33"/>
      <c r="BO620" s="33"/>
      <c r="BP620" s="33"/>
      <c r="BQ620" s="33"/>
      <c r="BR620" s="33"/>
      <c r="BS620" s="33"/>
      <c r="BT620" s="33"/>
      <c r="BU620" s="33"/>
      <c r="BV620" s="33"/>
      <c r="BW620" s="33"/>
      <c r="BX620" s="33"/>
      <c r="BY620" s="33"/>
      <c r="BZ620" s="33"/>
      <c r="CA620" s="33"/>
      <c r="CB620" s="33"/>
      <c r="CC620" s="33"/>
      <c r="CD620" s="33"/>
    </row>
    <row r="621" spans="1:82" x14ac:dyDescent="0.25">
      <c r="A621" s="32"/>
      <c r="B621" s="32"/>
      <c r="C621" s="32"/>
      <c r="D621" s="32"/>
      <c r="E621" s="32"/>
      <c r="F621" s="32"/>
      <c r="G621" s="32"/>
      <c r="H621" s="32"/>
      <c r="I621" s="32"/>
      <c r="J621" s="32"/>
      <c r="K621" s="32"/>
      <c r="L621" s="32"/>
      <c r="M621" s="32"/>
      <c r="N621" s="32"/>
      <c r="O621" s="33"/>
      <c r="P621" s="33"/>
      <c r="Q621" s="33"/>
      <c r="R621" s="33"/>
      <c r="S621" s="33"/>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c r="AQ621" s="33"/>
      <c r="AR621" s="33"/>
      <c r="AS621" s="33"/>
      <c r="AT621" s="33"/>
      <c r="AU621" s="33"/>
      <c r="AV621" s="33"/>
      <c r="AW621" s="33"/>
      <c r="AX621" s="33"/>
      <c r="AY621" s="33"/>
      <c r="AZ621" s="33"/>
      <c r="BA621" s="33"/>
      <c r="BB621" s="33"/>
      <c r="BC621" s="33"/>
      <c r="BD621" s="33"/>
      <c r="BE621" s="33"/>
      <c r="BF621" s="33"/>
      <c r="BG621" s="33"/>
      <c r="BH621" s="33"/>
      <c r="BI621" s="33"/>
      <c r="BJ621" s="33"/>
      <c r="BK621" s="33"/>
      <c r="BL621" s="33"/>
      <c r="BM621" s="33"/>
      <c r="BN621" s="33"/>
      <c r="BO621" s="33"/>
      <c r="BP621" s="33"/>
      <c r="BQ621" s="33"/>
      <c r="BR621" s="33"/>
      <c r="BS621" s="33"/>
      <c r="BT621" s="33"/>
      <c r="BU621" s="33"/>
      <c r="BV621" s="33"/>
      <c r="BW621" s="33"/>
      <c r="BX621" s="33"/>
      <c r="BY621" s="33"/>
      <c r="BZ621" s="33"/>
      <c r="CA621" s="33"/>
      <c r="CB621" s="33"/>
      <c r="CC621" s="33"/>
      <c r="CD621" s="33"/>
    </row>
    <row r="622" spans="1:82" x14ac:dyDescent="0.25">
      <c r="A622" s="32"/>
      <c r="B622" s="32"/>
      <c r="C622" s="32"/>
      <c r="D622" s="32"/>
      <c r="E622" s="32"/>
      <c r="F622" s="32"/>
      <c r="G622" s="32"/>
      <c r="H622" s="32"/>
      <c r="I622" s="32"/>
      <c r="J622" s="32"/>
      <c r="K622" s="32"/>
      <c r="L622" s="32"/>
      <c r="M622" s="32"/>
      <c r="N622" s="32"/>
      <c r="O622" s="33"/>
      <c r="P622" s="33"/>
      <c r="Q622" s="33"/>
      <c r="R622" s="33"/>
      <c r="S622" s="33"/>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c r="AQ622" s="33"/>
      <c r="AR622" s="33"/>
      <c r="AS622" s="33"/>
      <c r="AT622" s="33"/>
      <c r="AU622" s="33"/>
      <c r="AV622" s="33"/>
      <c r="AW622" s="33"/>
      <c r="AX622" s="33"/>
      <c r="AY622" s="33"/>
      <c r="AZ622" s="33"/>
      <c r="BA622" s="33"/>
      <c r="BB622" s="33"/>
      <c r="BC622" s="33"/>
      <c r="BD622" s="33"/>
      <c r="BE622" s="33"/>
      <c r="BF622" s="33"/>
      <c r="BG622" s="33"/>
      <c r="BH622" s="33"/>
      <c r="BI622" s="33"/>
      <c r="BJ622" s="33"/>
      <c r="BK622" s="33"/>
      <c r="BL622" s="33"/>
      <c r="BM622" s="33"/>
      <c r="BN622" s="33"/>
      <c r="BO622" s="33"/>
      <c r="BP622" s="33"/>
      <c r="BQ622" s="33"/>
      <c r="BR622" s="33"/>
      <c r="BS622" s="33"/>
      <c r="BT622" s="33"/>
      <c r="BU622" s="33"/>
      <c r="BV622" s="33"/>
      <c r="BW622" s="33"/>
      <c r="BX622" s="33"/>
      <c r="BY622" s="33"/>
      <c r="BZ622" s="33"/>
      <c r="CA622" s="33"/>
      <c r="CB622" s="33"/>
      <c r="CC622" s="33"/>
      <c r="CD622" s="33"/>
    </row>
    <row r="623" spans="1:82" x14ac:dyDescent="0.25">
      <c r="A623" s="32"/>
      <c r="B623" s="32"/>
      <c r="C623" s="32"/>
      <c r="D623" s="32"/>
      <c r="E623" s="32"/>
      <c r="F623" s="32"/>
      <c r="G623" s="32"/>
      <c r="H623" s="32"/>
      <c r="I623" s="32"/>
      <c r="J623" s="32"/>
      <c r="K623" s="32"/>
      <c r="L623" s="32"/>
      <c r="M623" s="32"/>
      <c r="N623" s="32"/>
      <c r="O623" s="33"/>
      <c r="P623" s="33"/>
      <c r="Q623" s="33"/>
      <c r="R623" s="33"/>
      <c r="S623" s="33"/>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c r="AQ623" s="33"/>
      <c r="AR623" s="33"/>
      <c r="AS623" s="33"/>
      <c r="AT623" s="33"/>
      <c r="AU623" s="33"/>
      <c r="AV623" s="33"/>
      <c r="AW623" s="33"/>
      <c r="AX623" s="33"/>
      <c r="AY623" s="33"/>
      <c r="AZ623" s="33"/>
      <c r="BA623" s="33"/>
      <c r="BB623" s="33"/>
      <c r="BC623" s="33"/>
      <c r="BD623" s="33"/>
      <c r="BE623" s="33"/>
      <c r="BF623" s="33"/>
      <c r="BG623" s="33"/>
      <c r="BH623" s="33"/>
      <c r="BI623" s="33"/>
      <c r="BJ623" s="33"/>
      <c r="BK623" s="33"/>
      <c r="BL623" s="33"/>
      <c r="BM623" s="33"/>
      <c r="BN623" s="33"/>
      <c r="BO623" s="33"/>
      <c r="BP623" s="33"/>
      <c r="BQ623" s="33"/>
      <c r="BR623" s="33"/>
      <c r="BS623" s="33"/>
      <c r="BT623" s="33"/>
      <c r="BU623" s="33"/>
      <c r="BV623" s="33"/>
      <c r="BW623" s="33"/>
      <c r="BX623" s="33"/>
      <c r="BY623" s="33"/>
      <c r="BZ623" s="33"/>
      <c r="CA623" s="33"/>
      <c r="CB623" s="33"/>
      <c r="CC623" s="33"/>
      <c r="CD623" s="33"/>
    </row>
    <row r="624" spans="1:82" x14ac:dyDescent="0.25">
      <c r="A624" s="32"/>
      <c r="B624" s="32"/>
      <c r="C624" s="32"/>
      <c r="D624" s="32"/>
      <c r="E624" s="32"/>
      <c r="F624" s="32"/>
      <c r="G624" s="32"/>
      <c r="H624" s="32"/>
      <c r="I624" s="32"/>
      <c r="J624" s="32"/>
      <c r="K624" s="32"/>
      <c r="L624" s="32"/>
      <c r="M624" s="32"/>
      <c r="N624" s="32"/>
      <c r="O624" s="33"/>
      <c r="P624" s="33"/>
      <c r="Q624" s="33"/>
      <c r="R624" s="33"/>
      <c r="S624" s="33"/>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c r="AQ624" s="33"/>
      <c r="AR624" s="33"/>
      <c r="AS624" s="33"/>
      <c r="AT624" s="33"/>
      <c r="AU624" s="33"/>
      <c r="AV624" s="33"/>
      <c r="AW624" s="33"/>
      <c r="AX624" s="33"/>
      <c r="AY624" s="33"/>
      <c r="AZ624" s="33"/>
      <c r="BA624" s="33"/>
      <c r="BB624" s="33"/>
      <c r="BC624" s="33"/>
      <c r="BD624" s="33"/>
      <c r="BE624" s="33"/>
      <c r="BF624" s="33"/>
      <c r="BG624" s="33"/>
      <c r="BH624" s="33"/>
      <c r="BI624" s="33"/>
      <c r="BJ624" s="33"/>
      <c r="BK624" s="33"/>
      <c r="BL624" s="33"/>
      <c r="BM624" s="33"/>
      <c r="BN624" s="33"/>
      <c r="BO624" s="33"/>
      <c r="BP624" s="33"/>
      <c r="BQ624" s="33"/>
      <c r="BR624" s="33"/>
      <c r="BS624" s="33"/>
      <c r="BT624" s="33"/>
      <c r="BU624" s="33"/>
      <c r="BV624" s="33"/>
      <c r="BW624" s="33"/>
      <c r="BX624" s="33"/>
      <c r="BY624" s="33"/>
      <c r="BZ624" s="33"/>
      <c r="CA624" s="33"/>
      <c r="CB624" s="33"/>
      <c r="CC624" s="33"/>
      <c r="CD624" s="33"/>
    </row>
    <row r="625" spans="1:82" x14ac:dyDescent="0.25">
      <c r="A625" s="32"/>
      <c r="B625" s="32"/>
      <c r="C625" s="32"/>
      <c r="D625" s="32"/>
      <c r="E625" s="32"/>
      <c r="F625" s="32"/>
      <c r="G625" s="32"/>
      <c r="H625" s="32"/>
      <c r="I625" s="32"/>
      <c r="J625" s="32"/>
      <c r="K625" s="32"/>
      <c r="L625" s="32"/>
      <c r="M625" s="32"/>
      <c r="N625" s="32"/>
      <c r="O625" s="33"/>
      <c r="P625" s="33"/>
      <c r="Q625" s="33"/>
      <c r="R625" s="33"/>
      <c r="S625" s="33"/>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c r="AQ625" s="33"/>
      <c r="AR625" s="33"/>
      <c r="AS625" s="33"/>
      <c r="AT625" s="33"/>
      <c r="AU625" s="33"/>
      <c r="AV625" s="33"/>
      <c r="AW625" s="33"/>
      <c r="AX625" s="33"/>
      <c r="AY625" s="33"/>
      <c r="AZ625" s="33"/>
      <c r="BA625" s="33"/>
      <c r="BB625" s="33"/>
      <c r="BC625" s="33"/>
      <c r="BD625" s="33"/>
      <c r="BE625" s="33"/>
      <c r="BF625" s="33"/>
      <c r="BG625" s="33"/>
      <c r="BH625" s="33"/>
      <c r="BI625" s="33"/>
      <c r="BJ625" s="33"/>
      <c r="BK625" s="33"/>
      <c r="BL625" s="33"/>
      <c r="BM625" s="33"/>
      <c r="BN625" s="33"/>
      <c r="BO625" s="33"/>
      <c r="BP625" s="33"/>
      <c r="BQ625" s="33"/>
      <c r="BR625" s="33"/>
      <c r="BS625" s="33"/>
      <c r="BT625" s="33"/>
      <c r="BU625" s="33"/>
      <c r="BV625" s="33"/>
      <c r="BW625" s="33"/>
      <c r="BX625" s="33"/>
      <c r="BY625" s="33"/>
      <c r="BZ625" s="33"/>
      <c r="CA625" s="33"/>
      <c r="CB625" s="33"/>
      <c r="CC625" s="33"/>
      <c r="CD625" s="33"/>
    </row>
    <row r="626" spans="1:82" x14ac:dyDescent="0.25">
      <c r="A626" s="32"/>
      <c r="B626" s="32"/>
      <c r="C626" s="32"/>
      <c r="D626" s="32"/>
      <c r="E626" s="32"/>
      <c r="F626" s="32"/>
      <c r="G626" s="32"/>
      <c r="H626" s="32"/>
      <c r="I626" s="32"/>
      <c r="J626" s="32"/>
      <c r="K626" s="32"/>
      <c r="L626" s="32"/>
      <c r="M626" s="32"/>
      <c r="N626" s="32"/>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row>
  </sheetData>
  <sheetProtection algorithmName="SHA-512" hashValue="aCFpGa6WT6CcV1K4BF8M4E70DybTXrJlmZg2q0FxT1vsRCMxI2OHPI+bDUL7vO1/yhMr3rZDI/mqq4b84teetg==" saltValue="6u6i1QWkVlrInLbjrL3zvA==" spinCount="100000" sheet="1" objects="1" scenarios="1" selectLockedCells="1"/>
  <mergeCells count="40">
    <mergeCell ref="A126:B126"/>
    <mergeCell ref="C126:M126"/>
    <mergeCell ref="M107:M108"/>
    <mergeCell ref="A79:A80"/>
    <mergeCell ref="B79:B80"/>
    <mergeCell ref="C79:C80"/>
    <mergeCell ref="D79:F79"/>
    <mergeCell ref="G79:I79"/>
    <mergeCell ref="K79:K80"/>
    <mergeCell ref="L79:L80"/>
    <mergeCell ref="M79:M80"/>
    <mergeCell ref="A240:M242"/>
    <mergeCell ref="M54:M55"/>
    <mergeCell ref="A54:A55"/>
    <mergeCell ref="B54:B55"/>
    <mergeCell ref="C54:C55"/>
    <mergeCell ref="D54:F54"/>
    <mergeCell ref="G54:I54"/>
    <mergeCell ref="K54:K55"/>
    <mergeCell ref="L54:L55"/>
    <mergeCell ref="A107:A108"/>
    <mergeCell ref="B107:B108"/>
    <mergeCell ref="C107:C108"/>
    <mergeCell ref="D107:F107"/>
    <mergeCell ref="G107:I107"/>
    <mergeCell ref="K107:K108"/>
    <mergeCell ref="L107:L108"/>
    <mergeCell ref="M14:M15"/>
    <mergeCell ref="A4:B4"/>
    <mergeCell ref="A14:A15"/>
    <mergeCell ref="B14:B15"/>
    <mergeCell ref="K14:K15"/>
    <mergeCell ref="L14:L15"/>
    <mergeCell ref="C14:C15"/>
    <mergeCell ref="D14:F14"/>
    <mergeCell ref="G14:I14"/>
    <mergeCell ref="J4:M4"/>
    <mergeCell ref="A7:A8"/>
    <mergeCell ref="B7:B8"/>
    <mergeCell ref="A13:M13"/>
  </mergeCells>
  <phoneticPr fontId="1" type="noConversion"/>
  <dataValidations xWindow="286" yWindow="336" count="3">
    <dataValidation allowBlank="1" showInputMessage="1" showErrorMessage="1" promptTitle="設計項數：" prompt="請填入要申請設計專利的「相似設計」的總項數。" sqref="B5" xr:uid="{00000000-0002-0000-0200-000000000000}"/>
    <dataValidation allowBlank="1" showInputMessage="1" showErrorMessage="1" promptTitle="總圖數：" prompt="請填入要申請設計的圖面總數。" sqref="B6" xr:uid="{2320B54C-EA05-40F8-8634-4643F4BC3B55}"/>
    <dataValidation allowBlank="1" showInputMessage="1" showErrorMessage="1" prompt="各地設計案都順利獲准後之證書數量總和。" sqref="B11" xr:uid="{CA650649-5DC5-404D-85F6-9CFAB124F31B}"/>
  </dataValidations>
  <printOptions horizontalCentered="1"/>
  <pageMargins left="0.70866141732283472" right="0.70866141732283472" top="0.74803149606299213" bottom="0.39370078740157483" header="0.31496062992125984" footer="0.31496062992125984"/>
  <pageSetup paperSize="9" scale="54" fitToHeight="0" orientation="portrait" r:id="rId1"/>
  <headerFooter alignWithMargins="0">
    <oddHeader>&amp;C&amp;G&amp;R&amp;"微軟正黑體,標準"Patent Your Future!&amp;X®</oddHeader>
    <oddFooter>&amp;L&amp;"標楷體,標準"《IP Winner．慧幫你盈®》&amp;C&amp;"標楷體,標準"第 &amp;P 頁，共 &amp;N 頁&amp;R&amp;"標楷體,標準"V2026.09</oddFooter>
  </headerFooter>
  <rowBreaks count="2" manualBreakCount="2">
    <brk id="76" max="12" man="1"/>
    <brk id="157" max="12"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224" r:id="rId5" name="Check Box 152">
              <controlPr defaultSize="0" autoFill="0" autoLine="0" autoPict="0" altText="官方費用">
                <anchor moveWithCells="1">
                  <from>
                    <xdr:col>5</xdr:col>
                    <xdr:colOff>19050</xdr:colOff>
                    <xdr:row>5</xdr:row>
                    <xdr:rowOff>47625</xdr:rowOff>
                  </from>
                  <to>
                    <xdr:col>5</xdr:col>
                    <xdr:colOff>895350</xdr:colOff>
                    <xdr:row>5</xdr:row>
                    <xdr:rowOff>190500</xdr:rowOff>
                  </to>
                </anchor>
              </controlPr>
            </control>
          </mc:Choice>
        </mc:AlternateContent>
        <mc:AlternateContent xmlns:mc="http://schemas.openxmlformats.org/markup-compatibility/2006">
          <mc:Choice Requires="x14">
            <control shapeId="3225" r:id="rId6" name="Check Box 153">
              <controlPr defaultSize="0" autoFill="0" autoLine="0" autoPict="0" altText="官方費用">
                <anchor moveWithCells="1">
                  <from>
                    <xdr:col>5</xdr:col>
                    <xdr:colOff>19050</xdr:colOff>
                    <xdr:row>6</xdr:row>
                    <xdr:rowOff>47625</xdr:rowOff>
                  </from>
                  <to>
                    <xdr:col>5</xdr:col>
                    <xdr:colOff>895350</xdr:colOff>
                    <xdr:row>6</xdr:row>
                    <xdr:rowOff>190500</xdr:rowOff>
                  </to>
                </anchor>
              </controlPr>
            </control>
          </mc:Choice>
        </mc:AlternateContent>
        <mc:AlternateContent xmlns:mc="http://schemas.openxmlformats.org/markup-compatibility/2006">
          <mc:Choice Requires="x14">
            <control shapeId="3227" r:id="rId7" name="Check Box 155">
              <controlPr defaultSize="0" autoFill="0" autoLine="0" autoPict="0" altText="官方費用">
                <anchor moveWithCells="1">
                  <from>
                    <xdr:col>5</xdr:col>
                    <xdr:colOff>19050</xdr:colOff>
                    <xdr:row>7</xdr:row>
                    <xdr:rowOff>38100</xdr:rowOff>
                  </from>
                  <to>
                    <xdr:col>5</xdr:col>
                    <xdr:colOff>895350</xdr:colOff>
                    <xdr:row>7</xdr:row>
                    <xdr:rowOff>190500</xdr:rowOff>
                  </to>
                </anchor>
              </controlPr>
            </control>
          </mc:Choice>
        </mc:AlternateContent>
        <mc:AlternateContent xmlns:mc="http://schemas.openxmlformats.org/markup-compatibility/2006">
          <mc:Choice Requires="x14">
            <control shapeId="3293" r:id="rId8" name="Check Box 221">
              <controlPr defaultSize="0" autoFill="0" autoLine="0" autoPict="0" altText="官方費用">
                <anchor moveWithCells="1">
                  <from>
                    <xdr:col>4</xdr:col>
                    <xdr:colOff>38100</xdr:colOff>
                    <xdr:row>5</xdr:row>
                    <xdr:rowOff>47625</xdr:rowOff>
                  </from>
                  <to>
                    <xdr:col>4</xdr:col>
                    <xdr:colOff>809625</xdr:colOff>
                    <xdr:row>5</xdr:row>
                    <xdr:rowOff>190500</xdr:rowOff>
                  </to>
                </anchor>
              </controlPr>
            </control>
          </mc:Choice>
        </mc:AlternateContent>
        <mc:AlternateContent xmlns:mc="http://schemas.openxmlformats.org/markup-compatibility/2006">
          <mc:Choice Requires="x14">
            <control shapeId="3294" r:id="rId9" name="Check Box 222">
              <controlPr defaultSize="0" autoFill="0" autoLine="0" autoPict="0" altText="官方費用">
                <anchor moveWithCells="1">
                  <from>
                    <xdr:col>4</xdr:col>
                    <xdr:colOff>38100</xdr:colOff>
                    <xdr:row>6</xdr:row>
                    <xdr:rowOff>47625</xdr:rowOff>
                  </from>
                  <to>
                    <xdr:col>4</xdr:col>
                    <xdr:colOff>809625</xdr:colOff>
                    <xdr:row>6</xdr:row>
                    <xdr:rowOff>190500</xdr:rowOff>
                  </to>
                </anchor>
              </controlPr>
            </control>
          </mc:Choice>
        </mc:AlternateContent>
        <mc:AlternateContent xmlns:mc="http://schemas.openxmlformats.org/markup-compatibility/2006">
          <mc:Choice Requires="x14">
            <control shapeId="3295" r:id="rId10" name="Check Box 223">
              <controlPr defaultSize="0" autoFill="0" autoLine="0" autoPict="0" altText="官方費用">
                <anchor moveWithCells="1">
                  <from>
                    <xdr:col>4</xdr:col>
                    <xdr:colOff>38100</xdr:colOff>
                    <xdr:row>7</xdr:row>
                    <xdr:rowOff>38100</xdr:rowOff>
                  </from>
                  <to>
                    <xdr:col>4</xdr:col>
                    <xdr:colOff>809625</xdr:colOff>
                    <xdr:row>7</xdr:row>
                    <xdr:rowOff>180975</xdr:rowOff>
                  </to>
                </anchor>
              </controlPr>
            </control>
          </mc:Choice>
        </mc:AlternateContent>
        <mc:AlternateContent xmlns:mc="http://schemas.openxmlformats.org/markup-compatibility/2006">
          <mc:Choice Requires="x14">
            <control shapeId="3296" r:id="rId11" name="Check Box 224">
              <controlPr defaultSize="0" autoFill="0" autoLine="0" autoPict="0" altText="官方費用">
                <anchor moveWithCells="1">
                  <from>
                    <xdr:col>4</xdr:col>
                    <xdr:colOff>38100</xdr:colOff>
                    <xdr:row>8</xdr:row>
                    <xdr:rowOff>47625</xdr:rowOff>
                  </from>
                  <to>
                    <xdr:col>4</xdr:col>
                    <xdr:colOff>809625</xdr:colOff>
                    <xdr:row>8</xdr:row>
                    <xdr:rowOff>190500</xdr:rowOff>
                  </to>
                </anchor>
              </controlPr>
            </control>
          </mc:Choice>
        </mc:AlternateContent>
        <mc:AlternateContent xmlns:mc="http://schemas.openxmlformats.org/markup-compatibility/2006">
          <mc:Choice Requires="x14">
            <control shapeId="3346" r:id="rId12" name="Option Button 274">
              <controlPr defaultSize="0" autoFill="0" autoLine="0" autoPict="0">
                <anchor moveWithCells="1">
                  <from>
                    <xdr:col>3</xdr:col>
                    <xdr:colOff>76200</xdr:colOff>
                    <xdr:row>125</xdr:row>
                    <xdr:rowOff>19050</xdr:rowOff>
                  </from>
                  <to>
                    <xdr:col>4</xdr:col>
                    <xdr:colOff>123825</xdr:colOff>
                    <xdr:row>125</xdr:row>
                    <xdr:rowOff>247650</xdr:rowOff>
                  </to>
                </anchor>
              </controlPr>
            </control>
          </mc:Choice>
        </mc:AlternateContent>
        <mc:AlternateContent xmlns:mc="http://schemas.openxmlformats.org/markup-compatibility/2006">
          <mc:Choice Requires="x14">
            <control shapeId="3347" r:id="rId13" name="Option Button 275">
              <controlPr defaultSize="0" autoFill="0" autoLine="0" autoPict="0">
                <anchor moveWithCells="1">
                  <from>
                    <xdr:col>4</xdr:col>
                    <xdr:colOff>247650</xdr:colOff>
                    <xdr:row>125</xdr:row>
                    <xdr:rowOff>19050</xdr:rowOff>
                  </from>
                  <to>
                    <xdr:col>4</xdr:col>
                    <xdr:colOff>742950</xdr:colOff>
                    <xdr:row>125</xdr:row>
                    <xdr:rowOff>247650</xdr:rowOff>
                  </to>
                </anchor>
              </controlPr>
            </control>
          </mc:Choice>
        </mc:AlternateContent>
        <mc:AlternateContent xmlns:mc="http://schemas.openxmlformats.org/markup-compatibility/2006">
          <mc:Choice Requires="x14">
            <control shapeId="3348" r:id="rId14" name="Option Button 276">
              <controlPr defaultSize="0" autoFill="0" autoLine="0" autoPict="0">
                <anchor moveWithCells="1">
                  <from>
                    <xdr:col>4</xdr:col>
                    <xdr:colOff>857250</xdr:colOff>
                    <xdr:row>125</xdr:row>
                    <xdr:rowOff>19050</xdr:rowOff>
                  </from>
                  <to>
                    <xdr:col>5</xdr:col>
                    <xdr:colOff>314325</xdr:colOff>
                    <xdr:row>125</xdr:row>
                    <xdr:rowOff>247650</xdr:rowOff>
                  </to>
                </anchor>
              </controlPr>
            </control>
          </mc:Choice>
        </mc:AlternateContent>
        <mc:AlternateContent xmlns:mc="http://schemas.openxmlformats.org/markup-compatibility/2006">
          <mc:Choice Requires="x14">
            <control shapeId="3351" r:id="rId15" name="Option Button 279">
              <controlPr defaultSize="0" autoFill="0" autoLine="0" autoPict="0">
                <anchor moveWithCells="1">
                  <from>
                    <xdr:col>5</xdr:col>
                    <xdr:colOff>409575</xdr:colOff>
                    <xdr:row>125</xdr:row>
                    <xdr:rowOff>19050</xdr:rowOff>
                  </from>
                  <to>
                    <xdr:col>5</xdr:col>
                    <xdr:colOff>904875</xdr:colOff>
                    <xdr:row>125</xdr:row>
                    <xdr:rowOff>247650</xdr:rowOff>
                  </to>
                </anchor>
              </controlPr>
            </control>
          </mc:Choice>
        </mc:AlternateContent>
        <mc:AlternateContent xmlns:mc="http://schemas.openxmlformats.org/markup-compatibility/2006">
          <mc:Choice Requires="x14">
            <control shapeId="3352" r:id="rId16" name="Option Button 280">
              <controlPr defaultSize="0" autoFill="0" autoLine="0" autoPict="0">
                <anchor moveWithCells="1">
                  <from>
                    <xdr:col>5</xdr:col>
                    <xdr:colOff>1019175</xdr:colOff>
                    <xdr:row>125</xdr:row>
                    <xdr:rowOff>19050</xdr:rowOff>
                  </from>
                  <to>
                    <xdr:col>7</xdr:col>
                    <xdr:colOff>28575</xdr:colOff>
                    <xdr:row>125</xdr:row>
                    <xdr:rowOff>247650</xdr:rowOff>
                  </to>
                </anchor>
              </controlPr>
            </control>
          </mc:Choice>
        </mc:AlternateContent>
        <mc:AlternateContent xmlns:mc="http://schemas.openxmlformats.org/markup-compatibility/2006">
          <mc:Choice Requires="x14">
            <control shapeId="3372" r:id="rId17" name="Option Button 300">
              <controlPr defaultSize="0" autoFill="0" autoLine="0" autoPict="0">
                <anchor moveWithCells="1">
                  <from>
                    <xdr:col>7</xdr:col>
                    <xdr:colOff>161925</xdr:colOff>
                    <xdr:row>125</xdr:row>
                    <xdr:rowOff>19050</xdr:rowOff>
                  </from>
                  <to>
                    <xdr:col>7</xdr:col>
                    <xdr:colOff>657225</xdr:colOff>
                    <xdr:row>125</xdr:row>
                    <xdr:rowOff>247650</xdr:rowOff>
                  </to>
                </anchor>
              </controlPr>
            </control>
          </mc:Choice>
        </mc:AlternateContent>
        <mc:AlternateContent xmlns:mc="http://schemas.openxmlformats.org/markup-compatibility/2006">
          <mc:Choice Requires="x14">
            <control shapeId="3373" r:id="rId18" name="Option Button 301">
              <controlPr defaultSize="0" autoFill="0" autoLine="0" autoPict="0">
                <anchor moveWithCells="1">
                  <from>
                    <xdr:col>7</xdr:col>
                    <xdr:colOff>752475</xdr:colOff>
                    <xdr:row>125</xdr:row>
                    <xdr:rowOff>19050</xdr:rowOff>
                  </from>
                  <to>
                    <xdr:col>8</xdr:col>
                    <xdr:colOff>219075</xdr:colOff>
                    <xdr:row>125</xdr:row>
                    <xdr:rowOff>247650</xdr:rowOff>
                  </to>
                </anchor>
              </controlPr>
            </control>
          </mc:Choice>
        </mc:AlternateContent>
        <mc:AlternateContent xmlns:mc="http://schemas.openxmlformats.org/markup-compatibility/2006">
          <mc:Choice Requires="x14">
            <control shapeId="3374" r:id="rId19" name="Option Button 302">
              <controlPr defaultSize="0" autoFill="0" autoLine="0" autoPict="0">
                <anchor moveWithCells="1">
                  <from>
                    <xdr:col>8</xdr:col>
                    <xdr:colOff>333375</xdr:colOff>
                    <xdr:row>125</xdr:row>
                    <xdr:rowOff>19050</xdr:rowOff>
                  </from>
                  <to>
                    <xdr:col>8</xdr:col>
                    <xdr:colOff>828675</xdr:colOff>
                    <xdr:row>125</xdr:row>
                    <xdr:rowOff>247650</xdr:rowOff>
                  </to>
                </anchor>
              </controlPr>
            </control>
          </mc:Choice>
        </mc:AlternateContent>
        <mc:AlternateContent xmlns:mc="http://schemas.openxmlformats.org/markup-compatibility/2006">
          <mc:Choice Requires="x14">
            <control shapeId="3375" r:id="rId20" name="Option Button 303">
              <controlPr defaultSize="0" autoFill="0" autoLine="0" autoPict="0">
                <anchor moveWithCells="1">
                  <from>
                    <xdr:col>8</xdr:col>
                    <xdr:colOff>933450</xdr:colOff>
                    <xdr:row>125</xdr:row>
                    <xdr:rowOff>19050</xdr:rowOff>
                  </from>
                  <to>
                    <xdr:col>9</xdr:col>
                    <xdr:colOff>390525</xdr:colOff>
                    <xdr:row>125</xdr:row>
                    <xdr:rowOff>247650</xdr:rowOff>
                  </to>
                </anchor>
              </controlPr>
            </control>
          </mc:Choice>
        </mc:AlternateContent>
        <mc:AlternateContent xmlns:mc="http://schemas.openxmlformats.org/markup-compatibility/2006">
          <mc:Choice Requires="x14">
            <control shapeId="3376" r:id="rId21" name="Option Button 304">
              <controlPr defaultSize="0" autoFill="0" autoLine="0" autoPict="0">
                <anchor moveWithCells="1">
                  <from>
                    <xdr:col>9</xdr:col>
                    <xdr:colOff>514350</xdr:colOff>
                    <xdr:row>125</xdr:row>
                    <xdr:rowOff>19050</xdr:rowOff>
                  </from>
                  <to>
                    <xdr:col>9</xdr:col>
                    <xdr:colOff>1009650</xdr:colOff>
                    <xdr:row>125</xdr:row>
                    <xdr:rowOff>247650</xdr:rowOff>
                  </to>
                </anchor>
              </controlPr>
            </control>
          </mc:Choice>
        </mc:AlternateContent>
        <mc:AlternateContent xmlns:mc="http://schemas.openxmlformats.org/markup-compatibility/2006">
          <mc:Choice Requires="x14">
            <control shapeId="3377" r:id="rId22" name="Option Button 305">
              <controlPr defaultSize="0" autoFill="0" autoLine="0" autoPict="0">
                <anchor moveWithCells="1">
                  <from>
                    <xdr:col>10</xdr:col>
                    <xdr:colOff>95250</xdr:colOff>
                    <xdr:row>125</xdr:row>
                    <xdr:rowOff>19050</xdr:rowOff>
                  </from>
                  <to>
                    <xdr:col>10</xdr:col>
                    <xdr:colOff>590550</xdr:colOff>
                    <xdr:row>125</xdr:row>
                    <xdr:rowOff>247650</xdr:rowOff>
                  </to>
                </anchor>
              </controlPr>
            </control>
          </mc:Choice>
        </mc:AlternateContent>
        <mc:AlternateContent xmlns:mc="http://schemas.openxmlformats.org/markup-compatibility/2006">
          <mc:Choice Requires="x14">
            <control shapeId="3378" r:id="rId23" name="Option Button 306">
              <controlPr defaultSize="0" autoFill="0" autoLine="0" autoPict="0">
                <anchor moveWithCells="1">
                  <from>
                    <xdr:col>10</xdr:col>
                    <xdr:colOff>695325</xdr:colOff>
                    <xdr:row>125</xdr:row>
                    <xdr:rowOff>19050</xdr:rowOff>
                  </from>
                  <to>
                    <xdr:col>11</xdr:col>
                    <xdr:colOff>152400</xdr:colOff>
                    <xdr:row>125</xdr:row>
                    <xdr:rowOff>247650</xdr:rowOff>
                  </to>
                </anchor>
              </controlPr>
            </control>
          </mc:Choice>
        </mc:AlternateContent>
        <mc:AlternateContent xmlns:mc="http://schemas.openxmlformats.org/markup-compatibility/2006">
          <mc:Choice Requires="x14">
            <control shapeId="3379" r:id="rId24" name="Option Button 307">
              <controlPr defaultSize="0" autoFill="0" autoLine="0" autoPict="0">
                <anchor moveWithCells="1">
                  <from>
                    <xdr:col>11</xdr:col>
                    <xdr:colOff>257175</xdr:colOff>
                    <xdr:row>125</xdr:row>
                    <xdr:rowOff>19050</xdr:rowOff>
                  </from>
                  <to>
                    <xdr:col>11</xdr:col>
                    <xdr:colOff>752475</xdr:colOff>
                    <xdr:row>125</xdr:row>
                    <xdr:rowOff>247650</xdr:rowOff>
                  </to>
                </anchor>
              </controlPr>
            </control>
          </mc:Choice>
        </mc:AlternateContent>
        <mc:AlternateContent xmlns:mc="http://schemas.openxmlformats.org/markup-compatibility/2006">
          <mc:Choice Requires="x14">
            <control shapeId="3380" r:id="rId25" name="Option Button 308">
              <controlPr defaultSize="0" autoFill="0" autoLine="0" autoPict="0">
                <anchor moveWithCells="1">
                  <from>
                    <xdr:col>11</xdr:col>
                    <xdr:colOff>866775</xdr:colOff>
                    <xdr:row>125</xdr:row>
                    <xdr:rowOff>19050</xdr:rowOff>
                  </from>
                  <to>
                    <xdr:col>12</xdr:col>
                    <xdr:colOff>47625</xdr:colOff>
                    <xdr:row>125</xdr:row>
                    <xdr:rowOff>247650</xdr:rowOff>
                  </to>
                </anchor>
              </controlPr>
            </control>
          </mc:Choice>
        </mc:AlternateContent>
        <mc:AlternateContent xmlns:mc="http://schemas.openxmlformats.org/markup-compatibility/2006">
          <mc:Choice Requires="x14">
            <control shapeId="3381" r:id="rId26" name="Option Button 309">
              <controlPr defaultSize="0" autoFill="0" autoLine="0" autoPict="0">
                <anchor moveWithCells="1">
                  <from>
                    <xdr:col>12</xdr:col>
                    <xdr:colOff>161925</xdr:colOff>
                    <xdr:row>125</xdr:row>
                    <xdr:rowOff>19050</xdr:rowOff>
                  </from>
                  <to>
                    <xdr:col>12</xdr:col>
                    <xdr:colOff>657225</xdr:colOff>
                    <xdr:row>125</xdr:row>
                    <xdr:rowOff>247650</xdr:rowOff>
                  </to>
                </anchor>
              </controlPr>
            </control>
          </mc:Choice>
        </mc:AlternateContent>
        <mc:AlternateContent xmlns:mc="http://schemas.openxmlformats.org/markup-compatibility/2006">
          <mc:Choice Requires="x14">
            <control shapeId="3382" r:id="rId27" name="Option Button 310">
              <controlPr defaultSize="0" autoFill="0" autoLine="0" autoPict="0">
                <anchor moveWithCells="1">
                  <from>
                    <xdr:col>3</xdr:col>
                    <xdr:colOff>76200</xdr:colOff>
                    <xdr:row>125</xdr:row>
                    <xdr:rowOff>257175</xdr:rowOff>
                  </from>
                  <to>
                    <xdr:col>4</xdr:col>
                    <xdr:colOff>123825</xdr:colOff>
                    <xdr:row>125</xdr:row>
                    <xdr:rowOff>485775</xdr:rowOff>
                  </to>
                </anchor>
              </controlPr>
            </control>
          </mc:Choice>
        </mc:AlternateContent>
        <mc:AlternateContent xmlns:mc="http://schemas.openxmlformats.org/markup-compatibility/2006">
          <mc:Choice Requires="x14">
            <control shapeId="3383" r:id="rId28" name="Option Button 311">
              <controlPr defaultSize="0" autoFill="0" autoLine="0" autoPict="0">
                <anchor moveWithCells="1">
                  <from>
                    <xdr:col>4</xdr:col>
                    <xdr:colOff>247650</xdr:colOff>
                    <xdr:row>125</xdr:row>
                    <xdr:rowOff>257175</xdr:rowOff>
                  </from>
                  <to>
                    <xdr:col>4</xdr:col>
                    <xdr:colOff>742950</xdr:colOff>
                    <xdr:row>125</xdr:row>
                    <xdr:rowOff>485775</xdr:rowOff>
                  </to>
                </anchor>
              </controlPr>
            </control>
          </mc:Choice>
        </mc:AlternateContent>
        <mc:AlternateContent xmlns:mc="http://schemas.openxmlformats.org/markup-compatibility/2006">
          <mc:Choice Requires="x14">
            <control shapeId="3384" r:id="rId29" name="Option Button 312">
              <controlPr defaultSize="0" autoFill="0" autoLine="0" autoPict="0">
                <anchor moveWithCells="1">
                  <from>
                    <xdr:col>4</xdr:col>
                    <xdr:colOff>847725</xdr:colOff>
                    <xdr:row>125</xdr:row>
                    <xdr:rowOff>257175</xdr:rowOff>
                  </from>
                  <to>
                    <xdr:col>5</xdr:col>
                    <xdr:colOff>304800</xdr:colOff>
                    <xdr:row>125</xdr:row>
                    <xdr:rowOff>485775</xdr:rowOff>
                  </to>
                </anchor>
              </controlPr>
            </control>
          </mc:Choice>
        </mc:AlternateContent>
        <mc:AlternateContent xmlns:mc="http://schemas.openxmlformats.org/markup-compatibility/2006">
          <mc:Choice Requires="x14">
            <control shapeId="3385" r:id="rId30" name="Option Button 313">
              <controlPr defaultSize="0" autoFill="0" autoLine="0" autoPict="0">
                <anchor moveWithCells="1">
                  <from>
                    <xdr:col>5</xdr:col>
                    <xdr:colOff>409575</xdr:colOff>
                    <xdr:row>125</xdr:row>
                    <xdr:rowOff>257175</xdr:rowOff>
                  </from>
                  <to>
                    <xdr:col>5</xdr:col>
                    <xdr:colOff>904875</xdr:colOff>
                    <xdr:row>125</xdr:row>
                    <xdr:rowOff>485775</xdr:rowOff>
                  </to>
                </anchor>
              </controlPr>
            </control>
          </mc:Choice>
        </mc:AlternateContent>
        <mc:AlternateContent xmlns:mc="http://schemas.openxmlformats.org/markup-compatibility/2006">
          <mc:Choice Requires="x14">
            <control shapeId="3386" r:id="rId31" name="Option Button 314">
              <controlPr defaultSize="0" autoFill="0" autoLine="0" autoPict="0">
                <anchor moveWithCells="1">
                  <from>
                    <xdr:col>5</xdr:col>
                    <xdr:colOff>1019175</xdr:colOff>
                    <xdr:row>125</xdr:row>
                    <xdr:rowOff>257175</xdr:rowOff>
                  </from>
                  <to>
                    <xdr:col>7</xdr:col>
                    <xdr:colOff>28575</xdr:colOff>
                    <xdr:row>125</xdr:row>
                    <xdr:rowOff>485775</xdr:rowOff>
                  </to>
                </anchor>
              </controlPr>
            </control>
          </mc:Choice>
        </mc:AlternateContent>
        <mc:AlternateContent xmlns:mc="http://schemas.openxmlformats.org/markup-compatibility/2006">
          <mc:Choice Requires="x14">
            <control shapeId="3387" r:id="rId32" name="Option Button 315">
              <controlPr defaultSize="0" autoFill="0" autoLine="0" autoPict="0">
                <anchor moveWithCells="1">
                  <from>
                    <xdr:col>7</xdr:col>
                    <xdr:colOff>161925</xdr:colOff>
                    <xdr:row>125</xdr:row>
                    <xdr:rowOff>257175</xdr:rowOff>
                  </from>
                  <to>
                    <xdr:col>7</xdr:col>
                    <xdr:colOff>657225</xdr:colOff>
                    <xdr:row>125</xdr:row>
                    <xdr:rowOff>485775</xdr:rowOff>
                  </to>
                </anchor>
              </controlPr>
            </control>
          </mc:Choice>
        </mc:AlternateContent>
        <mc:AlternateContent xmlns:mc="http://schemas.openxmlformats.org/markup-compatibility/2006">
          <mc:Choice Requires="x14">
            <control shapeId="3388" r:id="rId33" name="Option Button 316">
              <controlPr defaultSize="0" autoFill="0" autoLine="0" autoPict="0">
                <anchor moveWithCells="1">
                  <from>
                    <xdr:col>7</xdr:col>
                    <xdr:colOff>752475</xdr:colOff>
                    <xdr:row>125</xdr:row>
                    <xdr:rowOff>257175</xdr:rowOff>
                  </from>
                  <to>
                    <xdr:col>8</xdr:col>
                    <xdr:colOff>219075</xdr:colOff>
                    <xdr:row>125</xdr:row>
                    <xdr:rowOff>485775</xdr:rowOff>
                  </to>
                </anchor>
              </controlPr>
            </control>
          </mc:Choice>
        </mc:AlternateContent>
        <mc:AlternateContent xmlns:mc="http://schemas.openxmlformats.org/markup-compatibility/2006">
          <mc:Choice Requires="x14">
            <control shapeId="3389" r:id="rId34" name="Option Button 317">
              <controlPr defaultSize="0" autoFill="0" autoLine="0" autoPict="0">
                <anchor moveWithCells="1">
                  <from>
                    <xdr:col>8</xdr:col>
                    <xdr:colOff>333375</xdr:colOff>
                    <xdr:row>125</xdr:row>
                    <xdr:rowOff>257175</xdr:rowOff>
                  </from>
                  <to>
                    <xdr:col>8</xdr:col>
                    <xdr:colOff>828675</xdr:colOff>
                    <xdr:row>125</xdr:row>
                    <xdr:rowOff>485775</xdr:rowOff>
                  </to>
                </anchor>
              </controlPr>
            </control>
          </mc:Choice>
        </mc:AlternateContent>
        <mc:AlternateContent xmlns:mc="http://schemas.openxmlformats.org/markup-compatibility/2006">
          <mc:Choice Requires="x14">
            <control shapeId="3390" r:id="rId35" name="Option Button 318">
              <controlPr defaultSize="0" autoFill="0" autoLine="0" autoPict="0">
                <anchor moveWithCells="1">
                  <from>
                    <xdr:col>8</xdr:col>
                    <xdr:colOff>933450</xdr:colOff>
                    <xdr:row>125</xdr:row>
                    <xdr:rowOff>257175</xdr:rowOff>
                  </from>
                  <to>
                    <xdr:col>9</xdr:col>
                    <xdr:colOff>390525</xdr:colOff>
                    <xdr:row>125</xdr:row>
                    <xdr:rowOff>485775</xdr:rowOff>
                  </to>
                </anchor>
              </controlPr>
            </control>
          </mc:Choice>
        </mc:AlternateContent>
        <mc:AlternateContent xmlns:mc="http://schemas.openxmlformats.org/markup-compatibility/2006">
          <mc:Choice Requires="x14">
            <control shapeId="3391" r:id="rId36" name="Option Button 319">
              <controlPr defaultSize="0" autoFill="0" autoLine="0" autoPict="0">
                <anchor moveWithCells="1">
                  <from>
                    <xdr:col>9</xdr:col>
                    <xdr:colOff>514350</xdr:colOff>
                    <xdr:row>125</xdr:row>
                    <xdr:rowOff>257175</xdr:rowOff>
                  </from>
                  <to>
                    <xdr:col>9</xdr:col>
                    <xdr:colOff>1009650</xdr:colOff>
                    <xdr:row>125</xdr:row>
                    <xdr:rowOff>485775</xdr:rowOff>
                  </to>
                </anchor>
              </controlPr>
            </control>
          </mc:Choice>
        </mc:AlternateContent>
        <mc:AlternateContent xmlns:mc="http://schemas.openxmlformats.org/markup-compatibility/2006">
          <mc:Choice Requires="x14">
            <control shapeId="3397" r:id="rId37" name="Option Button 325">
              <controlPr defaultSize="0" autoFill="0" autoLine="0" autoPict="0">
                <anchor moveWithCells="1">
                  <from>
                    <xdr:col>2</xdr:col>
                    <xdr:colOff>66675</xdr:colOff>
                    <xdr:row>125</xdr:row>
                    <xdr:rowOff>19050</xdr:rowOff>
                  </from>
                  <to>
                    <xdr:col>3</xdr:col>
                    <xdr:colOff>38100</xdr:colOff>
                    <xdr:row>125</xdr:row>
                    <xdr:rowOff>247650</xdr:rowOff>
                  </to>
                </anchor>
              </controlPr>
            </control>
          </mc:Choice>
        </mc:AlternateContent>
        <mc:AlternateContent xmlns:mc="http://schemas.openxmlformats.org/markup-compatibility/2006">
          <mc:Choice Requires="x14">
            <control shapeId="3468" r:id="rId38" name="Check Box 396">
              <controlPr defaultSize="0" autoFill="0" autoLine="0" autoPict="0">
                <anchor moveWithCells="1">
                  <from>
                    <xdr:col>2</xdr:col>
                    <xdr:colOff>171450</xdr:colOff>
                    <xdr:row>108</xdr:row>
                    <xdr:rowOff>47625</xdr:rowOff>
                  </from>
                  <to>
                    <xdr:col>2</xdr:col>
                    <xdr:colOff>695325</xdr:colOff>
                    <xdr:row>108</xdr:row>
                    <xdr:rowOff>190500</xdr:rowOff>
                  </to>
                </anchor>
              </controlPr>
            </control>
          </mc:Choice>
        </mc:AlternateContent>
        <mc:AlternateContent xmlns:mc="http://schemas.openxmlformats.org/markup-compatibility/2006">
          <mc:Choice Requires="x14">
            <control shapeId="3469" r:id="rId39" name="Check Box 397">
              <controlPr defaultSize="0" autoFill="0" autoLine="0" autoPict="0">
                <anchor moveWithCells="1">
                  <from>
                    <xdr:col>2</xdr:col>
                    <xdr:colOff>171450</xdr:colOff>
                    <xdr:row>109</xdr:row>
                    <xdr:rowOff>47625</xdr:rowOff>
                  </from>
                  <to>
                    <xdr:col>2</xdr:col>
                    <xdr:colOff>695325</xdr:colOff>
                    <xdr:row>109</xdr:row>
                    <xdr:rowOff>190500</xdr:rowOff>
                  </to>
                </anchor>
              </controlPr>
            </control>
          </mc:Choice>
        </mc:AlternateContent>
        <mc:AlternateContent xmlns:mc="http://schemas.openxmlformats.org/markup-compatibility/2006">
          <mc:Choice Requires="x14">
            <control shapeId="3470" r:id="rId40" name="Check Box 398">
              <controlPr defaultSize="0" autoFill="0" autoLine="0" autoPict="0">
                <anchor moveWithCells="1">
                  <from>
                    <xdr:col>2</xdr:col>
                    <xdr:colOff>171450</xdr:colOff>
                    <xdr:row>110</xdr:row>
                    <xdr:rowOff>47625</xdr:rowOff>
                  </from>
                  <to>
                    <xdr:col>2</xdr:col>
                    <xdr:colOff>695325</xdr:colOff>
                    <xdr:row>110</xdr:row>
                    <xdr:rowOff>190500</xdr:rowOff>
                  </to>
                </anchor>
              </controlPr>
            </control>
          </mc:Choice>
        </mc:AlternateContent>
        <mc:AlternateContent xmlns:mc="http://schemas.openxmlformats.org/markup-compatibility/2006">
          <mc:Choice Requires="x14">
            <control shapeId="3471" r:id="rId41" name="Check Box 399">
              <controlPr defaultSize="0" autoFill="0" autoLine="0" autoPict="0">
                <anchor moveWithCells="1">
                  <from>
                    <xdr:col>2</xdr:col>
                    <xdr:colOff>171450</xdr:colOff>
                    <xdr:row>111</xdr:row>
                    <xdr:rowOff>47625</xdr:rowOff>
                  </from>
                  <to>
                    <xdr:col>2</xdr:col>
                    <xdr:colOff>695325</xdr:colOff>
                    <xdr:row>111</xdr:row>
                    <xdr:rowOff>190500</xdr:rowOff>
                  </to>
                </anchor>
              </controlPr>
            </control>
          </mc:Choice>
        </mc:AlternateContent>
        <mc:AlternateContent xmlns:mc="http://schemas.openxmlformats.org/markup-compatibility/2006">
          <mc:Choice Requires="x14">
            <control shapeId="3472" r:id="rId42" name="Check Box 400">
              <controlPr defaultSize="0" autoFill="0" autoLine="0" autoPict="0">
                <anchor moveWithCells="1">
                  <from>
                    <xdr:col>2</xdr:col>
                    <xdr:colOff>171450</xdr:colOff>
                    <xdr:row>113</xdr:row>
                    <xdr:rowOff>47625</xdr:rowOff>
                  </from>
                  <to>
                    <xdr:col>2</xdr:col>
                    <xdr:colOff>695325</xdr:colOff>
                    <xdr:row>113</xdr:row>
                    <xdr:rowOff>190500</xdr:rowOff>
                  </to>
                </anchor>
              </controlPr>
            </control>
          </mc:Choice>
        </mc:AlternateContent>
        <mc:AlternateContent xmlns:mc="http://schemas.openxmlformats.org/markup-compatibility/2006">
          <mc:Choice Requires="x14">
            <control shapeId="3473" r:id="rId43" name="Check Box 401">
              <controlPr defaultSize="0" autoFill="0" autoLine="0" autoPict="0">
                <anchor moveWithCells="1">
                  <from>
                    <xdr:col>2</xdr:col>
                    <xdr:colOff>171450</xdr:colOff>
                    <xdr:row>114</xdr:row>
                    <xdr:rowOff>47625</xdr:rowOff>
                  </from>
                  <to>
                    <xdr:col>2</xdr:col>
                    <xdr:colOff>695325</xdr:colOff>
                    <xdr:row>114</xdr:row>
                    <xdr:rowOff>190500</xdr:rowOff>
                  </to>
                </anchor>
              </controlPr>
            </control>
          </mc:Choice>
        </mc:AlternateContent>
        <mc:AlternateContent xmlns:mc="http://schemas.openxmlformats.org/markup-compatibility/2006">
          <mc:Choice Requires="x14">
            <control shapeId="3474" r:id="rId44" name="Check Box 402">
              <controlPr defaultSize="0" autoFill="0" autoLine="0" autoPict="0">
                <anchor moveWithCells="1">
                  <from>
                    <xdr:col>2</xdr:col>
                    <xdr:colOff>171450</xdr:colOff>
                    <xdr:row>117</xdr:row>
                    <xdr:rowOff>47625</xdr:rowOff>
                  </from>
                  <to>
                    <xdr:col>2</xdr:col>
                    <xdr:colOff>695325</xdr:colOff>
                    <xdr:row>117</xdr:row>
                    <xdr:rowOff>190500</xdr:rowOff>
                  </to>
                </anchor>
              </controlPr>
            </control>
          </mc:Choice>
        </mc:AlternateContent>
        <mc:AlternateContent xmlns:mc="http://schemas.openxmlformats.org/markup-compatibility/2006">
          <mc:Choice Requires="x14">
            <control shapeId="3475" r:id="rId45" name="Check Box 403">
              <controlPr defaultSize="0" autoFill="0" autoLine="0" autoPict="0">
                <anchor moveWithCells="1">
                  <from>
                    <xdr:col>2</xdr:col>
                    <xdr:colOff>171450</xdr:colOff>
                    <xdr:row>121</xdr:row>
                    <xdr:rowOff>47625</xdr:rowOff>
                  </from>
                  <to>
                    <xdr:col>2</xdr:col>
                    <xdr:colOff>695325</xdr:colOff>
                    <xdr:row>121</xdr:row>
                    <xdr:rowOff>190500</xdr:rowOff>
                  </to>
                </anchor>
              </controlPr>
            </control>
          </mc:Choice>
        </mc:AlternateContent>
        <mc:AlternateContent xmlns:mc="http://schemas.openxmlformats.org/markup-compatibility/2006">
          <mc:Choice Requires="x14">
            <control shapeId="3476" r:id="rId46" name="Check Box 404">
              <controlPr defaultSize="0" autoFill="0" autoLine="0" autoPict="0">
                <anchor moveWithCells="1">
                  <from>
                    <xdr:col>2</xdr:col>
                    <xdr:colOff>171450</xdr:colOff>
                    <xdr:row>116</xdr:row>
                    <xdr:rowOff>47625</xdr:rowOff>
                  </from>
                  <to>
                    <xdr:col>2</xdr:col>
                    <xdr:colOff>695325</xdr:colOff>
                    <xdr:row>116</xdr:row>
                    <xdr:rowOff>190500</xdr:rowOff>
                  </to>
                </anchor>
              </controlPr>
            </control>
          </mc:Choice>
        </mc:AlternateContent>
        <mc:AlternateContent xmlns:mc="http://schemas.openxmlformats.org/markup-compatibility/2006">
          <mc:Choice Requires="x14">
            <control shapeId="3477" r:id="rId47" name="Check Box 405">
              <controlPr defaultSize="0" autoFill="0" autoLine="0" autoPict="0">
                <anchor moveWithCells="1">
                  <from>
                    <xdr:col>2</xdr:col>
                    <xdr:colOff>171450</xdr:colOff>
                    <xdr:row>118</xdr:row>
                    <xdr:rowOff>47625</xdr:rowOff>
                  </from>
                  <to>
                    <xdr:col>2</xdr:col>
                    <xdr:colOff>695325</xdr:colOff>
                    <xdr:row>118</xdr:row>
                    <xdr:rowOff>190500</xdr:rowOff>
                  </to>
                </anchor>
              </controlPr>
            </control>
          </mc:Choice>
        </mc:AlternateContent>
        <mc:AlternateContent xmlns:mc="http://schemas.openxmlformats.org/markup-compatibility/2006">
          <mc:Choice Requires="x14">
            <control shapeId="3478" r:id="rId48" name="Check Box 406">
              <controlPr defaultSize="0" autoFill="0" autoLine="0" autoPict="0">
                <anchor moveWithCells="1">
                  <from>
                    <xdr:col>2</xdr:col>
                    <xdr:colOff>171450</xdr:colOff>
                    <xdr:row>120</xdr:row>
                    <xdr:rowOff>47625</xdr:rowOff>
                  </from>
                  <to>
                    <xdr:col>2</xdr:col>
                    <xdr:colOff>695325</xdr:colOff>
                    <xdr:row>120</xdr:row>
                    <xdr:rowOff>190500</xdr:rowOff>
                  </to>
                </anchor>
              </controlPr>
            </control>
          </mc:Choice>
        </mc:AlternateContent>
        <mc:AlternateContent xmlns:mc="http://schemas.openxmlformats.org/markup-compatibility/2006">
          <mc:Choice Requires="x14">
            <control shapeId="3479" r:id="rId49" name="Check Box 407">
              <controlPr defaultSize="0" autoFill="0" autoLine="0" autoPict="0">
                <anchor moveWithCells="1">
                  <from>
                    <xdr:col>2</xdr:col>
                    <xdr:colOff>171450</xdr:colOff>
                    <xdr:row>115</xdr:row>
                    <xdr:rowOff>47625</xdr:rowOff>
                  </from>
                  <to>
                    <xdr:col>2</xdr:col>
                    <xdr:colOff>695325</xdr:colOff>
                    <xdr:row>115</xdr:row>
                    <xdr:rowOff>190500</xdr:rowOff>
                  </to>
                </anchor>
              </controlPr>
            </control>
          </mc:Choice>
        </mc:AlternateContent>
        <mc:AlternateContent xmlns:mc="http://schemas.openxmlformats.org/markup-compatibility/2006">
          <mc:Choice Requires="x14">
            <control shapeId="3480" r:id="rId50" name="Check Box 408">
              <controlPr defaultSize="0" autoFill="0" autoLine="0" autoPict="0">
                <anchor moveWithCells="1">
                  <from>
                    <xdr:col>2</xdr:col>
                    <xdr:colOff>171450</xdr:colOff>
                    <xdr:row>119</xdr:row>
                    <xdr:rowOff>47625</xdr:rowOff>
                  </from>
                  <to>
                    <xdr:col>2</xdr:col>
                    <xdr:colOff>695325</xdr:colOff>
                    <xdr:row>119</xdr:row>
                    <xdr:rowOff>190500</xdr:rowOff>
                  </to>
                </anchor>
              </controlPr>
            </control>
          </mc:Choice>
        </mc:AlternateContent>
        <mc:AlternateContent xmlns:mc="http://schemas.openxmlformats.org/markup-compatibility/2006">
          <mc:Choice Requires="x14">
            <control shapeId="3481" r:id="rId51" name="Check Box 409">
              <controlPr defaultSize="0" autoFill="0" autoLine="0" autoPict="0">
                <anchor moveWithCells="1">
                  <from>
                    <xdr:col>2</xdr:col>
                    <xdr:colOff>171450</xdr:colOff>
                    <xdr:row>112</xdr:row>
                    <xdr:rowOff>47625</xdr:rowOff>
                  </from>
                  <to>
                    <xdr:col>2</xdr:col>
                    <xdr:colOff>695325</xdr:colOff>
                    <xdr:row>112</xdr:row>
                    <xdr:rowOff>190500</xdr:rowOff>
                  </to>
                </anchor>
              </controlPr>
            </control>
          </mc:Choice>
        </mc:AlternateContent>
        <mc:AlternateContent xmlns:mc="http://schemas.openxmlformats.org/markup-compatibility/2006">
          <mc:Choice Requires="x14">
            <control shapeId="3482" r:id="rId52" name="Group Box 410">
              <controlPr defaultSize="0" print="0" autoFill="0" autoPict="0">
                <anchor moveWithCells="1">
                  <from>
                    <xdr:col>0</xdr:col>
                    <xdr:colOff>0</xdr:colOff>
                    <xdr:row>2</xdr:row>
                    <xdr:rowOff>200025</xdr:rowOff>
                  </from>
                  <to>
                    <xdr:col>2</xdr:col>
                    <xdr:colOff>0</xdr:colOff>
                    <xdr:row>11</xdr:row>
                    <xdr:rowOff>0</xdr:rowOff>
                  </to>
                </anchor>
              </controlPr>
            </control>
          </mc:Choice>
        </mc:AlternateContent>
        <mc:AlternateContent xmlns:mc="http://schemas.openxmlformats.org/markup-compatibility/2006">
          <mc:Choice Requires="x14">
            <control shapeId="3485" r:id="rId53" name="Option Button 413">
              <controlPr defaultSize="0" autoFill="0" autoLine="0" autoPict="0">
                <anchor moveWithCells="1">
                  <from>
                    <xdr:col>1</xdr:col>
                    <xdr:colOff>95250</xdr:colOff>
                    <xdr:row>6</xdr:row>
                    <xdr:rowOff>38100</xdr:rowOff>
                  </from>
                  <to>
                    <xdr:col>1</xdr:col>
                    <xdr:colOff>819150</xdr:colOff>
                    <xdr:row>6</xdr:row>
                    <xdr:rowOff>219075</xdr:rowOff>
                  </to>
                </anchor>
              </controlPr>
            </control>
          </mc:Choice>
        </mc:AlternateContent>
        <mc:AlternateContent xmlns:mc="http://schemas.openxmlformats.org/markup-compatibility/2006">
          <mc:Choice Requires="x14">
            <control shapeId="3486" r:id="rId54" name="Option Button 414">
              <controlPr defaultSize="0" autoFill="0" autoLine="0" autoPict="0">
                <anchor moveWithCells="1">
                  <from>
                    <xdr:col>1</xdr:col>
                    <xdr:colOff>95250</xdr:colOff>
                    <xdr:row>7</xdr:row>
                    <xdr:rowOff>19050</xdr:rowOff>
                  </from>
                  <to>
                    <xdr:col>1</xdr:col>
                    <xdr:colOff>819150</xdr:colOff>
                    <xdr:row>7</xdr:row>
                    <xdr:rowOff>200025</xdr:rowOff>
                  </to>
                </anchor>
              </controlPr>
            </control>
          </mc:Choice>
        </mc:AlternateContent>
        <mc:AlternateContent xmlns:mc="http://schemas.openxmlformats.org/markup-compatibility/2006">
          <mc:Choice Requires="x14">
            <control shapeId="3487" r:id="rId55" name="Check Box 415">
              <controlPr defaultSize="0" autoFill="0" autoLine="0" autoPict="0">
                <anchor moveWithCells="1">
                  <from>
                    <xdr:col>2</xdr:col>
                    <xdr:colOff>171450</xdr:colOff>
                    <xdr:row>122</xdr:row>
                    <xdr:rowOff>47625</xdr:rowOff>
                  </from>
                  <to>
                    <xdr:col>2</xdr:col>
                    <xdr:colOff>695325</xdr:colOff>
                    <xdr:row>122</xdr:row>
                    <xdr:rowOff>190500</xdr:rowOff>
                  </to>
                </anchor>
              </controlPr>
            </control>
          </mc:Choice>
        </mc:AlternateContent>
        <mc:AlternateContent xmlns:mc="http://schemas.openxmlformats.org/markup-compatibility/2006">
          <mc:Choice Requires="x14">
            <control shapeId="3488" r:id="rId56" name="Check Box 416">
              <controlPr defaultSize="0" autoFill="0" autoLine="0" autoPict="0">
                <anchor moveWithCells="1">
                  <from>
                    <xdr:col>2</xdr:col>
                    <xdr:colOff>171450</xdr:colOff>
                    <xdr:row>80</xdr:row>
                    <xdr:rowOff>47625</xdr:rowOff>
                  </from>
                  <to>
                    <xdr:col>2</xdr:col>
                    <xdr:colOff>695325</xdr:colOff>
                    <xdr:row>80</xdr:row>
                    <xdr:rowOff>190500</xdr:rowOff>
                  </to>
                </anchor>
              </controlPr>
            </control>
          </mc:Choice>
        </mc:AlternateContent>
        <mc:AlternateContent xmlns:mc="http://schemas.openxmlformats.org/markup-compatibility/2006">
          <mc:Choice Requires="x14">
            <control shapeId="3489" r:id="rId57" name="Check Box 417">
              <controlPr defaultSize="0" autoFill="0" autoLine="0" autoPict="0">
                <anchor moveWithCells="1">
                  <from>
                    <xdr:col>2</xdr:col>
                    <xdr:colOff>171450</xdr:colOff>
                    <xdr:row>81</xdr:row>
                    <xdr:rowOff>47625</xdr:rowOff>
                  </from>
                  <to>
                    <xdr:col>2</xdr:col>
                    <xdr:colOff>695325</xdr:colOff>
                    <xdr:row>81</xdr:row>
                    <xdr:rowOff>190500</xdr:rowOff>
                  </to>
                </anchor>
              </controlPr>
            </control>
          </mc:Choice>
        </mc:AlternateContent>
        <mc:AlternateContent xmlns:mc="http://schemas.openxmlformats.org/markup-compatibility/2006">
          <mc:Choice Requires="x14">
            <control shapeId="3490" r:id="rId58" name="Check Box 418">
              <controlPr defaultSize="0" autoFill="0" autoLine="0" autoPict="0">
                <anchor moveWithCells="1">
                  <from>
                    <xdr:col>2</xdr:col>
                    <xdr:colOff>171450</xdr:colOff>
                    <xdr:row>82</xdr:row>
                    <xdr:rowOff>47625</xdr:rowOff>
                  </from>
                  <to>
                    <xdr:col>2</xdr:col>
                    <xdr:colOff>695325</xdr:colOff>
                    <xdr:row>82</xdr:row>
                    <xdr:rowOff>190500</xdr:rowOff>
                  </to>
                </anchor>
              </controlPr>
            </control>
          </mc:Choice>
        </mc:AlternateContent>
        <mc:AlternateContent xmlns:mc="http://schemas.openxmlformats.org/markup-compatibility/2006">
          <mc:Choice Requires="x14">
            <control shapeId="3491" r:id="rId59" name="Check Box 419">
              <controlPr defaultSize="0" autoFill="0" autoLine="0" autoPict="0">
                <anchor moveWithCells="1">
                  <from>
                    <xdr:col>2</xdr:col>
                    <xdr:colOff>171450</xdr:colOff>
                    <xdr:row>83</xdr:row>
                    <xdr:rowOff>47625</xdr:rowOff>
                  </from>
                  <to>
                    <xdr:col>2</xdr:col>
                    <xdr:colOff>695325</xdr:colOff>
                    <xdr:row>83</xdr:row>
                    <xdr:rowOff>190500</xdr:rowOff>
                  </to>
                </anchor>
              </controlPr>
            </control>
          </mc:Choice>
        </mc:AlternateContent>
        <mc:AlternateContent xmlns:mc="http://schemas.openxmlformats.org/markup-compatibility/2006">
          <mc:Choice Requires="x14">
            <control shapeId="3492" r:id="rId60" name="Check Box 420">
              <controlPr defaultSize="0" autoFill="0" autoLine="0" autoPict="0">
                <anchor moveWithCells="1">
                  <from>
                    <xdr:col>2</xdr:col>
                    <xdr:colOff>171450</xdr:colOff>
                    <xdr:row>85</xdr:row>
                    <xdr:rowOff>47625</xdr:rowOff>
                  </from>
                  <to>
                    <xdr:col>2</xdr:col>
                    <xdr:colOff>695325</xdr:colOff>
                    <xdr:row>85</xdr:row>
                    <xdr:rowOff>190500</xdr:rowOff>
                  </to>
                </anchor>
              </controlPr>
            </control>
          </mc:Choice>
        </mc:AlternateContent>
        <mc:AlternateContent xmlns:mc="http://schemas.openxmlformats.org/markup-compatibility/2006">
          <mc:Choice Requires="x14">
            <control shapeId="3493" r:id="rId61" name="Check Box 421">
              <controlPr defaultSize="0" autoFill="0" autoLine="0" autoPict="0">
                <anchor moveWithCells="1">
                  <from>
                    <xdr:col>2</xdr:col>
                    <xdr:colOff>171450</xdr:colOff>
                    <xdr:row>86</xdr:row>
                    <xdr:rowOff>47625</xdr:rowOff>
                  </from>
                  <to>
                    <xdr:col>2</xdr:col>
                    <xdr:colOff>695325</xdr:colOff>
                    <xdr:row>86</xdr:row>
                    <xdr:rowOff>190500</xdr:rowOff>
                  </to>
                </anchor>
              </controlPr>
            </control>
          </mc:Choice>
        </mc:AlternateContent>
        <mc:AlternateContent xmlns:mc="http://schemas.openxmlformats.org/markup-compatibility/2006">
          <mc:Choice Requires="x14">
            <control shapeId="3494" r:id="rId62" name="Check Box 422">
              <controlPr defaultSize="0" autoFill="0" autoLine="0" autoPict="0">
                <anchor moveWithCells="1">
                  <from>
                    <xdr:col>2</xdr:col>
                    <xdr:colOff>171450</xdr:colOff>
                    <xdr:row>89</xdr:row>
                    <xdr:rowOff>47625</xdr:rowOff>
                  </from>
                  <to>
                    <xdr:col>2</xdr:col>
                    <xdr:colOff>695325</xdr:colOff>
                    <xdr:row>89</xdr:row>
                    <xdr:rowOff>190500</xdr:rowOff>
                  </to>
                </anchor>
              </controlPr>
            </control>
          </mc:Choice>
        </mc:AlternateContent>
        <mc:AlternateContent xmlns:mc="http://schemas.openxmlformats.org/markup-compatibility/2006">
          <mc:Choice Requires="x14">
            <control shapeId="3495" r:id="rId63" name="Check Box 423">
              <controlPr defaultSize="0" autoFill="0" autoLine="0" autoPict="0">
                <anchor moveWithCells="1">
                  <from>
                    <xdr:col>2</xdr:col>
                    <xdr:colOff>171450</xdr:colOff>
                    <xdr:row>93</xdr:row>
                    <xdr:rowOff>47625</xdr:rowOff>
                  </from>
                  <to>
                    <xdr:col>2</xdr:col>
                    <xdr:colOff>695325</xdr:colOff>
                    <xdr:row>93</xdr:row>
                    <xdr:rowOff>190500</xdr:rowOff>
                  </to>
                </anchor>
              </controlPr>
            </control>
          </mc:Choice>
        </mc:AlternateContent>
        <mc:AlternateContent xmlns:mc="http://schemas.openxmlformats.org/markup-compatibility/2006">
          <mc:Choice Requires="x14">
            <control shapeId="3496" r:id="rId64" name="Check Box 424">
              <controlPr defaultSize="0" autoFill="0" autoLine="0" autoPict="0">
                <anchor moveWithCells="1">
                  <from>
                    <xdr:col>2</xdr:col>
                    <xdr:colOff>171450</xdr:colOff>
                    <xdr:row>88</xdr:row>
                    <xdr:rowOff>47625</xdr:rowOff>
                  </from>
                  <to>
                    <xdr:col>2</xdr:col>
                    <xdr:colOff>695325</xdr:colOff>
                    <xdr:row>88</xdr:row>
                    <xdr:rowOff>190500</xdr:rowOff>
                  </to>
                </anchor>
              </controlPr>
            </control>
          </mc:Choice>
        </mc:AlternateContent>
        <mc:AlternateContent xmlns:mc="http://schemas.openxmlformats.org/markup-compatibility/2006">
          <mc:Choice Requires="x14">
            <control shapeId="3497" r:id="rId65" name="Check Box 425">
              <controlPr defaultSize="0" autoFill="0" autoLine="0" autoPict="0">
                <anchor moveWithCells="1">
                  <from>
                    <xdr:col>2</xdr:col>
                    <xdr:colOff>171450</xdr:colOff>
                    <xdr:row>90</xdr:row>
                    <xdr:rowOff>47625</xdr:rowOff>
                  </from>
                  <to>
                    <xdr:col>2</xdr:col>
                    <xdr:colOff>695325</xdr:colOff>
                    <xdr:row>90</xdr:row>
                    <xdr:rowOff>190500</xdr:rowOff>
                  </to>
                </anchor>
              </controlPr>
            </control>
          </mc:Choice>
        </mc:AlternateContent>
        <mc:AlternateContent xmlns:mc="http://schemas.openxmlformats.org/markup-compatibility/2006">
          <mc:Choice Requires="x14">
            <control shapeId="3498" r:id="rId66" name="Check Box 426">
              <controlPr defaultSize="0" autoFill="0" autoLine="0" autoPict="0">
                <anchor moveWithCells="1">
                  <from>
                    <xdr:col>2</xdr:col>
                    <xdr:colOff>171450</xdr:colOff>
                    <xdr:row>92</xdr:row>
                    <xdr:rowOff>47625</xdr:rowOff>
                  </from>
                  <to>
                    <xdr:col>2</xdr:col>
                    <xdr:colOff>695325</xdr:colOff>
                    <xdr:row>92</xdr:row>
                    <xdr:rowOff>190500</xdr:rowOff>
                  </to>
                </anchor>
              </controlPr>
            </control>
          </mc:Choice>
        </mc:AlternateContent>
        <mc:AlternateContent xmlns:mc="http://schemas.openxmlformats.org/markup-compatibility/2006">
          <mc:Choice Requires="x14">
            <control shapeId="3499" r:id="rId67" name="Check Box 427">
              <controlPr defaultSize="0" autoFill="0" autoLine="0" autoPict="0">
                <anchor moveWithCells="1">
                  <from>
                    <xdr:col>2</xdr:col>
                    <xdr:colOff>171450</xdr:colOff>
                    <xdr:row>87</xdr:row>
                    <xdr:rowOff>47625</xdr:rowOff>
                  </from>
                  <to>
                    <xdr:col>2</xdr:col>
                    <xdr:colOff>695325</xdr:colOff>
                    <xdr:row>87</xdr:row>
                    <xdr:rowOff>190500</xdr:rowOff>
                  </to>
                </anchor>
              </controlPr>
            </control>
          </mc:Choice>
        </mc:AlternateContent>
        <mc:AlternateContent xmlns:mc="http://schemas.openxmlformats.org/markup-compatibility/2006">
          <mc:Choice Requires="x14">
            <control shapeId="3500" r:id="rId68" name="Check Box 428">
              <controlPr defaultSize="0" autoFill="0" autoLine="0" autoPict="0">
                <anchor moveWithCells="1">
                  <from>
                    <xdr:col>2</xdr:col>
                    <xdr:colOff>171450</xdr:colOff>
                    <xdr:row>91</xdr:row>
                    <xdr:rowOff>47625</xdr:rowOff>
                  </from>
                  <to>
                    <xdr:col>2</xdr:col>
                    <xdr:colOff>695325</xdr:colOff>
                    <xdr:row>91</xdr:row>
                    <xdr:rowOff>190500</xdr:rowOff>
                  </to>
                </anchor>
              </controlPr>
            </control>
          </mc:Choice>
        </mc:AlternateContent>
        <mc:AlternateContent xmlns:mc="http://schemas.openxmlformats.org/markup-compatibility/2006">
          <mc:Choice Requires="x14">
            <control shapeId="3501" r:id="rId69" name="Check Box 429">
              <controlPr defaultSize="0" autoFill="0" autoLine="0" autoPict="0">
                <anchor moveWithCells="1">
                  <from>
                    <xdr:col>2</xdr:col>
                    <xdr:colOff>171450</xdr:colOff>
                    <xdr:row>84</xdr:row>
                    <xdr:rowOff>47625</xdr:rowOff>
                  </from>
                  <to>
                    <xdr:col>2</xdr:col>
                    <xdr:colOff>695325</xdr:colOff>
                    <xdr:row>84</xdr:row>
                    <xdr:rowOff>190500</xdr:rowOff>
                  </to>
                </anchor>
              </controlPr>
            </control>
          </mc:Choice>
        </mc:AlternateContent>
        <mc:AlternateContent xmlns:mc="http://schemas.openxmlformats.org/markup-compatibility/2006">
          <mc:Choice Requires="x14">
            <control shapeId="3502" r:id="rId70" name="Check Box 430">
              <controlPr defaultSize="0" autoFill="0" autoLine="0" autoPict="0">
                <anchor moveWithCells="1">
                  <from>
                    <xdr:col>2</xdr:col>
                    <xdr:colOff>171450</xdr:colOff>
                    <xdr:row>94</xdr:row>
                    <xdr:rowOff>47625</xdr:rowOff>
                  </from>
                  <to>
                    <xdr:col>2</xdr:col>
                    <xdr:colOff>695325</xdr:colOff>
                    <xdr:row>94</xdr:row>
                    <xdr:rowOff>190500</xdr:rowOff>
                  </to>
                </anchor>
              </controlPr>
            </control>
          </mc:Choice>
        </mc:AlternateContent>
        <mc:AlternateContent xmlns:mc="http://schemas.openxmlformats.org/markup-compatibility/2006">
          <mc:Choice Requires="x14">
            <control shapeId="3503" r:id="rId71" name="Check Box 431">
              <controlPr defaultSize="0" autoFill="0" autoLine="0" autoPict="0">
                <anchor moveWithCells="1">
                  <from>
                    <xdr:col>2</xdr:col>
                    <xdr:colOff>171450</xdr:colOff>
                    <xdr:row>55</xdr:row>
                    <xdr:rowOff>47625</xdr:rowOff>
                  </from>
                  <to>
                    <xdr:col>2</xdr:col>
                    <xdr:colOff>695325</xdr:colOff>
                    <xdr:row>55</xdr:row>
                    <xdr:rowOff>190500</xdr:rowOff>
                  </to>
                </anchor>
              </controlPr>
            </control>
          </mc:Choice>
        </mc:AlternateContent>
        <mc:AlternateContent xmlns:mc="http://schemas.openxmlformats.org/markup-compatibility/2006">
          <mc:Choice Requires="x14">
            <control shapeId="3504" r:id="rId72" name="Check Box 432">
              <controlPr defaultSize="0" autoFill="0" autoLine="0" autoPict="0">
                <anchor moveWithCells="1">
                  <from>
                    <xdr:col>2</xdr:col>
                    <xdr:colOff>171450</xdr:colOff>
                    <xdr:row>56</xdr:row>
                    <xdr:rowOff>47625</xdr:rowOff>
                  </from>
                  <to>
                    <xdr:col>2</xdr:col>
                    <xdr:colOff>695325</xdr:colOff>
                    <xdr:row>56</xdr:row>
                    <xdr:rowOff>190500</xdr:rowOff>
                  </to>
                </anchor>
              </controlPr>
            </control>
          </mc:Choice>
        </mc:AlternateContent>
        <mc:AlternateContent xmlns:mc="http://schemas.openxmlformats.org/markup-compatibility/2006">
          <mc:Choice Requires="x14">
            <control shapeId="3505" r:id="rId73" name="Check Box 433">
              <controlPr defaultSize="0" autoFill="0" autoLine="0" autoPict="0">
                <anchor moveWithCells="1">
                  <from>
                    <xdr:col>2</xdr:col>
                    <xdr:colOff>171450</xdr:colOff>
                    <xdr:row>57</xdr:row>
                    <xdr:rowOff>47625</xdr:rowOff>
                  </from>
                  <to>
                    <xdr:col>2</xdr:col>
                    <xdr:colOff>695325</xdr:colOff>
                    <xdr:row>57</xdr:row>
                    <xdr:rowOff>190500</xdr:rowOff>
                  </to>
                </anchor>
              </controlPr>
            </control>
          </mc:Choice>
        </mc:AlternateContent>
        <mc:AlternateContent xmlns:mc="http://schemas.openxmlformats.org/markup-compatibility/2006">
          <mc:Choice Requires="x14">
            <control shapeId="3506" r:id="rId74" name="Check Box 434">
              <controlPr defaultSize="0" autoFill="0" autoLine="0" autoPict="0">
                <anchor moveWithCells="1">
                  <from>
                    <xdr:col>2</xdr:col>
                    <xdr:colOff>171450</xdr:colOff>
                    <xdr:row>58</xdr:row>
                    <xdr:rowOff>47625</xdr:rowOff>
                  </from>
                  <to>
                    <xdr:col>2</xdr:col>
                    <xdr:colOff>695325</xdr:colOff>
                    <xdr:row>58</xdr:row>
                    <xdr:rowOff>190500</xdr:rowOff>
                  </to>
                </anchor>
              </controlPr>
            </control>
          </mc:Choice>
        </mc:AlternateContent>
        <mc:AlternateContent xmlns:mc="http://schemas.openxmlformats.org/markup-compatibility/2006">
          <mc:Choice Requires="x14">
            <control shapeId="3507" r:id="rId75" name="Check Box 435">
              <controlPr defaultSize="0" autoFill="0" autoLine="0" autoPict="0">
                <anchor moveWithCells="1">
                  <from>
                    <xdr:col>2</xdr:col>
                    <xdr:colOff>171450</xdr:colOff>
                    <xdr:row>60</xdr:row>
                    <xdr:rowOff>47625</xdr:rowOff>
                  </from>
                  <to>
                    <xdr:col>2</xdr:col>
                    <xdr:colOff>695325</xdr:colOff>
                    <xdr:row>60</xdr:row>
                    <xdr:rowOff>190500</xdr:rowOff>
                  </to>
                </anchor>
              </controlPr>
            </control>
          </mc:Choice>
        </mc:AlternateContent>
        <mc:AlternateContent xmlns:mc="http://schemas.openxmlformats.org/markup-compatibility/2006">
          <mc:Choice Requires="x14">
            <control shapeId="3508" r:id="rId76" name="Check Box 436">
              <controlPr defaultSize="0" autoFill="0" autoLine="0" autoPict="0">
                <anchor moveWithCells="1">
                  <from>
                    <xdr:col>2</xdr:col>
                    <xdr:colOff>171450</xdr:colOff>
                    <xdr:row>61</xdr:row>
                    <xdr:rowOff>47625</xdr:rowOff>
                  </from>
                  <to>
                    <xdr:col>2</xdr:col>
                    <xdr:colOff>695325</xdr:colOff>
                    <xdr:row>61</xdr:row>
                    <xdr:rowOff>190500</xdr:rowOff>
                  </to>
                </anchor>
              </controlPr>
            </control>
          </mc:Choice>
        </mc:AlternateContent>
        <mc:AlternateContent xmlns:mc="http://schemas.openxmlformats.org/markup-compatibility/2006">
          <mc:Choice Requires="x14">
            <control shapeId="3509" r:id="rId77" name="Check Box 437">
              <controlPr defaultSize="0" autoFill="0" autoLine="0" autoPict="0">
                <anchor moveWithCells="1">
                  <from>
                    <xdr:col>2</xdr:col>
                    <xdr:colOff>171450</xdr:colOff>
                    <xdr:row>64</xdr:row>
                    <xdr:rowOff>47625</xdr:rowOff>
                  </from>
                  <to>
                    <xdr:col>2</xdr:col>
                    <xdr:colOff>695325</xdr:colOff>
                    <xdr:row>64</xdr:row>
                    <xdr:rowOff>190500</xdr:rowOff>
                  </to>
                </anchor>
              </controlPr>
            </control>
          </mc:Choice>
        </mc:AlternateContent>
        <mc:AlternateContent xmlns:mc="http://schemas.openxmlformats.org/markup-compatibility/2006">
          <mc:Choice Requires="x14">
            <control shapeId="3510" r:id="rId78" name="Check Box 438">
              <controlPr defaultSize="0" autoFill="0" autoLine="0" autoPict="0">
                <anchor moveWithCells="1">
                  <from>
                    <xdr:col>2</xdr:col>
                    <xdr:colOff>171450</xdr:colOff>
                    <xdr:row>68</xdr:row>
                    <xdr:rowOff>47625</xdr:rowOff>
                  </from>
                  <to>
                    <xdr:col>2</xdr:col>
                    <xdr:colOff>695325</xdr:colOff>
                    <xdr:row>68</xdr:row>
                    <xdr:rowOff>190500</xdr:rowOff>
                  </to>
                </anchor>
              </controlPr>
            </control>
          </mc:Choice>
        </mc:AlternateContent>
        <mc:AlternateContent xmlns:mc="http://schemas.openxmlformats.org/markup-compatibility/2006">
          <mc:Choice Requires="x14">
            <control shapeId="3511" r:id="rId79" name="Check Box 439">
              <controlPr defaultSize="0" autoFill="0" autoLine="0" autoPict="0">
                <anchor moveWithCells="1">
                  <from>
                    <xdr:col>2</xdr:col>
                    <xdr:colOff>171450</xdr:colOff>
                    <xdr:row>63</xdr:row>
                    <xdr:rowOff>47625</xdr:rowOff>
                  </from>
                  <to>
                    <xdr:col>2</xdr:col>
                    <xdr:colOff>695325</xdr:colOff>
                    <xdr:row>63</xdr:row>
                    <xdr:rowOff>190500</xdr:rowOff>
                  </to>
                </anchor>
              </controlPr>
            </control>
          </mc:Choice>
        </mc:AlternateContent>
        <mc:AlternateContent xmlns:mc="http://schemas.openxmlformats.org/markup-compatibility/2006">
          <mc:Choice Requires="x14">
            <control shapeId="3512" r:id="rId80" name="Check Box 440">
              <controlPr defaultSize="0" autoFill="0" autoLine="0" autoPict="0">
                <anchor moveWithCells="1">
                  <from>
                    <xdr:col>2</xdr:col>
                    <xdr:colOff>171450</xdr:colOff>
                    <xdr:row>65</xdr:row>
                    <xdr:rowOff>47625</xdr:rowOff>
                  </from>
                  <to>
                    <xdr:col>2</xdr:col>
                    <xdr:colOff>695325</xdr:colOff>
                    <xdr:row>65</xdr:row>
                    <xdr:rowOff>190500</xdr:rowOff>
                  </to>
                </anchor>
              </controlPr>
            </control>
          </mc:Choice>
        </mc:AlternateContent>
        <mc:AlternateContent xmlns:mc="http://schemas.openxmlformats.org/markup-compatibility/2006">
          <mc:Choice Requires="x14">
            <control shapeId="3513" r:id="rId81" name="Check Box 441">
              <controlPr defaultSize="0" autoFill="0" autoLine="0" autoPict="0">
                <anchor moveWithCells="1">
                  <from>
                    <xdr:col>2</xdr:col>
                    <xdr:colOff>171450</xdr:colOff>
                    <xdr:row>67</xdr:row>
                    <xdr:rowOff>47625</xdr:rowOff>
                  </from>
                  <to>
                    <xdr:col>2</xdr:col>
                    <xdr:colOff>695325</xdr:colOff>
                    <xdr:row>67</xdr:row>
                    <xdr:rowOff>190500</xdr:rowOff>
                  </to>
                </anchor>
              </controlPr>
            </control>
          </mc:Choice>
        </mc:AlternateContent>
        <mc:AlternateContent xmlns:mc="http://schemas.openxmlformats.org/markup-compatibility/2006">
          <mc:Choice Requires="x14">
            <control shapeId="3514" r:id="rId82" name="Check Box 442">
              <controlPr defaultSize="0" autoFill="0" autoLine="0" autoPict="0">
                <anchor moveWithCells="1">
                  <from>
                    <xdr:col>2</xdr:col>
                    <xdr:colOff>171450</xdr:colOff>
                    <xdr:row>62</xdr:row>
                    <xdr:rowOff>47625</xdr:rowOff>
                  </from>
                  <to>
                    <xdr:col>2</xdr:col>
                    <xdr:colOff>695325</xdr:colOff>
                    <xdr:row>62</xdr:row>
                    <xdr:rowOff>190500</xdr:rowOff>
                  </to>
                </anchor>
              </controlPr>
            </control>
          </mc:Choice>
        </mc:AlternateContent>
        <mc:AlternateContent xmlns:mc="http://schemas.openxmlformats.org/markup-compatibility/2006">
          <mc:Choice Requires="x14">
            <control shapeId="3515" r:id="rId83" name="Check Box 443">
              <controlPr defaultSize="0" autoFill="0" autoLine="0" autoPict="0">
                <anchor moveWithCells="1">
                  <from>
                    <xdr:col>2</xdr:col>
                    <xdr:colOff>171450</xdr:colOff>
                    <xdr:row>66</xdr:row>
                    <xdr:rowOff>47625</xdr:rowOff>
                  </from>
                  <to>
                    <xdr:col>2</xdr:col>
                    <xdr:colOff>695325</xdr:colOff>
                    <xdr:row>66</xdr:row>
                    <xdr:rowOff>190500</xdr:rowOff>
                  </to>
                </anchor>
              </controlPr>
            </control>
          </mc:Choice>
        </mc:AlternateContent>
        <mc:AlternateContent xmlns:mc="http://schemas.openxmlformats.org/markup-compatibility/2006">
          <mc:Choice Requires="x14">
            <control shapeId="3516" r:id="rId84" name="Check Box 444">
              <controlPr defaultSize="0" autoFill="0" autoLine="0" autoPict="0">
                <anchor moveWithCells="1">
                  <from>
                    <xdr:col>2</xdr:col>
                    <xdr:colOff>171450</xdr:colOff>
                    <xdr:row>59</xdr:row>
                    <xdr:rowOff>47625</xdr:rowOff>
                  </from>
                  <to>
                    <xdr:col>2</xdr:col>
                    <xdr:colOff>695325</xdr:colOff>
                    <xdr:row>59</xdr:row>
                    <xdr:rowOff>190500</xdr:rowOff>
                  </to>
                </anchor>
              </controlPr>
            </control>
          </mc:Choice>
        </mc:AlternateContent>
        <mc:AlternateContent xmlns:mc="http://schemas.openxmlformats.org/markup-compatibility/2006">
          <mc:Choice Requires="x14">
            <control shapeId="3517" r:id="rId85" name="Check Box 445">
              <controlPr defaultSize="0" autoFill="0" autoLine="0" autoPict="0">
                <anchor moveWithCells="1">
                  <from>
                    <xdr:col>2</xdr:col>
                    <xdr:colOff>171450</xdr:colOff>
                    <xdr:row>69</xdr:row>
                    <xdr:rowOff>47625</xdr:rowOff>
                  </from>
                  <to>
                    <xdr:col>2</xdr:col>
                    <xdr:colOff>695325</xdr:colOff>
                    <xdr:row>69</xdr:row>
                    <xdr:rowOff>190500</xdr:rowOff>
                  </to>
                </anchor>
              </controlPr>
            </control>
          </mc:Choice>
        </mc:AlternateContent>
        <mc:AlternateContent xmlns:mc="http://schemas.openxmlformats.org/markup-compatibility/2006">
          <mc:Choice Requires="x14">
            <control shapeId="3518" r:id="rId86" name="Check Box 446">
              <controlPr defaultSize="0" autoFill="0" autoLine="0" autoPict="0">
                <anchor moveWithCells="1">
                  <from>
                    <xdr:col>2</xdr:col>
                    <xdr:colOff>171450</xdr:colOff>
                    <xdr:row>15</xdr:row>
                    <xdr:rowOff>47625</xdr:rowOff>
                  </from>
                  <to>
                    <xdr:col>2</xdr:col>
                    <xdr:colOff>695325</xdr:colOff>
                    <xdr:row>15</xdr:row>
                    <xdr:rowOff>190500</xdr:rowOff>
                  </to>
                </anchor>
              </controlPr>
            </control>
          </mc:Choice>
        </mc:AlternateContent>
        <mc:AlternateContent xmlns:mc="http://schemas.openxmlformats.org/markup-compatibility/2006">
          <mc:Choice Requires="x14">
            <control shapeId="3519" r:id="rId87" name="Check Box 447">
              <controlPr defaultSize="0" autoFill="0" autoLine="0" autoPict="0">
                <anchor moveWithCells="1">
                  <from>
                    <xdr:col>2</xdr:col>
                    <xdr:colOff>171450</xdr:colOff>
                    <xdr:row>16</xdr:row>
                    <xdr:rowOff>47625</xdr:rowOff>
                  </from>
                  <to>
                    <xdr:col>2</xdr:col>
                    <xdr:colOff>695325</xdr:colOff>
                    <xdr:row>16</xdr:row>
                    <xdr:rowOff>190500</xdr:rowOff>
                  </to>
                </anchor>
              </controlPr>
            </control>
          </mc:Choice>
        </mc:AlternateContent>
        <mc:AlternateContent xmlns:mc="http://schemas.openxmlformats.org/markup-compatibility/2006">
          <mc:Choice Requires="x14">
            <control shapeId="3520" r:id="rId88" name="Check Box 448">
              <controlPr defaultSize="0" autoFill="0" autoLine="0" autoPict="0">
                <anchor moveWithCells="1">
                  <from>
                    <xdr:col>2</xdr:col>
                    <xdr:colOff>171450</xdr:colOff>
                    <xdr:row>17</xdr:row>
                    <xdr:rowOff>47625</xdr:rowOff>
                  </from>
                  <to>
                    <xdr:col>2</xdr:col>
                    <xdr:colOff>695325</xdr:colOff>
                    <xdr:row>17</xdr:row>
                    <xdr:rowOff>190500</xdr:rowOff>
                  </to>
                </anchor>
              </controlPr>
            </control>
          </mc:Choice>
        </mc:AlternateContent>
        <mc:AlternateContent xmlns:mc="http://schemas.openxmlformats.org/markup-compatibility/2006">
          <mc:Choice Requires="x14">
            <control shapeId="3521" r:id="rId89" name="Check Box 449">
              <controlPr defaultSize="0" autoFill="0" autoLine="0" autoPict="0">
                <anchor moveWithCells="1">
                  <from>
                    <xdr:col>2</xdr:col>
                    <xdr:colOff>171450</xdr:colOff>
                    <xdr:row>18</xdr:row>
                    <xdr:rowOff>47625</xdr:rowOff>
                  </from>
                  <to>
                    <xdr:col>2</xdr:col>
                    <xdr:colOff>695325</xdr:colOff>
                    <xdr:row>18</xdr:row>
                    <xdr:rowOff>190500</xdr:rowOff>
                  </to>
                </anchor>
              </controlPr>
            </control>
          </mc:Choice>
        </mc:AlternateContent>
        <mc:AlternateContent xmlns:mc="http://schemas.openxmlformats.org/markup-compatibility/2006">
          <mc:Choice Requires="x14">
            <control shapeId="3522" r:id="rId90" name="Check Box 450">
              <controlPr defaultSize="0" autoFill="0" autoLine="0" autoPict="0">
                <anchor moveWithCells="1">
                  <from>
                    <xdr:col>2</xdr:col>
                    <xdr:colOff>171450</xdr:colOff>
                    <xdr:row>20</xdr:row>
                    <xdr:rowOff>47625</xdr:rowOff>
                  </from>
                  <to>
                    <xdr:col>2</xdr:col>
                    <xdr:colOff>695325</xdr:colOff>
                    <xdr:row>20</xdr:row>
                    <xdr:rowOff>190500</xdr:rowOff>
                  </to>
                </anchor>
              </controlPr>
            </control>
          </mc:Choice>
        </mc:AlternateContent>
        <mc:AlternateContent xmlns:mc="http://schemas.openxmlformats.org/markup-compatibility/2006">
          <mc:Choice Requires="x14">
            <control shapeId="3523" r:id="rId91" name="Check Box 451">
              <controlPr defaultSize="0" autoFill="0" autoLine="0" autoPict="0">
                <anchor moveWithCells="1">
                  <from>
                    <xdr:col>2</xdr:col>
                    <xdr:colOff>171450</xdr:colOff>
                    <xdr:row>21</xdr:row>
                    <xdr:rowOff>47625</xdr:rowOff>
                  </from>
                  <to>
                    <xdr:col>2</xdr:col>
                    <xdr:colOff>695325</xdr:colOff>
                    <xdr:row>21</xdr:row>
                    <xdr:rowOff>190500</xdr:rowOff>
                  </to>
                </anchor>
              </controlPr>
            </control>
          </mc:Choice>
        </mc:AlternateContent>
        <mc:AlternateContent xmlns:mc="http://schemas.openxmlformats.org/markup-compatibility/2006">
          <mc:Choice Requires="x14">
            <control shapeId="3524" r:id="rId92" name="Check Box 452">
              <controlPr defaultSize="0" autoFill="0" autoLine="0" autoPict="0">
                <anchor moveWithCells="1">
                  <from>
                    <xdr:col>2</xdr:col>
                    <xdr:colOff>171450</xdr:colOff>
                    <xdr:row>24</xdr:row>
                    <xdr:rowOff>47625</xdr:rowOff>
                  </from>
                  <to>
                    <xdr:col>2</xdr:col>
                    <xdr:colOff>695325</xdr:colOff>
                    <xdr:row>24</xdr:row>
                    <xdr:rowOff>190500</xdr:rowOff>
                  </to>
                </anchor>
              </controlPr>
            </control>
          </mc:Choice>
        </mc:AlternateContent>
        <mc:AlternateContent xmlns:mc="http://schemas.openxmlformats.org/markup-compatibility/2006">
          <mc:Choice Requires="x14">
            <control shapeId="3525" r:id="rId93" name="Check Box 453">
              <controlPr defaultSize="0" autoFill="0" autoLine="0" autoPict="0">
                <anchor moveWithCells="1">
                  <from>
                    <xdr:col>2</xdr:col>
                    <xdr:colOff>171450</xdr:colOff>
                    <xdr:row>28</xdr:row>
                    <xdr:rowOff>47625</xdr:rowOff>
                  </from>
                  <to>
                    <xdr:col>2</xdr:col>
                    <xdr:colOff>695325</xdr:colOff>
                    <xdr:row>28</xdr:row>
                    <xdr:rowOff>190500</xdr:rowOff>
                  </to>
                </anchor>
              </controlPr>
            </control>
          </mc:Choice>
        </mc:AlternateContent>
        <mc:AlternateContent xmlns:mc="http://schemas.openxmlformats.org/markup-compatibility/2006">
          <mc:Choice Requires="x14">
            <control shapeId="3526" r:id="rId94" name="Check Box 454">
              <controlPr defaultSize="0" autoFill="0" autoLine="0" autoPict="0">
                <anchor moveWithCells="1">
                  <from>
                    <xdr:col>2</xdr:col>
                    <xdr:colOff>171450</xdr:colOff>
                    <xdr:row>23</xdr:row>
                    <xdr:rowOff>47625</xdr:rowOff>
                  </from>
                  <to>
                    <xdr:col>2</xdr:col>
                    <xdr:colOff>695325</xdr:colOff>
                    <xdr:row>23</xdr:row>
                    <xdr:rowOff>190500</xdr:rowOff>
                  </to>
                </anchor>
              </controlPr>
            </control>
          </mc:Choice>
        </mc:AlternateContent>
        <mc:AlternateContent xmlns:mc="http://schemas.openxmlformats.org/markup-compatibility/2006">
          <mc:Choice Requires="x14">
            <control shapeId="3527" r:id="rId95" name="Check Box 455">
              <controlPr defaultSize="0" autoFill="0" autoLine="0" autoPict="0">
                <anchor moveWithCells="1">
                  <from>
                    <xdr:col>2</xdr:col>
                    <xdr:colOff>171450</xdr:colOff>
                    <xdr:row>25</xdr:row>
                    <xdr:rowOff>47625</xdr:rowOff>
                  </from>
                  <to>
                    <xdr:col>2</xdr:col>
                    <xdr:colOff>695325</xdr:colOff>
                    <xdr:row>25</xdr:row>
                    <xdr:rowOff>190500</xdr:rowOff>
                  </to>
                </anchor>
              </controlPr>
            </control>
          </mc:Choice>
        </mc:AlternateContent>
        <mc:AlternateContent xmlns:mc="http://schemas.openxmlformats.org/markup-compatibility/2006">
          <mc:Choice Requires="x14">
            <control shapeId="3528" r:id="rId96" name="Check Box 456">
              <controlPr defaultSize="0" autoFill="0" autoLine="0" autoPict="0">
                <anchor moveWithCells="1">
                  <from>
                    <xdr:col>2</xdr:col>
                    <xdr:colOff>171450</xdr:colOff>
                    <xdr:row>27</xdr:row>
                    <xdr:rowOff>47625</xdr:rowOff>
                  </from>
                  <to>
                    <xdr:col>2</xdr:col>
                    <xdr:colOff>695325</xdr:colOff>
                    <xdr:row>27</xdr:row>
                    <xdr:rowOff>190500</xdr:rowOff>
                  </to>
                </anchor>
              </controlPr>
            </control>
          </mc:Choice>
        </mc:AlternateContent>
        <mc:AlternateContent xmlns:mc="http://schemas.openxmlformats.org/markup-compatibility/2006">
          <mc:Choice Requires="x14">
            <control shapeId="3529" r:id="rId97" name="Check Box 457">
              <controlPr defaultSize="0" autoFill="0" autoLine="0" autoPict="0">
                <anchor moveWithCells="1">
                  <from>
                    <xdr:col>2</xdr:col>
                    <xdr:colOff>171450</xdr:colOff>
                    <xdr:row>22</xdr:row>
                    <xdr:rowOff>47625</xdr:rowOff>
                  </from>
                  <to>
                    <xdr:col>2</xdr:col>
                    <xdr:colOff>695325</xdr:colOff>
                    <xdr:row>22</xdr:row>
                    <xdr:rowOff>190500</xdr:rowOff>
                  </to>
                </anchor>
              </controlPr>
            </control>
          </mc:Choice>
        </mc:AlternateContent>
        <mc:AlternateContent xmlns:mc="http://schemas.openxmlformats.org/markup-compatibility/2006">
          <mc:Choice Requires="x14">
            <control shapeId="3530" r:id="rId98" name="Check Box 458">
              <controlPr defaultSize="0" autoFill="0" autoLine="0" autoPict="0">
                <anchor moveWithCells="1">
                  <from>
                    <xdr:col>2</xdr:col>
                    <xdr:colOff>171450</xdr:colOff>
                    <xdr:row>26</xdr:row>
                    <xdr:rowOff>47625</xdr:rowOff>
                  </from>
                  <to>
                    <xdr:col>2</xdr:col>
                    <xdr:colOff>695325</xdr:colOff>
                    <xdr:row>26</xdr:row>
                    <xdr:rowOff>190500</xdr:rowOff>
                  </to>
                </anchor>
              </controlPr>
            </control>
          </mc:Choice>
        </mc:AlternateContent>
        <mc:AlternateContent xmlns:mc="http://schemas.openxmlformats.org/markup-compatibility/2006">
          <mc:Choice Requires="x14">
            <control shapeId="3531" r:id="rId99" name="Check Box 459">
              <controlPr defaultSize="0" autoFill="0" autoLine="0" autoPict="0">
                <anchor moveWithCells="1">
                  <from>
                    <xdr:col>2</xdr:col>
                    <xdr:colOff>171450</xdr:colOff>
                    <xdr:row>19</xdr:row>
                    <xdr:rowOff>47625</xdr:rowOff>
                  </from>
                  <to>
                    <xdr:col>2</xdr:col>
                    <xdr:colOff>695325</xdr:colOff>
                    <xdr:row>19</xdr:row>
                    <xdr:rowOff>190500</xdr:rowOff>
                  </to>
                </anchor>
              </controlPr>
            </control>
          </mc:Choice>
        </mc:AlternateContent>
        <mc:AlternateContent xmlns:mc="http://schemas.openxmlformats.org/markup-compatibility/2006">
          <mc:Choice Requires="x14">
            <control shapeId="3532" r:id="rId100" name="Check Box 460">
              <controlPr defaultSize="0" autoFill="0" autoLine="0" autoPict="0">
                <anchor moveWithCells="1">
                  <from>
                    <xdr:col>2</xdr:col>
                    <xdr:colOff>171450</xdr:colOff>
                    <xdr:row>29</xdr:row>
                    <xdr:rowOff>47625</xdr:rowOff>
                  </from>
                  <to>
                    <xdr:col>2</xdr:col>
                    <xdr:colOff>695325</xdr:colOff>
                    <xdr:row>29</xdr:row>
                    <xdr:rowOff>190500</xdr:rowOff>
                  </to>
                </anchor>
              </controlPr>
            </control>
          </mc:Choice>
        </mc:AlternateContent>
        <mc:AlternateContent xmlns:mc="http://schemas.openxmlformats.org/markup-compatibility/2006">
          <mc:Choice Requires="x14">
            <control shapeId="3533" r:id="rId101" name="Check Box 461">
              <controlPr defaultSize="0" autoFill="0" autoLine="0" autoPict="0">
                <anchor moveWithCells="1">
                  <from>
                    <xdr:col>2</xdr:col>
                    <xdr:colOff>171450</xdr:colOff>
                    <xdr:row>30</xdr:row>
                    <xdr:rowOff>47625</xdr:rowOff>
                  </from>
                  <to>
                    <xdr:col>2</xdr:col>
                    <xdr:colOff>695325</xdr:colOff>
                    <xdr:row>30</xdr:row>
                    <xdr:rowOff>190500</xdr:rowOff>
                  </to>
                </anchor>
              </controlPr>
            </control>
          </mc:Choice>
        </mc:AlternateContent>
        <mc:AlternateContent xmlns:mc="http://schemas.openxmlformats.org/markup-compatibility/2006">
          <mc:Choice Requires="x14">
            <control shapeId="3534" r:id="rId102" name="Check Box 462">
              <controlPr defaultSize="0" autoFill="0" autoLine="0" autoPict="0">
                <anchor moveWithCells="1">
                  <from>
                    <xdr:col>2</xdr:col>
                    <xdr:colOff>171450</xdr:colOff>
                    <xdr:row>70</xdr:row>
                    <xdr:rowOff>47625</xdr:rowOff>
                  </from>
                  <to>
                    <xdr:col>2</xdr:col>
                    <xdr:colOff>695325</xdr:colOff>
                    <xdr:row>70</xdr:row>
                    <xdr:rowOff>190500</xdr:rowOff>
                  </to>
                </anchor>
              </controlPr>
            </control>
          </mc:Choice>
        </mc:AlternateContent>
        <mc:AlternateContent xmlns:mc="http://schemas.openxmlformats.org/markup-compatibility/2006">
          <mc:Choice Requires="x14">
            <control shapeId="3535" r:id="rId103" name="Check Box 463">
              <controlPr defaultSize="0" autoFill="0" autoLine="0" autoPict="0">
                <anchor moveWithCells="1">
                  <from>
                    <xdr:col>2</xdr:col>
                    <xdr:colOff>171450</xdr:colOff>
                    <xdr:row>95</xdr:row>
                    <xdr:rowOff>47625</xdr:rowOff>
                  </from>
                  <to>
                    <xdr:col>2</xdr:col>
                    <xdr:colOff>695325</xdr:colOff>
                    <xdr:row>95</xdr:row>
                    <xdr:rowOff>190500</xdr:rowOff>
                  </to>
                </anchor>
              </controlPr>
            </control>
          </mc:Choice>
        </mc:AlternateContent>
        <mc:AlternateContent xmlns:mc="http://schemas.openxmlformats.org/markup-compatibility/2006">
          <mc:Choice Requires="x14">
            <control shapeId="3536" r:id="rId104" name="Check Box 464">
              <controlPr defaultSize="0" autoFill="0" autoLine="0" autoPict="0">
                <anchor moveWithCells="1">
                  <from>
                    <xdr:col>2</xdr:col>
                    <xdr:colOff>171450</xdr:colOff>
                    <xdr:row>123</xdr:row>
                    <xdr:rowOff>47625</xdr:rowOff>
                  </from>
                  <to>
                    <xdr:col>2</xdr:col>
                    <xdr:colOff>695325</xdr:colOff>
                    <xdr:row>123</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286" yWindow="336" count="2">
        <x14:dataValidation type="list" allowBlank="1" showInputMessage="1" showErrorMessage="1" promptTitle="申請人規模：" prompt="會影響美國案、加拿大案的【官方費用】" xr:uid="{E2761FE7-D7C4-4D07-9F0B-B6F12459CA80}">
          <x14:formula1>
            <xm:f>選項!$G$2:$G$4</xm:f>
          </x14:formula1>
          <xm:sqref>B9</xm:sqref>
        </x14:dataValidation>
        <x14:dataValidation type="list" allowBlank="1" showInputMessage="1" showErrorMessage="1" promptTitle="申請人屬性：" prompt="會影響台灣案在年費階段的【官方費用】，請注意，企業需符合經濟部的中小企業認定標準才能算【中小企業】" xr:uid="{437E9671-15F7-47AE-B0EC-EA9D884B087C}">
          <x14:formula1>
            <xm:f>選項!$H$2:$H$5</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dimension ref="A2:CL82"/>
  <sheetViews>
    <sheetView zoomScale="85" zoomScaleNormal="85" workbookViewId="0">
      <pane xSplit="3" topLeftCell="D1" activePane="topRight" state="frozen"/>
      <selection activeCell="K2" sqref="K2"/>
      <selection pane="topRight" activeCell="K2" sqref="K2"/>
    </sheetView>
  </sheetViews>
  <sheetFormatPr defaultRowHeight="16.5" x14ac:dyDescent="0.25"/>
  <cols>
    <col min="1" max="1" width="11.75" customWidth="1"/>
    <col min="2" max="2" width="10.25" bestFit="1" customWidth="1"/>
    <col min="3" max="3" width="7.5" bestFit="1" customWidth="1"/>
    <col min="4" max="4" width="5.75" customWidth="1"/>
    <col min="5" max="5" width="12" bestFit="1" customWidth="1"/>
    <col min="6" max="6" width="11.625" customWidth="1"/>
    <col min="7" max="7" width="13.125" customWidth="1"/>
    <col min="8" max="8" width="13.875" bestFit="1" customWidth="1"/>
    <col min="9" max="9" width="13" bestFit="1" customWidth="1"/>
    <col min="10" max="10" width="10.625" bestFit="1" customWidth="1"/>
    <col min="11" max="11" width="15.25" bestFit="1" customWidth="1"/>
    <col min="12" max="12" width="9.75" bestFit="1" customWidth="1"/>
    <col min="13" max="13" width="12.625" bestFit="1" customWidth="1"/>
    <col min="14" max="14" width="7.5" customWidth="1"/>
    <col min="15" max="15" width="14.625" customWidth="1"/>
    <col min="16" max="16" width="13.875" bestFit="1" customWidth="1"/>
    <col min="17" max="17" width="8.625" bestFit="1" customWidth="1"/>
    <col min="18" max="18" width="11.625" bestFit="1" customWidth="1"/>
    <col min="19" max="19" width="13.75" bestFit="1" customWidth="1"/>
    <col min="20" max="20" width="13.375" customWidth="1"/>
    <col min="21" max="21" width="9.75" bestFit="1" customWidth="1"/>
    <col min="22" max="22" width="7.5" customWidth="1"/>
    <col min="23" max="23" width="8.625" bestFit="1" customWidth="1"/>
    <col min="24" max="24" width="16" customWidth="1"/>
    <col min="25" max="25" width="11.625" customWidth="1"/>
    <col min="26" max="26" width="11.75" bestFit="1" customWidth="1"/>
    <col min="27" max="27" width="19.375" customWidth="1"/>
    <col min="28" max="28" width="9.5" customWidth="1"/>
    <col min="29" max="29" width="14" bestFit="1" customWidth="1"/>
    <col min="30" max="30" width="10.75" customWidth="1"/>
    <col min="31" max="31" width="11.625" bestFit="1" customWidth="1"/>
    <col min="36" max="37" width="12.875" bestFit="1" customWidth="1"/>
    <col min="38" max="38" width="13.875" bestFit="1" customWidth="1"/>
    <col min="39" max="40" width="12.875" bestFit="1" customWidth="1"/>
    <col min="42" max="42" width="11.625" bestFit="1" customWidth="1"/>
    <col min="44" max="44" width="13.875" bestFit="1" customWidth="1"/>
    <col min="45" max="45" width="11.625" bestFit="1" customWidth="1"/>
    <col min="46" max="46" width="13.75" bestFit="1" customWidth="1"/>
    <col min="47" max="47" width="13" customWidth="1"/>
    <col min="48" max="48" width="16.25" bestFit="1" customWidth="1"/>
    <col min="49" max="49" width="12.75" bestFit="1" customWidth="1"/>
    <col min="50" max="50" width="18.875" customWidth="1"/>
    <col min="51" max="51" width="9.5" bestFit="1" customWidth="1"/>
    <col min="52" max="52" width="13" bestFit="1" customWidth="1"/>
    <col min="53" max="53" width="15.5" customWidth="1"/>
    <col min="54" max="54" width="12.75" bestFit="1" customWidth="1"/>
    <col min="56" max="56" width="13.875" bestFit="1" customWidth="1"/>
    <col min="57" max="57" width="12.75" bestFit="1" customWidth="1"/>
    <col min="58" max="58" width="12.75" customWidth="1"/>
    <col min="59" max="59" width="12.75" bestFit="1" customWidth="1"/>
    <col min="60" max="60" width="12.75" customWidth="1"/>
    <col min="61" max="61" width="14.25" customWidth="1"/>
    <col min="62" max="62" width="14" customWidth="1"/>
    <col min="63" max="63" width="13.5" customWidth="1"/>
    <col min="64" max="64" width="13.125" bestFit="1" customWidth="1"/>
    <col min="65" max="65" width="17.375" customWidth="1"/>
    <col min="67" max="68" width="14" bestFit="1" customWidth="1"/>
    <col min="70" max="70" width="11.625" customWidth="1"/>
    <col min="71" max="71" width="11.25" bestFit="1" customWidth="1"/>
    <col min="72" max="72" width="10.625" bestFit="1" customWidth="1"/>
    <col min="73" max="73" width="16.375" customWidth="1"/>
  </cols>
  <sheetData>
    <row r="2" spans="1:73" ht="16.5" customHeight="1" x14ac:dyDescent="0.25">
      <c r="A2" s="9" t="s">
        <v>55</v>
      </c>
    </row>
    <row r="3" spans="1:73" ht="16.5" customHeight="1" x14ac:dyDescent="0.25">
      <c r="A3" s="9" t="s">
        <v>54</v>
      </c>
    </row>
    <row r="4" spans="1:73" x14ac:dyDescent="0.25">
      <c r="A4" s="188" t="s">
        <v>24</v>
      </c>
      <c r="B4" s="189"/>
      <c r="I4" s="188" t="s">
        <v>115</v>
      </c>
      <c r="J4" s="190"/>
      <c r="K4" s="190"/>
      <c r="L4" s="189"/>
      <c r="O4">
        <f>ROUNDUP(B5/10,0)</f>
        <v>1</v>
      </c>
      <c r="R4" s="195" t="s">
        <v>190</v>
      </c>
      <c r="S4" s="196"/>
      <c r="T4" s="195" t="s">
        <v>111</v>
      </c>
      <c r="U4" s="196"/>
    </row>
    <row r="5" spans="1:73" x14ac:dyDescent="0.25">
      <c r="A5" s="6" t="s">
        <v>105</v>
      </c>
      <c r="B5" s="21">
        <f>設計案成本估算!B5</f>
        <v>1</v>
      </c>
      <c r="C5" t="s">
        <v>87</v>
      </c>
      <c r="I5" s="6" t="s">
        <v>75</v>
      </c>
      <c r="J5" s="14">
        <f>設計案成本估算!K5</f>
        <v>32.200000000000003</v>
      </c>
      <c r="K5" s="6" t="s">
        <v>74</v>
      </c>
      <c r="L5" s="14">
        <f>設計案成本估算!M5</f>
        <v>4.8499999999999996</v>
      </c>
      <c r="R5" s="5" t="s">
        <v>1</v>
      </c>
      <c r="S5" s="5" t="b">
        <v>1</v>
      </c>
      <c r="T5" s="5" t="s">
        <v>112</v>
      </c>
      <c r="U5" s="5" t="b">
        <v>1</v>
      </c>
    </row>
    <row r="6" spans="1:73" x14ac:dyDescent="0.25">
      <c r="A6" s="6" t="s">
        <v>104</v>
      </c>
      <c r="B6" s="21">
        <f>設計案成本估算!B6</f>
        <v>8</v>
      </c>
      <c r="C6" t="s">
        <v>87</v>
      </c>
      <c r="I6" s="3" t="s">
        <v>76</v>
      </c>
      <c r="J6" s="14">
        <f>設計案成本估算!K6</f>
        <v>37.5</v>
      </c>
      <c r="K6" s="3" t="s">
        <v>79</v>
      </c>
      <c r="L6" s="14">
        <f>設計案成本估算!M6</f>
        <v>25.4</v>
      </c>
      <c r="R6" s="5" t="s">
        <v>189</v>
      </c>
      <c r="S6" s="5" t="b">
        <v>1</v>
      </c>
      <c r="T6" s="5" t="s">
        <v>113</v>
      </c>
      <c r="U6" s="5" t="b">
        <v>1</v>
      </c>
    </row>
    <row r="7" spans="1:73" x14ac:dyDescent="0.25">
      <c r="A7" s="218" t="s">
        <v>117</v>
      </c>
      <c r="B7" s="220"/>
      <c r="C7" t="s">
        <v>120</v>
      </c>
      <c r="I7" s="3" t="s">
        <v>77</v>
      </c>
      <c r="J7" s="14">
        <f>設計案成本估算!K7</f>
        <v>0.21</v>
      </c>
      <c r="K7" s="3" t="s">
        <v>80</v>
      </c>
      <c r="L7" s="14">
        <f>設計案成本估算!M7</f>
        <v>1.4E-3</v>
      </c>
      <c r="R7" s="5" t="s">
        <v>188</v>
      </c>
      <c r="S7" s="5" t="b">
        <v>1</v>
      </c>
      <c r="T7" s="5" t="s">
        <v>114</v>
      </c>
      <c r="U7" s="5" t="b">
        <v>1</v>
      </c>
    </row>
    <row r="8" spans="1:73" x14ac:dyDescent="0.25">
      <c r="A8" s="219"/>
      <c r="B8" s="221"/>
      <c r="I8" s="3" t="s">
        <v>78</v>
      </c>
      <c r="J8" s="14">
        <f>設計案成本估算!K8</f>
        <v>2.5999999999999999E-2</v>
      </c>
      <c r="K8" s="3" t="s">
        <v>82</v>
      </c>
      <c r="L8" s="14">
        <f>設計案成本估算!M8</f>
        <v>8.3000000000000007</v>
      </c>
      <c r="R8" s="5" t="s">
        <v>183</v>
      </c>
      <c r="S8" s="5" t="b">
        <v>1</v>
      </c>
    </row>
    <row r="9" spans="1:73" x14ac:dyDescent="0.25">
      <c r="A9" s="6" t="s">
        <v>30</v>
      </c>
      <c r="B9" s="13" t="str">
        <f>設計案成本估算!B9</f>
        <v>少於100人</v>
      </c>
      <c r="C9" t="s">
        <v>84</v>
      </c>
      <c r="I9" s="3" t="s">
        <v>81</v>
      </c>
      <c r="J9" s="14">
        <f>設計案成本估算!K9</f>
        <v>1.05</v>
      </c>
      <c r="K9" s="3" t="s">
        <v>83</v>
      </c>
      <c r="L9" s="14">
        <f>設計案成本估算!M9</f>
        <v>23.5</v>
      </c>
    </row>
    <row r="10" spans="1:73" x14ac:dyDescent="0.25">
      <c r="A10" s="6" t="s">
        <v>62</v>
      </c>
      <c r="B10" s="21" t="str">
        <f>設計案成本估算!B10</f>
        <v>中小企業</v>
      </c>
      <c r="C10" t="s">
        <v>88</v>
      </c>
      <c r="I10" s="3" t="s">
        <v>228</v>
      </c>
      <c r="J10" s="14">
        <f>設計案成本估算!K10</f>
        <v>44</v>
      </c>
      <c r="K10" s="3" t="s">
        <v>316</v>
      </c>
      <c r="L10" s="14">
        <f>設計案成本估算!M10</f>
        <v>23.2</v>
      </c>
    </row>
    <row r="12" spans="1:73" ht="16.5" customHeight="1" x14ac:dyDescent="0.25">
      <c r="A12" s="30" t="s">
        <v>226</v>
      </c>
      <c r="AG12" s="30" t="s">
        <v>227</v>
      </c>
      <c r="AH12" s="31"/>
      <c r="AI12" s="31"/>
      <c r="AJ12" s="31"/>
      <c r="AK12" s="31"/>
      <c r="AL12" s="31"/>
      <c r="AM12" s="31"/>
      <c r="AN12" s="31"/>
      <c r="AO12" s="31"/>
      <c r="AP12" s="31"/>
      <c r="AQ12" s="31"/>
      <c r="AR12" s="31"/>
      <c r="AS12" s="31"/>
      <c r="AT12" s="31"/>
    </row>
    <row r="13" spans="1:73" ht="16.5" customHeight="1" thickBot="1" x14ac:dyDescent="0.3">
      <c r="A13" s="222" t="s">
        <v>176</v>
      </c>
      <c r="B13" s="222"/>
      <c r="C13" s="222"/>
      <c r="D13" s="222"/>
      <c r="E13" s="222"/>
      <c r="F13" s="222"/>
      <c r="G13" s="222"/>
      <c r="H13" s="222"/>
      <c r="I13" s="222"/>
      <c r="J13" s="222"/>
      <c r="K13" s="222"/>
      <c r="L13" s="222"/>
      <c r="M13" s="222"/>
      <c r="N13" s="222"/>
      <c r="O13" s="222"/>
      <c r="P13" s="222"/>
      <c r="Q13" s="222"/>
      <c r="R13" s="222"/>
      <c r="S13" s="222"/>
      <c r="T13" s="223"/>
      <c r="U13" s="223"/>
      <c r="V13" s="223"/>
      <c r="W13" s="223"/>
      <c r="X13" s="223"/>
      <c r="Y13" s="223"/>
      <c r="Z13" s="223"/>
      <c r="AA13" s="224"/>
      <c r="AC13" s="169" t="s">
        <v>57</v>
      </c>
      <c r="AD13" s="170"/>
      <c r="AE13" s="170"/>
      <c r="AG13" s="182" t="s">
        <v>177</v>
      </c>
      <c r="AH13" s="183"/>
      <c r="AI13" s="183"/>
      <c r="AJ13" s="183"/>
      <c r="AK13" s="183"/>
      <c r="AL13" s="183"/>
      <c r="AM13" s="183"/>
      <c r="AN13" s="183"/>
      <c r="AO13" s="183"/>
      <c r="AP13" s="183"/>
      <c r="AQ13" s="183"/>
      <c r="AR13" s="183"/>
      <c r="AS13" s="183"/>
      <c r="AT13" s="183"/>
      <c r="AU13" s="183"/>
      <c r="AV13" s="183"/>
      <c r="AW13" s="183"/>
      <c r="AX13" s="183"/>
      <c r="AY13" s="183"/>
      <c r="AZ13" s="169" t="s">
        <v>181</v>
      </c>
      <c r="BA13" s="170"/>
      <c r="BB13" s="170"/>
      <c r="BD13" s="169" t="s">
        <v>223</v>
      </c>
      <c r="BE13" s="170"/>
      <c r="BF13" s="170"/>
      <c r="BG13" s="170"/>
      <c r="BH13" s="170"/>
      <c r="BI13" s="171"/>
      <c r="BJ13" s="171"/>
      <c r="BK13" s="171"/>
      <c r="BL13" s="171"/>
      <c r="BM13" s="172"/>
      <c r="BO13" s="169" t="s">
        <v>85</v>
      </c>
      <c r="BP13" s="170"/>
      <c r="BR13" s="169" t="s">
        <v>86</v>
      </c>
      <c r="BS13" s="173"/>
      <c r="BT13" s="173"/>
      <c r="BU13" s="173"/>
    </row>
    <row r="14" spans="1:73" ht="33" customHeight="1" thickTop="1" x14ac:dyDescent="0.25">
      <c r="A14" s="191" t="s">
        <v>91</v>
      </c>
      <c r="B14" s="191" t="s">
        <v>0</v>
      </c>
      <c r="C14" s="180" t="s">
        <v>277</v>
      </c>
      <c r="D14" s="192" t="s">
        <v>40</v>
      </c>
      <c r="E14" s="193"/>
      <c r="F14" s="193"/>
      <c r="G14" s="193"/>
      <c r="H14" s="193"/>
      <c r="I14" s="194"/>
      <c r="J14" s="179"/>
      <c r="K14" s="192" t="s">
        <v>29</v>
      </c>
      <c r="L14" s="193"/>
      <c r="M14" s="193"/>
      <c r="N14" s="193"/>
      <c r="O14" s="193"/>
      <c r="P14" s="193"/>
      <c r="Q14" s="193"/>
      <c r="R14" s="194"/>
      <c r="S14" s="179"/>
      <c r="T14" s="16" t="s">
        <v>52</v>
      </c>
      <c r="U14" s="177" t="s">
        <v>27</v>
      </c>
      <c r="V14" s="178"/>
      <c r="W14" s="178"/>
      <c r="X14" s="178"/>
      <c r="Y14" s="179"/>
      <c r="Z14" s="198" t="s">
        <v>201</v>
      </c>
      <c r="AA14" s="198" t="s">
        <v>202</v>
      </c>
      <c r="AB14" s="176" t="s">
        <v>90</v>
      </c>
      <c r="AC14" s="165" t="s">
        <v>70</v>
      </c>
      <c r="AD14" s="165" t="s">
        <v>69</v>
      </c>
      <c r="AE14" s="174" t="s">
        <v>203</v>
      </c>
      <c r="AG14" s="176" t="s">
        <v>91</v>
      </c>
      <c r="AH14" s="180" t="s">
        <v>278</v>
      </c>
      <c r="AI14" s="184" t="s">
        <v>243</v>
      </c>
      <c r="AJ14" s="185"/>
      <c r="AK14" s="185"/>
      <c r="AL14" s="185"/>
      <c r="AM14" s="186"/>
      <c r="AN14" s="187"/>
      <c r="AO14" s="184" t="s">
        <v>244</v>
      </c>
      <c r="AP14" s="185"/>
      <c r="AQ14" s="185"/>
      <c r="AR14" s="185"/>
      <c r="AS14" s="186"/>
      <c r="AT14" s="187"/>
      <c r="AU14" s="23" t="s">
        <v>245</v>
      </c>
      <c r="AV14" s="18" t="s">
        <v>27</v>
      </c>
      <c r="AW14" s="197" t="s">
        <v>246</v>
      </c>
      <c r="AX14" s="197" t="s">
        <v>257</v>
      </c>
      <c r="AY14" s="176" t="s">
        <v>90</v>
      </c>
      <c r="AZ14" s="165" t="s">
        <v>247</v>
      </c>
      <c r="BA14" s="165" t="s">
        <v>248</v>
      </c>
      <c r="BB14" s="174" t="s">
        <v>249</v>
      </c>
      <c r="BD14" s="176" t="s">
        <v>92</v>
      </c>
      <c r="BE14" s="165" t="s">
        <v>219</v>
      </c>
      <c r="BF14" s="165" t="s">
        <v>220</v>
      </c>
      <c r="BG14" s="165" t="s">
        <v>250</v>
      </c>
      <c r="BH14" s="226" t="s">
        <v>221</v>
      </c>
      <c r="BI14" s="228" t="s">
        <v>222</v>
      </c>
      <c r="BJ14" s="167" t="s">
        <v>251</v>
      </c>
      <c r="BK14" s="167" t="s">
        <v>252</v>
      </c>
      <c r="BL14" s="167" t="s">
        <v>255</v>
      </c>
      <c r="BM14" s="167" t="s">
        <v>258</v>
      </c>
      <c r="BO14" s="165" t="s">
        <v>204</v>
      </c>
      <c r="BP14" s="165" t="s">
        <v>253</v>
      </c>
      <c r="BR14" s="165" t="s">
        <v>70</v>
      </c>
      <c r="BS14" s="165" t="s">
        <v>69</v>
      </c>
      <c r="BT14" s="174" t="s">
        <v>203</v>
      </c>
      <c r="BU14" s="165" t="s">
        <v>254</v>
      </c>
    </row>
    <row r="15" spans="1:73" ht="16.5" customHeight="1" x14ac:dyDescent="0.25">
      <c r="A15" s="191"/>
      <c r="B15" s="191"/>
      <c r="C15" s="176"/>
      <c r="D15" s="4" t="s">
        <v>12</v>
      </c>
      <c r="E15" s="3" t="s">
        <v>1</v>
      </c>
      <c r="F15" s="3" t="s">
        <v>37</v>
      </c>
      <c r="G15" s="145" t="s">
        <v>276</v>
      </c>
      <c r="H15" s="3" t="s">
        <v>103</v>
      </c>
      <c r="I15" s="4" t="s">
        <v>51</v>
      </c>
      <c r="J15" s="4" t="s">
        <v>41</v>
      </c>
      <c r="K15" s="4" t="s">
        <v>12</v>
      </c>
      <c r="L15" s="3" t="s">
        <v>1</v>
      </c>
      <c r="M15" s="3" t="s">
        <v>28</v>
      </c>
      <c r="N15" s="3" t="s">
        <v>37</v>
      </c>
      <c r="O15" s="145" t="s">
        <v>276</v>
      </c>
      <c r="P15" s="3" t="s">
        <v>103</v>
      </c>
      <c r="Q15" s="3" t="s">
        <v>38</v>
      </c>
      <c r="R15" s="4" t="s">
        <v>51</v>
      </c>
      <c r="S15" s="4" t="s">
        <v>41</v>
      </c>
      <c r="T15" s="4" t="s">
        <v>41</v>
      </c>
      <c r="U15" s="3" t="s">
        <v>23</v>
      </c>
      <c r="V15" s="3" t="s">
        <v>25</v>
      </c>
      <c r="W15" s="3" t="s">
        <v>26</v>
      </c>
      <c r="X15" s="145" t="s">
        <v>308</v>
      </c>
      <c r="Y15" s="3" t="s">
        <v>39</v>
      </c>
      <c r="Z15" s="191"/>
      <c r="AA15" s="191"/>
      <c r="AB15" s="176"/>
      <c r="AC15" s="166"/>
      <c r="AD15" s="166"/>
      <c r="AE15" s="175"/>
      <c r="AG15" s="176"/>
      <c r="AH15" s="176"/>
      <c r="AI15" s="24" t="s">
        <v>12</v>
      </c>
      <c r="AJ15" s="3" t="s">
        <v>61</v>
      </c>
      <c r="AK15" s="51" t="s">
        <v>229</v>
      </c>
      <c r="AL15" s="3" t="s">
        <v>26</v>
      </c>
      <c r="AM15" s="24" t="s">
        <v>51</v>
      </c>
      <c r="AN15" s="24" t="s">
        <v>41</v>
      </c>
      <c r="AO15" s="24" t="s">
        <v>12</v>
      </c>
      <c r="AP15" s="3" t="s">
        <v>61</v>
      </c>
      <c r="AQ15" s="51" t="s">
        <v>229</v>
      </c>
      <c r="AR15" s="3" t="s">
        <v>26</v>
      </c>
      <c r="AS15" s="24" t="s">
        <v>51</v>
      </c>
      <c r="AT15" s="24" t="s">
        <v>41</v>
      </c>
      <c r="AU15" s="24" t="s">
        <v>41</v>
      </c>
      <c r="AV15" s="3" t="s">
        <v>189</v>
      </c>
      <c r="AW15" s="181"/>
      <c r="AX15" s="181"/>
      <c r="AY15" s="176"/>
      <c r="AZ15" s="166"/>
      <c r="BA15" s="166"/>
      <c r="BB15" s="175"/>
      <c r="BD15" s="176"/>
      <c r="BE15" s="166"/>
      <c r="BF15" s="166"/>
      <c r="BG15" s="166"/>
      <c r="BH15" s="227"/>
      <c r="BI15" s="229"/>
      <c r="BJ15" s="168"/>
      <c r="BK15" s="168"/>
      <c r="BL15" s="168"/>
      <c r="BM15" s="168"/>
      <c r="BO15" s="166"/>
      <c r="BP15" s="166"/>
      <c r="BR15" s="166"/>
      <c r="BS15" s="166"/>
      <c r="BT15" s="175"/>
      <c r="BU15" s="166"/>
    </row>
    <row r="16" spans="1:73" x14ac:dyDescent="0.25">
      <c r="A16" s="3" t="s">
        <v>2</v>
      </c>
      <c r="B16" s="3" t="s">
        <v>43</v>
      </c>
      <c r="C16" s="15" t="b">
        <v>1</v>
      </c>
      <c r="D16" s="3" t="s">
        <v>13</v>
      </c>
      <c r="E16" s="7">
        <f>IF($B$5&gt;0,IF($U$5=FALSE,0,IF(C16=FALSE,0,2400)),0)</f>
        <v>2400</v>
      </c>
      <c r="F16" s="7">
        <v>0</v>
      </c>
      <c r="G16" s="7">
        <f>IF($B$5&gt;0,IF($U$5=FALSE,0,IF(E16=FALSE,0,($B$5-1)*2400)),0)</f>
        <v>0</v>
      </c>
      <c r="H16" s="7">
        <v>0</v>
      </c>
      <c r="I16" s="7">
        <f>IF($S$5=FALSE,0,SUM(E16:H16))</f>
        <v>2400</v>
      </c>
      <c r="J16" s="7">
        <f>I16*1</f>
        <v>2400</v>
      </c>
      <c r="K16" s="3" t="s">
        <v>13</v>
      </c>
      <c r="L16" s="7">
        <v>0</v>
      </c>
      <c r="M16" s="7">
        <v>0</v>
      </c>
      <c r="N16" s="7">
        <v>0</v>
      </c>
      <c r="O16" s="7">
        <v>0</v>
      </c>
      <c r="P16" s="7">
        <v>0</v>
      </c>
      <c r="Q16" s="7">
        <v>0</v>
      </c>
      <c r="R16" s="7">
        <f>IF($S$5=FALSE,0,SUM(L16:Q16))</f>
        <v>0</v>
      </c>
      <c r="S16" s="7">
        <f>R16*1</f>
        <v>0</v>
      </c>
      <c r="T16" s="7">
        <f>J16+S16</f>
        <v>2400</v>
      </c>
      <c r="U16" s="7">
        <f>IF($B$5&gt;0,IF($U$7=FALSE,0,IF(C16=FALSE,0,23000)),0)</f>
        <v>23000</v>
      </c>
      <c r="V16" s="7">
        <v>0</v>
      </c>
      <c r="W16" s="7">
        <f>IF($B$5&gt;0,IF($U$7=FALSE,0,IF(C16=FALSE,0,IF($B$6/$B$5&lt;=10,0,IF(選項!$K$2=1,1000*($B$6-$B$5*10),2000*($B$6-$B$5*10))))),0)</f>
        <v>0</v>
      </c>
      <c r="X16" s="7">
        <f>IF($B$5&gt;0,IF($U$7=FALSE,0,IF(C16=FALSE,0,IF(選項!$K$2=1,10000*($B$5-1),15000*($B$5-1)))),0)</f>
        <v>0</v>
      </c>
      <c r="Y16" s="7">
        <v>0</v>
      </c>
      <c r="Z16" s="7">
        <f>IF($S$5=FALSE,0,SUM(U16:Y16))</f>
        <v>23000</v>
      </c>
      <c r="AA16" s="7">
        <f t="shared" ref="AA16:AA29" si="0">T16+Z16</f>
        <v>25400</v>
      </c>
      <c r="AB16" s="3" t="str">
        <f t="shared" ref="AB16:AB29" si="1">A16</f>
        <v>台灣</v>
      </c>
      <c r="AC16" s="25">
        <f>J16</f>
        <v>2400</v>
      </c>
      <c r="AD16" s="25">
        <f>S16</f>
        <v>0</v>
      </c>
      <c r="AE16" s="25">
        <f>Z16</f>
        <v>23000</v>
      </c>
      <c r="AG16" s="15" t="str">
        <f t="shared" ref="AG16:AG29" si="2">A16</f>
        <v>台灣</v>
      </c>
      <c r="AH16" s="3">
        <f>IF($B$5&gt;0,IF(C16=FALSE,0,$B$5),0)</f>
        <v>1</v>
      </c>
      <c r="AI16" s="3" t="s">
        <v>13</v>
      </c>
      <c r="AJ16" s="7">
        <f>IF($B$5&gt;0,IF($U$5=FALSE,0,IF(C16=FALSE,0,IF($B$10="大企業",(1000+800),1000))),0)</f>
        <v>1000</v>
      </c>
      <c r="AK16" s="7">
        <f>IF($B$5&gt;0,IF($U$5=FALSE,0,IF(C16=FALSE,0,IF($B$10="大企業",(1000+800)*($B$5-1),1000*($B$5-1)))),0)</f>
        <v>0</v>
      </c>
      <c r="AL16" s="7"/>
      <c r="AM16" s="7">
        <f>IF($S$6=FALSE,0,SUM(AJ16:AL16))</f>
        <v>1000</v>
      </c>
      <c r="AN16" s="22">
        <f>AM16*1</f>
        <v>1000</v>
      </c>
      <c r="AO16" s="3" t="s">
        <v>13</v>
      </c>
      <c r="AP16" s="7"/>
      <c r="AQ16" s="7"/>
      <c r="AR16" s="7"/>
      <c r="AS16" s="7">
        <f>IF($S$6=FALSE,0,SUM(AP16:AR16))</f>
        <v>0</v>
      </c>
      <c r="AT16" s="22">
        <f>AS16*1</f>
        <v>0</v>
      </c>
      <c r="AU16" s="22">
        <f t="shared" ref="AU16:AU29" si="3">AN16+AT16</f>
        <v>1000</v>
      </c>
      <c r="AV16" s="7">
        <f>IF($B$5&gt;0,IF($U$7=FALSE,0,IF(C16=FALSE,0,0)),0)</f>
        <v>0</v>
      </c>
      <c r="AW16" s="22">
        <f>IF($S$6=FALSE,0,SUM(AV16:AV16))</f>
        <v>0</v>
      </c>
      <c r="AX16" s="22">
        <f t="shared" ref="AX16:AX29" si="4">AU16+AW16</f>
        <v>1000</v>
      </c>
      <c r="AY16" s="15" t="str">
        <f t="shared" ref="AY16:AY29" si="5">A16</f>
        <v>台灣</v>
      </c>
      <c r="AZ16" s="25">
        <f>AN16</f>
        <v>1000</v>
      </c>
      <c r="BA16" s="25">
        <f>AT16</f>
        <v>0</v>
      </c>
      <c r="BB16" s="25">
        <f>AW16</f>
        <v>0</v>
      </c>
      <c r="BD16" s="3" t="str">
        <f>A16</f>
        <v>台灣</v>
      </c>
      <c r="BE16" s="25">
        <f>AA16</f>
        <v>25400</v>
      </c>
      <c r="BF16" s="25">
        <f t="shared" ref="BF16" si="6">AA40</f>
        <v>20000</v>
      </c>
      <c r="BG16" s="25">
        <f>AX16</f>
        <v>1000</v>
      </c>
      <c r="BH16" s="79">
        <f t="shared" ref="BH16:BH31" si="7">AX40</f>
        <v>65400</v>
      </c>
      <c r="BI16" s="95">
        <f>BE16+BF16</f>
        <v>45400</v>
      </c>
      <c r="BJ16" s="80">
        <f>BE16+BG16</f>
        <v>26400</v>
      </c>
      <c r="BK16" s="80">
        <f>BE16+BF16+BG16</f>
        <v>46400</v>
      </c>
      <c r="BL16" s="80">
        <f>BG16+BH16</f>
        <v>66400</v>
      </c>
      <c r="BM16" s="80">
        <f>BI16+BL16</f>
        <v>111800</v>
      </c>
      <c r="BO16" s="25">
        <f t="shared" ref="BO16" si="8">AA16</f>
        <v>25400</v>
      </c>
      <c r="BP16" s="25">
        <f t="shared" ref="BP16" si="9">AX16</f>
        <v>1000</v>
      </c>
      <c r="BR16" s="25">
        <f t="shared" ref="BR16" si="10">AC16</f>
        <v>2400</v>
      </c>
      <c r="BS16" s="25">
        <f t="shared" ref="BS16" si="11">AD16</f>
        <v>0</v>
      </c>
      <c r="BT16" s="25">
        <f t="shared" ref="BT16" si="12">AE16</f>
        <v>23000</v>
      </c>
      <c r="BU16" s="25">
        <f>BF16+BG16+BH16</f>
        <v>86400</v>
      </c>
    </row>
    <row r="17" spans="1:73" x14ac:dyDescent="0.25">
      <c r="A17" s="3" t="s">
        <v>3</v>
      </c>
      <c r="B17" s="3" t="s">
        <v>43</v>
      </c>
      <c r="C17" s="15" t="b">
        <v>1</v>
      </c>
      <c r="D17" s="3" t="s">
        <v>14</v>
      </c>
      <c r="E17" s="7">
        <f>IF($B$5&gt;0,IF($U$5=FALSE,0,IF(C17=FALSE,0,ROUNDUP($B$5/10,0)*500)),0)</f>
        <v>500</v>
      </c>
      <c r="F17" s="7">
        <v>0</v>
      </c>
      <c r="G17" s="7">
        <v>0</v>
      </c>
      <c r="H17" s="7">
        <v>0</v>
      </c>
      <c r="I17" s="7">
        <f t="shared" ref="I17:I29" si="13">IF($S$5=FALSE,0,SUM(E17:H17))</f>
        <v>500</v>
      </c>
      <c r="J17" s="7">
        <f>I17*$L$5</f>
        <v>2425</v>
      </c>
      <c r="K17" s="3" t="s">
        <v>14</v>
      </c>
      <c r="L17" s="7">
        <f>IF($B$5&gt;0,IF($U$6=FALSE,0,IF(C17=FALSE,0,ROUNDUP($B$5/10,0)*950)),0)</f>
        <v>950</v>
      </c>
      <c r="M17" s="7">
        <v>0</v>
      </c>
      <c r="N17" s="7">
        <v>0</v>
      </c>
      <c r="O17" s="7">
        <v>0</v>
      </c>
      <c r="P17" s="7">
        <v>0</v>
      </c>
      <c r="Q17" s="7">
        <v>0</v>
      </c>
      <c r="R17" s="7">
        <f t="shared" ref="R17:R29" si="14">IF($S$5=FALSE,0,SUM(L17:Q17))</f>
        <v>950</v>
      </c>
      <c r="S17" s="7">
        <f>R17*$L$5</f>
        <v>4607.5</v>
      </c>
      <c r="T17" s="7">
        <f t="shared" ref="T17:T29" si="15">J17+S17</f>
        <v>7032.5</v>
      </c>
      <c r="U17" s="7">
        <f>IF($B$5&gt;0,IF($U$7=FALSE,0,IF(C17=FALSE,0,ROUNDUP($B$5/10,0)*26000)),0)</f>
        <v>26000</v>
      </c>
      <c r="V17" s="7">
        <v>0</v>
      </c>
      <c r="W17" s="7">
        <f>IF($B$5&gt;0,IF($U$7=FALSE,0,IF(C17=FALSE,0,IF($B$6/$B$5&lt;=10,0,IF(選項!$K$2=1,1000*($B$6-$B$5*10),2000*($B$6-$B$5*10))))),0)</f>
        <v>0</v>
      </c>
      <c r="X17" s="7">
        <f>IF($B$5&gt;0,IF($U$7=FALSE,0,IF(C17=FALSE,0,IF(選項!$K$2=1,10000*($B$5-1),15000*($B$5-1)))),0)</f>
        <v>0</v>
      </c>
      <c r="Y17" s="7">
        <v>0</v>
      </c>
      <c r="Z17" s="7">
        <f t="shared" ref="Z17:Z29" si="16">IF($S$5=FALSE,0,SUM(U17:Y17))</f>
        <v>26000</v>
      </c>
      <c r="AA17" s="7">
        <f t="shared" si="0"/>
        <v>33032.5</v>
      </c>
      <c r="AB17" s="3" t="str">
        <f t="shared" si="1"/>
        <v>大陸</v>
      </c>
      <c r="AC17" s="25">
        <f t="shared" ref="AC17:AC29" si="17">J17</f>
        <v>2425</v>
      </c>
      <c r="AD17" s="25">
        <f t="shared" ref="AD17:AD29" si="18">S17</f>
        <v>4607.5</v>
      </c>
      <c r="AE17" s="25">
        <f t="shared" ref="AE17:AE29" si="19">Z17</f>
        <v>26000</v>
      </c>
      <c r="AG17" s="15" t="str">
        <f t="shared" si="2"/>
        <v>大陸</v>
      </c>
      <c r="AH17" s="3">
        <f>IF($B$5&gt;0,IF(C17=FALSE,0,ROUNDUP($B$5/10,0)),0)</f>
        <v>1</v>
      </c>
      <c r="AI17" s="3" t="s">
        <v>14</v>
      </c>
      <c r="AJ17" s="7">
        <f>IF($B$5&gt;0,IF($U$5=FALSE,0,IF(C17=FALSE,0,ROUNDUP($B$5/10,0)*(5+600))),0)</f>
        <v>605</v>
      </c>
      <c r="AK17" s="7"/>
      <c r="AL17" s="7"/>
      <c r="AM17" s="7">
        <f t="shared" ref="AM17:AM29" si="20">IF($S$6=FALSE,0,SUM(AJ17:AL17))</f>
        <v>605</v>
      </c>
      <c r="AN17" s="22">
        <f>AM17*$L$5</f>
        <v>2934.25</v>
      </c>
      <c r="AO17" s="3" t="s">
        <v>14</v>
      </c>
      <c r="AP17" s="7">
        <f>IF($B$5&gt;0,IF($U$6=FALSE,0,IF(C17=FALSE,0,ROUNDUP($B$5/10,0)*200)),0)</f>
        <v>200</v>
      </c>
      <c r="AQ17" s="7"/>
      <c r="AR17" s="7"/>
      <c r="AS17" s="7">
        <f t="shared" ref="AS17:AS29" si="21">IF($S$6=FALSE,0,SUM(AP17:AR17))</f>
        <v>200</v>
      </c>
      <c r="AT17" s="22">
        <f>AS17*$L$5</f>
        <v>969.99999999999989</v>
      </c>
      <c r="AU17" s="22">
        <f t="shared" si="3"/>
        <v>3904.25</v>
      </c>
      <c r="AV17" s="7">
        <f>IF($B$5&gt;0,IF($U$7=FALSE,0,IF(C17=FALSE,0,2000)),0)</f>
        <v>2000</v>
      </c>
      <c r="AW17" s="22">
        <f t="shared" ref="AW17:AW29" si="22">IF($S$6=FALSE,0,SUM(AV17:AV17))</f>
        <v>2000</v>
      </c>
      <c r="AX17" s="22">
        <f t="shared" si="4"/>
        <v>5904.25</v>
      </c>
      <c r="AY17" s="15" t="str">
        <f t="shared" si="5"/>
        <v>大陸</v>
      </c>
      <c r="AZ17" s="25">
        <f t="shared" ref="AZ17:AZ29" si="23">AN17</f>
        <v>2934.25</v>
      </c>
      <c r="BA17" s="25">
        <f t="shared" ref="BA17:BA29" si="24">AT17</f>
        <v>969.99999999999989</v>
      </c>
      <c r="BB17" s="25">
        <f t="shared" ref="BB17:BB29" si="25">AW17</f>
        <v>2000</v>
      </c>
      <c r="BD17" s="3" t="str">
        <f t="shared" ref="BD17:BD29" si="26">A17</f>
        <v>大陸</v>
      </c>
      <c r="BE17" s="25">
        <f t="shared" ref="BE17:BE31" si="27">AA17</f>
        <v>33032.5</v>
      </c>
      <c r="BF17" s="25">
        <f t="shared" ref="BF17:BF31" si="28">AA41</f>
        <v>0</v>
      </c>
      <c r="BG17" s="25">
        <f t="shared" ref="BG17:BG31" si="29">AX17</f>
        <v>5904.25</v>
      </c>
      <c r="BH17" s="79">
        <f t="shared" si="7"/>
        <v>179739.99999999997</v>
      </c>
      <c r="BI17" s="95">
        <f t="shared" ref="BI17:BI31" si="30">BE17+BF17</f>
        <v>33032.5</v>
      </c>
      <c r="BJ17" s="80">
        <f t="shared" ref="BJ17:BJ31" si="31">BE17+BG17</f>
        <v>38936.75</v>
      </c>
      <c r="BK17" s="80">
        <f t="shared" ref="BK17:BK31" si="32">BE17+BF17+BG17</f>
        <v>38936.75</v>
      </c>
      <c r="BL17" s="80">
        <f t="shared" ref="BL17:BL31" si="33">BG17+BH17</f>
        <v>185644.24999999997</v>
      </c>
      <c r="BM17" s="80">
        <f t="shared" ref="BM17:BM31" si="34">BI17+BL17</f>
        <v>218676.74999999997</v>
      </c>
      <c r="BO17" s="25">
        <f t="shared" ref="BO17:BO31" si="35">AA17</f>
        <v>33032.5</v>
      </c>
      <c r="BP17" s="25">
        <f t="shared" ref="BP17:BP31" si="36">AX17</f>
        <v>5904.25</v>
      </c>
      <c r="BR17" s="25">
        <f t="shared" ref="BR17:BR31" si="37">AC17</f>
        <v>2425</v>
      </c>
      <c r="BS17" s="25">
        <f t="shared" ref="BS17:BS31" si="38">AD17</f>
        <v>4607.5</v>
      </c>
      <c r="BT17" s="25">
        <f t="shared" ref="BT17:BT31" si="39">AE17</f>
        <v>26000</v>
      </c>
      <c r="BU17" s="25">
        <f t="shared" ref="BU17:BU31" si="40">BF17+BG17+BH17</f>
        <v>185644.24999999997</v>
      </c>
    </row>
    <row r="18" spans="1:73" x14ac:dyDescent="0.25">
      <c r="A18" s="3" t="s">
        <v>4</v>
      </c>
      <c r="B18" s="3" t="s">
        <v>43</v>
      </c>
      <c r="C18" s="15" t="b">
        <v>1</v>
      </c>
      <c r="D18" s="3" t="s">
        <v>15</v>
      </c>
      <c r="E18" s="7">
        <f>IF($B$5&gt;0,IF($U$5=FALSE,0,IF(C18=FALSE,0,IF($B$9="500人以上",1300,520))),0)</f>
        <v>520</v>
      </c>
      <c r="F18" s="7">
        <v>0</v>
      </c>
      <c r="G18" s="7">
        <v>0</v>
      </c>
      <c r="H18" s="7">
        <v>0</v>
      </c>
      <c r="I18" s="7">
        <f t="shared" si="13"/>
        <v>520</v>
      </c>
      <c r="J18" s="7">
        <f>I18*$J$5</f>
        <v>16744</v>
      </c>
      <c r="K18" s="3" t="s">
        <v>15</v>
      </c>
      <c r="L18" s="7">
        <f>IF($B$5&gt;0,IF($U$6=FALSE,0,IF(C18=FALSE,0,400+150)),0)</f>
        <v>550</v>
      </c>
      <c r="M18" s="7">
        <v>0</v>
      </c>
      <c r="N18" s="7">
        <v>0</v>
      </c>
      <c r="O18" s="7">
        <v>0</v>
      </c>
      <c r="P18" s="7">
        <f>IF($B$5&gt;0,IF($U$6=FALSE,0,IF(C18=FALSE,0,100)),0)</f>
        <v>100</v>
      </c>
      <c r="Q18" s="7">
        <v>0</v>
      </c>
      <c r="R18" s="7">
        <f t="shared" si="14"/>
        <v>650</v>
      </c>
      <c r="S18" s="7">
        <f>R18*$J$5</f>
        <v>20930.000000000004</v>
      </c>
      <c r="T18" s="7">
        <f t="shared" si="15"/>
        <v>37674</v>
      </c>
      <c r="U18" s="7">
        <f>IF($B$5&gt;0,IF($U$7=FALSE,0,IF(C18=FALSE,0,IF(選項!$K$2=1,30000,40000))),0)</f>
        <v>40000</v>
      </c>
      <c r="V18" s="7">
        <v>0</v>
      </c>
      <c r="W18" s="7">
        <f>IF($B$5&gt;0,IF($U$7=FALSE,0,IF(C18=FALSE,0,IF($B$6/$B$5&lt;=10,0,IF(選項!$K$2=1,1000*($B$6-$B$5*10),2000*($B$6-$B$5*10))))),0)</f>
        <v>0</v>
      </c>
      <c r="X18" s="7">
        <f>IF($B$5&gt;0,IF($U$7=FALSE,0,IF(C18=FALSE,0,IF(選項!$K$2=1,10000*($B$5-1),25000*($B$5-1)))),0)</f>
        <v>0</v>
      </c>
      <c r="Y18" s="7">
        <v>0</v>
      </c>
      <c r="Z18" s="7">
        <f t="shared" si="16"/>
        <v>40000</v>
      </c>
      <c r="AA18" s="7">
        <f t="shared" si="0"/>
        <v>77674</v>
      </c>
      <c r="AB18" s="3" t="str">
        <f t="shared" si="1"/>
        <v>美國</v>
      </c>
      <c r="AC18" s="25">
        <f t="shared" si="17"/>
        <v>16744</v>
      </c>
      <c r="AD18" s="25">
        <f t="shared" si="18"/>
        <v>20930.000000000004</v>
      </c>
      <c r="AE18" s="25">
        <f t="shared" si="19"/>
        <v>40000</v>
      </c>
      <c r="AG18" s="15" t="str">
        <f t="shared" si="2"/>
        <v>美國</v>
      </c>
      <c r="AH18" s="3">
        <f>IF($B$5&gt;0,IF(C18=FALSE,0,1),0)</f>
        <v>1</v>
      </c>
      <c r="AI18" s="3" t="s">
        <v>15</v>
      </c>
      <c r="AJ18" s="7">
        <f>IF($B$5&gt;0,IF($U$5=FALSE,0,IF(C18=FALSE,0,IF($B$9="500人以上",1300,520))),0)</f>
        <v>520</v>
      </c>
      <c r="AK18" s="7"/>
      <c r="AL18" s="7"/>
      <c r="AM18" s="7">
        <f t="shared" si="20"/>
        <v>520</v>
      </c>
      <c r="AN18" s="22">
        <f>AM18*$J$5</f>
        <v>16744</v>
      </c>
      <c r="AO18" s="3" t="s">
        <v>15</v>
      </c>
      <c r="AP18" s="7">
        <f>IF($B$5&gt;0,IF($U$6=FALSE,0,IF(C18=FALSE,0,370)),0)</f>
        <v>370</v>
      </c>
      <c r="AQ18" s="7"/>
      <c r="AR18" s="7"/>
      <c r="AS18" s="7">
        <f t="shared" si="21"/>
        <v>370</v>
      </c>
      <c r="AT18" s="22">
        <f>AS18*$J$5</f>
        <v>11914.000000000002</v>
      </c>
      <c r="AU18" s="22">
        <f t="shared" si="3"/>
        <v>28658</v>
      </c>
      <c r="AV18" s="7">
        <f>IF($B$5&gt;0,IF($U$7=FALSE,0,IF(C18=FALSE,0,2000)),0)</f>
        <v>2000</v>
      </c>
      <c r="AW18" s="22">
        <f t="shared" si="22"/>
        <v>2000</v>
      </c>
      <c r="AX18" s="22">
        <f t="shared" si="4"/>
        <v>30658</v>
      </c>
      <c r="AY18" s="15" t="str">
        <f t="shared" si="5"/>
        <v>美國</v>
      </c>
      <c r="AZ18" s="25">
        <f t="shared" si="23"/>
        <v>16744</v>
      </c>
      <c r="BA18" s="25">
        <f t="shared" si="24"/>
        <v>11914.000000000002</v>
      </c>
      <c r="BB18" s="25">
        <f t="shared" si="25"/>
        <v>2000</v>
      </c>
      <c r="BD18" s="3" t="str">
        <f t="shared" si="26"/>
        <v>美國</v>
      </c>
      <c r="BE18" s="25">
        <f t="shared" si="27"/>
        <v>77674</v>
      </c>
      <c r="BF18" s="25">
        <f t="shared" si="28"/>
        <v>64767</v>
      </c>
      <c r="BG18" s="25">
        <f t="shared" si="29"/>
        <v>30658</v>
      </c>
      <c r="BH18" s="79">
        <f t="shared" si="7"/>
        <v>0</v>
      </c>
      <c r="BI18" s="95">
        <f t="shared" si="30"/>
        <v>142441</v>
      </c>
      <c r="BJ18" s="80">
        <f t="shared" si="31"/>
        <v>108332</v>
      </c>
      <c r="BK18" s="80">
        <f t="shared" si="32"/>
        <v>173099</v>
      </c>
      <c r="BL18" s="80">
        <f t="shared" si="33"/>
        <v>30658</v>
      </c>
      <c r="BM18" s="80">
        <f t="shared" si="34"/>
        <v>173099</v>
      </c>
      <c r="BO18" s="25">
        <f t="shared" si="35"/>
        <v>77674</v>
      </c>
      <c r="BP18" s="25">
        <f t="shared" si="36"/>
        <v>30658</v>
      </c>
      <c r="BR18" s="25">
        <f t="shared" si="37"/>
        <v>16744</v>
      </c>
      <c r="BS18" s="25">
        <f t="shared" si="38"/>
        <v>20930.000000000004</v>
      </c>
      <c r="BT18" s="25">
        <f t="shared" si="39"/>
        <v>40000</v>
      </c>
      <c r="BU18" s="25">
        <f t="shared" si="40"/>
        <v>95425</v>
      </c>
    </row>
    <row r="19" spans="1:73" x14ac:dyDescent="0.25">
      <c r="A19" s="3" t="s">
        <v>107</v>
      </c>
      <c r="B19" s="3" t="s">
        <v>43</v>
      </c>
      <c r="C19" s="15" t="b">
        <v>1</v>
      </c>
      <c r="D19" s="3" t="s">
        <v>16</v>
      </c>
      <c r="E19" s="7">
        <f>IF($B$5&gt;0,IF($U$5=FALSE,0,IF(C19=FALSE,0,350)),0)</f>
        <v>350</v>
      </c>
      <c r="F19" s="7">
        <v>0</v>
      </c>
      <c r="G19" s="7">
        <f>IF($B$5&gt;0,IF($U$5=FALSE,0,IF(C19=FALSE,0,($B$5-1)*125)),0)</f>
        <v>0</v>
      </c>
      <c r="H19" s="7">
        <v>0</v>
      </c>
      <c r="I19" s="7">
        <f t="shared" si="13"/>
        <v>350</v>
      </c>
      <c r="J19" s="7">
        <f>I19*$J$6</f>
        <v>13125</v>
      </c>
      <c r="K19" s="3" t="s">
        <v>16</v>
      </c>
      <c r="L19" s="7">
        <f>IF($B$5&gt;0,IF($U$6=FALSE,0,IF(C19=FALSE,0,150)),0)</f>
        <v>150</v>
      </c>
      <c r="M19" s="7">
        <v>0</v>
      </c>
      <c r="N19" s="7">
        <v>0</v>
      </c>
      <c r="O19" s="7">
        <f>IF($B$5&gt;0,IF($U$6=FALSE,0,IF(C19=FALSE,0,($B$5-1)*50)),0)</f>
        <v>0</v>
      </c>
      <c r="P19" s="7">
        <v>0</v>
      </c>
      <c r="Q19" s="7">
        <v>0</v>
      </c>
      <c r="R19" s="7">
        <f t="shared" si="14"/>
        <v>150</v>
      </c>
      <c r="S19" s="7">
        <f>R19*$J$6</f>
        <v>5625</v>
      </c>
      <c r="T19" s="7">
        <f t="shared" si="15"/>
        <v>18750</v>
      </c>
      <c r="U19" s="7">
        <f t="shared" ref="U19:U25" si="41">IF($B$5&gt;0,IF($U$7=FALSE,0,IF(C19=FALSE,0,30000)),0)</f>
        <v>30000</v>
      </c>
      <c r="V19" s="7">
        <v>0</v>
      </c>
      <c r="W19" s="7">
        <v>0</v>
      </c>
      <c r="X19" s="7">
        <f>IF($B$5&gt;0,IF($U$7=FALSE,0,IF(C19=FALSE,0,IF(選項!$K$2=1,10000*($B$5-1),20000*($B$5-1)))),0)</f>
        <v>0</v>
      </c>
      <c r="Y19" s="7">
        <v>0</v>
      </c>
      <c r="Z19" s="7">
        <f t="shared" si="16"/>
        <v>30000</v>
      </c>
      <c r="AA19" s="7">
        <f t="shared" si="0"/>
        <v>48750</v>
      </c>
      <c r="AB19" s="3" t="str">
        <f t="shared" si="1"/>
        <v>歐盟</v>
      </c>
      <c r="AC19" s="25">
        <f t="shared" si="17"/>
        <v>13125</v>
      </c>
      <c r="AD19" s="25">
        <f t="shared" si="18"/>
        <v>5625</v>
      </c>
      <c r="AE19" s="25">
        <f t="shared" si="19"/>
        <v>30000</v>
      </c>
      <c r="AG19" s="15" t="str">
        <f t="shared" si="2"/>
        <v>歐盟</v>
      </c>
      <c r="AH19" s="3">
        <f t="shared" ref="AH19:AH25" si="42">IF($B$5&gt;0,IF(C19=FALSE,0,$B$5),0)</f>
        <v>1</v>
      </c>
      <c r="AI19" s="3" t="s">
        <v>16</v>
      </c>
      <c r="AJ19" s="7">
        <v>0</v>
      </c>
      <c r="AK19" s="7">
        <v>0</v>
      </c>
      <c r="AL19" s="7"/>
      <c r="AM19" s="7">
        <f t="shared" si="20"/>
        <v>0</v>
      </c>
      <c r="AN19" s="22">
        <f>AM19*$J$6</f>
        <v>0</v>
      </c>
      <c r="AO19" s="3" t="s">
        <v>16</v>
      </c>
      <c r="AP19" s="7">
        <f>IF($B$5&gt;0,IF($U$6=FALSE,0,IF(C19=FALSE,0,0)),0)</f>
        <v>0</v>
      </c>
      <c r="AQ19" s="7">
        <f>IF($B$5&gt;0,IF($U$6=FALSE,0,IF(C19=FALSE,0,IF($B$5&gt;1,($B$5-1)*0,0))),0)</f>
        <v>0</v>
      </c>
      <c r="AR19" s="7"/>
      <c r="AS19" s="7">
        <f t="shared" si="21"/>
        <v>0</v>
      </c>
      <c r="AT19" s="22">
        <f>AS19*$J$6</f>
        <v>0</v>
      </c>
      <c r="AU19" s="22">
        <f t="shared" si="3"/>
        <v>0</v>
      </c>
      <c r="AV19" s="7">
        <f>IF($B$5&gt;0,IF($U$7=FALSE,0,IF(C19=FALSE,0,IF($B$5&gt;5,2000+2000*(ROUNDDOWN($B$5/5,0)-1),2000))),0)</f>
        <v>2000</v>
      </c>
      <c r="AW19" s="22">
        <f t="shared" si="22"/>
        <v>2000</v>
      </c>
      <c r="AX19" s="22">
        <f t="shared" si="4"/>
        <v>2000</v>
      </c>
      <c r="AY19" s="15" t="str">
        <f t="shared" si="5"/>
        <v>歐盟</v>
      </c>
      <c r="AZ19" s="25">
        <f t="shared" si="23"/>
        <v>0</v>
      </c>
      <c r="BA19" s="25">
        <f t="shared" si="24"/>
        <v>0</v>
      </c>
      <c r="BB19" s="25">
        <f t="shared" si="25"/>
        <v>2000</v>
      </c>
      <c r="BD19" s="3" t="str">
        <f t="shared" si="26"/>
        <v>歐盟</v>
      </c>
      <c r="BE19" s="25">
        <f t="shared" si="27"/>
        <v>48750</v>
      </c>
      <c r="BF19" s="25">
        <f t="shared" si="28"/>
        <v>0</v>
      </c>
      <c r="BG19" s="25">
        <f t="shared" si="29"/>
        <v>2000</v>
      </c>
      <c r="BH19" s="79">
        <f t="shared" si="7"/>
        <v>81180</v>
      </c>
      <c r="BI19" s="95">
        <f t="shared" si="30"/>
        <v>48750</v>
      </c>
      <c r="BJ19" s="80">
        <f t="shared" si="31"/>
        <v>50750</v>
      </c>
      <c r="BK19" s="80">
        <f t="shared" si="32"/>
        <v>50750</v>
      </c>
      <c r="BL19" s="80">
        <f t="shared" si="33"/>
        <v>83180</v>
      </c>
      <c r="BM19" s="80">
        <f t="shared" si="34"/>
        <v>131930</v>
      </c>
      <c r="BO19" s="25">
        <f t="shared" si="35"/>
        <v>48750</v>
      </c>
      <c r="BP19" s="25">
        <f t="shared" si="36"/>
        <v>2000</v>
      </c>
      <c r="BR19" s="25">
        <f t="shared" si="37"/>
        <v>13125</v>
      </c>
      <c r="BS19" s="25">
        <f t="shared" si="38"/>
        <v>5625</v>
      </c>
      <c r="BT19" s="25">
        <f t="shared" si="39"/>
        <v>30000</v>
      </c>
      <c r="BU19" s="25">
        <f t="shared" si="40"/>
        <v>83180</v>
      </c>
    </row>
    <row r="20" spans="1:73" x14ac:dyDescent="0.25">
      <c r="A20" s="3" t="s">
        <v>224</v>
      </c>
      <c r="B20" s="3" t="s">
        <v>43</v>
      </c>
      <c r="C20" s="15" t="b">
        <v>1</v>
      </c>
      <c r="D20" s="3" t="s">
        <v>225</v>
      </c>
      <c r="E20" s="7">
        <f>IF($B$5&gt;0,IF($U$5=FALSE,0,IF(C20=FALSE,0,ROUNDUP($B$5/50,0)*50)),0)</f>
        <v>50</v>
      </c>
      <c r="F20" s="7">
        <v>0</v>
      </c>
      <c r="G20" s="10">
        <f>IF($B$5&gt;0,IF($U$5=FALSE,0,IF(C20=FALSE,0,IF($B$5&gt;40,100,IF($B$5&gt;30,80,IF($B$5&gt;20,60,IF($B$5&gt;10,40,IF($B$5&gt;1,20,0))))))),0)</f>
        <v>0</v>
      </c>
      <c r="H20" s="7">
        <v>0</v>
      </c>
      <c r="I20" s="7">
        <f t="shared" si="13"/>
        <v>50</v>
      </c>
      <c r="J20" s="7">
        <f>I20*$J$6</f>
        <v>1875</v>
      </c>
      <c r="K20" s="3" t="s">
        <v>16</v>
      </c>
      <c r="L20" s="7">
        <f>IF($B$5&gt;0,IF($U$6=FALSE,0,IF(C20=FALSE,0,ROUNDUP($B$5/50,0)*160)),0)</f>
        <v>160</v>
      </c>
      <c r="M20" s="7">
        <v>0</v>
      </c>
      <c r="N20" s="7">
        <v>0</v>
      </c>
      <c r="O20" s="10">
        <f>IF($B$5&gt;0,IF($U$6=FALSE,0,IF(C20=FALSE,0,IF($B$5&gt;40,240,IF($B$5&gt;30,190,IF($B$5&gt;20,140,IF($B$5&gt;10,90,IF($B$5&gt;1,40,0))))))),0)</f>
        <v>0</v>
      </c>
      <c r="P20" s="7">
        <v>0</v>
      </c>
      <c r="Q20" s="7">
        <v>0</v>
      </c>
      <c r="R20" s="7">
        <f t="shared" si="14"/>
        <v>160</v>
      </c>
      <c r="S20" s="7">
        <f>R20*$J$6</f>
        <v>6000</v>
      </c>
      <c r="T20" s="7">
        <f>J20+S20</f>
        <v>7875</v>
      </c>
      <c r="U20" s="7">
        <f>IF($B$5&gt;0,IF($U$7=FALSE,0,IF(C20=FALSE,0,ROUNDUP($B$5/50,0)*30000)),0)</f>
        <v>30000</v>
      </c>
      <c r="V20" s="7">
        <v>0</v>
      </c>
      <c r="W20" s="7">
        <f>IF($B$5&gt;0,IF($U$7=FALSE,0,IF(C20=FALSE,0,IF($B$6/$B$5&lt;=10,0,IF(選項!$K$2=1,1000*($B$6-$B$5*10),2000*($B$6-$B$5*10))))),0)</f>
        <v>0</v>
      </c>
      <c r="X20" s="7">
        <f>IF($B$5&gt;0,IF($U$7=FALSE,0,IF(C20=FALSE,0,IF(選項!$K$2=1,10000*($B$5-1),20000*($B$5-1)))),0)</f>
        <v>0</v>
      </c>
      <c r="Y20" s="7">
        <v>0</v>
      </c>
      <c r="Z20" s="7">
        <f t="shared" si="16"/>
        <v>30000</v>
      </c>
      <c r="AA20" s="7">
        <f>T20+Z20</f>
        <v>37875</v>
      </c>
      <c r="AB20" s="3" t="str">
        <f>A20</f>
        <v>英國</v>
      </c>
      <c r="AC20" s="25">
        <f>J20</f>
        <v>1875</v>
      </c>
      <c r="AD20" s="25">
        <f>S20</f>
        <v>6000</v>
      </c>
      <c r="AE20" s="25">
        <f>Z20</f>
        <v>30000</v>
      </c>
      <c r="AG20" s="15" t="str">
        <f>A20</f>
        <v>英國</v>
      </c>
      <c r="AH20" s="3">
        <f t="shared" si="42"/>
        <v>1</v>
      </c>
      <c r="AI20" s="3" t="s">
        <v>16</v>
      </c>
      <c r="AJ20" s="7">
        <v>0</v>
      </c>
      <c r="AK20" s="7">
        <v>0</v>
      </c>
      <c r="AL20" s="7"/>
      <c r="AM20" s="7">
        <f t="shared" si="20"/>
        <v>0</v>
      </c>
      <c r="AN20" s="22">
        <f>AM20*$J$6</f>
        <v>0</v>
      </c>
      <c r="AO20" s="3" t="s">
        <v>16</v>
      </c>
      <c r="AP20" s="7">
        <v>0</v>
      </c>
      <c r="AQ20" s="7">
        <v>0</v>
      </c>
      <c r="AR20" s="7"/>
      <c r="AS20" s="7">
        <f t="shared" si="21"/>
        <v>0</v>
      </c>
      <c r="AT20" s="22">
        <f>AS20*$J$6</f>
        <v>0</v>
      </c>
      <c r="AU20" s="22">
        <f>AN20+AT20</f>
        <v>0</v>
      </c>
      <c r="AV20" s="7">
        <f>IF($B$5&gt;0,IF($U$7=FALSE,0,IF(C20=FALSE,0,IF($B$5&gt;5,2000+2000*(ROUNDDOWN($B$5/5,0)-1),2000))),0)</f>
        <v>2000</v>
      </c>
      <c r="AW20" s="22">
        <f t="shared" si="22"/>
        <v>2000</v>
      </c>
      <c r="AX20" s="22">
        <f>AU20+AW20</f>
        <v>2000</v>
      </c>
      <c r="AY20" s="15" t="str">
        <f>A20</f>
        <v>英國</v>
      </c>
      <c r="AZ20" s="25">
        <f>AN20</f>
        <v>0</v>
      </c>
      <c r="BA20" s="25">
        <f>AT20</f>
        <v>0</v>
      </c>
      <c r="BB20" s="25">
        <f>AW20</f>
        <v>2000</v>
      </c>
      <c r="BD20" s="3" t="str">
        <f>A20</f>
        <v>英國</v>
      </c>
      <c r="BE20" s="25">
        <f t="shared" si="27"/>
        <v>37875</v>
      </c>
      <c r="BF20" s="25">
        <f t="shared" si="28"/>
        <v>0</v>
      </c>
      <c r="BG20" s="25">
        <f t="shared" si="29"/>
        <v>2000</v>
      </c>
      <c r="BH20" s="79">
        <f t="shared" si="7"/>
        <v>56064</v>
      </c>
      <c r="BI20" s="95">
        <f t="shared" si="30"/>
        <v>37875</v>
      </c>
      <c r="BJ20" s="80">
        <f t="shared" si="31"/>
        <v>39875</v>
      </c>
      <c r="BK20" s="80">
        <f t="shared" si="32"/>
        <v>39875</v>
      </c>
      <c r="BL20" s="80">
        <f t="shared" si="33"/>
        <v>58064</v>
      </c>
      <c r="BM20" s="80">
        <f t="shared" si="34"/>
        <v>95939</v>
      </c>
      <c r="BO20" s="25">
        <f t="shared" si="35"/>
        <v>37875</v>
      </c>
      <c r="BP20" s="25">
        <f t="shared" si="36"/>
        <v>2000</v>
      </c>
      <c r="BR20" s="25">
        <f t="shared" si="37"/>
        <v>1875</v>
      </c>
      <c r="BS20" s="25">
        <f t="shared" si="38"/>
        <v>6000</v>
      </c>
      <c r="BT20" s="25">
        <f t="shared" si="39"/>
        <v>30000</v>
      </c>
      <c r="BU20" s="25">
        <f t="shared" si="40"/>
        <v>58064</v>
      </c>
    </row>
    <row r="21" spans="1:73" x14ac:dyDescent="0.25">
      <c r="A21" s="3" t="s">
        <v>5</v>
      </c>
      <c r="B21" s="3" t="s">
        <v>43</v>
      </c>
      <c r="C21" s="15" t="b">
        <v>1</v>
      </c>
      <c r="D21" s="3" t="s">
        <v>17</v>
      </c>
      <c r="E21" s="7">
        <f>IF($B$5&gt;0,IF($U$5=FALSE,0,IF(C21=FALSE,0,16000)),0)</f>
        <v>16000</v>
      </c>
      <c r="F21" s="7">
        <v>0</v>
      </c>
      <c r="G21" s="7">
        <f>IF($B$5&gt;0,IF($U$5=FALSE,0,IF(C21=FALSE,0,($B$5-1)*16000)),0)</f>
        <v>0</v>
      </c>
      <c r="H21" s="7">
        <v>0</v>
      </c>
      <c r="I21" s="7">
        <f t="shared" si="13"/>
        <v>16000</v>
      </c>
      <c r="J21" s="7">
        <f>I21*$J$7</f>
        <v>3360</v>
      </c>
      <c r="K21" s="3" t="s">
        <v>17</v>
      </c>
      <c r="L21" s="7">
        <f>IF($B$5&gt;0,IF($U$6=FALSE,0,IF(C21=FALSE,0,93200)),0)</f>
        <v>93200</v>
      </c>
      <c r="M21" s="7">
        <v>0</v>
      </c>
      <c r="N21" s="7">
        <v>0</v>
      </c>
      <c r="O21" s="7">
        <f>IF($B$5&gt;0,IF($U$6=FALSE,0,IF(C21=FALSE,0,($B$5-1)*93200)),0)</f>
        <v>0</v>
      </c>
      <c r="P21" s="7">
        <v>0</v>
      </c>
      <c r="Q21" s="7">
        <v>0</v>
      </c>
      <c r="R21" s="7">
        <f t="shared" si="14"/>
        <v>93200</v>
      </c>
      <c r="S21" s="7">
        <f>R21*$J$7</f>
        <v>19572</v>
      </c>
      <c r="T21" s="7">
        <f t="shared" si="15"/>
        <v>22932</v>
      </c>
      <c r="U21" s="7">
        <f t="shared" si="41"/>
        <v>30000</v>
      </c>
      <c r="V21" s="7">
        <v>0</v>
      </c>
      <c r="W21" s="7">
        <f>IF($B$5&gt;0,IF($U$7=FALSE,0,IF(C21=FALSE,0,IF($B$6/$B$5&lt;=10,0,IF(選項!$K$2=1,1000*($B$6-$B$5*10),2000*($B$6-$B$5*10))))),0)</f>
        <v>0</v>
      </c>
      <c r="X21" s="7">
        <f>IF($B$5&gt;0,IF($U$7=FALSE,0,IF(C21=FALSE,0,IF(選項!$K$2=1,10000*($B$5-1),20000*($B$5-1)))),0)</f>
        <v>0</v>
      </c>
      <c r="Y21" s="7">
        <v>0</v>
      </c>
      <c r="Z21" s="7">
        <f t="shared" si="16"/>
        <v>30000</v>
      </c>
      <c r="AA21" s="7">
        <f t="shared" si="0"/>
        <v>52932</v>
      </c>
      <c r="AB21" s="3" t="str">
        <f t="shared" si="1"/>
        <v>日本</v>
      </c>
      <c r="AC21" s="25">
        <f t="shared" si="17"/>
        <v>3360</v>
      </c>
      <c r="AD21" s="25">
        <f t="shared" si="18"/>
        <v>19572</v>
      </c>
      <c r="AE21" s="25">
        <f t="shared" si="19"/>
        <v>30000</v>
      </c>
      <c r="AG21" s="15" t="str">
        <f t="shared" si="2"/>
        <v>日本</v>
      </c>
      <c r="AH21" s="3">
        <f t="shared" si="42"/>
        <v>1</v>
      </c>
      <c r="AI21" s="3" t="s">
        <v>17</v>
      </c>
      <c r="AJ21" s="7">
        <f>IF($B$5&gt;0,IF($U$5=FALSE,0,IF(C21=FALSE,0,25500)),0)</f>
        <v>25500</v>
      </c>
      <c r="AK21" s="7">
        <f>IF($B$5&gt;0,IF($U$5=FALSE,0,IF(C21=FALSE,0,(25500)*($B$5-1))),0)</f>
        <v>0</v>
      </c>
      <c r="AL21" s="7"/>
      <c r="AM21" s="7">
        <f t="shared" si="20"/>
        <v>25500</v>
      </c>
      <c r="AN21" s="22">
        <f>AM21*$J$7</f>
        <v>5355</v>
      </c>
      <c r="AO21" s="3" t="s">
        <v>17</v>
      </c>
      <c r="AP21" s="7">
        <f>IF($B$5&gt;0,IF($U$6=FALSE,0,IF(C21=FALSE,0,8000)),0)</f>
        <v>8000</v>
      </c>
      <c r="AQ21" s="7">
        <f>IF($B$5&gt;0,IF($U$6=FALSE,0,IF(C21=FALSE,0,(8000)*($B$5-1))),0)</f>
        <v>0</v>
      </c>
      <c r="AR21" s="7"/>
      <c r="AS21" s="7">
        <f t="shared" si="21"/>
        <v>8000</v>
      </c>
      <c r="AT21" s="22">
        <f>AS21*$J$7</f>
        <v>1680</v>
      </c>
      <c r="AU21" s="22">
        <f t="shared" si="3"/>
        <v>7035</v>
      </c>
      <c r="AV21" s="7">
        <f>IF($B$5&gt;0,IF($U$7=FALSE,0,IF(C21=FALSE,0,$B$5*2000)),0)</f>
        <v>2000</v>
      </c>
      <c r="AW21" s="22">
        <f t="shared" si="22"/>
        <v>2000</v>
      </c>
      <c r="AX21" s="22">
        <f t="shared" si="4"/>
        <v>9035</v>
      </c>
      <c r="AY21" s="15" t="str">
        <f t="shared" si="5"/>
        <v>日本</v>
      </c>
      <c r="AZ21" s="25">
        <f t="shared" si="23"/>
        <v>5355</v>
      </c>
      <c r="BA21" s="25">
        <f t="shared" si="24"/>
        <v>1680</v>
      </c>
      <c r="BB21" s="25">
        <f t="shared" si="25"/>
        <v>2000</v>
      </c>
      <c r="BD21" s="3" t="str">
        <f t="shared" si="26"/>
        <v>日本</v>
      </c>
      <c r="BE21" s="25">
        <f t="shared" si="27"/>
        <v>52932</v>
      </c>
      <c r="BF21" s="25">
        <f t="shared" si="28"/>
        <v>48100</v>
      </c>
      <c r="BG21" s="25">
        <f t="shared" si="29"/>
        <v>9035</v>
      </c>
      <c r="BH21" s="79">
        <f t="shared" si="7"/>
        <v>232808</v>
      </c>
      <c r="BI21" s="95">
        <f t="shared" si="30"/>
        <v>101032</v>
      </c>
      <c r="BJ21" s="80">
        <f t="shared" si="31"/>
        <v>61967</v>
      </c>
      <c r="BK21" s="80">
        <f t="shared" si="32"/>
        <v>110067</v>
      </c>
      <c r="BL21" s="80">
        <f t="shared" si="33"/>
        <v>241843</v>
      </c>
      <c r="BM21" s="80">
        <f t="shared" si="34"/>
        <v>342875</v>
      </c>
      <c r="BO21" s="25">
        <f t="shared" si="35"/>
        <v>52932</v>
      </c>
      <c r="BP21" s="25">
        <f t="shared" si="36"/>
        <v>9035</v>
      </c>
      <c r="BR21" s="25">
        <f t="shared" si="37"/>
        <v>3360</v>
      </c>
      <c r="BS21" s="25">
        <f t="shared" si="38"/>
        <v>19572</v>
      </c>
      <c r="BT21" s="25">
        <f t="shared" si="39"/>
        <v>30000</v>
      </c>
      <c r="BU21" s="25">
        <f t="shared" si="40"/>
        <v>289943</v>
      </c>
    </row>
    <row r="22" spans="1:73" x14ac:dyDescent="0.25">
      <c r="A22" s="3" t="s">
        <v>6</v>
      </c>
      <c r="B22" s="3" t="s">
        <v>43</v>
      </c>
      <c r="C22" s="15" t="b">
        <v>1</v>
      </c>
      <c r="D22" s="3" t="s">
        <v>18</v>
      </c>
      <c r="E22" s="7">
        <f>IF($B$5&gt;0,IF($U$5=FALSE,0,IF(C22=FALSE,0,94000)),0)</f>
        <v>94000</v>
      </c>
      <c r="F22" s="7">
        <v>0</v>
      </c>
      <c r="G22" s="7">
        <f>IF($B$5&gt;0,IF($U$5=FALSE,0,IF(C22=FALSE,0,($B$5-1)*94000)),0)</f>
        <v>0</v>
      </c>
      <c r="H22" s="7">
        <v>0</v>
      </c>
      <c r="I22" s="7">
        <f t="shared" si="13"/>
        <v>94000</v>
      </c>
      <c r="J22" s="7">
        <f>I22*$J$8</f>
        <v>2444</v>
      </c>
      <c r="K22" s="3" t="s">
        <v>15</v>
      </c>
      <c r="L22" s="7">
        <f>IF($B$5&gt;0,IF($U$6=FALSE,0,IF(C22=FALSE,0,700)),0)</f>
        <v>700</v>
      </c>
      <c r="M22" s="7">
        <v>0</v>
      </c>
      <c r="N22" s="7">
        <v>0</v>
      </c>
      <c r="O22" s="7">
        <f>IF($B$5&gt;0,IF($U$6=FALSE,0,IF(C22=FALSE,0,($B$5-1)*700)),0)</f>
        <v>0</v>
      </c>
      <c r="P22" s="7">
        <v>0</v>
      </c>
      <c r="Q22" s="7">
        <v>0</v>
      </c>
      <c r="R22" s="7">
        <f t="shared" si="14"/>
        <v>700</v>
      </c>
      <c r="S22" s="7">
        <f>R22*$J$5</f>
        <v>22540.000000000004</v>
      </c>
      <c r="T22" s="7">
        <f t="shared" si="15"/>
        <v>24984.000000000004</v>
      </c>
      <c r="U22" s="7">
        <f t="shared" si="41"/>
        <v>30000</v>
      </c>
      <c r="V22" s="7">
        <v>0</v>
      </c>
      <c r="W22" s="7">
        <f>IF($B$5&gt;0,IF($U$7=FALSE,0,IF(C22=FALSE,0,IF($B$6/$B$5&lt;=10,0,IF(選項!$K$2=1,1000*($B$6-$B$5*10),2000*($B$6-$B$5*10))))),0)</f>
        <v>0</v>
      </c>
      <c r="X22" s="7">
        <f>IF($B$5&gt;0,IF($U$7=FALSE,0,IF(C22=FALSE,0,IF(選項!$K$2=1,10000*($B$5-1),20000*($B$5-1)))),0)</f>
        <v>0</v>
      </c>
      <c r="Y22" s="7">
        <v>0</v>
      </c>
      <c r="Z22" s="7">
        <f t="shared" si="16"/>
        <v>30000</v>
      </c>
      <c r="AA22" s="7">
        <f t="shared" si="0"/>
        <v>54984</v>
      </c>
      <c r="AB22" s="3" t="str">
        <f t="shared" si="1"/>
        <v>韓國</v>
      </c>
      <c r="AC22" s="25">
        <f t="shared" si="17"/>
        <v>2444</v>
      </c>
      <c r="AD22" s="25">
        <f t="shared" si="18"/>
        <v>22540.000000000004</v>
      </c>
      <c r="AE22" s="25">
        <f t="shared" si="19"/>
        <v>30000</v>
      </c>
      <c r="AG22" s="15" t="str">
        <f t="shared" si="2"/>
        <v>韓國</v>
      </c>
      <c r="AH22" s="3">
        <f t="shared" si="42"/>
        <v>1</v>
      </c>
      <c r="AI22" s="3" t="s">
        <v>18</v>
      </c>
      <c r="AJ22" s="7">
        <f>IF($B$5&gt;0,IF($U$5=FALSE,0,IF(C22=FALSE,0,75000)),0)</f>
        <v>75000</v>
      </c>
      <c r="AK22" s="7">
        <f>IF($B$5&gt;0,IF($U$5=FALSE,0,IF(C22=FALSE,0,75000*($B$5-1))),0)</f>
        <v>0</v>
      </c>
      <c r="AL22" s="7"/>
      <c r="AM22" s="7">
        <f t="shared" si="20"/>
        <v>75000</v>
      </c>
      <c r="AN22" s="22">
        <f>AM22*$J$8</f>
        <v>1950</v>
      </c>
      <c r="AO22" s="3" t="s">
        <v>15</v>
      </c>
      <c r="AP22" s="7">
        <f>IF($B$5&gt;0,IF($U$6=FALSE,0,IF(C22=FALSE,0,200)),0)</f>
        <v>200</v>
      </c>
      <c r="AQ22" s="7">
        <f>IF($B$5&gt;0,IF($U$6=FALSE,0,IF(C22=FALSE,0,200*($B$5-1))),0)</f>
        <v>0</v>
      </c>
      <c r="AR22" s="7"/>
      <c r="AS22" s="7">
        <f t="shared" si="21"/>
        <v>200</v>
      </c>
      <c r="AT22" s="22">
        <f>AS22*$J$5</f>
        <v>6440.0000000000009</v>
      </c>
      <c r="AU22" s="22">
        <f t="shared" si="3"/>
        <v>8390</v>
      </c>
      <c r="AV22" s="7">
        <f>IF($B$5&gt;0,IF($U$7=FALSE,0,IF(C22=FALSE,0,$B$5*2000)),0)</f>
        <v>2000</v>
      </c>
      <c r="AW22" s="22">
        <f t="shared" si="22"/>
        <v>2000</v>
      </c>
      <c r="AX22" s="22">
        <f t="shared" si="4"/>
        <v>10390</v>
      </c>
      <c r="AY22" s="15" t="str">
        <f t="shared" si="5"/>
        <v>韓國</v>
      </c>
      <c r="AZ22" s="25">
        <f t="shared" si="23"/>
        <v>1950</v>
      </c>
      <c r="BA22" s="25">
        <f t="shared" si="24"/>
        <v>6440.0000000000009</v>
      </c>
      <c r="BB22" s="25">
        <f t="shared" si="25"/>
        <v>2000</v>
      </c>
      <c r="BD22" s="3" t="str">
        <f t="shared" si="26"/>
        <v>韓國</v>
      </c>
      <c r="BE22" s="25">
        <f t="shared" si="27"/>
        <v>54984</v>
      </c>
      <c r="BF22" s="25">
        <f t="shared" si="28"/>
        <v>115160.00000000001</v>
      </c>
      <c r="BG22" s="25">
        <f t="shared" si="29"/>
        <v>10390</v>
      </c>
      <c r="BH22" s="79">
        <f t="shared" si="7"/>
        <v>251152</v>
      </c>
      <c r="BI22" s="95">
        <f t="shared" si="30"/>
        <v>170144</v>
      </c>
      <c r="BJ22" s="80">
        <f t="shared" si="31"/>
        <v>65374</v>
      </c>
      <c r="BK22" s="80">
        <f t="shared" si="32"/>
        <v>180534</v>
      </c>
      <c r="BL22" s="80">
        <f t="shared" si="33"/>
        <v>261542</v>
      </c>
      <c r="BM22" s="80">
        <f t="shared" si="34"/>
        <v>431686</v>
      </c>
      <c r="BO22" s="25">
        <f t="shared" si="35"/>
        <v>54984</v>
      </c>
      <c r="BP22" s="25">
        <f t="shared" si="36"/>
        <v>10390</v>
      </c>
      <c r="BR22" s="25">
        <f t="shared" si="37"/>
        <v>2444</v>
      </c>
      <c r="BS22" s="25">
        <f t="shared" si="38"/>
        <v>22540.000000000004</v>
      </c>
      <c r="BT22" s="25">
        <f t="shared" si="39"/>
        <v>30000</v>
      </c>
      <c r="BU22" s="25">
        <f t="shared" si="40"/>
        <v>376702</v>
      </c>
    </row>
    <row r="23" spans="1:73" x14ac:dyDescent="0.25">
      <c r="A23" s="3" t="s">
        <v>35</v>
      </c>
      <c r="B23" s="3" t="s">
        <v>43</v>
      </c>
      <c r="C23" s="15" t="b">
        <v>1</v>
      </c>
      <c r="D23" s="3" t="s">
        <v>36</v>
      </c>
      <c r="E23" s="7">
        <f>IF($B$5&gt;0,IF($U$5=FALSE,0,IF(C23=FALSE,0,IF($B$6&lt;10,591.95,591.95+14.62*($B$6-10)))),0)</f>
        <v>591.95000000000005</v>
      </c>
      <c r="F23" s="7">
        <v>0</v>
      </c>
      <c r="G23" s="7">
        <v>0</v>
      </c>
      <c r="H23" s="7">
        <v>0</v>
      </c>
      <c r="I23" s="7">
        <f>IF($S$5=FALSE,0,SUM(E23:H23))</f>
        <v>591.95000000000005</v>
      </c>
      <c r="J23" s="7">
        <f>I23*$L$9</f>
        <v>13910.825000000001</v>
      </c>
      <c r="K23" s="3" t="s">
        <v>36</v>
      </c>
      <c r="L23" s="7">
        <f>IF($B$5&gt;0,IF($U$6=FALSE,0,IF(C23=FALSE,0,915)),0)</f>
        <v>915</v>
      </c>
      <c r="M23" s="7">
        <v>0</v>
      </c>
      <c r="N23" s="7">
        <v>0</v>
      </c>
      <c r="O23" s="7">
        <v>0</v>
      </c>
      <c r="P23" s="7">
        <v>0</v>
      </c>
      <c r="Q23" s="7">
        <v>0</v>
      </c>
      <c r="R23" s="7">
        <f>IF($S$5=FALSE,0,SUM(L23:Q23))</f>
        <v>915</v>
      </c>
      <c r="S23" s="7">
        <f>R23*$L$9</f>
        <v>21502.5</v>
      </c>
      <c r="T23" s="7">
        <f>J23+S23</f>
        <v>35413.324999999997</v>
      </c>
      <c r="U23" s="7">
        <f>IF($B$5&gt;0,IF($U$7=FALSE,0,IF(C23=FALSE,0,30000)),0)</f>
        <v>30000</v>
      </c>
      <c r="V23" s="7">
        <v>0</v>
      </c>
      <c r="W23" s="7">
        <f>IF($B$5&gt;0,IF($U$7=FALSE,0,IF(C23=FALSE,0,IF($B$6/$B$5&lt;=10,0,IF(選項!$K$2=1,1000*($B$6-$B$5*10),2000*($B$6-$B$5*10))))),0)</f>
        <v>0</v>
      </c>
      <c r="X23" s="7">
        <f>IF($B$5&gt;0,IF($U$7=FALSE,0,IF(C23=FALSE,0,IF(選項!$K$2=1,10000*($B$5-1),20000*($B$5-1)))),0)</f>
        <v>0</v>
      </c>
      <c r="Y23" s="7">
        <v>0</v>
      </c>
      <c r="Z23" s="7">
        <f>IF($S$5=FALSE,0,SUM(U23:Y23))</f>
        <v>30000</v>
      </c>
      <c r="AA23" s="7">
        <f>T23+Z23</f>
        <v>65413.324999999997</v>
      </c>
      <c r="AB23" s="3" t="str">
        <f>A23</f>
        <v>加拿大</v>
      </c>
      <c r="AC23" s="25">
        <f>J23</f>
        <v>13910.825000000001</v>
      </c>
      <c r="AD23" s="25">
        <f>S23</f>
        <v>21502.5</v>
      </c>
      <c r="AE23" s="25">
        <f>Z23</f>
        <v>30000</v>
      </c>
      <c r="AG23" s="15" t="str">
        <f>A23</f>
        <v>加拿大</v>
      </c>
      <c r="AH23" s="3">
        <f>IF($B$5&gt;0,IF(C23=FALSE,0,1),0)</f>
        <v>1</v>
      </c>
      <c r="AI23" s="3" t="s">
        <v>36</v>
      </c>
      <c r="AJ23" s="7">
        <f>IF($B$5&gt;0,IF($U$5=FALSE,0,IF(C23=FALSE,0,0)),0)</f>
        <v>0</v>
      </c>
      <c r="AK23" s="7"/>
      <c r="AL23" s="7"/>
      <c r="AM23" s="7">
        <f>IF($S$6=FALSE,0,SUM(AJ23:AL23))</f>
        <v>0</v>
      </c>
      <c r="AN23" s="22">
        <f>AM23*$L$9</f>
        <v>0</v>
      </c>
      <c r="AO23" s="3" t="s">
        <v>36</v>
      </c>
      <c r="AP23" s="7">
        <f>IF($B$5&gt;0,IF($U$6=FALSE,0,IF(C23=FALSE,0,315)),0)</f>
        <v>315</v>
      </c>
      <c r="AQ23" s="7"/>
      <c r="AR23" s="7"/>
      <c r="AS23" s="7">
        <f>IF($S$6=FALSE,0,SUM(AP23:AR23))</f>
        <v>315</v>
      </c>
      <c r="AT23" s="22">
        <f>AS23*$L$9</f>
        <v>7402.5</v>
      </c>
      <c r="AU23" s="22">
        <f>AN23+AT23</f>
        <v>7402.5</v>
      </c>
      <c r="AV23" s="7">
        <f t="shared" ref="AV23" si="43">IF($B$5&gt;0,IF($U$7=FALSE,0,IF(C23=FALSE,0,2000)),0)</f>
        <v>2000</v>
      </c>
      <c r="AW23" s="22">
        <f>IF($S$6=FALSE,0,SUM(AV23:AV23))</f>
        <v>2000</v>
      </c>
      <c r="AX23" s="22">
        <f>AU23+AW23</f>
        <v>9402.5</v>
      </c>
      <c r="AY23" s="15" t="str">
        <f>A23</f>
        <v>加拿大</v>
      </c>
      <c r="AZ23" s="25">
        <f>AN23</f>
        <v>0</v>
      </c>
      <c r="BA23" s="25">
        <f>AT23</f>
        <v>7402.5</v>
      </c>
      <c r="BB23" s="25">
        <f>AW23</f>
        <v>2000</v>
      </c>
      <c r="BD23" s="3" t="str">
        <f>A23</f>
        <v>加拿大</v>
      </c>
      <c r="BE23" s="25">
        <f t="shared" si="27"/>
        <v>65413.324999999997</v>
      </c>
      <c r="BF23" s="25">
        <f t="shared" si="28"/>
        <v>43800</v>
      </c>
      <c r="BG23" s="25">
        <f t="shared" si="29"/>
        <v>9402.5</v>
      </c>
      <c r="BH23" s="79">
        <f t="shared" si="7"/>
        <v>24571.27</v>
      </c>
      <c r="BI23" s="95">
        <f t="shared" si="30"/>
        <v>109213.325</v>
      </c>
      <c r="BJ23" s="80">
        <f t="shared" si="31"/>
        <v>74815.824999999997</v>
      </c>
      <c r="BK23" s="80">
        <f t="shared" si="32"/>
        <v>118615.825</v>
      </c>
      <c r="BL23" s="80">
        <f t="shared" si="33"/>
        <v>33973.770000000004</v>
      </c>
      <c r="BM23" s="80">
        <f t="shared" si="34"/>
        <v>143187.095</v>
      </c>
      <c r="BO23" s="25">
        <f t="shared" si="35"/>
        <v>65413.324999999997</v>
      </c>
      <c r="BP23" s="25">
        <f t="shared" si="36"/>
        <v>9402.5</v>
      </c>
      <c r="BR23" s="25">
        <f t="shared" si="37"/>
        <v>13910.825000000001</v>
      </c>
      <c r="BS23" s="25">
        <f t="shared" si="38"/>
        <v>21502.5</v>
      </c>
      <c r="BT23" s="25">
        <f t="shared" si="39"/>
        <v>30000</v>
      </c>
      <c r="BU23" s="25">
        <f t="shared" si="40"/>
        <v>77773.77</v>
      </c>
    </row>
    <row r="24" spans="1:73" x14ac:dyDescent="0.25">
      <c r="A24" s="145" t="s">
        <v>315</v>
      </c>
      <c r="B24" s="3" t="s">
        <v>43</v>
      </c>
      <c r="C24" s="15" t="b">
        <v>1</v>
      </c>
      <c r="D24" s="3" t="s">
        <v>317</v>
      </c>
      <c r="E24" s="7">
        <f>IF(選項!$K$2=1,0,IF($B$5&gt;0,IF($U$5=FALSE,0,IF(C24=FALSE,0,200)),0))</f>
        <v>200</v>
      </c>
      <c r="F24" s="7">
        <v>0</v>
      </c>
      <c r="G24" s="7">
        <f>IF(選項!$K$2=1,0,IF($B$5&gt;0,IF($U$5=FALSE,0,IF(C24=FALSE,0,200*($B$5-1))),0))</f>
        <v>0</v>
      </c>
      <c r="H24" s="7">
        <v>0</v>
      </c>
      <c r="I24" s="7">
        <f>IF($S$5=FALSE,0,SUM(E24:H24))</f>
        <v>200</v>
      </c>
      <c r="J24" s="7">
        <f>I24*$L$10</f>
        <v>4640</v>
      </c>
      <c r="K24" s="3" t="s">
        <v>317</v>
      </c>
      <c r="L24" s="7">
        <f>IF(選項!$K$2=1,0,IF($B$5&gt;0,IF($U$6=FALSE,0,IF(C24=FALSE,0,1390)),0))</f>
        <v>1390</v>
      </c>
      <c r="M24" s="7">
        <v>0</v>
      </c>
      <c r="N24" s="7">
        <v>0</v>
      </c>
      <c r="O24" s="7">
        <f>IF(選項!$K$2=1,0,IF($B$5&gt;0,IF($U$6=FALSE,0,IF(C24=FALSE,0,1390*($B$5-1))),0))</f>
        <v>0</v>
      </c>
      <c r="P24" s="7">
        <v>0</v>
      </c>
      <c r="Q24" s="7">
        <v>0</v>
      </c>
      <c r="R24" s="7">
        <f>IF($S$5=FALSE,0,SUM(L24:Q24))</f>
        <v>1390</v>
      </c>
      <c r="S24" s="7">
        <f>R24*$L$10</f>
        <v>32248</v>
      </c>
      <c r="T24" s="7">
        <f>J24+S24</f>
        <v>36888</v>
      </c>
      <c r="U24" s="7">
        <f>IF(選項!$K$2=1,0,IF($B$5&gt;0,IF($U$7=FALSE,0,IF(C24=FALSE,0,30000)),0))</f>
        <v>30000</v>
      </c>
      <c r="V24" s="7">
        <v>0</v>
      </c>
      <c r="W24" s="7">
        <f>IF($B$5&gt;0,IF($U$7=FALSE,0,IF(C24=FALSE,0,IF($B$6/$B$5&lt;=10,0,IF(選項!$K$2=1,1000*($B$6-$B$5*10),2000*($B$6-$B$5*10))))),0)</f>
        <v>0</v>
      </c>
      <c r="X24" s="7">
        <f>IF(選項!$K$2=1,0,IF($B$5&gt;0,IF($U$7=FALSE,0,IF(C24=FALSE,0,IF(選項!$K$2=1,10000*($B$5-1),20000*($B$5-1)))),0))</f>
        <v>0</v>
      </c>
      <c r="Y24" s="7">
        <v>0</v>
      </c>
      <c r="Z24" s="7">
        <f>IF($S$5=FALSE,0,SUM(U24:Y24))</f>
        <v>30000</v>
      </c>
      <c r="AA24" s="7">
        <f>T24+Z24</f>
        <v>66888</v>
      </c>
      <c r="AB24" s="3" t="str">
        <f>A24</f>
        <v>澳洲</v>
      </c>
      <c r="AC24" s="25">
        <f>J24</f>
        <v>4640</v>
      </c>
      <c r="AD24" s="25">
        <f>S24</f>
        <v>32248</v>
      </c>
      <c r="AE24" s="25">
        <f>Z24</f>
        <v>30000</v>
      </c>
      <c r="AG24" s="15" t="str">
        <f>A24</f>
        <v>澳洲</v>
      </c>
      <c r="AH24" s="3">
        <f t="shared" ref="AH24" si="44">IF($B$5&gt;0,IF(C24=FALSE,0,$B$5),0)</f>
        <v>1</v>
      </c>
      <c r="AI24" s="3" t="s">
        <v>317</v>
      </c>
      <c r="AJ24" s="7">
        <f>IF(選項!$K$2=1,0,IF($B$5&gt;0,IF($U$5=FALSE,0,IF(C24=FALSE,0,0)),0))</f>
        <v>0</v>
      </c>
      <c r="AK24" s="7">
        <f>IF(選項!$K$2=1,0,IF($B$5&gt;0,IF($U$5=FALSE,0,IF(C24=FALSE,0,($B$5-1)*0)),0))</f>
        <v>0</v>
      </c>
      <c r="AL24" s="7"/>
      <c r="AM24" s="7">
        <f>IF($S$6=FALSE,0,SUM(AJ24:AL24))</f>
        <v>0</v>
      </c>
      <c r="AN24" s="22">
        <f>AM24*$L$10</f>
        <v>0</v>
      </c>
      <c r="AO24" s="3" t="s">
        <v>317</v>
      </c>
      <c r="AP24" s="7">
        <f>IF(選項!$K$2=1,0,IF($B$5&gt;0,IF($U$6=FALSE,0,IF(C24=FALSE,0,555)),0))</f>
        <v>555</v>
      </c>
      <c r="AQ24" s="7">
        <f>IF(選項!$K$2=1,0,IF($B$5&gt;0,IF($U$6=FALSE,0,IF(C24=FALSE,0,555*($B$5-1))),0))</f>
        <v>0</v>
      </c>
      <c r="AR24" s="7"/>
      <c r="AS24" s="7">
        <f>IF($S$6=FALSE,0,SUM(AP24:AR24))</f>
        <v>555</v>
      </c>
      <c r="AT24" s="22">
        <f>AS24*$L$10</f>
        <v>12876</v>
      </c>
      <c r="AU24" s="22">
        <f>AN24+AT24</f>
        <v>12876</v>
      </c>
      <c r="AV24" s="7">
        <f>IF(選項!$K$2=1,0,IF($B$5&gt;0,IF($U$7=FALSE,0,IF(C24=FALSE,0,$B$5*2000)),0))</f>
        <v>2000</v>
      </c>
      <c r="AW24" s="22">
        <f>IF($S$6=FALSE,0,SUM(AV24:AV24))</f>
        <v>2000</v>
      </c>
      <c r="AX24" s="22">
        <f>AU24+AW24</f>
        <v>14876</v>
      </c>
      <c r="AY24" s="15" t="str">
        <f>A24</f>
        <v>澳洲</v>
      </c>
      <c r="AZ24" s="25">
        <f>AN24</f>
        <v>0</v>
      </c>
      <c r="BA24" s="25">
        <f>AT24</f>
        <v>12876</v>
      </c>
      <c r="BB24" s="25">
        <f>AW24</f>
        <v>2000</v>
      </c>
      <c r="BD24" s="3" t="str">
        <f>A24</f>
        <v>澳洲</v>
      </c>
      <c r="BE24" s="25">
        <f t="shared" si="27"/>
        <v>66888</v>
      </c>
      <c r="BF24" s="25">
        <f t="shared" si="28"/>
        <v>47852</v>
      </c>
      <c r="BG24" s="25">
        <f t="shared" si="29"/>
        <v>14876</v>
      </c>
      <c r="BH24" s="79">
        <f t="shared" si="7"/>
        <v>27504</v>
      </c>
      <c r="BI24" s="95">
        <f t="shared" si="30"/>
        <v>114740</v>
      </c>
      <c r="BJ24" s="80">
        <f t="shared" si="31"/>
        <v>81764</v>
      </c>
      <c r="BK24" s="80">
        <f t="shared" si="32"/>
        <v>129616</v>
      </c>
      <c r="BL24" s="80">
        <f t="shared" si="33"/>
        <v>42380</v>
      </c>
      <c r="BM24" s="80">
        <f t="shared" si="34"/>
        <v>157120</v>
      </c>
      <c r="BO24" s="25">
        <f t="shared" si="35"/>
        <v>66888</v>
      </c>
      <c r="BP24" s="25">
        <f t="shared" si="36"/>
        <v>14876</v>
      </c>
      <c r="BR24" s="25">
        <f t="shared" si="37"/>
        <v>4640</v>
      </c>
      <c r="BS24" s="25">
        <f t="shared" si="38"/>
        <v>32248</v>
      </c>
      <c r="BT24" s="25">
        <f t="shared" si="39"/>
        <v>30000</v>
      </c>
      <c r="BU24" s="25">
        <f t="shared" si="40"/>
        <v>90232</v>
      </c>
    </row>
    <row r="25" spans="1:73" x14ac:dyDescent="0.25">
      <c r="A25" s="3" t="s">
        <v>7</v>
      </c>
      <c r="B25" s="3" t="s">
        <v>43</v>
      </c>
      <c r="C25" s="15" t="b">
        <v>1</v>
      </c>
      <c r="D25" s="3" t="s">
        <v>19</v>
      </c>
      <c r="E25" s="7">
        <f>IF($B$5&gt;0,IF($U$5=FALSE,0,IF(C25=FALSE,0,200)),0)</f>
        <v>200</v>
      </c>
      <c r="F25" s="7">
        <v>0</v>
      </c>
      <c r="G25" s="7">
        <f>IF($B$5&gt;0,IF($U$5=FALSE,0,IF(C25=FALSE,0,($B$5-1)*200)),0)</f>
        <v>0</v>
      </c>
      <c r="H25" s="7">
        <v>0</v>
      </c>
      <c r="I25" s="7">
        <f t="shared" si="13"/>
        <v>200</v>
      </c>
      <c r="J25" s="7">
        <f>I25*$L$6</f>
        <v>5080</v>
      </c>
      <c r="K25" s="3" t="s">
        <v>19</v>
      </c>
      <c r="L25" s="7">
        <f>IF($B$5&gt;0,IF($U$6=FALSE,0,IF(C25=FALSE,0,550)),0)</f>
        <v>550</v>
      </c>
      <c r="M25" s="7">
        <v>0</v>
      </c>
      <c r="N25" s="7">
        <v>0</v>
      </c>
      <c r="O25" s="7">
        <f>IF($B$5&gt;0,IF($U$6=FALSE,0,IF(C25=FALSE,0,($B$5-1)*450)),0)</f>
        <v>0</v>
      </c>
      <c r="P25" s="7">
        <v>0</v>
      </c>
      <c r="Q25" s="7">
        <v>0</v>
      </c>
      <c r="R25" s="7">
        <f t="shared" si="14"/>
        <v>550</v>
      </c>
      <c r="S25" s="7">
        <f>R25*$L$6</f>
        <v>13970</v>
      </c>
      <c r="T25" s="7">
        <f t="shared" si="15"/>
        <v>19050</v>
      </c>
      <c r="U25" s="7">
        <f t="shared" si="41"/>
        <v>30000</v>
      </c>
      <c r="V25" s="7">
        <v>0</v>
      </c>
      <c r="W25" s="7">
        <f>IF($B$5&gt;0,IF($U$7=FALSE,0,IF(C25=FALSE,0,IF($B$6/$B$5&lt;=10,0,IF(選項!$K$2=1,1000*($B$6-$B$5*10),2000*($B$6-$B$5*10))))),0)</f>
        <v>0</v>
      </c>
      <c r="X25" s="7">
        <f>IF($B$5&gt;0,IF($U$7=FALSE,0,IF(C25=FALSE,0,IF(選項!$K$2=1,10000*($B$5-1),20000*($B$5-1)))),0)</f>
        <v>0</v>
      </c>
      <c r="Y25" s="7">
        <v>0</v>
      </c>
      <c r="Z25" s="7">
        <f t="shared" si="16"/>
        <v>30000</v>
      </c>
      <c r="AA25" s="7">
        <f t="shared" si="0"/>
        <v>49050</v>
      </c>
      <c r="AB25" s="3" t="str">
        <f t="shared" si="1"/>
        <v>新加坡</v>
      </c>
      <c r="AC25" s="25">
        <f t="shared" si="17"/>
        <v>5080</v>
      </c>
      <c r="AD25" s="25">
        <f t="shared" si="18"/>
        <v>13970</v>
      </c>
      <c r="AE25" s="25">
        <f t="shared" si="19"/>
        <v>30000</v>
      </c>
      <c r="AG25" s="15" t="str">
        <f t="shared" si="2"/>
        <v>新加坡</v>
      </c>
      <c r="AH25" s="3">
        <f t="shared" si="42"/>
        <v>1</v>
      </c>
      <c r="AI25" s="3" t="s">
        <v>19</v>
      </c>
      <c r="AJ25" s="7">
        <f>IF($B$5&gt;0,IF($U$5=FALSE,0,IF(C25=FALSE,0,0)),0)</f>
        <v>0</v>
      </c>
      <c r="AK25" s="7">
        <f>IF($B$5&gt;0,IF($U$5=FALSE,0,IF(C25=FALSE,0,0)),0)</f>
        <v>0</v>
      </c>
      <c r="AL25" s="7"/>
      <c r="AM25" s="7">
        <f t="shared" si="20"/>
        <v>0</v>
      </c>
      <c r="AN25" s="22">
        <f>AM25*$L$6</f>
        <v>0</v>
      </c>
      <c r="AO25" s="3" t="s">
        <v>19</v>
      </c>
      <c r="AP25" s="7">
        <f>IF($B$5&gt;0,IF($U$6=FALSE,0,IF(C25=FALSE,0,300)),0)</f>
        <v>300</v>
      </c>
      <c r="AQ25" s="7">
        <f>IF($B$5&gt;0,IF($U$6=FALSE,0,IF(C25=FALSE,0,200*($B$5-1))),0)</f>
        <v>0</v>
      </c>
      <c r="AR25" s="7"/>
      <c r="AS25" s="7">
        <f t="shared" si="21"/>
        <v>300</v>
      </c>
      <c r="AT25" s="22">
        <f>AS25*$L$6</f>
        <v>7620</v>
      </c>
      <c r="AU25" s="22">
        <f t="shared" si="3"/>
        <v>7620</v>
      </c>
      <c r="AV25" s="7">
        <f>IF($B$5&gt;0,IF($U$7=FALSE,0,IF(C25=FALSE,0,IF($B$5&gt;5,2000+2000*(ROUNDDOWN($B$5/5,0)-1),2000))),0)</f>
        <v>2000</v>
      </c>
      <c r="AW25" s="22">
        <f t="shared" si="22"/>
        <v>2000</v>
      </c>
      <c r="AX25" s="22">
        <f t="shared" si="4"/>
        <v>9620</v>
      </c>
      <c r="AY25" s="15" t="str">
        <f t="shared" si="5"/>
        <v>新加坡</v>
      </c>
      <c r="AZ25" s="25">
        <f t="shared" si="23"/>
        <v>0</v>
      </c>
      <c r="BA25" s="25">
        <f t="shared" si="24"/>
        <v>7620</v>
      </c>
      <c r="BB25" s="25">
        <f t="shared" si="25"/>
        <v>2000</v>
      </c>
      <c r="BD25" s="3" t="str">
        <f t="shared" si="26"/>
        <v>新加坡</v>
      </c>
      <c r="BE25" s="25">
        <f t="shared" si="27"/>
        <v>49050</v>
      </c>
      <c r="BF25" s="25">
        <f t="shared" si="28"/>
        <v>0</v>
      </c>
      <c r="BG25" s="25">
        <f t="shared" si="29"/>
        <v>9620</v>
      </c>
      <c r="BH25" s="79">
        <f t="shared" si="7"/>
        <v>46830</v>
      </c>
      <c r="BI25" s="95">
        <f t="shared" si="30"/>
        <v>49050</v>
      </c>
      <c r="BJ25" s="80">
        <f t="shared" si="31"/>
        <v>58670</v>
      </c>
      <c r="BK25" s="80">
        <f t="shared" si="32"/>
        <v>58670</v>
      </c>
      <c r="BL25" s="80">
        <f t="shared" si="33"/>
        <v>56450</v>
      </c>
      <c r="BM25" s="80">
        <f t="shared" si="34"/>
        <v>105500</v>
      </c>
      <c r="BO25" s="25">
        <f t="shared" si="35"/>
        <v>49050</v>
      </c>
      <c r="BP25" s="25">
        <f t="shared" si="36"/>
        <v>9620</v>
      </c>
      <c r="BR25" s="25">
        <f t="shared" si="37"/>
        <v>5080</v>
      </c>
      <c r="BS25" s="25">
        <f t="shared" si="38"/>
        <v>13970</v>
      </c>
      <c r="BT25" s="25">
        <f t="shared" si="39"/>
        <v>30000</v>
      </c>
      <c r="BU25" s="25">
        <f t="shared" si="40"/>
        <v>56450</v>
      </c>
    </row>
    <row r="26" spans="1:73" x14ac:dyDescent="0.25">
      <c r="A26" s="3" t="s">
        <v>10</v>
      </c>
      <c r="B26" s="3" t="s">
        <v>43</v>
      </c>
      <c r="C26" s="15" t="b">
        <v>1</v>
      </c>
      <c r="D26" s="3" t="s">
        <v>22</v>
      </c>
      <c r="E26" s="7">
        <f>IF($B$5&gt;0,IF($U$5=FALSE,0,IF(C26=FALSE,0,500+200*$B$6)),0)</f>
        <v>2100</v>
      </c>
      <c r="F26" s="7">
        <v>0</v>
      </c>
      <c r="G26" s="7">
        <f>IF($B$5&gt;0,IF($U$5=FALSE,0,IF(C26=FALSE,0,500*($B$5-1))),0)</f>
        <v>0</v>
      </c>
      <c r="H26" s="7">
        <v>0</v>
      </c>
      <c r="I26" s="7">
        <f>IF($S$5=FALSE,0,SUM(E26:H26))</f>
        <v>2100</v>
      </c>
      <c r="J26" s="7">
        <f>I26*$L$8</f>
        <v>17430</v>
      </c>
      <c r="K26" s="3" t="s">
        <v>22</v>
      </c>
      <c r="L26" s="7">
        <f>IF($B$5&gt;0,IF($U$6=FALSE,0,IF(C26=FALSE,0,800+150+150)),0)</f>
        <v>1100</v>
      </c>
      <c r="M26" s="7">
        <v>0</v>
      </c>
      <c r="N26" s="7">
        <v>0</v>
      </c>
      <c r="O26" s="7">
        <f>IF($B$5&gt;0,IF($U$6=FALSE,0,IF(C26=FALSE,0,800*($B$5-1))),0)</f>
        <v>0</v>
      </c>
      <c r="P26" s="7">
        <v>0</v>
      </c>
      <c r="Q26" s="7">
        <v>0</v>
      </c>
      <c r="R26" s="7">
        <f>IF($S$5=FALSE,0,SUM(L26:Q26))</f>
        <v>1100</v>
      </c>
      <c r="S26" s="7">
        <f>R26*$L$8</f>
        <v>9130</v>
      </c>
      <c r="T26" s="7">
        <f>J26+S26</f>
        <v>26560</v>
      </c>
      <c r="U26" s="7">
        <f>IF($B$5&gt;0,IF($U$7=FALSE,0,IF(C26=FALSE,0,30000)),0)</f>
        <v>30000</v>
      </c>
      <c r="V26" s="7">
        <v>0</v>
      </c>
      <c r="W26" s="7">
        <f>IF($B$5&gt;0,IF($U$7=FALSE,0,IF(C26=FALSE,0,IF($B$6/$B$5&lt;=10,0,IF(選項!$K$2=1,1000*($B$6-$B$5*10),2000*($B$6-$B$5*10))))),0)</f>
        <v>0</v>
      </c>
      <c r="X26" s="7">
        <f>IF($B$5&gt;0,IF($U$7=FALSE,0,IF(C26=FALSE,0,IF(選項!$K$2=1,10000*($B$5-1),20000*($B$5-1)))),0)</f>
        <v>0</v>
      </c>
      <c r="Y26" s="7">
        <v>0</v>
      </c>
      <c r="Z26" s="7">
        <f>IF($S$5=FALSE,0,SUM(U26:Y26))</f>
        <v>30000</v>
      </c>
      <c r="AA26" s="7">
        <f>T26+Z26</f>
        <v>56560</v>
      </c>
      <c r="AB26" s="3" t="str">
        <f>A26</f>
        <v>馬來西亞</v>
      </c>
      <c r="AC26" s="25">
        <f>J26</f>
        <v>17430</v>
      </c>
      <c r="AD26" s="25">
        <f>S26</f>
        <v>9130</v>
      </c>
      <c r="AE26" s="25">
        <f>Z26</f>
        <v>30000</v>
      </c>
      <c r="AG26" s="15" t="str">
        <f>A26</f>
        <v>馬來西亞</v>
      </c>
      <c r="AH26" s="3">
        <f>IF($B$5&gt;0,IF(C26=FALSE,0,$B$5),0)</f>
        <v>1</v>
      </c>
      <c r="AI26" s="3" t="s">
        <v>22</v>
      </c>
      <c r="AJ26" s="7">
        <f>IF($B$5&gt;0,IF($U$5=FALSE,0,IF(C26=FALSE,0,0)),0)</f>
        <v>0</v>
      </c>
      <c r="AK26" s="7">
        <f>IF($B$5&gt;0,IF($U$5=FALSE,0,IF(C26=FALSE,0,0)),0)</f>
        <v>0</v>
      </c>
      <c r="AL26" s="7"/>
      <c r="AM26" s="7">
        <f>IF($S$6=FALSE,0,SUM(AJ26:AL26))</f>
        <v>0</v>
      </c>
      <c r="AN26" s="22">
        <f>AM26*$L$8</f>
        <v>0</v>
      </c>
      <c r="AO26" s="3" t="s">
        <v>22</v>
      </c>
      <c r="AP26" s="7">
        <f>IF($B$5&gt;0,IF($U$6=FALSE,0,IF(C26=FALSE,0,500)),0)</f>
        <v>500</v>
      </c>
      <c r="AQ26" s="7">
        <f>IF($B$5&gt;0,IF($U$6=FALSE,0,IF(C26=FALSE,0,($B$5-1)*500)),0)</f>
        <v>0</v>
      </c>
      <c r="AR26" s="7"/>
      <c r="AS26" s="7">
        <f>IF($S$6=FALSE,0,SUM(AP26:AR26))</f>
        <v>500</v>
      </c>
      <c r="AT26" s="22">
        <f>AS26*$L$8</f>
        <v>4150</v>
      </c>
      <c r="AU26" s="22">
        <f>AN26+AT26</f>
        <v>4150</v>
      </c>
      <c r="AV26" s="7">
        <f>IF($B$5&gt;0,IF($U$7=FALSE,0,IF(C26=FALSE,0,$B$5*2000)),0)</f>
        <v>2000</v>
      </c>
      <c r="AW26" s="22">
        <f>IF($S$6=FALSE,0,SUM(AV26:AV26))</f>
        <v>2000</v>
      </c>
      <c r="AX26" s="22">
        <f>AU26+AW26</f>
        <v>6150</v>
      </c>
      <c r="AY26" s="15" t="str">
        <f>A26</f>
        <v>馬來西亞</v>
      </c>
      <c r="AZ26" s="25">
        <f>AN26</f>
        <v>0</v>
      </c>
      <c r="BA26" s="25">
        <f>AT26</f>
        <v>4150</v>
      </c>
      <c r="BB26" s="25">
        <f>AW26</f>
        <v>2000</v>
      </c>
      <c r="BD26" s="3" t="str">
        <f>A26</f>
        <v>馬來西亞</v>
      </c>
      <c r="BE26" s="25">
        <f t="shared" si="27"/>
        <v>56560</v>
      </c>
      <c r="BF26" s="25">
        <f t="shared" si="28"/>
        <v>35790</v>
      </c>
      <c r="BG26" s="25">
        <f t="shared" si="29"/>
        <v>6150</v>
      </c>
      <c r="BH26" s="79">
        <f t="shared" si="7"/>
        <v>66480</v>
      </c>
      <c r="BI26" s="95">
        <f t="shared" si="30"/>
        <v>92350</v>
      </c>
      <c r="BJ26" s="80">
        <f t="shared" si="31"/>
        <v>62710</v>
      </c>
      <c r="BK26" s="80">
        <f t="shared" si="32"/>
        <v>98500</v>
      </c>
      <c r="BL26" s="80">
        <f t="shared" si="33"/>
        <v>72630</v>
      </c>
      <c r="BM26" s="80">
        <f t="shared" si="34"/>
        <v>164980</v>
      </c>
      <c r="BO26" s="25">
        <f t="shared" si="35"/>
        <v>56560</v>
      </c>
      <c r="BP26" s="25">
        <f t="shared" si="36"/>
        <v>6150</v>
      </c>
      <c r="BR26" s="25">
        <f t="shared" si="37"/>
        <v>17430</v>
      </c>
      <c r="BS26" s="25">
        <f t="shared" si="38"/>
        <v>9130</v>
      </c>
      <c r="BT26" s="25">
        <f t="shared" si="39"/>
        <v>30000</v>
      </c>
      <c r="BU26" s="25">
        <f t="shared" si="40"/>
        <v>108420</v>
      </c>
    </row>
    <row r="27" spans="1:73" x14ac:dyDescent="0.25">
      <c r="A27" s="51" t="s">
        <v>116</v>
      </c>
      <c r="B27" s="3" t="s">
        <v>43</v>
      </c>
      <c r="C27" s="15" t="b">
        <v>1</v>
      </c>
      <c r="D27" s="3" t="s">
        <v>15</v>
      </c>
      <c r="E27" s="7">
        <f>IF($B$5&gt;0,IF($U$5=FALSE,0,IF(C27=FALSE,0,81+22)),0)</f>
        <v>103</v>
      </c>
      <c r="F27" s="7">
        <v>0</v>
      </c>
      <c r="G27" s="7">
        <f>IF($B$5&gt;0,IF($U$5=FALSE,0,IF(C27=FALSE,0,($B$5-1)*41)),0)</f>
        <v>0</v>
      </c>
      <c r="H27" s="7">
        <v>0</v>
      </c>
      <c r="I27" s="7">
        <f t="shared" si="13"/>
        <v>103</v>
      </c>
      <c r="J27" s="7">
        <f>I27*$J$5</f>
        <v>3316.6000000000004</v>
      </c>
      <c r="K27" s="3" t="s">
        <v>15</v>
      </c>
      <c r="L27" s="7">
        <f>IF($B$5&gt;0,IF($U$6=FALSE,0,IF(C27=FALSE,0,250)),0)</f>
        <v>250</v>
      </c>
      <c r="M27" s="7">
        <v>0</v>
      </c>
      <c r="N27" s="7">
        <v>0</v>
      </c>
      <c r="O27" s="7">
        <f>IF($B$5&gt;0,IF($U$6=FALSE,0,IF(C27=FALSE,0,($B$5-1)*0)),0)</f>
        <v>0</v>
      </c>
      <c r="P27" s="7">
        <v>0</v>
      </c>
      <c r="Q27" s="7">
        <f>IF($B$5&gt;0,IF($U$6=FALSE,0,IF(C27=FALSE,0,10*$B$6)),0)</f>
        <v>80</v>
      </c>
      <c r="R27" s="7">
        <f t="shared" si="14"/>
        <v>330</v>
      </c>
      <c r="S27" s="7">
        <f>R27*$J$5</f>
        <v>10626.000000000002</v>
      </c>
      <c r="T27" s="7">
        <f>J27+S27</f>
        <v>13942.600000000002</v>
      </c>
      <c r="U27" s="7">
        <f>IF($B$5&gt;0,IF($U$7=FALSE,0,IF(C27=FALSE,0,IF(選項!$K$2=1,30000,40000))),0)</f>
        <v>40000</v>
      </c>
      <c r="V27" s="7">
        <v>0</v>
      </c>
      <c r="W27" s="7">
        <f>IF($B$5&gt;0,IF($U$7=FALSE,0,IF(C27=FALSE,0,IF($B$6/$B$5&lt;=10,0,IF(選項!$K$2=1,1000*($B$6-$B$5*10),2000*($B$6-$B$5*10))))),0)</f>
        <v>0</v>
      </c>
      <c r="X27" s="7">
        <f>IF($B$5&gt;0,IF($U$7=FALSE,0,IF(C27=FALSE,0,IF(選項!$K$2=1,10000*($B$5-1),25000*($B$5-1)))),0)</f>
        <v>0</v>
      </c>
      <c r="Y27" s="7">
        <v>0</v>
      </c>
      <c r="Z27" s="7">
        <f t="shared" si="16"/>
        <v>40000</v>
      </c>
      <c r="AA27" s="7">
        <f>T27+Z27</f>
        <v>53942.600000000006</v>
      </c>
      <c r="AB27" s="3" t="str">
        <f>A27</f>
        <v>菲律賓</v>
      </c>
      <c r="AC27" s="25">
        <f>J27</f>
        <v>3316.6000000000004</v>
      </c>
      <c r="AD27" s="25">
        <f>S27</f>
        <v>10626.000000000002</v>
      </c>
      <c r="AE27" s="25">
        <f>Z27</f>
        <v>40000</v>
      </c>
      <c r="AG27" s="15" t="str">
        <f>A27</f>
        <v>菲律賓</v>
      </c>
      <c r="AH27" s="3">
        <f>IF($B$5&gt;0,IF(C27=FALSE,0,1),0)</f>
        <v>1</v>
      </c>
      <c r="AI27" s="3" t="s">
        <v>15</v>
      </c>
      <c r="AJ27" s="7">
        <f>IF($B$5&gt;0,IF($U$5=FALSE,0,IF(C27=FALSE,0,22+27)),0)</f>
        <v>49</v>
      </c>
      <c r="AK27" s="7">
        <f>IF($B$5&gt;0,IF($U$5=FALSE,0,IF(C27=FALSE,0,0)),0)</f>
        <v>0</v>
      </c>
      <c r="AL27" s="7"/>
      <c r="AM27" s="7">
        <f t="shared" si="20"/>
        <v>49</v>
      </c>
      <c r="AN27" s="22">
        <f>AM27*$J$5</f>
        <v>1577.8000000000002</v>
      </c>
      <c r="AO27" s="3" t="s">
        <v>15</v>
      </c>
      <c r="AP27" s="7">
        <f>IF($B$5&gt;0,IF($U$6=FALSE,0,IF(C27=FALSE,0,100+150)),0)</f>
        <v>250</v>
      </c>
      <c r="AQ27" s="7"/>
      <c r="AR27" s="7"/>
      <c r="AS27" s="7">
        <f t="shared" si="21"/>
        <v>250</v>
      </c>
      <c r="AT27" s="22">
        <f>AS27*$J$5</f>
        <v>8050.0000000000009</v>
      </c>
      <c r="AU27" s="22">
        <f>AN27+AT27</f>
        <v>9627.8000000000011</v>
      </c>
      <c r="AV27" s="7">
        <f t="shared" ref="AV27" si="45">IF($B$5&gt;0,IF($U$7=FALSE,0,IF(C27=FALSE,0,2000)),0)</f>
        <v>2000</v>
      </c>
      <c r="AW27" s="22">
        <f t="shared" si="22"/>
        <v>2000</v>
      </c>
      <c r="AX27" s="22">
        <f>AU27+AW27</f>
        <v>11627.800000000001</v>
      </c>
      <c r="AY27" s="15" t="str">
        <f>A27</f>
        <v>菲律賓</v>
      </c>
      <c r="AZ27" s="25">
        <f>AN27</f>
        <v>1577.8000000000002</v>
      </c>
      <c r="BA27" s="25">
        <f>AT27</f>
        <v>8050.0000000000009</v>
      </c>
      <c r="BB27" s="25">
        <f>AW27</f>
        <v>2000</v>
      </c>
      <c r="BD27" s="3" t="str">
        <f>A27</f>
        <v>菲律賓</v>
      </c>
      <c r="BE27" s="25">
        <f t="shared" si="27"/>
        <v>53942.600000000006</v>
      </c>
      <c r="BF27" s="25">
        <f t="shared" si="28"/>
        <v>0</v>
      </c>
      <c r="BG27" s="25">
        <f t="shared" si="29"/>
        <v>11627.800000000001</v>
      </c>
      <c r="BH27" s="79">
        <f t="shared" si="7"/>
        <v>22558</v>
      </c>
      <c r="BI27" s="95">
        <f t="shared" si="30"/>
        <v>53942.600000000006</v>
      </c>
      <c r="BJ27" s="80">
        <f t="shared" si="31"/>
        <v>65570.400000000009</v>
      </c>
      <c r="BK27" s="80">
        <f t="shared" si="32"/>
        <v>65570.400000000009</v>
      </c>
      <c r="BL27" s="80">
        <f t="shared" si="33"/>
        <v>34185.800000000003</v>
      </c>
      <c r="BM27" s="80">
        <f t="shared" si="34"/>
        <v>88128.400000000009</v>
      </c>
      <c r="BO27" s="25">
        <f t="shared" si="35"/>
        <v>53942.600000000006</v>
      </c>
      <c r="BP27" s="25">
        <f t="shared" si="36"/>
        <v>11627.800000000001</v>
      </c>
      <c r="BR27" s="25">
        <f t="shared" si="37"/>
        <v>3316.6000000000004</v>
      </c>
      <c r="BS27" s="25">
        <f t="shared" si="38"/>
        <v>10626.000000000002</v>
      </c>
      <c r="BT27" s="25">
        <f t="shared" si="39"/>
        <v>40000</v>
      </c>
      <c r="BU27" s="25">
        <f t="shared" si="40"/>
        <v>34185.800000000003</v>
      </c>
    </row>
    <row r="28" spans="1:73" x14ac:dyDescent="0.25">
      <c r="A28" s="3" t="s">
        <v>96</v>
      </c>
      <c r="B28" s="3" t="s">
        <v>43</v>
      </c>
      <c r="C28" s="15" t="b">
        <v>1</v>
      </c>
      <c r="D28" s="3" t="s">
        <v>15</v>
      </c>
      <c r="E28" s="7">
        <f>IF($B$5&gt;0,IF($U$5=FALSE,0,IF(C28=FALSE,0,80)),0)</f>
        <v>80</v>
      </c>
      <c r="F28" s="7">
        <v>0</v>
      </c>
      <c r="G28" s="7">
        <f>IF($B$5&gt;0,IF($U$5=FALSE,0,IF(C28=FALSE,0,($B$5-1)*80)),0)</f>
        <v>0</v>
      </c>
      <c r="H28" s="7">
        <v>0</v>
      </c>
      <c r="I28" s="7">
        <f>IF($S$5=FALSE,0,SUM(E28:H28))</f>
        <v>80</v>
      </c>
      <c r="J28" s="7">
        <f>I28*$J$5</f>
        <v>2576</v>
      </c>
      <c r="K28" s="3" t="s">
        <v>15</v>
      </c>
      <c r="L28" s="7">
        <f>IF($B$5&gt;0,IF($U$6=FALSE,0,IF(C28=FALSE,0,500)),0)</f>
        <v>500</v>
      </c>
      <c r="M28" s="7">
        <v>0</v>
      </c>
      <c r="N28" s="7">
        <v>0</v>
      </c>
      <c r="O28" s="7">
        <f>IF($B$5&gt;0,IF($U$6=FALSE,0,IF(C28=FALSE,0,($B$5-1)*500)),0)</f>
        <v>0</v>
      </c>
      <c r="P28" s="7">
        <v>0</v>
      </c>
      <c r="Q28" s="7">
        <f>IF($B$5&gt;0,IF($U$6=FALSE,0,IF(C28=FALSE,0,$B$6*10)),0)</f>
        <v>80</v>
      </c>
      <c r="R28" s="7">
        <f>IF($S$5=FALSE,0,SUM(L28:Q28))</f>
        <v>580</v>
      </c>
      <c r="S28" s="7">
        <f>R28*$J$5</f>
        <v>18676</v>
      </c>
      <c r="T28" s="7">
        <f>J28+S28</f>
        <v>21252</v>
      </c>
      <c r="U28" s="7">
        <f>IF($B$5&gt;0,IF($U$7=FALSE,0,IF(C28=FALSE,0,30000)),0)</f>
        <v>30000</v>
      </c>
      <c r="V28" s="7">
        <v>0</v>
      </c>
      <c r="W28" s="7">
        <f>IF($B$5&gt;0,IF($U$7=FALSE,0,IF(C28=FALSE,0,IF($B$6/$B$5&lt;=10,0,IF(選項!$K$2=1,1000*($B$6-$B$5*10),2000*($B$6-$B$5*10))))),0)</f>
        <v>0</v>
      </c>
      <c r="X28" s="7">
        <f>IF($B$5&gt;0,IF($U$7=FALSE,0,IF(C28=FALSE,0,IF(選項!$K$2=1,10000*($B$5-1),20000*($B$5-1)))),0)</f>
        <v>0</v>
      </c>
      <c r="Y28" s="7">
        <v>0</v>
      </c>
      <c r="Z28" s="7">
        <f>IF($S$5=FALSE,0,SUM(U28:Y28))</f>
        <v>30000</v>
      </c>
      <c r="AA28" s="7">
        <f>T28+Z28</f>
        <v>51252</v>
      </c>
      <c r="AB28" s="3" t="str">
        <f>A28</f>
        <v>印尼</v>
      </c>
      <c r="AC28" s="25">
        <f>J28</f>
        <v>2576</v>
      </c>
      <c r="AD28" s="25">
        <f>S28</f>
        <v>18676</v>
      </c>
      <c r="AE28" s="25">
        <f>Z28</f>
        <v>30000</v>
      </c>
      <c r="AG28" s="15" t="str">
        <f>A28</f>
        <v>印尼</v>
      </c>
      <c r="AH28" s="3">
        <f>IF($B$5&gt;0,IF(C28=FALSE,0,$B$5),0)</f>
        <v>1</v>
      </c>
      <c r="AI28" s="3" t="s">
        <v>15</v>
      </c>
      <c r="AJ28" s="7">
        <v>0</v>
      </c>
      <c r="AK28" s="7"/>
      <c r="AL28" s="7"/>
      <c r="AM28" s="7">
        <f>IF($S$6=FALSE,0,SUM(AJ28:AL28))</f>
        <v>0</v>
      </c>
      <c r="AN28" s="22">
        <f>AM28*$J$5</f>
        <v>0</v>
      </c>
      <c r="AO28" s="3" t="s">
        <v>15</v>
      </c>
      <c r="AP28" s="7">
        <f>IF($B$5&gt;0,IF($U$6=FALSE,0,IF(C28=FALSE,0,150)),0)</f>
        <v>150</v>
      </c>
      <c r="AQ28" s="7">
        <f>IF($B$5&gt;0,IF($U$6=FALSE,0,IF(C28=FALSE,0,($B$5-1)*150)),0)</f>
        <v>0</v>
      </c>
      <c r="AR28" s="7"/>
      <c r="AS28" s="7">
        <f>IF($S$6=FALSE,0,SUM(AP28:AR28))</f>
        <v>150</v>
      </c>
      <c r="AT28" s="22">
        <f>AS28*$J$5</f>
        <v>4830</v>
      </c>
      <c r="AU28" s="22">
        <f>AN28+AT28</f>
        <v>4830</v>
      </c>
      <c r="AV28" s="7">
        <f>IF($B$5&gt;0,IF($U$7=FALSE,0,IF(C28=FALSE,0,$B$5*2000)),0)</f>
        <v>2000</v>
      </c>
      <c r="AW28" s="22">
        <f>IF($S$6=FALSE,0,SUM(AV28:AV28))</f>
        <v>2000</v>
      </c>
      <c r="AX28" s="22">
        <f>AU28+AW28</f>
        <v>6830</v>
      </c>
      <c r="AY28" s="15" t="str">
        <f>A28</f>
        <v>印尼</v>
      </c>
      <c r="AZ28" s="25">
        <f>AN28</f>
        <v>0</v>
      </c>
      <c r="BA28" s="25">
        <f>AT28</f>
        <v>4830</v>
      </c>
      <c r="BB28" s="25">
        <f>AW28</f>
        <v>2000</v>
      </c>
      <c r="BD28" s="3" t="str">
        <f>A28</f>
        <v>印尼</v>
      </c>
      <c r="BE28" s="25">
        <f t="shared" si="27"/>
        <v>51252</v>
      </c>
      <c r="BF28" s="25">
        <f t="shared" si="28"/>
        <v>42710</v>
      </c>
      <c r="BG28" s="25">
        <f t="shared" si="29"/>
        <v>6830</v>
      </c>
      <c r="BH28" s="79">
        <f t="shared" si="7"/>
        <v>0</v>
      </c>
      <c r="BI28" s="95">
        <f t="shared" si="30"/>
        <v>93962</v>
      </c>
      <c r="BJ28" s="80">
        <f t="shared" si="31"/>
        <v>58082</v>
      </c>
      <c r="BK28" s="80">
        <f t="shared" si="32"/>
        <v>100792</v>
      </c>
      <c r="BL28" s="80">
        <f t="shared" si="33"/>
        <v>6830</v>
      </c>
      <c r="BM28" s="80">
        <f t="shared" si="34"/>
        <v>100792</v>
      </c>
      <c r="BO28" s="25">
        <f t="shared" si="35"/>
        <v>51252</v>
      </c>
      <c r="BP28" s="25">
        <f t="shared" si="36"/>
        <v>6830</v>
      </c>
      <c r="BR28" s="25">
        <f t="shared" si="37"/>
        <v>2576</v>
      </c>
      <c r="BS28" s="25">
        <f t="shared" si="38"/>
        <v>18676</v>
      </c>
      <c r="BT28" s="25">
        <f t="shared" si="39"/>
        <v>30000</v>
      </c>
      <c r="BU28" s="25">
        <f t="shared" si="40"/>
        <v>49540</v>
      </c>
    </row>
    <row r="29" spans="1:73" x14ac:dyDescent="0.25">
      <c r="A29" s="3" t="s">
        <v>8</v>
      </c>
      <c r="B29" s="3" t="s">
        <v>43</v>
      </c>
      <c r="C29" s="15" t="b">
        <v>1</v>
      </c>
      <c r="D29" s="3" t="s">
        <v>20</v>
      </c>
      <c r="E29" s="7">
        <f>IF(選項!$K$2=1,0,IF($B$5&gt;0,IF($U$5=FALSE,0,IF(C29=FALSE,0,150000+120000+60000*($B$6-1))),0))</f>
        <v>690000</v>
      </c>
      <c r="F29" s="7">
        <f>IF(選項!$K$2=1,0,IF($B$5&gt;0,IF($U$5=FALSE,0,IF(C29=FALSE,0,1180000)),0))</f>
        <v>1180000</v>
      </c>
      <c r="G29" s="7">
        <v>0</v>
      </c>
      <c r="H29" s="7">
        <v>0</v>
      </c>
      <c r="I29" s="7">
        <f t="shared" si="13"/>
        <v>1870000</v>
      </c>
      <c r="J29" s="7">
        <f>I29*$L$7</f>
        <v>2618</v>
      </c>
      <c r="K29" s="3" t="s">
        <v>15</v>
      </c>
      <c r="L29" s="7">
        <f>IF(選項!$K$2=1,0,IF($B$5&gt;0,IF($U$6=FALSE,0,IF(C29=FALSE,0,200+40+12*($B$6-1)+125)),0))</f>
        <v>449</v>
      </c>
      <c r="M29" s="7">
        <v>0</v>
      </c>
      <c r="N29" s="7">
        <f>IF(選項!$K$2=1,0,IF($B$5&gt;0,IF($U$6=FALSE,0,IF(C29=FALSE,0,90)),0))</f>
        <v>90</v>
      </c>
      <c r="O29" s="7">
        <f>IF(選項!$K$2=1,0,IF($B$5&gt;0,IF($U$6=FALSE,0,IF(C29=FALSE,0,(50+50)*($B$5-1))),0))</f>
        <v>0</v>
      </c>
      <c r="P29" s="7">
        <v>0</v>
      </c>
      <c r="Q29" s="7">
        <v>0</v>
      </c>
      <c r="R29" s="7">
        <f t="shared" si="14"/>
        <v>539</v>
      </c>
      <c r="S29" s="7">
        <f>R29*$J$5</f>
        <v>17355.800000000003</v>
      </c>
      <c r="T29" s="7">
        <f t="shared" si="15"/>
        <v>19973.800000000003</v>
      </c>
      <c r="U29" s="7">
        <f>IF(選項!$K$2=1,0,IF($B$5&gt;0,IF($U$7=FALSE,0,IF(C29=FALSE,0,30000)),0))</f>
        <v>30000</v>
      </c>
      <c r="V29" s="7">
        <v>0</v>
      </c>
      <c r="W29" s="7">
        <f>IF($B$5&gt;0,IF($U$7=FALSE,0,IF(C29=FALSE,0,IF($B$6/$B$5&lt;=10,0,IF(選項!$K$2=1,1000*($B$6-$B$5*10),2000*($B$6-$B$5*10))))),0)</f>
        <v>0</v>
      </c>
      <c r="X29" s="7">
        <f>IF(選項!$K$2=1,0,IF($B$5&gt;0,IF($U$7=FALSE,0,IF(C29=FALSE,0,IF(選項!$K$2=1,10000*($B$5-1),20000*($B$5-1)))),0))</f>
        <v>0</v>
      </c>
      <c r="Y29" s="7">
        <v>0</v>
      </c>
      <c r="Z29" s="7">
        <f t="shared" si="16"/>
        <v>30000</v>
      </c>
      <c r="AA29" s="7">
        <f t="shared" si="0"/>
        <v>49973.8</v>
      </c>
      <c r="AB29" s="3" t="str">
        <f t="shared" si="1"/>
        <v>越南</v>
      </c>
      <c r="AC29" s="25">
        <f t="shared" si="17"/>
        <v>2618</v>
      </c>
      <c r="AD29" s="25">
        <f t="shared" si="18"/>
        <v>17355.800000000003</v>
      </c>
      <c r="AE29" s="25">
        <f t="shared" si="19"/>
        <v>30000</v>
      </c>
      <c r="AG29" s="15" t="str">
        <f t="shared" si="2"/>
        <v>越南</v>
      </c>
      <c r="AH29" s="3">
        <f>IF(選項!$K$2=1,0,IF($B$5&gt;0,IF(C29=FALSE,0,1),0))</f>
        <v>1</v>
      </c>
      <c r="AI29" s="3" t="s">
        <v>20</v>
      </c>
      <c r="AJ29" s="7">
        <f>IF(選項!$K$2=1,0,IF($B$5&gt;0,IF($U$5=FALSE,0,IF(C29=FALSE,0,240000+120000)),0))</f>
        <v>360000</v>
      </c>
      <c r="AK29" s="7">
        <f>IF(選項!$K$2=1,0,IF($B$5&gt;0,IF($U$5=FALSE,0,IF(C29=FALSE,0,($B$5-1)*100000)),0))</f>
        <v>0</v>
      </c>
      <c r="AL29" s="7">
        <f>IF(選項!$K$2=1,0,IF($B$5&gt;0,IF($U$5=FALSE,0,IF(C29=FALSE,0,($B$6-1)*60000)),0))</f>
        <v>420000</v>
      </c>
      <c r="AM29" s="7">
        <f t="shared" si="20"/>
        <v>780000</v>
      </c>
      <c r="AN29" s="22">
        <f>AM29*$L$7</f>
        <v>1092</v>
      </c>
      <c r="AO29" s="3" t="s">
        <v>15</v>
      </c>
      <c r="AP29" s="7">
        <f>IF(選項!$K$2=1,0,IF($B$5&gt;0,IF($U$6=FALSE,0,IF(C29=FALSE,0,90+40)),0))</f>
        <v>130</v>
      </c>
      <c r="AQ29" s="7">
        <f>IF(選項!$K$2=1,0,IF($B$5&gt;0,IF($U$6=FALSE,0,IF(C29=FALSE,0,($B$5-1)*32)),0))</f>
        <v>0</v>
      </c>
      <c r="AR29" s="7">
        <f>IF(選項!$K$2=1,0,IF($B$5&gt;0,IF($U$6=FALSE,0,IF(C29=FALSE,0,($B$6-1)*12)),0))</f>
        <v>84</v>
      </c>
      <c r="AS29" s="7">
        <f t="shared" si="21"/>
        <v>214</v>
      </c>
      <c r="AT29" s="22">
        <f>AS29*$J$5</f>
        <v>6890.8</v>
      </c>
      <c r="AU29" s="22">
        <f t="shared" si="3"/>
        <v>7982.8</v>
      </c>
      <c r="AV29" s="7">
        <f>IF(選項!$K$2=1,0,IF($B$5&gt;0,IF($U$7=FALSE,0,IF(C29=FALSE,0,2000)),0))</f>
        <v>2000</v>
      </c>
      <c r="AW29" s="22">
        <f t="shared" si="22"/>
        <v>2000</v>
      </c>
      <c r="AX29" s="22">
        <f t="shared" si="4"/>
        <v>9982.7999999999993</v>
      </c>
      <c r="AY29" s="15" t="str">
        <f t="shared" si="5"/>
        <v>越南</v>
      </c>
      <c r="AZ29" s="25">
        <f t="shared" si="23"/>
        <v>1092</v>
      </c>
      <c r="BA29" s="25">
        <f t="shared" si="24"/>
        <v>6890.8</v>
      </c>
      <c r="BB29" s="25">
        <f t="shared" si="25"/>
        <v>2000</v>
      </c>
      <c r="BD29" s="3" t="str">
        <f t="shared" si="26"/>
        <v>越南</v>
      </c>
      <c r="BE29" s="25">
        <f t="shared" si="27"/>
        <v>49973.8</v>
      </c>
      <c r="BF29" s="25">
        <f t="shared" si="28"/>
        <v>60966</v>
      </c>
      <c r="BG29" s="25">
        <f t="shared" si="29"/>
        <v>9982.7999999999993</v>
      </c>
      <c r="BH29" s="79">
        <f t="shared" si="7"/>
        <v>23664</v>
      </c>
      <c r="BI29" s="95">
        <f t="shared" si="30"/>
        <v>110939.8</v>
      </c>
      <c r="BJ29" s="80">
        <f t="shared" si="31"/>
        <v>59956.600000000006</v>
      </c>
      <c r="BK29" s="80">
        <f t="shared" si="32"/>
        <v>120922.6</v>
      </c>
      <c r="BL29" s="80">
        <f t="shared" si="33"/>
        <v>33646.800000000003</v>
      </c>
      <c r="BM29" s="80">
        <f t="shared" si="34"/>
        <v>144586.6</v>
      </c>
      <c r="BO29" s="25">
        <f t="shared" si="35"/>
        <v>49973.8</v>
      </c>
      <c r="BP29" s="25">
        <f t="shared" si="36"/>
        <v>9982.7999999999993</v>
      </c>
      <c r="BR29" s="25">
        <f t="shared" si="37"/>
        <v>2618</v>
      </c>
      <c r="BS29" s="25">
        <f t="shared" si="38"/>
        <v>17355.800000000003</v>
      </c>
      <c r="BT29" s="25">
        <f t="shared" si="39"/>
        <v>30000</v>
      </c>
      <c r="BU29" s="25">
        <f t="shared" si="40"/>
        <v>94612.800000000003</v>
      </c>
    </row>
    <row r="30" spans="1:73" x14ac:dyDescent="0.25">
      <c r="A30" s="3" t="s">
        <v>9</v>
      </c>
      <c r="B30" s="3" t="s">
        <v>43</v>
      </c>
      <c r="C30" s="15" t="b">
        <v>1</v>
      </c>
      <c r="D30" s="3" t="s">
        <v>21</v>
      </c>
      <c r="E30" s="7">
        <f>IF($B$5&gt;0,IF($U$5=FALSE,0,IF(C30=FALSE,0,250)),0)</f>
        <v>250</v>
      </c>
      <c r="F30" s="7">
        <v>0</v>
      </c>
      <c r="G30" s="7">
        <f>IF($B$5&gt;0,IF($U$5=FALSE,0,IF(C30=FALSE,0,($B$5-1)*250)),0)</f>
        <v>0</v>
      </c>
      <c r="H30" s="7">
        <v>0</v>
      </c>
      <c r="I30" s="7">
        <f t="shared" ref="I30:I31" si="46">IF($S$5=FALSE,0,SUM(E30:H30))</f>
        <v>250</v>
      </c>
      <c r="J30" s="7">
        <f>I30*$J$9</f>
        <v>262.5</v>
      </c>
      <c r="K30" s="3" t="s">
        <v>21</v>
      </c>
      <c r="L30" s="7">
        <f>IF($B$5&gt;0,IF($U$6=FALSE,0,IF(C30=FALSE,0,14500)),0)</f>
        <v>14500</v>
      </c>
      <c r="M30" s="7">
        <v>0</v>
      </c>
      <c r="N30" s="7">
        <v>0</v>
      </c>
      <c r="O30" s="7">
        <f>IF($B$5&gt;0,IF($U$6=FALSE,0,IF(C30=FALSE,0,($B$5-1)*14500)),0)</f>
        <v>0</v>
      </c>
      <c r="P30" s="7">
        <v>0</v>
      </c>
      <c r="Q30" s="7">
        <f>IF($B$5&gt;0,IF($U$6=FALSE,0,IF(C30=FALSE,0,4000*$B$5)),0)</f>
        <v>4000</v>
      </c>
      <c r="R30" s="7">
        <f t="shared" ref="R30:R31" si="47">IF($S$5=FALSE,0,SUM(L30:Q30))</f>
        <v>18500</v>
      </c>
      <c r="S30" s="7">
        <f>R30*$J$9</f>
        <v>19425</v>
      </c>
      <c r="T30" s="7">
        <f t="shared" ref="T30:T31" si="48">J30+S30</f>
        <v>19687.5</v>
      </c>
      <c r="U30" s="7">
        <f t="shared" ref="U30:U31" si="49">IF($B$5&gt;0,IF($U$7=FALSE,0,IF(C30=FALSE,0,30000)),0)</f>
        <v>30000</v>
      </c>
      <c r="V30" s="7">
        <v>0</v>
      </c>
      <c r="W30" s="7">
        <v>0</v>
      </c>
      <c r="X30" s="7">
        <f>IF($B$5&gt;0,IF($U$7=FALSE,0,IF(C30=FALSE,0,IF(選項!$K$2=1,10000*($B$5-1),20000*($B$5-1)))),0)</f>
        <v>0</v>
      </c>
      <c r="Y30" s="7">
        <v>0</v>
      </c>
      <c r="Z30" s="7">
        <f t="shared" ref="Z30:Z31" si="50">IF($S$5=FALSE,0,SUM(U30:Y30))</f>
        <v>30000</v>
      </c>
      <c r="AA30" s="7">
        <f t="shared" ref="AA30:AA31" si="51">T30+Z30</f>
        <v>49687.5</v>
      </c>
      <c r="AB30" s="3" t="str">
        <f t="shared" ref="AB30:AB31" si="52">A30</f>
        <v>泰國</v>
      </c>
      <c r="AC30" s="25">
        <f t="shared" ref="AC30:AC31" si="53">J30</f>
        <v>262.5</v>
      </c>
      <c r="AD30" s="25">
        <f t="shared" ref="AD30:AD31" si="54">S30</f>
        <v>19425</v>
      </c>
      <c r="AE30" s="25">
        <f t="shared" ref="AE30:AE31" si="55">Z30</f>
        <v>30000</v>
      </c>
      <c r="AG30" s="15" t="str">
        <f t="shared" ref="AG30:AG31" si="56">A30</f>
        <v>泰國</v>
      </c>
      <c r="AH30" s="3">
        <f t="shared" ref="AH30:AH31" si="57">IF($B$5&gt;0,IF(C30=FALSE,0,$B$5),0)</f>
        <v>1</v>
      </c>
      <c r="AI30" s="3" t="s">
        <v>21</v>
      </c>
      <c r="AJ30" s="7">
        <f>IF($B$5&gt;0,IF($U$5=FALSE,0,IF(C30=FALSE,0,500)),0)</f>
        <v>500</v>
      </c>
      <c r="AK30" s="7">
        <f>IF($B$5&gt;0,IF($U$5=FALSE,0,IF(C30=FALSE,0,500*($B$5-1))),0)</f>
        <v>0</v>
      </c>
      <c r="AL30" s="7"/>
      <c r="AM30" s="7">
        <f t="shared" ref="AM30:AM31" si="58">IF($S$6=FALSE,0,SUM(AJ30:AL30))</f>
        <v>500</v>
      </c>
      <c r="AN30" s="22">
        <f>AM30*$J$9</f>
        <v>525</v>
      </c>
      <c r="AO30" s="3" t="s">
        <v>21</v>
      </c>
      <c r="AP30" s="7">
        <f>IF($B$5&gt;0,IF($U$6=FALSE,0,IF(C30=FALSE,0,3500)),0)</f>
        <v>3500</v>
      </c>
      <c r="AQ30" s="7">
        <f>IF($B$5&gt;0,IF($U$6=FALSE,0,IF(C30=FALSE,0,($B$5-1)*3500)),0)</f>
        <v>0</v>
      </c>
      <c r="AR30" s="7"/>
      <c r="AS30" s="7">
        <f t="shared" ref="AS30:AS31" si="59">IF($S$6=FALSE,0,SUM(AP30:AR30))</f>
        <v>3500</v>
      </c>
      <c r="AT30" s="22">
        <f>AS30*$J$9</f>
        <v>3675</v>
      </c>
      <c r="AU30" s="22">
        <f t="shared" ref="AU30:AU31" si="60">AN30+AT30</f>
        <v>4200</v>
      </c>
      <c r="AV30" s="7">
        <f>IF($B$5&gt;0,IF($U$7=FALSE,0,IF(C30=FALSE,0,$B$5*2000)),0)</f>
        <v>2000</v>
      </c>
      <c r="AW30" s="22">
        <f t="shared" ref="AW30" si="61">IF($S$6=FALSE,0,SUM(AV30:AV30))</f>
        <v>2000</v>
      </c>
      <c r="AX30" s="22">
        <f t="shared" ref="AX30:AX31" si="62">AU30+AW30</f>
        <v>6200</v>
      </c>
      <c r="AY30" s="15" t="str">
        <f t="shared" ref="AY30:AY31" si="63">A30</f>
        <v>泰國</v>
      </c>
      <c r="AZ30" s="25">
        <f t="shared" ref="AZ30:AZ31" si="64">AN30</f>
        <v>525</v>
      </c>
      <c r="BA30" s="25">
        <f t="shared" ref="BA30:BA31" si="65">AT30</f>
        <v>3675</v>
      </c>
      <c r="BB30" s="25">
        <f t="shared" ref="BB30:BB31" si="66">AW30</f>
        <v>2000</v>
      </c>
      <c r="BD30" s="3" t="str">
        <f t="shared" ref="BD30:BD31" si="67">A30</f>
        <v>泰國</v>
      </c>
      <c r="BE30" s="25">
        <f t="shared" si="27"/>
        <v>49687.5</v>
      </c>
      <c r="BF30" s="25">
        <f t="shared" si="28"/>
        <v>40592.5</v>
      </c>
      <c r="BG30" s="25">
        <f t="shared" si="29"/>
        <v>6200</v>
      </c>
      <c r="BH30" s="79">
        <f t="shared" si="7"/>
        <v>58822.5</v>
      </c>
      <c r="BI30" s="95">
        <f t="shared" si="30"/>
        <v>90280</v>
      </c>
      <c r="BJ30" s="80">
        <f t="shared" si="31"/>
        <v>55887.5</v>
      </c>
      <c r="BK30" s="80">
        <f t="shared" si="32"/>
        <v>96480</v>
      </c>
      <c r="BL30" s="80">
        <f t="shared" si="33"/>
        <v>65022.5</v>
      </c>
      <c r="BM30" s="80">
        <f t="shared" si="34"/>
        <v>155302.5</v>
      </c>
      <c r="BO30" s="25">
        <f t="shared" si="35"/>
        <v>49687.5</v>
      </c>
      <c r="BP30" s="25">
        <f t="shared" si="36"/>
        <v>6200</v>
      </c>
      <c r="BR30" s="25">
        <f t="shared" si="37"/>
        <v>262.5</v>
      </c>
      <c r="BS30" s="25">
        <f t="shared" si="38"/>
        <v>19425</v>
      </c>
      <c r="BT30" s="25">
        <f t="shared" si="39"/>
        <v>30000</v>
      </c>
      <c r="BU30" s="25">
        <f t="shared" si="40"/>
        <v>105615</v>
      </c>
    </row>
    <row r="31" spans="1:73" x14ac:dyDescent="0.25">
      <c r="A31" s="3" t="s">
        <v>309</v>
      </c>
      <c r="B31" s="3" t="s">
        <v>43</v>
      </c>
      <c r="C31" s="15" t="b">
        <v>1</v>
      </c>
      <c r="D31" s="3" t="s">
        <v>15</v>
      </c>
      <c r="E31" s="7">
        <f>IF($B$5&gt;0,IF($U$5=FALSE,0,IF(C31=FALSE,0,57)),0)</f>
        <v>57</v>
      </c>
      <c r="F31" s="7">
        <v>0</v>
      </c>
      <c r="G31" s="7">
        <f>IF($B$5&gt;0,IF($U$5=FALSE,0,IF(C31=FALSE,0,($B$5-1)*57)),0)</f>
        <v>0</v>
      </c>
      <c r="H31" s="7">
        <v>0</v>
      </c>
      <c r="I31" s="7">
        <f t="shared" si="46"/>
        <v>57</v>
      </c>
      <c r="J31" s="7">
        <f>I31*$J$5</f>
        <v>1835.4</v>
      </c>
      <c r="K31" s="3" t="s">
        <v>15</v>
      </c>
      <c r="L31" s="7">
        <f>IF($B$5&gt;0,IF($U$6=FALSE,0,IF(C31=FALSE,0,250)),0)</f>
        <v>250</v>
      </c>
      <c r="M31" s="7">
        <v>0</v>
      </c>
      <c r="N31" s="7">
        <v>0</v>
      </c>
      <c r="O31" s="7">
        <f>IF($B$5&gt;0,IF($U$6=FALSE,0,IF(C31=FALSE,0,($B$5-1)*250)),0)</f>
        <v>0</v>
      </c>
      <c r="P31" s="7">
        <v>0</v>
      </c>
      <c r="Q31" s="7">
        <v>0</v>
      </c>
      <c r="R31" s="7">
        <f t="shared" si="47"/>
        <v>250</v>
      </c>
      <c r="S31" s="7">
        <f>R31*$J$5</f>
        <v>8050.0000000000009</v>
      </c>
      <c r="T31" s="7">
        <f t="shared" si="48"/>
        <v>9885.4000000000015</v>
      </c>
      <c r="U31" s="7">
        <f t="shared" si="49"/>
        <v>30000</v>
      </c>
      <c r="V31" s="7">
        <v>0</v>
      </c>
      <c r="W31" s="7">
        <f>IF($B$5&gt;0,IF($U$7=FALSE,0,IF(C31=FALSE,0,IF($B$6/$B$5&lt;=10,0,IF(選項!$K$2=1,1000*($B$6-$B$5*10),2000*($B$6-$B$5*10))))),0)</f>
        <v>0</v>
      </c>
      <c r="X31" s="7">
        <f>IF($B$5&gt;0,IF($U$7=FALSE,0,IF(C31=FALSE,0,IF(選項!$K$2=1,10000*($B$5-1),20000*($B$5-1)))),0)</f>
        <v>0</v>
      </c>
      <c r="Y31" s="7">
        <v>0</v>
      </c>
      <c r="Z31" s="7">
        <f t="shared" si="50"/>
        <v>30000</v>
      </c>
      <c r="AA31" s="7">
        <f t="shared" si="51"/>
        <v>39885.4</v>
      </c>
      <c r="AB31" s="3" t="str">
        <f t="shared" si="52"/>
        <v>印度</v>
      </c>
      <c r="AC31" s="25">
        <f t="shared" si="53"/>
        <v>1835.4</v>
      </c>
      <c r="AD31" s="25">
        <f t="shared" si="54"/>
        <v>8050.0000000000009</v>
      </c>
      <c r="AE31" s="25">
        <f t="shared" si="55"/>
        <v>30000</v>
      </c>
      <c r="AG31" s="15" t="str">
        <f t="shared" si="56"/>
        <v>印度</v>
      </c>
      <c r="AH31" s="3">
        <f t="shared" si="57"/>
        <v>1</v>
      </c>
      <c r="AI31" s="3" t="s">
        <v>15</v>
      </c>
      <c r="AJ31" s="7">
        <v>0</v>
      </c>
      <c r="AK31" s="7"/>
      <c r="AL31" s="7"/>
      <c r="AM31" s="7">
        <f t="shared" si="58"/>
        <v>0</v>
      </c>
      <c r="AN31" s="22">
        <f>AM31*$J$5</f>
        <v>0</v>
      </c>
      <c r="AO31" s="3" t="s">
        <v>15</v>
      </c>
      <c r="AP31" s="7">
        <f>IF($B$5&gt;0,IF($U$6=FALSE,0,IF(C31=FALSE,0,100)),0)</f>
        <v>100</v>
      </c>
      <c r="AQ31" s="7">
        <f>IF($B$5&gt;0,IF($U$6=FALSE,0,IF(C31=FALSE,0,($B$5-1)*100)),0)</f>
        <v>0</v>
      </c>
      <c r="AR31" s="7"/>
      <c r="AS31" s="7">
        <f t="shared" si="59"/>
        <v>100</v>
      </c>
      <c r="AT31" s="22">
        <f>AS31*$J$5</f>
        <v>3220.0000000000005</v>
      </c>
      <c r="AU31" s="22">
        <f t="shared" si="60"/>
        <v>3220.0000000000005</v>
      </c>
      <c r="AV31" s="7">
        <f>IF($B$5&gt;0,IF($U$7=FALSE,0,IF(C31=FALSE,0,$B$5*2000)),0)</f>
        <v>2000</v>
      </c>
      <c r="AW31" s="22">
        <f t="shared" ref="AW31" si="68">IF($S$6=FALSE,0,SUM(AV31:AV31))</f>
        <v>2000</v>
      </c>
      <c r="AX31" s="22">
        <f t="shared" si="62"/>
        <v>5220</v>
      </c>
      <c r="AY31" s="15" t="str">
        <f t="shared" si="63"/>
        <v>印度</v>
      </c>
      <c r="AZ31" s="25">
        <f t="shared" si="64"/>
        <v>0</v>
      </c>
      <c r="BA31" s="25">
        <f t="shared" si="65"/>
        <v>3220.0000000000005</v>
      </c>
      <c r="BB31" s="25">
        <f t="shared" si="66"/>
        <v>2000</v>
      </c>
      <c r="BD31" s="3" t="str">
        <f t="shared" si="67"/>
        <v>印度</v>
      </c>
      <c r="BE31" s="25">
        <f t="shared" si="27"/>
        <v>39885.4</v>
      </c>
      <c r="BF31" s="25">
        <f t="shared" si="28"/>
        <v>39490</v>
      </c>
      <c r="BG31" s="25">
        <f t="shared" si="29"/>
        <v>5220</v>
      </c>
      <c r="BH31" s="79">
        <f t="shared" si="7"/>
        <v>11890.800000000001</v>
      </c>
      <c r="BI31" s="95">
        <f t="shared" si="30"/>
        <v>79375.399999999994</v>
      </c>
      <c r="BJ31" s="80">
        <f t="shared" si="31"/>
        <v>45105.4</v>
      </c>
      <c r="BK31" s="80">
        <f t="shared" si="32"/>
        <v>84595.4</v>
      </c>
      <c r="BL31" s="80">
        <f t="shared" si="33"/>
        <v>17110.800000000003</v>
      </c>
      <c r="BM31" s="80">
        <f t="shared" si="34"/>
        <v>96486.2</v>
      </c>
      <c r="BO31" s="25">
        <f t="shared" si="35"/>
        <v>39885.4</v>
      </c>
      <c r="BP31" s="25">
        <f t="shared" si="36"/>
        <v>5220</v>
      </c>
      <c r="BR31" s="25">
        <f t="shared" si="37"/>
        <v>1835.4</v>
      </c>
      <c r="BS31" s="25">
        <f t="shared" si="38"/>
        <v>8050.0000000000009</v>
      </c>
      <c r="BT31" s="25">
        <f t="shared" si="39"/>
        <v>30000</v>
      </c>
      <c r="BU31" s="25">
        <f t="shared" si="40"/>
        <v>56600.800000000003</v>
      </c>
    </row>
    <row r="32" spans="1:73" ht="20.25" thickBot="1" x14ac:dyDescent="0.35">
      <c r="A32" s="5"/>
      <c r="B32" s="5"/>
      <c r="C32" s="5"/>
      <c r="D32" s="5"/>
      <c r="E32" s="5"/>
      <c r="F32" s="5"/>
      <c r="G32" s="5"/>
      <c r="H32" s="5"/>
      <c r="I32" s="8" t="s">
        <v>45</v>
      </c>
      <c r="J32" s="11">
        <f>SUM(J16:J31)</f>
        <v>94042.324999999997</v>
      </c>
      <c r="K32" s="5"/>
      <c r="L32" s="5"/>
      <c r="M32" s="5"/>
      <c r="N32" s="5"/>
      <c r="O32" s="5"/>
      <c r="P32" s="5"/>
      <c r="Q32" s="5"/>
      <c r="R32" s="8" t="s">
        <v>45</v>
      </c>
      <c r="S32" s="11">
        <f>SUM(S16:S31)</f>
        <v>230257.8</v>
      </c>
      <c r="T32" s="11">
        <f>SUM(T16:T31)</f>
        <v>324300.12500000006</v>
      </c>
      <c r="U32" s="5"/>
      <c r="V32" s="5"/>
      <c r="W32" s="5"/>
      <c r="X32" s="5"/>
      <c r="Y32" s="5"/>
      <c r="Z32" s="11">
        <f>SUM(Z16:Z31)</f>
        <v>489000</v>
      </c>
      <c r="AA32" s="11">
        <f>SUM(AA16:AA31)</f>
        <v>813300.125</v>
      </c>
      <c r="AB32" s="3"/>
      <c r="AC32" s="19">
        <f>SUM(AC16:AC31)</f>
        <v>94042.324999999997</v>
      </c>
      <c r="AD32" s="19">
        <f>SUM(AD16:AD31)</f>
        <v>230257.8</v>
      </c>
      <c r="AE32" s="19">
        <f>SUM(AE16:AE31)</f>
        <v>489000</v>
      </c>
      <c r="AG32" s="15"/>
      <c r="AH32" s="12"/>
      <c r="AI32" s="3"/>
      <c r="AJ32" s="7"/>
      <c r="AK32" s="7"/>
      <c r="AL32" s="7"/>
      <c r="AM32" s="8" t="s">
        <v>45</v>
      </c>
      <c r="AN32" s="20">
        <f>SUM(AN16:AN31)</f>
        <v>31178.05</v>
      </c>
      <c r="AO32" s="3"/>
      <c r="AP32" s="7"/>
      <c r="AQ32" s="7"/>
      <c r="AR32" s="7"/>
      <c r="AS32" s="8" t="s">
        <v>45</v>
      </c>
      <c r="AT32" s="20">
        <f>SUM(AT16:AT31)</f>
        <v>79718.3</v>
      </c>
      <c r="AU32" s="20">
        <f>SUM(AU16:AU31)</f>
        <v>110896.35</v>
      </c>
      <c r="AV32" s="11">
        <f>SUM(AV16:AV31)</f>
        <v>30000</v>
      </c>
      <c r="AW32" s="20">
        <f>SUM(AW16:AW31)</f>
        <v>30000</v>
      </c>
      <c r="AX32" s="20">
        <f>SUM(AX16:AX31)</f>
        <v>140896.35</v>
      </c>
      <c r="AY32" s="26"/>
      <c r="AZ32" s="19">
        <f>SUM(AZ16:AZ31)</f>
        <v>31178.05</v>
      </c>
      <c r="BA32" s="19">
        <f>SUM(BA16:BA31)</f>
        <v>79718.3</v>
      </c>
      <c r="BB32" s="19">
        <f>SUM(BB16:BB31)</f>
        <v>30000</v>
      </c>
      <c r="BC32" s="27"/>
      <c r="BD32" s="3"/>
      <c r="BE32" s="19">
        <f t="shared" ref="BE32:BM32" si="69">SUM(BE16:BE31)</f>
        <v>813300.125</v>
      </c>
      <c r="BF32" s="19">
        <f t="shared" si="69"/>
        <v>559227.5</v>
      </c>
      <c r="BG32" s="19">
        <f t="shared" si="69"/>
        <v>140896.35</v>
      </c>
      <c r="BH32" s="94">
        <f t="shared" si="69"/>
        <v>1148664.57</v>
      </c>
      <c r="BI32" s="97">
        <f t="shared" si="69"/>
        <v>1372527.6249999998</v>
      </c>
      <c r="BJ32" s="96">
        <f t="shared" si="69"/>
        <v>954196.47499999998</v>
      </c>
      <c r="BK32" s="96">
        <f t="shared" si="69"/>
        <v>1513423.9749999999</v>
      </c>
      <c r="BL32" s="96">
        <f t="shared" si="69"/>
        <v>1289560.9200000002</v>
      </c>
      <c r="BM32" s="96">
        <f t="shared" si="69"/>
        <v>2662088.5450000004</v>
      </c>
      <c r="BN32" s="27"/>
      <c r="BO32" s="19">
        <f>SUM(BO16:BO31)</f>
        <v>813300.125</v>
      </c>
      <c r="BP32" s="19">
        <f>SUM(BP16:BP31)</f>
        <v>140896.35</v>
      </c>
      <c r="BR32" s="19">
        <f>SUM(BR16:BR31)</f>
        <v>94042.324999999997</v>
      </c>
      <c r="BS32" s="19">
        <f>SUM(BS16:BS31)</f>
        <v>230257.8</v>
      </c>
      <c r="BT32" s="19">
        <f>SUM(BT16:BT31)</f>
        <v>489000</v>
      </c>
      <c r="BU32" s="19">
        <f>SUM(BU16:BU31)</f>
        <v>1848788.4200000002</v>
      </c>
    </row>
    <row r="33" spans="1:73" ht="20.25" thickTop="1" x14ac:dyDescent="0.3">
      <c r="G33" s="127" t="s">
        <v>303</v>
      </c>
      <c r="I33" s="144"/>
      <c r="J33" s="75"/>
      <c r="R33" s="74"/>
      <c r="S33" s="75"/>
      <c r="T33" s="75"/>
      <c r="Z33" s="75"/>
      <c r="AA33" s="75"/>
      <c r="AB33" s="77"/>
      <c r="AC33" s="83"/>
      <c r="AD33" s="83"/>
      <c r="AE33" s="83"/>
      <c r="AG33" s="84"/>
      <c r="AH33" s="85"/>
      <c r="AI33" s="77"/>
      <c r="AJ33" s="76"/>
      <c r="AK33" s="76"/>
      <c r="AL33" s="76"/>
      <c r="AM33" s="74"/>
      <c r="AN33" s="86"/>
      <c r="AO33" s="77"/>
      <c r="AP33" s="76"/>
      <c r="AQ33" s="76"/>
      <c r="AR33" s="76"/>
      <c r="AS33" s="74"/>
      <c r="AT33" s="86"/>
      <c r="AU33" s="86"/>
      <c r="AV33" s="75"/>
      <c r="AW33" s="86"/>
      <c r="AX33" s="86"/>
      <c r="AY33" s="87"/>
      <c r="AZ33" s="83"/>
      <c r="BA33" s="83"/>
      <c r="BB33" s="83"/>
      <c r="BC33" s="27"/>
      <c r="BD33" s="77"/>
      <c r="BO33" s="83"/>
      <c r="BP33" s="83"/>
      <c r="BR33" s="83"/>
      <c r="BS33" s="83"/>
      <c r="BT33" s="83"/>
      <c r="BU33" s="83"/>
    </row>
    <row r="34" spans="1:73" ht="19.5" x14ac:dyDescent="0.3">
      <c r="I34" s="74"/>
      <c r="J34" s="75"/>
      <c r="R34" s="74"/>
      <c r="S34" s="75"/>
      <c r="T34" s="75"/>
      <c r="Z34" s="75"/>
      <c r="AA34" s="75"/>
      <c r="AB34" s="77"/>
      <c r="AC34" s="83"/>
      <c r="AD34" s="83"/>
      <c r="AE34" s="83"/>
      <c r="AG34" s="84"/>
      <c r="AH34" s="85"/>
      <c r="AI34" s="77"/>
      <c r="AJ34" s="76"/>
      <c r="AK34" s="76"/>
      <c r="AL34" s="76"/>
      <c r="AM34" s="74"/>
      <c r="AN34" s="86"/>
      <c r="AO34" s="77"/>
      <c r="AP34" s="76"/>
      <c r="AQ34" s="76"/>
      <c r="AR34" s="76"/>
      <c r="AS34" s="74"/>
      <c r="AT34" s="86"/>
      <c r="AU34" s="86"/>
      <c r="AV34" s="75"/>
      <c r="AW34" s="86"/>
      <c r="AX34" s="86"/>
      <c r="AY34" s="87"/>
      <c r="AZ34" s="83"/>
      <c r="BA34" s="83"/>
      <c r="BB34" s="83"/>
      <c r="BC34" s="27"/>
      <c r="BD34" s="77"/>
      <c r="BO34" s="83"/>
      <c r="BP34" s="83"/>
      <c r="BR34" s="83"/>
      <c r="BS34" s="83"/>
      <c r="BT34" s="83"/>
      <c r="BU34" s="83"/>
    </row>
    <row r="35" spans="1:73" ht="19.5" x14ac:dyDescent="0.3">
      <c r="I35" s="74"/>
      <c r="J35" s="75"/>
      <c r="R35" s="74"/>
      <c r="S35" s="75"/>
      <c r="T35" s="75"/>
      <c r="Z35" s="75"/>
      <c r="AA35" s="75"/>
      <c r="AB35" s="77"/>
      <c r="AC35" s="83"/>
      <c r="AD35" s="83"/>
      <c r="AE35" s="83"/>
      <c r="AG35" s="84"/>
      <c r="AH35" s="85"/>
      <c r="AI35" s="77"/>
      <c r="AJ35" s="76"/>
      <c r="AK35" s="76"/>
      <c r="AL35" s="76"/>
      <c r="AM35" s="74"/>
      <c r="AN35" s="86"/>
      <c r="AO35" s="77"/>
      <c r="AP35" s="76"/>
      <c r="AQ35" s="76"/>
      <c r="AR35" s="76"/>
      <c r="AS35" s="74"/>
      <c r="AT35" s="86"/>
      <c r="AU35" s="86"/>
      <c r="AV35" s="75"/>
      <c r="AW35" s="86"/>
      <c r="AX35" s="86"/>
      <c r="AY35" s="87"/>
      <c r="AZ35" s="83"/>
      <c r="BA35" s="83"/>
      <c r="BB35" s="83"/>
      <c r="BC35" s="27"/>
      <c r="BD35" s="77"/>
      <c r="BO35" s="83"/>
      <c r="BP35" s="83"/>
      <c r="BR35" s="83"/>
      <c r="BS35" s="83"/>
      <c r="BT35" s="83"/>
      <c r="BU35" s="83"/>
    </row>
    <row r="36" spans="1:73" ht="16.5" customHeight="1" x14ac:dyDescent="0.25">
      <c r="A36" s="9" t="s">
        <v>238</v>
      </c>
      <c r="AG36" s="9" t="s">
        <v>237</v>
      </c>
      <c r="AH36" s="77"/>
      <c r="AM36" s="74"/>
      <c r="AN36" s="75"/>
      <c r="AS36" s="74"/>
      <c r="AT36" s="75"/>
      <c r="AU36" s="75"/>
      <c r="AW36" s="75"/>
      <c r="AX36" s="75"/>
      <c r="AY36" s="77"/>
    </row>
    <row r="37" spans="1:73" ht="16.5" customHeight="1" x14ac:dyDescent="0.25">
      <c r="A37" s="199" t="s">
        <v>179</v>
      </c>
      <c r="B37" s="200"/>
      <c r="C37" s="200"/>
      <c r="D37" s="200"/>
      <c r="E37" s="200"/>
      <c r="F37" s="200"/>
      <c r="G37" s="200"/>
      <c r="H37" s="200"/>
      <c r="I37" s="200"/>
      <c r="J37" s="200"/>
      <c r="K37" s="200"/>
      <c r="L37" s="200"/>
      <c r="M37" s="200"/>
      <c r="N37" s="200"/>
      <c r="O37" s="200"/>
      <c r="P37" s="200"/>
      <c r="Q37" s="200"/>
      <c r="R37" s="200"/>
      <c r="S37" s="200"/>
      <c r="T37" s="201"/>
      <c r="U37" s="201"/>
      <c r="V37" s="201"/>
      <c r="W37" s="201"/>
      <c r="X37" s="201"/>
      <c r="Y37" s="201"/>
      <c r="Z37" s="201"/>
      <c r="AA37" s="225"/>
      <c r="AC37" s="169" t="s">
        <v>180</v>
      </c>
      <c r="AD37" s="170"/>
      <c r="AE37" s="170"/>
      <c r="AG37" s="182" t="s">
        <v>178</v>
      </c>
      <c r="AH37" s="183"/>
      <c r="AI37" s="183"/>
      <c r="AJ37" s="183"/>
      <c r="AK37" s="183"/>
      <c r="AL37" s="183"/>
      <c r="AM37" s="183"/>
      <c r="AN37" s="183"/>
      <c r="AO37" s="183"/>
      <c r="AP37" s="183"/>
      <c r="AQ37" s="183"/>
      <c r="AR37" s="183"/>
      <c r="AS37" s="183"/>
      <c r="AT37" s="183"/>
      <c r="AU37" s="183"/>
      <c r="AV37" s="183"/>
      <c r="AW37" s="183"/>
      <c r="AX37" s="183"/>
      <c r="AY37" s="183"/>
      <c r="AZ37" s="169" t="s">
        <v>182</v>
      </c>
      <c r="BA37" s="170"/>
      <c r="BB37" s="170"/>
    </row>
    <row r="38" spans="1:73" ht="33" customHeight="1" x14ac:dyDescent="0.25">
      <c r="A38" s="191" t="s">
        <v>90</v>
      </c>
      <c r="B38" s="191" t="s">
        <v>0</v>
      </c>
      <c r="C38" s="180" t="s">
        <v>73</v>
      </c>
      <c r="D38" s="192" t="s">
        <v>205</v>
      </c>
      <c r="E38" s="193"/>
      <c r="F38" s="193"/>
      <c r="G38" s="193"/>
      <c r="H38" s="193"/>
      <c r="I38" s="194"/>
      <c r="J38" s="179"/>
      <c r="K38" s="192" t="s">
        <v>206</v>
      </c>
      <c r="L38" s="193"/>
      <c r="M38" s="193"/>
      <c r="N38" s="193"/>
      <c r="O38" s="193"/>
      <c r="P38" s="193"/>
      <c r="Q38" s="193"/>
      <c r="R38" s="194"/>
      <c r="S38" s="179"/>
      <c r="T38" s="16" t="s">
        <v>207</v>
      </c>
      <c r="U38" s="177" t="s">
        <v>27</v>
      </c>
      <c r="V38" s="178"/>
      <c r="W38" s="178"/>
      <c r="X38" s="178"/>
      <c r="Y38" s="179"/>
      <c r="Z38" s="198" t="s">
        <v>208</v>
      </c>
      <c r="AA38" s="198" t="s">
        <v>235</v>
      </c>
      <c r="AB38" s="176" t="s">
        <v>90</v>
      </c>
      <c r="AC38" s="165" t="s">
        <v>209</v>
      </c>
      <c r="AD38" s="165" t="s">
        <v>210</v>
      </c>
      <c r="AE38" s="174" t="s">
        <v>211</v>
      </c>
      <c r="AG38" s="176" t="s">
        <v>90</v>
      </c>
      <c r="AH38" s="181" t="s">
        <v>0</v>
      </c>
      <c r="AI38" s="184" t="s">
        <v>212</v>
      </c>
      <c r="AJ38" s="185"/>
      <c r="AK38" s="185"/>
      <c r="AL38" s="185"/>
      <c r="AM38" s="186"/>
      <c r="AN38" s="187"/>
      <c r="AO38" s="184" t="s">
        <v>213</v>
      </c>
      <c r="AP38" s="185"/>
      <c r="AQ38" s="185"/>
      <c r="AR38" s="185"/>
      <c r="AS38" s="186"/>
      <c r="AT38" s="187"/>
      <c r="AU38" s="23" t="s">
        <v>214</v>
      </c>
      <c r="AV38" s="18" t="s">
        <v>27</v>
      </c>
      <c r="AW38" s="197" t="s">
        <v>215</v>
      </c>
      <c r="AX38" s="197" t="s">
        <v>236</v>
      </c>
      <c r="AY38" s="176" t="s">
        <v>90</v>
      </c>
      <c r="AZ38" s="165" t="s">
        <v>216</v>
      </c>
      <c r="BA38" s="165" t="s">
        <v>217</v>
      </c>
      <c r="BB38" s="174" t="s">
        <v>218</v>
      </c>
    </row>
    <row r="39" spans="1:73" ht="16.5" customHeight="1" x14ac:dyDescent="0.25">
      <c r="A39" s="191"/>
      <c r="B39" s="191"/>
      <c r="C39" s="176"/>
      <c r="D39" s="4" t="s">
        <v>12</v>
      </c>
      <c r="E39" s="3" t="s">
        <v>187</v>
      </c>
      <c r="F39" s="3" t="s">
        <v>186</v>
      </c>
      <c r="G39" s="3" t="s">
        <v>229</v>
      </c>
      <c r="H39" s="3" t="s">
        <v>26</v>
      </c>
      <c r="I39" s="4" t="s">
        <v>51</v>
      </c>
      <c r="J39" s="4" t="s">
        <v>41</v>
      </c>
      <c r="K39" s="4" t="s">
        <v>12</v>
      </c>
      <c r="L39" s="3" t="s">
        <v>184</v>
      </c>
      <c r="M39" s="3" t="s">
        <v>183</v>
      </c>
      <c r="N39" s="3" t="s">
        <v>185</v>
      </c>
      <c r="O39" s="3" t="s">
        <v>186</v>
      </c>
      <c r="P39" s="3" t="s">
        <v>229</v>
      </c>
      <c r="Q39" s="3" t="s">
        <v>26</v>
      </c>
      <c r="R39" s="4" t="s">
        <v>51</v>
      </c>
      <c r="S39" s="4" t="s">
        <v>41</v>
      </c>
      <c r="T39" s="4" t="s">
        <v>41</v>
      </c>
      <c r="U39" s="3" t="s">
        <v>183</v>
      </c>
      <c r="V39" s="3" t="s">
        <v>186</v>
      </c>
      <c r="W39" s="3" t="s">
        <v>26</v>
      </c>
      <c r="X39" s="3" t="s">
        <v>39</v>
      </c>
      <c r="Y39" s="3" t="s">
        <v>39</v>
      </c>
      <c r="Z39" s="191"/>
      <c r="AA39" s="191"/>
      <c r="AB39" s="176"/>
      <c r="AC39" s="166"/>
      <c r="AD39" s="166"/>
      <c r="AE39" s="175"/>
      <c r="AG39" s="176"/>
      <c r="AH39" s="181"/>
      <c r="AI39" s="24" t="s">
        <v>12</v>
      </c>
      <c r="AJ39" s="3" t="s">
        <v>188</v>
      </c>
      <c r="AK39" s="51"/>
      <c r="AL39" s="3"/>
      <c r="AM39" s="24" t="s">
        <v>51</v>
      </c>
      <c r="AN39" s="24" t="s">
        <v>41</v>
      </c>
      <c r="AO39" s="24" t="s">
        <v>12</v>
      </c>
      <c r="AP39" s="3" t="s">
        <v>188</v>
      </c>
      <c r="AQ39" s="51"/>
      <c r="AR39" s="3"/>
      <c r="AS39" s="24" t="s">
        <v>51</v>
      </c>
      <c r="AT39" s="24" t="s">
        <v>41</v>
      </c>
      <c r="AU39" s="24" t="s">
        <v>41</v>
      </c>
      <c r="AV39" s="3" t="s">
        <v>188</v>
      </c>
      <c r="AW39" s="181"/>
      <c r="AX39" s="181"/>
      <c r="AY39" s="176"/>
      <c r="AZ39" s="166"/>
      <c r="BA39" s="166"/>
      <c r="BB39" s="175"/>
    </row>
    <row r="40" spans="1:73" x14ac:dyDescent="0.25">
      <c r="A40" s="3" t="s">
        <v>2</v>
      </c>
      <c r="B40" s="3" t="s">
        <v>43</v>
      </c>
      <c r="C40" s="15" t="b">
        <f t="shared" ref="C40:C48" si="70">C16</f>
        <v>1</v>
      </c>
      <c r="D40" s="3" t="s">
        <v>13</v>
      </c>
      <c r="E40" s="7"/>
      <c r="F40" s="7"/>
      <c r="G40" s="7"/>
      <c r="H40" s="7"/>
      <c r="I40" s="7">
        <f>IF($S$8=FALSE,0,SUM(E40:H40))</f>
        <v>0</v>
      </c>
      <c r="J40" s="7">
        <f>I40*1</f>
        <v>0</v>
      </c>
      <c r="K40" s="3" t="s">
        <v>13</v>
      </c>
      <c r="L40" s="7"/>
      <c r="M40" s="7"/>
      <c r="N40" s="7"/>
      <c r="O40" s="7"/>
      <c r="P40" s="7"/>
      <c r="Q40" s="7"/>
      <c r="R40" s="7">
        <f>IF($S$8=FALSE,0,SUM(L40:Q40))</f>
        <v>0</v>
      </c>
      <c r="S40" s="7">
        <f>R40*1</f>
        <v>0</v>
      </c>
      <c r="T40" s="7">
        <f>J40+S40</f>
        <v>0</v>
      </c>
      <c r="U40" s="7">
        <f>IF($B$5&gt;0,IF($U$7=FALSE,0,IF(C40=FALSE,0,$B$5*20000)),0)</f>
        <v>20000</v>
      </c>
      <c r="V40" s="7"/>
      <c r="W40" s="7"/>
      <c r="X40" s="7"/>
      <c r="Y40" s="7"/>
      <c r="Z40" s="7">
        <f>IF($S$8=FALSE,0,SUM(U40:Y40))</f>
        <v>20000</v>
      </c>
      <c r="AA40" s="7">
        <f t="shared" ref="AA40:AA53" si="71">T40+Z40</f>
        <v>20000</v>
      </c>
      <c r="AB40" s="3" t="str">
        <f t="shared" ref="AB40:AB53" si="72">A40</f>
        <v>台灣</v>
      </c>
      <c r="AC40" s="25">
        <f>J40</f>
        <v>0</v>
      </c>
      <c r="AD40" s="25">
        <f>S40</f>
        <v>0</v>
      </c>
      <c r="AE40" s="25">
        <f>Z40</f>
        <v>20000</v>
      </c>
      <c r="AG40" s="15" t="str">
        <f t="shared" ref="AG40:AG53" si="73">A40</f>
        <v>台灣</v>
      </c>
      <c r="AH40" s="3" t="s">
        <v>43</v>
      </c>
      <c r="AI40" s="3" t="s">
        <v>13</v>
      </c>
      <c r="AJ40" s="7">
        <f>IF($U$5=FALSE,0,IF(C40=FALSE,0,HLOOKUP(選項!$N$2,D年費表!$AH$2:$BG$19,2)))</f>
        <v>29400</v>
      </c>
      <c r="AK40" s="7"/>
      <c r="AL40" s="7"/>
      <c r="AM40" s="7">
        <f>IF($S$7=FALSE,0,SUM(AJ40:AL40))</f>
        <v>29400</v>
      </c>
      <c r="AN40" s="22">
        <f>AM40*1</f>
        <v>29400</v>
      </c>
      <c r="AO40" s="3" t="s">
        <v>13</v>
      </c>
      <c r="AP40" s="7">
        <f>IF($U$6=FALSE,0,IF(C40=FALSE,0,HLOOKUP(選項!$N$2,D年費表!$AH$24:$BG$41,2)))</f>
        <v>0</v>
      </c>
      <c r="AQ40" s="7"/>
      <c r="AR40" s="7"/>
      <c r="AS40" s="7">
        <f>IF($S$7=FALSE,0,SUM(AP40:AR40))</f>
        <v>0</v>
      </c>
      <c r="AT40" s="22">
        <f>AS40*1</f>
        <v>0</v>
      </c>
      <c r="AU40" s="22">
        <f t="shared" ref="AU40:AU53" si="74">AN40+AT40</f>
        <v>29400</v>
      </c>
      <c r="AV40" s="7">
        <f>IF($U$7=FALSE,0,IF(C40=FALSE,0,HLOOKUP(選項!$N$2,D年費表!$AH$46:$BG$63,2)))</f>
        <v>36000</v>
      </c>
      <c r="AW40" s="22">
        <f>IF($S$7=FALSE,0,SUM(AV40:AV40))</f>
        <v>36000</v>
      </c>
      <c r="AX40" s="22">
        <f t="shared" ref="AX40:AX53" si="75">AU40+AW40</f>
        <v>65400</v>
      </c>
      <c r="AY40" s="15" t="str">
        <f t="shared" ref="AY40:AY53" si="76">A40</f>
        <v>台灣</v>
      </c>
      <c r="AZ40" s="25">
        <f>AN40</f>
        <v>29400</v>
      </c>
      <c r="BA40" s="25">
        <f>AT40</f>
        <v>0</v>
      </c>
      <c r="BB40" s="25">
        <f>AW40</f>
        <v>36000</v>
      </c>
    </row>
    <row r="41" spans="1:73" x14ac:dyDescent="0.25">
      <c r="A41" s="3" t="s">
        <v>3</v>
      </c>
      <c r="B41" s="3" t="s">
        <v>43</v>
      </c>
      <c r="C41" s="15" t="b">
        <f t="shared" si="70"/>
        <v>1</v>
      </c>
      <c r="D41" s="3" t="s">
        <v>14</v>
      </c>
      <c r="E41" s="7"/>
      <c r="F41" s="7"/>
      <c r="G41" s="7"/>
      <c r="H41" s="7"/>
      <c r="I41" s="7">
        <f t="shared" ref="I41:I53" si="77">IF($S$8=FALSE,0,SUM(E41:H41))</f>
        <v>0</v>
      </c>
      <c r="J41" s="7">
        <f>I41*$L$5</f>
        <v>0</v>
      </c>
      <c r="K41" s="3" t="s">
        <v>14</v>
      </c>
      <c r="L41" s="7"/>
      <c r="M41" s="7"/>
      <c r="N41" s="7"/>
      <c r="O41" s="7"/>
      <c r="P41" s="7"/>
      <c r="Q41" s="7"/>
      <c r="R41" s="7">
        <f t="shared" ref="R41:R53" si="78">IF($S$8=FALSE,0,SUM(L41:Q41))</f>
        <v>0</v>
      </c>
      <c r="S41" s="7">
        <f>R41*$L$5</f>
        <v>0</v>
      </c>
      <c r="T41" s="7">
        <f t="shared" ref="T41:T53" si="79">J41+S41</f>
        <v>0</v>
      </c>
      <c r="U41" s="7"/>
      <c r="V41" s="7"/>
      <c r="W41" s="7"/>
      <c r="X41" s="7"/>
      <c r="Y41" s="7"/>
      <c r="Z41" s="7">
        <f t="shared" ref="Z41:Z53" si="80">IF($S$8=FALSE,0,SUM(U41:Y41))</f>
        <v>0</v>
      </c>
      <c r="AA41" s="7">
        <f t="shared" si="71"/>
        <v>0</v>
      </c>
      <c r="AB41" s="3" t="str">
        <f t="shared" si="72"/>
        <v>大陸</v>
      </c>
      <c r="AC41" s="25">
        <f t="shared" ref="AC41:AC53" si="81">J41</f>
        <v>0</v>
      </c>
      <c r="AD41" s="25">
        <f t="shared" ref="AD41:AD53" si="82">S41</f>
        <v>0</v>
      </c>
      <c r="AE41" s="25">
        <f t="shared" ref="AE41:AE53" si="83">Z41</f>
        <v>0</v>
      </c>
      <c r="AG41" s="15" t="str">
        <f t="shared" si="73"/>
        <v>大陸</v>
      </c>
      <c r="AH41" s="3" t="s">
        <v>43</v>
      </c>
      <c r="AI41" s="3" t="s">
        <v>14</v>
      </c>
      <c r="AJ41" s="7">
        <f>IF($U$5=FALSE,0,IF(C41=FALSE,0,HLOOKUP(選項!$N$2,D年費表!$AH$2:$BG$19,3)))</f>
        <v>25600</v>
      </c>
      <c r="AK41" s="7"/>
      <c r="AL41" s="7"/>
      <c r="AM41" s="7">
        <f t="shared" ref="AM41:AM53" si="84">IF($S$7=FALSE,0,SUM(AJ41:AL41))</f>
        <v>25600</v>
      </c>
      <c r="AN41" s="22">
        <f>AM41*$L$5</f>
        <v>124159.99999999999</v>
      </c>
      <c r="AO41" s="3" t="s">
        <v>14</v>
      </c>
      <c r="AP41" s="7">
        <f>IF($U$6=FALSE,0,IF(C41=FALSE,0,HLOOKUP(選項!$N$2,D年費表!$AH$24:$BG$41,3)))</f>
        <v>2800</v>
      </c>
      <c r="AQ41" s="7"/>
      <c r="AR41" s="7"/>
      <c r="AS41" s="7">
        <f t="shared" ref="AS41:AS53" si="85">IF($S$7=FALSE,0,SUM(AP41:AR41))</f>
        <v>2800</v>
      </c>
      <c r="AT41" s="22">
        <f>AS41*$L$5</f>
        <v>13579.999999999998</v>
      </c>
      <c r="AU41" s="22">
        <f t="shared" si="74"/>
        <v>137739.99999999997</v>
      </c>
      <c r="AV41" s="7">
        <f>IF($U$7=FALSE,0,IF(C41=FALSE,0,HLOOKUP(選項!$N$2,D年費表!$AH$46:$BG$63,3)))</f>
        <v>42000</v>
      </c>
      <c r="AW41" s="22">
        <f t="shared" ref="AW41:AW53" si="86">IF($S$7=FALSE,0,SUM(AV41:AV41))</f>
        <v>42000</v>
      </c>
      <c r="AX41" s="22">
        <f t="shared" si="75"/>
        <v>179739.99999999997</v>
      </c>
      <c r="AY41" s="15" t="str">
        <f t="shared" si="76"/>
        <v>大陸</v>
      </c>
      <c r="AZ41" s="25">
        <f t="shared" ref="AZ41:AZ53" si="87">AN41</f>
        <v>124159.99999999999</v>
      </c>
      <c r="BA41" s="25">
        <f t="shared" ref="BA41:BA53" si="88">AT41</f>
        <v>13579.999999999998</v>
      </c>
      <c r="BB41" s="25">
        <f t="shared" ref="BB41:BB53" si="89">AW41</f>
        <v>42000</v>
      </c>
    </row>
    <row r="42" spans="1:73" x14ac:dyDescent="0.25">
      <c r="A42" s="3" t="s">
        <v>4</v>
      </c>
      <c r="B42" s="3" t="s">
        <v>43</v>
      </c>
      <c r="C42" s="15" t="b">
        <f t="shared" si="70"/>
        <v>1</v>
      </c>
      <c r="D42" s="3" t="s">
        <v>15</v>
      </c>
      <c r="E42" s="7"/>
      <c r="F42" s="7"/>
      <c r="G42" s="7"/>
      <c r="H42" s="7"/>
      <c r="I42" s="7">
        <f t="shared" si="77"/>
        <v>0</v>
      </c>
      <c r="J42" s="7">
        <f>I42*$J$5</f>
        <v>0</v>
      </c>
      <c r="K42" s="3" t="s">
        <v>15</v>
      </c>
      <c r="L42" s="7">
        <f>IF($B$5&gt;0,IF($U$6=FALSE,0,IF(C42=FALSE,0,135)),0)</f>
        <v>135</v>
      </c>
      <c r="M42" s="7">
        <f>IF($B$5&gt;0,IF($U$6=FALSE,0,IF(C42=FALSE,0,1100)),0)</f>
        <v>1100</v>
      </c>
      <c r="N42" s="7"/>
      <c r="O42" s="7"/>
      <c r="P42" s="7"/>
      <c r="Q42" s="7"/>
      <c r="R42" s="7">
        <f t="shared" si="78"/>
        <v>1235</v>
      </c>
      <c r="S42" s="7">
        <f>R42*$J$5</f>
        <v>39767</v>
      </c>
      <c r="T42" s="7">
        <f t="shared" si="79"/>
        <v>39767</v>
      </c>
      <c r="U42" s="7">
        <f>IF($B$5&gt;0,IF($U$7=FALSE,0,IF(C42=FALSE,0,25000)),0)</f>
        <v>25000</v>
      </c>
      <c r="V42" s="7"/>
      <c r="W42" s="7"/>
      <c r="X42" s="7"/>
      <c r="Y42" s="7"/>
      <c r="Z42" s="7">
        <f t="shared" si="80"/>
        <v>25000</v>
      </c>
      <c r="AA42" s="7">
        <f t="shared" si="71"/>
        <v>64767</v>
      </c>
      <c r="AB42" s="3" t="str">
        <f t="shared" si="72"/>
        <v>美國</v>
      </c>
      <c r="AC42" s="25">
        <f t="shared" si="81"/>
        <v>0</v>
      </c>
      <c r="AD42" s="25">
        <f t="shared" si="82"/>
        <v>39767</v>
      </c>
      <c r="AE42" s="25">
        <f t="shared" si="83"/>
        <v>25000</v>
      </c>
      <c r="AG42" s="15" t="str">
        <f t="shared" si="73"/>
        <v>美國</v>
      </c>
      <c r="AH42" s="3" t="s">
        <v>43</v>
      </c>
      <c r="AI42" s="3" t="s">
        <v>15</v>
      </c>
      <c r="AJ42" s="7">
        <f>IF($U$5=FALSE,0,IF(C42=FALSE,0,HLOOKUP(選項!$N$2,D年費表!$AH$2:$BG$19,4)))</f>
        <v>0</v>
      </c>
      <c r="AK42" s="7"/>
      <c r="AL42" s="7"/>
      <c r="AM42" s="7">
        <f t="shared" si="84"/>
        <v>0</v>
      </c>
      <c r="AN42" s="22">
        <f>AM42*$J$5</f>
        <v>0</v>
      </c>
      <c r="AO42" s="3" t="s">
        <v>15</v>
      </c>
      <c r="AP42" s="7">
        <f>IF($U$6=FALSE,0,IF(C42=FALSE,0,HLOOKUP(選項!$N$2,D年費表!$AH$24:$BG$41,4)))</f>
        <v>0</v>
      </c>
      <c r="AQ42" s="7"/>
      <c r="AR42" s="7"/>
      <c r="AS42" s="7">
        <f t="shared" si="85"/>
        <v>0</v>
      </c>
      <c r="AT42" s="22">
        <f>AS42*$J$5</f>
        <v>0</v>
      </c>
      <c r="AU42" s="22">
        <f t="shared" si="74"/>
        <v>0</v>
      </c>
      <c r="AV42" s="7">
        <f>IF($U$7=FALSE,0,IF(C42=FALSE,0,HLOOKUP(選項!$N$2,D年費表!$AH$46:$BG$63,4)))</f>
        <v>0</v>
      </c>
      <c r="AW42" s="22">
        <f t="shared" si="86"/>
        <v>0</v>
      </c>
      <c r="AX42" s="22">
        <f t="shared" si="75"/>
        <v>0</v>
      </c>
      <c r="AY42" s="15" t="str">
        <f t="shared" si="76"/>
        <v>美國</v>
      </c>
      <c r="AZ42" s="25">
        <f t="shared" si="87"/>
        <v>0</v>
      </c>
      <c r="BA42" s="25">
        <f t="shared" si="88"/>
        <v>0</v>
      </c>
      <c r="BB42" s="25">
        <f t="shared" si="89"/>
        <v>0</v>
      </c>
    </row>
    <row r="43" spans="1:73" x14ac:dyDescent="0.25">
      <c r="A43" s="3" t="s">
        <v>107</v>
      </c>
      <c r="B43" s="3" t="s">
        <v>43</v>
      </c>
      <c r="C43" s="15" t="b">
        <f t="shared" si="70"/>
        <v>1</v>
      </c>
      <c r="D43" s="3" t="s">
        <v>16</v>
      </c>
      <c r="E43" s="7"/>
      <c r="F43" s="7"/>
      <c r="G43" s="7"/>
      <c r="H43" s="7"/>
      <c r="I43" s="7">
        <f t="shared" si="77"/>
        <v>0</v>
      </c>
      <c r="J43" s="7">
        <f>I43*$J$6</f>
        <v>0</v>
      </c>
      <c r="K43" s="3" t="s">
        <v>16</v>
      </c>
      <c r="L43" s="7"/>
      <c r="M43" s="7"/>
      <c r="N43" s="7"/>
      <c r="O43" s="7"/>
      <c r="P43" s="7"/>
      <c r="Q43" s="7"/>
      <c r="R43" s="7">
        <f t="shared" si="78"/>
        <v>0</v>
      </c>
      <c r="S43" s="7">
        <f>R43*$J$6</f>
        <v>0</v>
      </c>
      <c r="T43" s="7">
        <f t="shared" si="79"/>
        <v>0</v>
      </c>
      <c r="U43" s="7"/>
      <c r="V43" s="7"/>
      <c r="W43" s="7"/>
      <c r="X43" s="7"/>
      <c r="Y43" s="7"/>
      <c r="Z43" s="7">
        <f t="shared" si="80"/>
        <v>0</v>
      </c>
      <c r="AA43" s="7">
        <f t="shared" si="71"/>
        <v>0</v>
      </c>
      <c r="AB43" s="3" t="str">
        <f t="shared" si="72"/>
        <v>歐盟</v>
      </c>
      <c r="AC43" s="25">
        <f t="shared" si="81"/>
        <v>0</v>
      </c>
      <c r="AD43" s="25">
        <f t="shared" si="82"/>
        <v>0</v>
      </c>
      <c r="AE43" s="25">
        <f t="shared" si="83"/>
        <v>0</v>
      </c>
      <c r="AG43" s="15" t="str">
        <f t="shared" si="73"/>
        <v>歐盟</v>
      </c>
      <c r="AH43" s="3" t="s">
        <v>43</v>
      </c>
      <c r="AI43" s="123" t="s">
        <v>16</v>
      </c>
      <c r="AJ43" s="7">
        <f>IF($U$5=FALSE,0,IF(C43=FALSE,0,HLOOKUP(選項!$N$2,D年費表!$AH$2:$BG$19,5)))</f>
        <v>1500</v>
      </c>
      <c r="AK43" s="7"/>
      <c r="AL43" s="7"/>
      <c r="AM43" s="7">
        <f t="shared" si="84"/>
        <v>1500</v>
      </c>
      <c r="AN43" s="78">
        <f>AM43*$J$5</f>
        <v>48300.000000000007</v>
      </c>
      <c r="AO43" s="123" t="s">
        <v>16</v>
      </c>
      <c r="AP43" s="7">
        <f>IF($U$6=FALSE,0,IF(C43=FALSE,0,HLOOKUP(選項!$N$2,D年費表!$AH$24:$BG$41,5)))</f>
        <v>400</v>
      </c>
      <c r="AQ43" s="7"/>
      <c r="AR43" s="7"/>
      <c r="AS43" s="7">
        <f t="shared" si="85"/>
        <v>400</v>
      </c>
      <c r="AT43" s="78">
        <f>AS43*$J$5</f>
        <v>12880.000000000002</v>
      </c>
      <c r="AU43" s="22">
        <f t="shared" si="74"/>
        <v>61180.000000000007</v>
      </c>
      <c r="AV43" s="7">
        <f>IF($U$7=FALSE,0,IF(C43=FALSE,0,HLOOKUP(選項!$N$2,D年費表!$AH$46:$BG$63,5)))</f>
        <v>20000</v>
      </c>
      <c r="AW43" s="22">
        <f t="shared" si="86"/>
        <v>20000</v>
      </c>
      <c r="AX43" s="22">
        <f t="shared" si="75"/>
        <v>81180</v>
      </c>
      <c r="AY43" s="15" t="str">
        <f t="shared" si="76"/>
        <v>歐盟</v>
      </c>
      <c r="AZ43" s="25">
        <f t="shared" si="87"/>
        <v>48300.000000000007</v>
      </c>
      <c r="BA43" s="25">
        <f t="shared" si="88"/>
        <v>12880.000000000002</v>
      </c>
      <c r="BB43" s="25">
        <f t="shared" si="89"/>
        <v>20000</v>
      </c>
    </row>
    <row r="44" spans="1:73" x14ac:dyDescent="0.25">
      <c r="A44" s="3" t="s">
        <v>224</v>
      </c>
      <c r="B44" s="3" t="s">
        <v>43</v>
      </c>
      <c r="C44" s="15" t="b">
        <f t="shared" si="70"/>
        <v>1</v>
      </c>
      <c r="D44" s="3" t="s">
        <v>16</v>
      </c>
      <c r="E44" s="7"/>
      <c r="F44" s="7"/>
      <c r="G44" s="7"/>
      <c r="H44" s="7"/>
      <c r="I44" s="7">
        <f t="shared" si="77"/>
        <v>0</v>
      </c>
      <c r="J44" s="7">
        <f>I44*$J$6</f>
        <v>0</v>
      </c>
      <c r="K44" s="3" t="s">
        <v>16</v>
      </c>
      <c r="L44" s="7"/>
      <c r="M44" s="7"/>
      <c r="N44" s="7"/>
      <c r="O44" s="7"/>
      <c r="P44" s="7"/>
      <c r="Q44" s="7"/>
      <c r="R44" s="7">
        <f t="shared" si="78"/>
        <v>0</v>
      </c>
      <c r="S44" s="7">
        <f>R44*$J$6</f>
        <v>0</v>
      </c>
      <c r="T44" s="7">
        <f t="shared" si="79"/>
        <v>0</v>
      </c>
      <c r="U44" s="7"/>
      <c r="V44" s="7"/>
      <c r="W44" s="7"/>
      <c r="X44" s="7"/>
      <c r="Y44" s="7"/>
      <c r="Z44" s="7">
        <f t="shared" si="80"/>
        <v>0</v>
      </c>
      <c r="AA44" s="7">
        <f t="shared" si="71"/>
        <v>0</v>
      </c>
      <c r="AB44" s="3" t="str">
        <f t="shared" si="72"/>
        <v>英國</v>
      </c>
      <c r="AC44" s="25">
        <f t="shared" si="81"/>
        <v>0</v>
      </c>
      <c r="AD44" s="25">
        <f t="shared" si="82"/>
        <v>0</v>
      </c>
      <c r="AE44" s="25">
        <f t="shared" si="83"/>
        <v>0</v>
      </c>
      <c r="AG44" s="15" t="str">
        <f t="shared" si="73"/>
        <v>英國</v>
      </c>
      <c r="AH44" s="3" t="s">
        <v>43</v>
      </c>
      <c r="AI44" s="123" t="s">
        <v>16</v>
      </c>
      <c r="AJ44" s="7">
        <f>IF($U$5=FALSE,0,IF(C44=FALSE,0,HLOOKUP(選項!$N$2,D年費表!$AH$2:$BG$19,6)))</f>
        <v>520</v>
      </c>
      <c r="AK44" s="7"/>
      <c r="AL44" s="7"/>
      <c r="AM44" s="7">
        <f t="shared" si="84"/>
        <v>520</v>
      </c>
      <c r="AN44" s="78">
        <f>AM44*$J$5</f>
        <v>16744</v>
      </c>
      <c r="AO44" s="123" t="s">
        <v>16</v>
      </c>
      <c r="AP44" s="7">
        <f>IF($U$6=FALSE,0,IF(C44=FALSE,0,HLOOKUP(選項!$N$2,D年費表!$AH$24:$BG$41,6)))</f>
        <v>600</v>
      </c>
      <c r="AQ44" s="7"/>
      <c r="AR44" s="7"/>
      <c r="AS44" s="7">
        <f t="shared" si="85"/>
        <v>600</v>
      </c>
      <c r="AT44" s="78">
        <f>AS44*$J$5</f>
        <v>19320</v>
      </c>
      <c r="AU44" s="22">
        <f t="shared" si="74"/>
        <v>36064</v>
      </c>
      <c r="AV44" s="7">
        <f>IF($U$7=FALSE,0,IF(C44=FALSE,0,HLOOKUP(選項!$N$2,D年費表!$AH$46:$BG$63,6)))</f>
        <v>20000</v>
      </c>
      <c r="AW44" s="22">
        <f t="shared" si="86"/>
        <v>20000</v>
      </c>
      <c r="AX44" s="22">
        <f t="shared" si="75"/>
        <v>56064</v>
      </c>
      <c r="AY44" s="15" t="str">
        <f t="shared" si="76"/>
        <v>英國</v>
      </c>
      <c r="AZ44" s="25">
        <f t="shared" si="87"/>
        <v>16744</v>
      </c>
      <c r="BA44" s="25">
        <f t="shared" si="88"/>
        <v>19320</v>
      </c>
      <c r="BB44" s="25">
        <f t="shared" si="89"/>
        <v>20000</v>
      </c>
    </row>
    <row r="45" spans="1:73" x14ac:dyDescent="0.25">
      <c r="A45" s="3" t="s">
        <v>5</v>
      </c>
      <c r="B45" s="3" t="s">
        <v>43</v>
      </c>
      <c r="C45" s="15" t="b">
        <f t="shared" si="70"/>
        <v>1</v>
      </c>
      <c r="D45" s="3" t="s">
        <v>17</v>
      </c>
      <c r="E45" s="7"/>
      <c r="F45" s="7"/>
      <c r="G45" s="7"/>
      <c r="H45" s="7"/>
      <c r="I45" s="7">
        <f t="shared" si="77"/>
        <v>0</v>
      </c>
      <c r="J45" s="7">
        <f>I45*$J$7</f>
        <v>0</v>
      </c>
      <c r="K45" s="3" t="s">
        <v>17</v>
      </c>
      <c r="L45" s="7">
        <f>IF($B$5&gt;0,IF($U$6=FALSE,0,IF(C45=FALSE,0,30000)),0)</f>
        <v>30000</v>
      </c>
      <c r="M45" s="7">
        <f>IF($B$5&gt;0,IF($U$6=FALSE,0,IF(C45=FALSE,0,80000)),0)</f>
        <v>80000</v>
      </c>
      <c r="N45" s="7"/>
      <c r="O45" s="7"/>
      <c r="P45" s="7">
        <f>IF($B$5&gt;0,IF($U$6=FALSE,0,IF(C45=FALSE,0,($B$5-1)*80000)),0)</f>
        <v>0</v>
      </c>
      <c r="Q45" s="7"/>
      <c r="R45" s="7">
        <f t="shared" si="78"/>
        <v>110000</v>
      </c>
      <c r="S45" s="7">
        <f>R45*$J$7</f>
        <v>23100</v>
      </c>
      <c r="T45" s="7">
        <f t="shared" si="79"/>
        <v>23100</v>
      </c>
      <c r="U45" s="7">
        <f>IF($B$5&gt;0,IF($U$7=FALSE,0,IF(C45=FALSE,0,$B$5*25000)),0)</f>
        <v>25000</v>
      </c>
      <c r="V45" s="7"/>
      <c r="W45" s="7"/>
      <c r="X45" s="7"/>
      <c r="Y45" s="7"/>
      <c r="Z45" s="7">
        <f t="shared" si="80"/>
        <v>25000</v>
      </c>
      <c r="AA45" s="7">
        <f t="shared" si="71"/>
        <v>48100</v>
      </c>
      <c r="AB45" s="3" t="str">
        <f t="shared" si="72"/>
        <v>日本</v>
      </c>
      <c r="AC45" s="25">
        <f t="shared" si="81"/>
        <v>0</v>
      </c>
      <c r="AD45" s="25">
        <f t="shared" si="82"/>
        <v>23100</v>
      </c>
      <c r="AE45" s="25">
        <f t="shared" si="83"/>
        <v>25000</v>
      </c>
      <c r="AG45" s="15" t="str">
        <f t="shared" si="73"/>
        <v>日本</v>
      </c>
      <c r="AH45" s="3" t="s">
        <v>43</v>
      </c>
      <c r="AI45" s="3" t="s">
        <v>17</v>
      </c>
      <c r="AJ45" s="7">
        <f>IF($U$5=FALSE,0,IF(C45=FALSE,0,HLOOKUP(選項!$N$2,D年費表!$AH$2:$BG$19,7)))</f>
        <v>371800</v>
      </c>
      <c r="AK45" s="7"/>
      <c r="AL45" s="7"/>
      <c r="AM45" s="7">
        <f t="shared" si="84"/>
        <v>371800</v>
      </c>
      <c r="AN45" s="22">
        <f>AM45*$J$7</f>
        <v>78078</v>
      </c>
      <c r="AO45" s="3" t="s">
        <v>17</v>
      </c>
      <c r="AP45" s="7">
        <f>IF($U$6=FALSE,0,IF(C45=FALSE,0,HLOOKUP(選項!$N$2,D年費表!$AH$24:$BG$41,7)))</f>
        <v>213000</v>
      </c>
      <c r="AQ45" s="7"/>
      <c r="AR45" s="7"/>
      <c r="AS45" s="7">
        <f t="shared" si="85"/>
        <v>213000</v>
      </c>
      <c r="AT45" s="22">
        <f>AS45*$J$7</f>
        <v>44730</v>
      </c>
      <c r="AU45" s="22">
        <f t="shared" si="74"/>
        <v>122808</v>
      </c>
      <c r="AV45" s="7">
        <f>IF($U$7=FALSE,0,IF(C45=FALSE,0,HLOOKUP(選項!$N$2,D年費表!$AH$46:$BG$63,7)))</f>
        <v>110000</v>
      </c>
      <c r="AW45" s="22">
        <f t="shared" si="86"/>
        <v>110000</v>
      </c>
      <c r="AX45" s="22">
        <f t="shared" si="75"/>
        <v>232808</v>
      </c>
      <c r="AY45" s="15" t="str">
        <f t="shared" si="76"/>
        <v>日本</v>
      </c>
      <c r="AZ45" s="25">
        <f t="shared" si="87"/>
        <v>78078</v>
      </c>
      <c r="BA45" s="25">
        <f t="shared" si="88"/>
        <v>44730</v>
      </c>
      <c r="BB45" s="25">
        <f t="shared" si="89"/>
        <v>110000</v>
      </c>
    </row>
    <row r="46" spans="1:73" x14ac:dyDescent="0.25">
      <c r="A46" s="3" t="s">
        <v>6</v>
      </c>
      <c r="B46" s="3" t="s">
        <v>43</v>
      </c>
      <c r="C46" s="15" t="b">
        <f t="shared" si="70"/>
        <v>1</v>
      </c>
      <c r="D46" s="3" t="s">
        <v>18</v>
      </c>
      <c r="E46" s="7"/>
      <c r="F46" s="7"/>
      <c r="G46" s="7"/>
      <c r="H46" s="7"/>
      <c r="I46" s="7">
        <f t="shared" si="77"/>
        <v>0</v>
      </c>
      <c r="J46" s="7">
        <f>I46*$J$8</f>
        <v>0</v>
      </c>
      <c r="K46" s="3" t="s">
        <v>15</v>
      </c>
      <c r="L46" s="7"/>
      <c r="M46" s="7">
        <f>IF($B$5&gt;0,IF($U$6=FALSE,0,IF(C46=FALSE,0,300+2500)),0)</f>
        <v>2800</v>
      </c>
      <c r="N46" s="7"/>
      <c r="O46" s="7"/>
      <c r="P46" s="7">
        <f>IF($B$5&gt;0,IF($U$6=FALSE,0,IF(C46=FALSE,0,($B$5-1)*1000)),0)</f>
        <v>0</v>
      </c>
      <c r="Q46" s="7"/>
      <c r="R46" s="7">
        <f t="shared" si="78"/>
        <v>2800</v>
      </c>
      <c r="S46" s="7">
        <f>R46*$J$5</f>
        <v>90160.000000000015</v>
      </c>
      <c r="T46" s="7">
        <f t="shared" si="79"/>
        <v>90160.000000000015</v>
      </c>
      <c r="U46" s="7">
        <f>IF($B$5&gt;0,IF($U$7=FALSE,0,IF(C46=FALSE,0,$B$5*25000)),0)</f>
        <v>25000</v>
      </c>
      <c r="V46" s="7"/>
      <c r="W46" s="7"/>
      <c r="X46" s="7"/>
      <c r="Y46" s="7"/>
      <c r="Z46" s="7">
        <f t="shared" si="80"/>
        <v>25000</v>
      </c>
      <c r="AA46" s="7">
        <f t="shared" si="71"/>
        <v>115160.00000000001</v>
      </c>
      <c r="AB46" s="3" t="str">
        <f t="shared" si="72"/>
        <v>韓國</v>
      </c>
      <c r="AC46" s="25">
        <f t="shared" si="81"/>
        <v>0</v>
      </c>
      <c r="AD46" s="25">
        <f t="shared" si="82"/>
        <v>90160.000000000015</v>
      </c>
      <c r="AE46" s="25">
        <f t="shared" si="83"/>
        <v>25000</v>
      </c>
      <c r="AG46" s="15" t="str">
        <f t="shared" si="73"/>
        <v>韓國</v>
      </c>
      <c r="AH46" s="3" t="s">
        <v>43</v>
      </c>
      <c r="AI46" s="3" t="s">
        <v>18</v>
      </c>
      <c r="AJ46" s="7">
        <f>IF($U$5=FALSE,0,IF(C46=FALSE,0,HLOOKUP(選項!$N$2,D年費表!$AH$2:$BG$19,8)))</f>
        <v>2415000</v>
      </c>
      <c r="AK46" s="7"/>
      <c r="AL46" s="7"/>
      <c r="AM46" s="7">
        <f t="shared" si="84"/>
        <v>2415000</v>
      </c>
      <c r="AN46" s="22">
        <f>AM46*$J$8</f>
        <v>62790</v>
      </c>
      <c r="AO46" s="3" t="s">
        <v>15</v>
      </c>
      <c r="AP46" s="7">
        <f>IF($U$6=FALSE,0,IF(C46=FALSE,0,HLOOKUP(選項!$N$2,D年費表!$AH$24:$BG$41,8)))</f>
        <v>3210</v>
      </c>
      <c r="AQ46" s="7"/>
      <c r="AR46" s="7"/>
      <c r="AS46" s="7">
        <f t="shared" si="85"/>
        <v>3210</v>
      </c>
      <c r="AT46" s="22">
        <f>AS46*$J$5</f>
        <v>103362.00000000001</v>
      </c>
      <c r="AU46" s="22">
        <f t="shared" si="74"/>
        <v>166152</v>
      </c>
      <c r="AV46" s="7">
        <f>IF($U$7=FALSE,0,IF(C46=FALSE,0,HLOOKUP(選項!$N$2,D年費表!$AH$46:$BG$63,8)))</f>
        <v>85000</v>
      </c>
      <c r="AW46" s="22">
        <f t="shared" si="86"/>
        <v>85000</v>
      </c>
      <c r="AX46" s="22">
        <f t="shared" si="75"/>
        <v>251152</v>
      </c>
      <c r="AY46" s="15" t="str">
        <f t="shared" si="76"/>
        <v>韓國</v>
      </c>
      <c r="AZ46" s="25">
        <f t="shared" si="87"/>
        <v>62790</v>
      </c>
      <c r="BA46" s="25">
        <f t="shared" si="88"/>
        <v>103362.00000000001</v>
      </c>
      <c r="BB46" s="25">
        <f t="shared" si="89"/>
        <v>85000</v>
      </c>
    </row>
    <row r="47" spans="1:73" x14ac:dyDescent="0.25">
      <c r="A47" s="3" t="s">
        <v>35</v>
      </c>
      <c r="B47" s="3" t="s">
        <v>43</v>
      </c>
      <c r="C47" s="15" t="b">
        <f t="shared" si="70"/>
        <v>1</v>
      </c>
      <c r="D47" s="3" t="s">
        <v>36</v>
      </c>
      <c r="E47" s="7"/>
      <c r="F47" s="7"/>
      <c r="G47" s="7"/>
      <c r="H47" s="7"/>
      <c r="I47" s="7">
        <f>IF($S$8=FALSE,0,SUM(E47:H47))</f>
        <v>0</v>
      </c>
      <c r="J47" s="7">
        <f>I47*$L$9</f>
        <v>0</v>
      </c>
      <c r="K47" s="3" t="s">
        <v>36</v>
      </c>
      <c r="L47" s="7"/>
      <c r="M47" s="7">
        <f>IF($B$5&gt;0,IF($U$6=FALSE,0,IF(C47=FALSE,0,800)),0)</f>
        <v>800</v>
      </c>
      <c r="N47" s="7"/>
      <c r="O47" s="7"/>
      <c r="P47" s="7"/>
      <c r="Q47" s="7"/>
      <c r="R47" s="7">
        <f>IF($S$8=FALSE,0,SUM(L47:Q47))</f>
        <v>800</v>
      </c>
      <c r="S47" s="7">
        <f>R47*$L$9</f>
        <v>18800</v>
      </c>
      <c r="T47" s="7">
        <f>J47+S47</f>
        <v>18800</v>
      </c>
      <c r="U47" s="7">
        <f>IF($B$5&gt;0,IF($U$7=FALSE,0,IF(C47=FALSE,0,25000)),0)</f>
        <v>25000</v>
      </c>
      <c r="V47" s="7"/>
      <c r="W47" s="7"/>
      <c r="X47" s="7"/>
      <c r="Y47" s="7"/>
      <c r="Z47" s="7">
        <f>IF($S$8=FALSE,0,SUM(U47:Y47))</f>
        <v>25000</v>
      </c>
      <c r="AA47" s="7">
        <f>T47+Z47</f>
        <v>43800</v>
      </c>
      <c r="AB47" s="3" t="str">
        <f>A47</f>
        <v>加拿大</v>
      </c>
      <c r="AC47" s="25">
        <f>J47</f>
        <v>0</v>
      </c>
      <c r="AD47" s="25">
        <f>S47</f>
        <v>18800</v>
      </c>
      <c r="AE47" s="25">
        <f>Z47</f>
        <v>25000</v>
      </c>
      <c r="AG47" s="15" t="str">
        <f>A47</f>
        <v>加拿大</v>
      </c>
      <c r="AH47" s="3" t="s">
        <v>43</v>
      </c>
      <c r="AI47" s="3" t="s">
        <v>36</v>
      </c>
      <c r="AJ47" s="7">
        <f>IF($U$5=FALSE,0,IF(C47=FALSE,0,HLOOKUP(選項!$N$2,D年費表!$AH$2:$BG$19,9)))</f>
        <v>517.82000000000005</v>
      </c>
      <c r="AK47" s="7"/>
      <c r="AL47" s="7"/>
      <c r="AM47" s="7">
        <f>IF($S$7=FALSE,0,SUM(AJ47:AL47))</f>
        <v>517.82000000000005</v>
      </c>
      <c r="AN47" s="22">
        <f>AM47*$L$9</f>
        <v>12168.77</v>
      </c>
      <c r="AO47" s="3" t="s">
        <v>36</v>
      </c>
      <c r="AP47" s="7">
        <f>IF($U$6=FALSE,0,IF(C47=FALSE,0,HLOOKUP(選項!$N$2,D年費表!$AH$24:$BG$41,9)))</f>
        <v>315</v>
      </c>
      <c r="AQ47" s="7"/>
      <c r="AR47" s="7"/>
      <c r="AS47" s="7">
        <f>IF($S$7=FALSE,0,SUM(AP47:AR47))</f>
        <v>315</v>
      </c>
      <c r="AT47" s="22">
        <f>AS47*$L$9</f>
        <v>7402.5</v>
      </c>
      <c r="AU47" s="22">
        <f>AN47+AT47</f>
        <v>19571.27</v>
      </c>
      <c r="AV47" s="7">
        <f>IF($U$7=FALSE,0,IF(C47=FALSE,0,HLOOKUP(選項!$N$2,D年費表!$AH$46:$BG$63,9)))</f>
        <v>5000</v>
      </c>
      <c r="AW47" s="22">
        <f>IF($S$7=FALSE,0,SUM(AV47:AV47))</f>
        <v>5000</v>
      </c>
      <c r="AX47" s="22">
        <f>AU47+AW47</f>
        <v>24571.27</v>
      </c>
      <c r="AY47" s="15" t="str">
        <f>A47</f>
        <v>加拿大</v>
      </c>
      <c r="AZ47" s="25">
        <f>AN47</f>
        <v>12168.77</v>
      </c>
      <c r="BA47" s="25">
        <f>AT47</f>
        <v>7402.5</v>
      </c>
      <c r="BB47" s="25">
        <f>AW47</f>
        <v>5000</v>
      </c>
    </row>
    <row r="48" spans="1:73" x14ac:dyDescent="0.25">
      <c r="A48" s="145" t="s">
        <v>315</v>
      </c>
      <c r="B48" s="3" t="s">
        <v>43</v>
      </c>
      <c r="C48" s="15" t="b">
        <f t="shared" si="70"/>
        <v>1</v>
      </c>
      <c r="D48" s="3" t="s">
        <v>317</v>
      </c>
      <c r="E48" s="7">
        <f>IF(選項!$K$2=1,0,IF($B$5&gt;0,IF($U$5=FALSE,0,IF(C48=FALSE,0,0)),0))</f>
        <v>0</v>
      </c>
      <c r="F48" s="7"/>
      <c r="G48" s="7"/>
      <c r="H48" s="7"/>
      <c r="I48" s="7">
        <f>IF($S$8=FALSE,0,SUM(E48:H48))</f>
        <v>0</v>
      </c>
      <c r="J48" s="7">
        <f>I48*$L$10</f>
        <v>0</v>
      </c>
      <c r="K48" s="3" t="s">
        <v>317</v>
      </c>
      <c r="L48" s="7">
        <f>IF(選項!$K$2=1,0,IF($B$5&gt;0,IF($U$6=FALSE,0,IF(C48=FALSE,0,410)),0))</f>
        <v>410</v>
      </c>
      <c r="M48" s="7">
        <f>IF(選項!$K$2=1,0,IF($B$5&gt;0,IF($U$6=FALSE,0,IF(C48=FALSE,0,575)),0))</f>
        <v>575</v>
      </c>
      <c r="N48" s="7"/>
      <c r="O48" s="7"/>
      <c r="P48" s="7">
        <f>IF(選項!$K$2=1,0,IF($B$5&gt;0,IF($U$6=FALSE,0,IF(C48=FALSE,0,($B$5-1)*(410+575))),0))</f>
        <v>0</v>
      </c>
      <c r="Q48" s="7"/>
      <c r="R48" s="7">
        <f>IF($S$8=FALSE,0,SUM(L48:Q48))</f>
        <v>985</v>
      </c>
      <c r="S48" s="7">
        <f>R48*$L$10</f>
        <v>22852</v>
      </c>
      <c r="T48" s="7">
        <f>J48+S48</f>
        <v>22852</v>
      </c>
      <c r="U48" s="7">
        <f>IF(選項!$K$2=1,0,IF($B$5&gt;0,IF($U$7=FALSE,0,IF(C48=FALSE,0,$B$5*25000)),0))</f>
        <v>25000</v>
      </c>
      <c r="V48" s="7"/>
      <c r="W48" s="7"/>
      <c r="X48" s="7"/>
      <c r="Y48" s="7"/>
      <c r="Z48" s="7">
        <f>IF($S$8=FALSE,0,SUM(U48:Y48))</f>
        <v>25000</v>
      </c>
      <c r="AA48" s="7">
        <f>T48+Z48</f>
        <v>47852</v>
      </c>
      <c r="AB48" s="3" t="str">
        <f>A48</f>
        <v>澳洲</v>
      </c>
      <c r="AC48" s="25">
        <f>J48</f>
        <v>0</v>
      </c>
      <c r="AD48" s="25">
        <f>S48</f>
        <v>22852</v>
      </c>
      <c r="AE48" s="25">
        <f>Z48</f>
        <v>25000</v>
      </c>
      <c r="AG48" s="15" t="str">
        <f>A48</f>
        <v>澳洲</v>
      </c>
      <c r="AH48" s="3" t="s">
        <v>43</v>
      </c>
      <c r="AI48" s="3" t="s">
        <v>317</v>
      </c>
      <c r="AJ48" s="7">
        <f>IF(選項!$K$2=1,0,IF($U$5=FALSE,0,IF(C48=FALSE,0,HLOOKUP(選項!$N$2,D年費表!$AH$2:$BG$19,10))))</f>
        <v>400</v>
      </c>
      <c r="AK48" s="7"/>
      <c r="AL48" s="7"/>
      <c r="AM48" s="7">
        <f>IF($S$7=FALSE,0,SUM(AJ48:AL48))</f>
        <v>400</v>
      </c>
      <c r="AN48" s="22">
        <f>AM48*$L$10</f>
        <v>9280</v>
      </c>
      <c r="AO48" s="3" t="s">
        <v>317</v>
      </c>
      <c r="AP48" s="7">
        <f>IF(選項!$K$2=1,0,IF($U$6=FALSE,0,IF(C48=FALSE,0,HLOOKUP(選項!$N$2,D年費表!$AH$24:$BG$41,10))))</f>
        <v>570</v>
      </c>
      <c r="AQ48" s="7"/>
      <c r="AR48" s="7"/>
      <c r="AS48" s="7">
        <f>IF($S$7=FALSE,0,SUM(AP48:AR48))</f>
        <v>570</v>
      </c>
      <c r="AT48" s="22">
        <f>AS48*$L$10</f>
        <v>13224</v>
      </c>
      <c r="AU48" s="22">
        <f>AN48+AT48</f>
        <v>22504</v>
      </c>
      <c r="AV48" s="7">
        <f>IF(選項!$K$2=1,0,IF($U$7=FALSE,0,IF(C48=FALSE,0,HLOOKUP(選項!$N$2,D年費表!$AH$46:$BG$63,10))))</f>
        <v>5000</v>
      </c>
      <c r="AW48" s="22">
        <f>IF($S$7=FALSE,0,SUM(AV48:AV48))</f>
        <v>5000</v>
      </c>
      <c r="AX48" s="22">
        <f>AU48+AW48</f>
        <v>27504</v>
      </c>
      <c r="AY48" s="15" t="str">
        <f>A48</f>
        <v>澳洲</v>
      </c>
      <c r="AZ48" s="25">
        <f>AN48</f>
        <v>9280</v>
      </c>
      <c r="BA48" s="25">
        <f>AT48</f>
        <v>13224</v>
      </c>
      <c r="BB48" s="25">
        <f>AW48</f>
        <v>5000</v>
      </c>
    </row>
    <row r="49" spans="1:90" x14ac:dyDescent="0.25">
      <c r="A49" s="3" t="s">
        <v>7</v>
      </c>
      <c r="B49" s="3" t="s">
        <v>43</v>
      </c>
      <c r="C49" s="15" t="b">
        <f t="shared" ref="C49:C54" si="90">C25</f>
        <v>1</v>
      </c>
      <c r="D49" s="3" t="s">
        <v>19</v>
      </c>
      <c r="E49" s="7"/>
      <c r="F49" s="7"/>
      <c r="G49" s="7"/>
      <c r="H49" s="7"/>
      <c r="I49" s="7">
        <f t="shared" si="77"/>
        <v>0</v>
      </c>
      <c r="J49" s="7">
        <f>I49*$L$6</f>
        <v>0</v>
      </c>
      <c r="K49" s="3" t="s">
        <v>19</v>
      </c>
      <c r="L49" s="7"/>
      <c r="M49" s="7"/>
      <c r="N49" s="7"/>
      <c r="O49" s="7"/>
      <c r="P49" s="7"/>
      <c r="Q49" s="7"/>
      <c r="R49" s="7">
        <f t="shared" si="78"/>
        <v>0</v>
      </c>
      <c r="S49" s="7">
        <f>R49*$L$6</f>
        <v>0</v>
      </c>
      <c r="T49" s="7">
        <f t="shared" si="79"/>
        <v>0</v>
      </c>
      <c r="U49" s="7"/>
      <c r="V49" s="7"/>
      <c r="W49" s="7"/>
      <c r="X49" s="7"/>
      <c r="Y49" s="7"/>
      <c r="Z49" s="7">
        <f t="shared" si="80"/>
        <v>0</v>
      </c>
      <c r="AA49" s="7">
        <f t="shared" si="71"/>
        <v>0</v>
      </c>
      <c r="AB49" s="3" t="str">
        <f t="shared" si="72"/>
        <v>新加坡</v>
      </c>
      <c r="AC49" s="25">
        <f t="shared" si="81"/>
        <v>0</v>
      </c>
      <c r="AD49" s="25">
        <f t="shared" si="82"/>
        <v>0</v>
      </c>
      <c r="AE49" s="25">
        <f t="shared" si="83"/>
        <v>0</v>
      </c>
      <c r="AG49" s="15" t="str">
        <f t="shared" si="73"/>
        <v>新加坡</v>
      </c>
      <c r="AH49" s="3" t="s">
        <v>43</v>
      </c>
      <c r="AI49" s="3" t="s">
        <v>19</v>
      </c>
      <c r="AJ49" s="7">
        <f>IF($U$5=FALSE,0,IF(C49=FALSE,0,HLOOKUP(選項!$N$2,D年費表!$AH$2:$BG$19,11)))</f>
        <v>550</v>
      </c>
      <c r="AK49" s="7"/>
      <c r="AL49" s="7"/>
      <c r="AM49" s="7">
        <f t="shared" si="84"/>
        <v>550</v>
      </c>
      <c r="AN49" s="22">
        <f>AM49*$L$6</f>
        <v>13970</v>
      </c>
      <c r="AO49" s="3" t="s">
        <v>19</v>
      </c>
      <c r="AP49" s="7">
        <f>IF($U$6=FALSE,0,IF(C49=FALSE,0,HLOOKUP(選項!$N$2,D年費表!$AH$24:$BG$41,11)))</f>
        <v>900</v>
      </c>
      <c r="AQ49" s="7"/>
      <c r="AR49" s="7"/>
      <c r="AS49" s="7">
        <f t="shared" si="85"/>
        <v>900</v>
      </c>
      <c r="AT49" s="22">
        <f>AS49*$L$6</f>
        <v>22860</v>
      </c>
      <c r="AU49" s="22">
        <f t="shared" si="74"/>
        <v>36830</v>
      </c>
      <c r="AV49" s="7">
        <f>IF($U$7=FALSE,0,IF(C49=FALSE,0,HLOOKUP(選項!$N$2,D年費表!$AH$46:$BG$63,11)))</f>
        <v>10000</v>
      </c>
      <c r="AW49" s="22">
        <f t="shared" si="86"/>
        <v>10000</v>
      </c>
      <c r="AX49" s="22">
        <f t="shared" si="75"/>
        <v>46830</v>
      </c>
      <c r="AY49" s="15" t="str">
        <f t="shared" si="76"/>
        <v>新加坡</v>
      </c>
      <c r="AZ49" s="25">
        <f t="shared" si="87"/>
        <v>13970</v>
      </c>
      <c r="BA49" s="25">
        <f t="shared" si="88"/>
        <v>22860</v>
      </c>
      <c r="BB49" s="25">
        <f t="shared" si="89"/>
        <v>10000</v>
      </c>
    </row>
    <row r="50" spans="1:90" x14ac:dyDescent="0.25">
      <c r="A50" s="3" t="s">
        <v>10</v>
      </c>
      <c r="B50" s="3" t="s">
        <v>43</v>
      </c>
      <c r="C50" s="15" t="b">
        <f t="shared" si="90"/>
        <v>1</v>
      </c>
      <c r="D50" s="3" t="s">
        <v>22</v>
      </c>
      <c r="E50" s="7"/>
      <c r="F50" s="7"/>
      <c r="G50" s="7"/>
      <c r="H50" s="7"/>
      <c r="I50" s="7">
        <f>IF($S$8=FALSE,0,SUM(E50:H50))</f>
        <v>0</v>
      </c>
      <c r="J50" s="7">
        <f>I50*$L$8</f>
        <v>0</v>
      </c>
      <c r="K50" s="3" t="s">
        <v>22</v>
      </c>
      <c r="L50" s="7">
        <f>IF($B$5&gt;0,IF($U$6=FALSE,0,IF(C50=FALSE,0,300)),0)</f>
        <v>300</v>
      </c>
      <c r="M50" s="7">
        <f>IF($B$5&gt;0,IF($U$6=FALSE,0,IF(C50=FALSE,0,1000)),0)</f>
        <v>1000</v>
      </c>
      <c r="N50" s="7"/>
      <c r="O50" s="7"/>
      <c r="P50" s="7"/>
      <c r="Q50" s="7"/>
      <c r="R50" s="7">
        <f>IF($S$8=FALSE,0,SUM(L50:Q50))</f>
        <v>1300</v>
      </c>
      <c r="S50" s="7">
        <f>R50*$L$8</f>
        <v>10790.000000000002</v>
      </c>
      <c r="T50" s="7">
        <f>J50+S50</f>
        <v>10790.000000000002</v>
      </c>
      <c r="U50" s="7">
        <f>IF($B$5&gt;0,IF($U$7=FALSE,0,IF(C50=FALSE,0,$B$5*25000)),0)</f>
        <v>25000</v>
      </c>
      <c r="V50" s="7"/>
      <c r="W50" s="7"/>
      <c r="X50" s="7"/>
      <c r="Y50" s="7"/>
      <c r="Z50" s="7">
        <f>IF($S$8=FALSE,0,SUM(U50:Y50))</f>
        <v>25000</v>
      </c>
      <c r="AA50" s="7">
        <f>T50+Z50</f>
        <v>35790</v>
      </c>
      <c r="AB50" s="3" t="str">
        <f>A50</f>
        <v>馬來西亞</v>
      </c>
      <c r="AC50" s="25">
        <f>J50</f>
        <v>0</v>
      </c>
      <c r="AD50" s="25">
        <f>S50</f>
        <v>10790.000000000002</v>
      </c>
      <c r="AE50" s="25">
        <f>Z50</f>
        <v>25000</v>
      </c>
      <c r="AG50" s="15" t="str">
        <f>A50</f>
        <v>馬來西亞</v>
      </c>
      <c r="AH50" s="3" t="s">
        <v>43</v>
      </c>
      <c r="AI50" s="3" t="s">
        <v>22</v>
      </c>
      <c r="AJ50" s="7">
        <f>IF($U$5=FALSE,0,IF(C50=FALSE,0,HLOOKUP(選項!$N$2,D年費表!$AH$2:$BG$19,12)))</f>
        <v>3200</v>
      </c>
      <c r="AK50" s="7"/>
      <c r="AL50" s="7"/>
      <c r="AM50" s="7">
        <f>IF($S$7=FALSE,0,SUM(AJ50:AL50))</f>
        <v>3200</v>
      </c>
      <c r="AN50" s="22">
        <f>AM50*$L$8</f>
        <v>26560.000000000004</v>
      </c>
      <c r="AO50" s="3" t="s">
        <v>22</v>
      </c>
      <c r="AP50" s="7">
        <f>IF($U$6=FALSE,0,IF(C50=FALSE,0,HLOOKUP(選項!$N$2,D年費表!$AH$24:$BG$41,12)))</f>
        <v>2400</v>
      </c>
      <c r="AQ50" s="7"/>
      <c r="AR50" s="7"/>
      <c r="AS50" s="7">
        <f>IF($S$7=FALSE,0,SUM(AP50:AR50))</f>
        <v>2400</v>
      </c>
      <c r="AT50" s="22">
        <f>AS50*$L$8</f>
        <v>19920</v>
      </c>
      <c r="AU50" s="22">
        <f>AN50+AT50</f>
        <v>46480</v>
      </c>
      <c r="AV50" s="7">
        <f>IF($U$7=FALSE,0,IF(C50=FALSE,0,HLOOKUP(選項!$N$2,D年費表!$AH$46:$BG$63,12)))</f>
        <v>20000</v>
      </c>
      <c r="AW50" s="22">
        <f>IF($S$7=FALSE,0,SUM(AV50:AV50))</f>
        <v>20000</v>
      </c>
      <c r="AX50" s="22">
        <f>AU50+AW50</f>
        <v>66480</v>
      </c>
      <c r="AY50" s="15" t="str">
        <f>A50</f>
        <v>馬來西亞</v>
      </c>
      <c r="AZ50" s="25">
        <f>AN50</f>
        <v>26560.000000000004</v>
      </c>
      <c r="BA50" s="25">
        <f>AT50</f>
        <v>19920</v>
      </c>
      <c r="BB50" s="25">
        <f>AW50</f>
        <v>20000</v>
      </c>
    </row>
    <row r="51" spans="1:90" x14ac:dyDescent="0.25">
      <c r="A51" s="51" t="s">
        <v>116</v>
      </c>
      <c r="B51" s="3" t="s">
        <v>43</v>
      </c>
      <c r="C51" s="15" t="b">
        <f t="shared" si="90"/>
        <v>1</v>
      </c>
      <c r="D51" s="3" t="s">
        <v>15</v>
      </c>
      <c r="E51" s="7"/>
      <c r="F51" s="7"/>
      <c r="G51" s="7"/>
      <c r="H51" s="7"/>
      <c r="I51" s="7">
        <f t="shared" si="77"/>
        <v>0</v>
      </c>
      <c r="J51" s="7">
        <f>I51*$J$5</f>
        <v>0</v>
      </c>
      <c r="K51" s="3" t="s">
        <v>15</v>
      </c>
      <c r="L51" s="7"/>
      <c r="M51" s="7"/>
      <c r="N51" s="7"/>
      <c r="O51" s="7"/>
      <c r="P51" s="7"/>
      <c r="Q51" s="7"/>
      <c r="R51" s="7">
        <f t="shared" si="78"/>
        <v>0</v>
      </c>
      <c r="S51" s="7">
        <f>R51*$J$5</f>
        <v>0</v>
      </c>
      <c r="T51" s="7">
        <f t="shared" si="79"/>
        <v>0</v>
      </c>
      <c r="U51" s="7"/>
      <c r="V51" s="7"/>
      <c r="W51" s="7"/>
      <c r="X51" s="7"/>
      <c r="Y51" s="7"/>
      <c r="Z51" s="7">
        <f t="shared" si="80"/>
        <v>0</v>
      </c>
      <c r="AA51" s="7">
        <f t="shared" si="71"/>
        <v>0</v>
      </c>
      <c r="AB51" s="3" t="str">
        <f t="shared" si="72"/>
        <v>菲律賓</v>
      </c>
      <c r="AC51" s="25">
        <f t="shared" si="81"/>
        <v>0</v>
      </c>
      <c r="AD51" s="25">
        <f t="shared" si="82"/>
        <v>0</v>
      </c>
      <c r="AE51" s="25">
        <f t="shared" si="83"/>
        <v>0</v>
      </c>
      <c r="AG51" s="15" t="str">
        <f t="shared" si="73"/>
        <v>菲律賓</v>
      </c>
      <c r="AH51" s="3" t="s">
        <v>43</v>
      </c>
      <c r="AI51" s="3" t="s">
        <v>15</v>
      </c>
      <c r="AJ51" s="7">
        <f>IF($U$5=FALSE,0,IF(C51=FALSE,0,HLOOKUP(選項!$N$2,D年費表!$AH$2:$BG$19,13)))</f>
        <v>190</v>
      </c>
      <c r="AK51" s="7"/>
      <c r="AL51" s="7"/>
      <c r="AM51" s="7">
        <f t="shared" si="84"/>
        <v>190</v>
      </c>
      <c r="AN51" s="22">
        <f>AM51*$J$5</f>
        <v>6118.0000000000009</v>
      </c>
      <c r="AO51" s="3" t="s">
        <v>15</v>
      </c>
      <c r="AP51" s="7">
        <f>IF($U$6=FALSE,0,IF(C51=FALSE,0,HLOOKUP(選項!$N$2,D年費表!$AH$24:$BG$41,13)))</f>
        <v>200</v>
      </c>
      <c r="AQ51" s="7"/>
      <c r="AR51" s="7"/>
      <c r="AS51" s="7">
        <f t="shared" si="85"/>
        <v>200</v>
      </c>
      <c r="AT51" s="22">
        <f>AS51*$J$5</f>
        <v>6440.0000000000009</v>
      </c>
      <c r="AU51" s="22">
        <f t="shared" si="74"/>
        <v>12558.000000000002</v>
      </c>
      <c r="AV51" s="7">
        <f>IF($U$7=FALSE,0,IF(C51=FALSE,0,HLOOKUP(選項!$N$2,D年費表!$AH$46:$BG$63,13)))</f>
        <v>10000</v>
      </c>
      <c r="AW51" s="22">
        <f t="shared" si="86"/>
        <v>10000</v>
      </c>
      <c r="AX51" s="22">
        <f t="shared" si="75"/>
        <v>22558</v>
      </c>
      <c r="AY51" s="15" t="str">
        <f t="shared" si="76"/>
        <v>菲律賓</v>
      </c>
      <c r="AZ51" s="25">
        <f t="shared" si="87"/>
        <v>6118.0000000000009</v>
      </c>
      <c r="BA51" s="25">
        <f t="shared" si="88"/>
        <v>6440.0000000000009</v>
      </c>
      <c r="BB51" s="25">
        <f t="shared" si="89"/>
        <v>10000</v>
      </c>
    </row>
    <row r="52" spans="1:90" x14ac:dyDescent="0.25">
      <c r="A52" s="3" t="s">
        <v>96</v>
      </c>
      <c r="B52" s="3" t="s">
        <v>43</v>
      </c>
      <c r="C52" s="15" t="b">
        <f t="shared" si="90"/>
        <v>1</v>
      </c>
      <c r="D52" s="3" t="s">
        <v>15</v>
      </c>
      <c r="E52" s="7">
        <f>IF($B$5&gt;0,IF($U$5=FALSE,0,IF(C52=FALSE,0,100)),0)</f>
        <v>100</v>
      </c>
      <c r="F52" s="7"/>
      <c r="G52" s="7">
        <f>IF($B$5&gt;0,IF($U$5=FALSE,0,IF(C52=FALSE,0,($B$5-1)*100)),0)</f>
        <v>0</v>
      </c>
      <c r="H52" s="7"/>
      <c r="I52" s="7">
        <f>IF($S$8=FALSE,0,SUM(E52:H52))</f>
        <v>100</v>
      </c>
      <c r="J52" s="7">
        <f>I52*$J$5</f>
        <v>3220.0000000000005</v>
      </c>
      <c r="K52" s="3" t="s">
        <v>15</v>
      </c>
      <c r="L52" s="7"/>
      <c r="M52" s="7">
        <f>IF($B$5&gt;0,IF($U$6=FALSE,0,IF(C52=FALSE,0,450)),0)</f>
        <v>450</v>
      </c>
      <c r="N52" s="7"/>
      <c r="O52" s="7"/>
      <c r="P52" s="7">
        <f>IF($B$5&gt;0,IF($U$6=FALSE,0,IF(C52=FALSE,0,($B$5-1)*450)),0)</f>
        <v>0</v>
      </c>
      <c r="Q52" s="7"/>
      <c r="R52" s="7">
        <f>IF($S$8=FALSE,0,SUM(L52:Q52))</f>
        <v>450</v>
      </c>
      <c r="S52" s="7">
        <f>R52*$J$5</f>
        <v>14490.000000000002</v>
      </c>
      <c r="T52" s="7">
        <f>J52+S52</f>
        <v>17710.000000000004</v>
      </c>
      <c r="U52" s="7">
        <f>IF($B$5&gt;0,IF($U$7=FALSE,0,IF(C52=FALSE,0,$B$5*25000)),0)</f>
        <v>25000</v>
      </c>
      <c r="V52" s="7"/>
      <c r="W52" s="7"/>
      <c r="X52" s="7"/>
      <c r="Y52" s="7"/>
      <c r="Z52" s="7">
        <f>IF($S$8=FALSE,0,SUM(U52:Y52))</f>
        <v>25000</v>
      </c>
      <c r="AA52" s="7">
        <f>T52+Z52</f>
        <v>42710</v>
      </c>
      <c r="AB52" s="3" t="str">
        <f>A52</f>
        <v>印尼</v>
      </c>
      <c r="AC52" s="25">
        <f>J52</f>
        <v>3220.0000000000005</v>
      </c>
      <c r="AD52" s="25">
        <f>S52</f>
        <v>14490.000000000002</v>
      </c>
      <c r="AE52" s="25">
        <f>Z52</f>
        <v>25000</v>
      </c>
      <c r="AG52" s="15" t="str">
        <f>A52</f>
        <v>印尼</v>
      </c>
      <c r="AH52" s="3" t="s">
        <v>43</v>
      </c>
      <c r="AI52" s="3" t="s">
        <v>15</v>
      </c>
      <c r="AJ52" s="7">
        <f>IF($U$5=FALSE,0,IF(C52=FALSE,0,HLOOKUP(選項!$N$2,D年費表!$AH$2:$BG$19,14)))</f>
        <v>0</v>
      </c>
      <c r="AK52" s="7"/>
      <c r="AL52" s="7"/>
      <c r="AM52" s="7">
        <f>IF($S$7=FALSE,0,SUM(AJ52:AL52))</f>
        <v>0</v>
      </c>
      <c r="AN52" s="22">
        <f>AM52*$J$5</f>
        <v>0</v>
      </c>
      <c r="AO52" s="3" t="s">
        <v>15</v>
      </c>
      <c r="AP52" s="7">
        <f>IF($U$6=FALSE,0,IF(C52=FALSE,0,HLOOKUP(選項!$N$2,D年費表!$AH$24:$BG$41,14)))</f>
        <v>0</v>
      </c>
      <c r="AQ52" s="7"/>
      <c r="AR52" s="7"/>
      <c r="AS52" s="7">
        <f>IF($S$7=FALSE,0,SUM(AP52:AR52))</f>
        <v>0</v>
      </c>
      <c r="AT52" s="22">
        <f>AS52*$J$5</f>
        <v>0</v>
      </c>
      <c r="AU52" s="22">
        <f>AN52+AT52</f>
        <v>0</v>
      </c>
      <c r="AV52" s="7">
        <f>IF($U$7=FALSE,0,IF(C52=FALSE,0,HLOOKUP(選項!$N$2,D年費表!$AH$46:$BG$63,14)))</f>
        <v>0</v>
      </c>
      <c r="AW52" s="22">
        <f>IF($S$7=FALSE,0,SUM(AV52:AV52))</f>
        <v>0</v>
      </c>
      <c r="AX52" s="22">
        <f>AU52+AW52</f>
        <v>0</v>
      </c>
      <c r="AY52" s="15" t="str">
        <f>A52</f>
        <v>印尼</v>
      </c>
      <c r="AZ52" s="25">
        <f>AN52</f>
        <v>0</v>
      </c>
      <c r="BA52" s="25">
        <f>AT52</f>
        <v>0</v>
      </c>
      <c r="BB52" s="25">
        <f>AW52</f>
        <v>0</v>
      </c>
    </row>
    <row r="53" spans="1:90" x14ac:dyDescent="0.25">
      <c r="A53" s="3" t="s">
        <v>8</v>
      </c>
      <c r="B53" s="3" t="s">
        <v>43</v>
      </c>
      <c r="C53" s="15" t="b">
        <f t="shared" si="90"/>
        <v>1</v>
      </c>
      <c r="D53" s="3" t="s">
        <v>20</v>
      </c>
      <c r="E53" s="7">
        <f>IF(選項!$K$2=1,0,IF($B$5&gt;0,IF($U$5=FALSE,0,IF(C53=FALSE,0,160000)),0))</f>
        <v>160000</v>
      </c>
      <c r="F53" s="7"/>
      <c r="G53" s="7"/>
      <c r="H53" s="7"/>
      <c r="I53" s="7">
        <f t="shared" si="77"/>
        <v>160000</v>
      </c>
      <c r="J53" s="7">
        <f>I53*$L$7</f>
        <v>224</v>
      </c>
      <c r="K53" s="3" t="s">
        <v>15</v>
      </c>
      <c r="L53" s="7"/>
      <c r="M53" s="7">
        <f>IF(選項!$K$2=1,0,IF($B$5&gt;0,IF($U$6=FALSE,0,IF(C53=FALSE,0,110+1000)),0))</f>
        <v>1110</v>
      </c>
      <c r="N53" s="7"/>
      <c r="O53" s="7"/>
      <c r="P53" s="7"/>
      <c r="Q53" s="7"/>
      <c r="R53" s="7">
        <f t="shared" si="78"/>
        <v>1110</v>
      </c>
      <c r="S53" s="7">
        <f>R53*$J$5</f>
        <v>35742</v>
      </c>
      <c r="T53" s="7">
        <f t="shared" si="79"/>
        <v>35966</v>
      </c>
      <c r="U53" s="7">
        <f>IF(選項!$K$2=1,0,IF($B$5&gt;0,IF($U$7=FALSE,0,IF(C53=FALSE,0,25000)),0))</f>
        <v>25000</v>
      </c>
      <c r="V53" s="7"/>
      <c r="W53" s="7"/>
      <c r="X53" s="7"/>
      <c r="Y53" s="7"/>
      <c r="Z53" s="7">
        <f t="shared" si="80"/>
        <v>25000</v>
      </c>
      <c r="AA53" s="7">
        <f t="shared" si="71"/>
        <v>60966</v>
      </c>
      <c r="AB53" s="3" t="str">
        <f t="shared" si="72"/>
        <v>越南</v>
      </c>
      <c r="AC53" s="25">
        <f t="shared" si="81"/>
        <v>224</v>
      </c>
      <c r="AD53" s="25">
        <f t="shared" si="82"/>
        <v>35742</v>
      </c>
      <c r="AE53" s="25">
        <f t="shared" si="83"/>
        <v>25000</v>
      </c>
      <c r="AG53" s="15" t="str">
        <f t="shared" si="73"/>
        <v>越南</v>
      </c>
      <c r="AH53" s="3" t="s">
        <v>43</v>
      </c>
      <c r="AI53" s="3" t="s">
        <v>20</v>
      </c>
      <c r="AJ53" s="7">
        <f>IF(選項!$K$2=1,0,IF($U$5=FALSE,0,IF(C53=FALSE,0,HLOOKUP(選項!$N$2,D年費表!$AH$2:$BG$19,15))))</f>
        <v>2400000</v>
      </c>
      <c r="AK53" s="7"/>
      <c r="AL53" s="7"/>
      <c r="AM53" s="7">
        <f t="shared" si="84"/>
        <v>2400000</v>
      </c>
      <c r="AN53" s="22">
        <f>AM53*$L$7</f>
        <v>3360</v>
      </c>
      <c r="AO53" s="3" t="s">
        <v>15</v>
      </c>
      <c r="AP53" s="7">
        <f>IF(選項!$K$2=1,0,IF($U$6=FALSE,0,IF(C53=FALSE,0,HLOOKUP(選項!$N$2,D年費表!$AH$24:$BG$41,15))))</f>
        <v>320</v>
      </c>
      <c r="AQ53" s="7"/>
      <c r="AR53" s="7"/>
      <c r="AS53" s="7">
        <f t="shared" si="85"/>
        <v>320</v>
      </c>
      <c r="AT53" s="22">
        <f>AS53*$J$5</f>
        <v>10304</v>
      </c>
      <c r="AU53" s="22">
        <f t="shared" si="74"/>
        <v>13664</v>
      </c>
      <c r="AV53" s="7">
        <f>IF(選項!$K$2=1,0,IF($U$7=FALSE,0,IF(C53=FALSE,0,HLOOKUP(選項!$N$2,D年費表!$AH$46:$BG$63,15))))</f>
        <v>10000</v>
      </c>
      <c r="AW53" s="22">
        <f t="shared" si="86"/>
        <v>10000</v>
      </c>
      <c r="AX53" s="22">
        <f t="shared" si="75"/>
        <v>23664</v>
      </c>
      <c r="AY53" s="15" t="str">
        <f t="shared" si="76"/>
        <v>越南</v>
      </c>
      <c r="AZ53" s="25">
        <f t="shared" si="87"/>
        <v>3360</v>
      </c>
      <c r="BA53" s="25">
        <f t="shared" si="88"/>
        <v>10304</v>
      </c>
      <c r="BB53" s="25">
        <f t="shared" si="89"/>
        <v>10000</v>
      </c>
    </row>
    <row r="54" spans="1:90" x14ac:dyDescent="0.25">
      <c r="A54" s="3" t="s">
        <v>9</v>
      </c>
      <c r="B54" s="3" t="s">
        <v>43</v>
      </c>
      <c r="C54" s="15" t="b">
        <f t="shared" si="90"/>
        <v>1</v>
      </c>
      <c r="D54" s="3" t="s">
        <v>21</v>
      </c>
      <c r="E54" s="7">
        <f>IF($B$5&gt;0,IF($U$5=FALSE,0,IF(C54=FALSE,0,50)),0)</f>
        <v>50</v>
      </c>
      <c r="F54" s="7"/>
      <c r="G54" s="7">
        <f>IF($B$5&gt;0,IF($U$5=FALSE,0,IF(C54=FALSE,0,($B$5-1)*50)),0)</f>
        <v>0</v>
      </c>
      <c r="H54" s="7"/>
      <c r="I54" s="7">
        <f t="shared" ref="I54" si="91">IF($S$8=FALSE,0,SUM(E54:H54))</f>
        <v>50</v>
      </c>
      <c r="J54" s="7">
        <f>I54*$J$9</f>
        <v>52.5</v>
      </c>
      <c r="K54" s="3" t="s">
        <v>21</v>
      </c>
      <c r="L54" s="7"/>
      <c r="M54" s="7">
        <f>IF($B$5&gt;0,IF($U$6=FALSE,0,IF(C54=FALSE,0,6000+2800+6000)),0)</f>
        <v>14800</v>
      </c>
      <c r="N54" s="7"/>
      <c r="O54" s="7"/>
      <c r="P54" s="7">
        <f>IF($B$5&gt;0,IF($U$6=FALSE,0,IF(C54=FALSE,0,($B$5-1)*(6000+2800+6000))),0)</f>
        <v>0</v>
      </c>
      <c r="Q54" s="7"/>
      <c r="R54" s="7">
        <f t="shared" ref="R54" si="92">IF($S$8=FALSE,0,SUM(L54:Q54))</f>
        <v>14800</v>
      </c>
      <c r="S54" s="7">
        <f>R54*$J$9</f>
        <v>15540</v>
      </c>
      <c r="T54" s="7">
        <f t="shared" ref="T54:T55" si="93">J54+S54</f>
        <v>15592.5</v>
      </c>
      <c r="U54" s="7">
        <f>IF($B$5&gt;0,IF($U$7=FALSE,0,IF(C54=FALSE,0,$B$5*25000)),0)</f>
        <v>25000</v>
      </c>
      <c r="V54" s="7"/>
      <c r="W54" s="7"/>
      <c r="X54" s="7"/>
      <c r="Y54" s="7"/>
      <c r="Z54" s="7">
        <f t="shared" ref="Z54" si="94">IF($S$8=FALSE,0,SUM(U54:Y54))</f>
        <v>25000</v>
      </c>
      <c r="AA54" s="7">
        <f t="shared" ref="AA54:AA55" si="95">T54+Z54</f>
        <v>40592.5</v>
      </c>
      <c r="AB54" s="3" t="str">
        <f t="shared" ref="AB54:AB55" si="96">A54</f>
        <v>泰國</v>
      </c>
      <c r="AC54" s="25">
        <f t="shared" ref="AC54:AC55" si="97">J54</f>
        <v>52.5</v>
      </c>
      <c r="AD54" s="25">
        <f t="shared" ref="AD54:AD55" si="98">S54</f>
        <v>15540</v>
      </c>
      <c r="AE54" s="25">
        <f t="shared" ref="AE54:AE55" si="99">Z54</f>
        <v>25000</v>
      </c>
      <c r="AG54" s="15" t="str">
        <f t="shared" ref="AG54:AG55" si="100">A54</f>
        <v>泰國</v>
      </c>
      <c r="AH54" s="3" t="s">
        <v>43</v>
      </c>
      <c r="AI54" s="3" t="s">
        <v>21</v>
      </c>
      <c r="AJ54" s="7">
        <f>IF($U$5=FALSE,0,IF(C54=FALSE,0,HLOOKUP(選項!$N$2,D年費表!$AH$2:$BG$19,16)))</f>
        <v>8250</v>
      </c>
      <c r="AK54" s="7"/>
      <c r="AL54" s="7"/>
      <c r="AM54" s="7">
        <f t="shared" ref="AM54:AM55" si="101">IF($S$7=FALSE,0,SUM(AJ54:AL54))</f>
        <v>8250</v>
      </c>
      <c r="AN54" s="22">
        <f>AM54*$J$9</f>
        <v>8662.5</v>
      </c>
      <c r="AO54" s="3" t="s">
        <v>21</v>
      </c>
      <c r="AP54" s="7">
        <f>IF($U$6=FALSE,0,IF(C54=FALSE,0,HLOOKUP(選項!$N$2,D年費表!$AH$24:$BG$41,16)))</f>
        <v>19200</v>
      </c>
      <c r="AQ54" s="7"/>
      <c r="AR54" s="7"/>
      <c r="AS54" s="7">
        <f t="shared" ref="AS54:AS55" si="102">IF($S$7=FALSE,0,SUM(AP54:AR54))</f>
        <v>19200</v>
      </c>
      <c r="AT54" s="22">
        <f>AS54*$J$9</f>
        <v>20160</v>
      </c>
      <c r="AU54" s="22">
        <f t="shared" ref="AU54:AU55" si="103">AN54+AT54</f>
        <v>28822.5</v>
      </c>
      <c r="AV54" s="7">
        <f>IF($U$7=FALSE,0,IF(C54=FALSE,0,HLOOKUP(選項!$N$2,D年費表!$AH$46:$BG$63,16)))</f>
        <v>30000</v>
      </c>
      <c r="AW54" s="22">
        <f t="shared" ref="AW54:AW55" si="104">IF($S$7=FALSE,0,SUM(AV54:AV54))</f>
        <v>30000</v>
      </c>
      <c r="AX54" s="22">
        <f t="shared" ref="AX54:AX55" si="105">AU54+AW54</f>
        <v>58822.5</v>
      </c>
      <c r="AY54" s="15" t="str">
        <f t="shared" ref="AY54:AY55" si="106">A54</f>
        <v>泰國</v>
      </c>
      <c r="AZ54" s="25">
        <f t="shared" ref="AZ54:AZ55" si="107">AN54</f>
        <v>8662.5</v>
      </c>
      <c r="BA54" s="25">
        <f t="shared" ref="BA54:BA55" si="108">AT54</f>
        <v>20160</v>
      </c>
      <c r="BB54" s="25">
        <f t="shared" ref="BB54:BB55" si="109">AW54</f>
        <v>30000</v>
      </c>
    </row>
    <row r="55" spans="1:90" x14ac:dyDescent="0.25">
      <c r="A55" s="3" t="s">
        <v>309</v>
      </c>
      <c r="B55" s="3" t="s">
        <v>43</v>
      </c>
      <c r="C55" s="15" t="b">
        <f>C31</f>
        <v>1</v>
      </c>
      <c r="D55" s="3" t="s">
        <v>15</v>
      </c>
      <c r="E55" s="7"/>
      <c r="F55" s="7"/>
      <c r="G55" s="7"/>
      <c r="H55" s="7"/>
      <c r="I55" s="7">
        <f t="shared" ref="I55" si="110">IF($S$8=FALSE,0,SUM(E55:H55))</f>
        <v>0</v>
      </c>
      <c r="J55" s="7">
        <f>I55*$J$5</f>
        <v>0</v>
      </c>
      <c r="K55" s="3" t="s">
        <v>15</v>
      </c>
      <c r="L55" s="7">
        <f>IF($B$5&gt;0,IF($U$6=FALSE,0,IF(C55=FALSE,0,200)),0)</f>
        <v>200</v>
      </c>
      <c r="M55" s="7">
        <f>IF($B$5&gt;0,IF($U$6=FALSE,0,IF(C55=FALSE,0,250)),0)</f>
        <v>250</v>
      </c>
      <c r="N55" s="7"/>
      <c r="O55" s="7"/>
      <c r="P55" s="7">
        <f>IF($B$5&gt;0,IF($U$6=FALSE,0,IF(C55=FALSE,0,($B$5-1)*(200+250))),0)</f>
        <v>0</v>
      </c>
      <c r="Q55" s="7"/>
      <c r="R55" s="7">
        <f t="shared" ref="R55" si="111">IF($S$8=FALSE,0,SUM(L55:Q55))</f>
        <v>450</v>
      </c>
      <c r="S55" s="7">
        <f>R55*$J$5</f>
        <v>14490.000000000002</v>
      </c>
      <c r="T55" s="7">
        <f t="shared" si="93"/>
        <v>14490.000000000002</v>
      </c>
      <c r="U55" s="7">
        <f>IF($B$5&gt;0,IF($U$7=FALSE,0,IF(C55=FALSE,0,$B$5*25000)),0)</f>
        <v>25000</v>
      </c>
      <c r="V55" s="7"/>
      <c r="W55" s="7"/>
      <c r="X55" s="7"/>
      <c r="Y55" s="7"/>
      <c r="Z55" s="7">
        <f t="shared" ref="Z55" si="112">IF($S$8=FALSE,0,SUM(U55:Y55))</f>
        <v>25000</v>
      </c>
      <c r="AA55" s="7">
        <f t="shared" si="95"/>
        <v>39490</v>
      </c>
      <c r="AB55" s="3" t="str">
        <f t="shared" si="96"/>
        <v>印度</v>
      </c>
      <c r="AC55" s="25">
        <f t="shared" si="97"/>
        <v>0</v>
      </c>
      <c r="AD55" s="25">
        <f t="shared" si="98"/>
        <v>14490.000000000002</v>
      </c>
      <c r="AE55" s="25">
        <f t="shared" si="99"/>
        <v>25000</v>
      </c>
      <c r="AG55" s="15" t="str">
        <f t="shared" si="100"/>
        <v>印度</v>
      </c>
      <c r="AH55" s="3" t="s">
        <v>43</v>
      </c>
      <c r="AI55" s="3" t="s">
        <v>15</v>
      </c>
      <c r="AJ55" s="7">
        <f>IF($U$5=FALSE,0,IF(C55=FALSE,0,HLOOKUP(選項!$N$2,D年費表!$AH$2:$BG$19,17)))</f>
        <v>114</v>
      </c>
      <c r="AK55" s="7"/>
      <c r="AL55" s="7"/>
      <c r="AM55" s="7">
        <f t="shared" si="101"/>
        <v>114</v>
      </c>
      <c r="AN55" s="22">
        <f>AM55*$J$5</f>
        <v>3670.8</v>
      </c>
      <c r="AO55" s="3" t="s">
        <v>15</v>
      </c>
      <c r="AP55" s="7">
        <f>IF($U$6=FALSE,0,IF(C55=FALSE,0,HLOOKUP(選項!$N$2,D年費表!$AH$24:$BG$41,17)))</f>
        <v>100</v>
      </c>
      <c r="AQ55" s="7"/>
      <c r="AR55" s="7"/>
      <c r="AS55" s="7">
        <f t="shared" si="102"/>
        <v>100</v>
      </c>
      <c r="AT55" s="22">
        <f>AS55*$J$5</f>
        <v>3220.0000000000005</v>
      </c>
      <c r="AU55" s="22">
        <f t="shared" si="103"/>
        <v>6890.8000000000011</v>
      </c>
      <c r="AV55" s="7">
        <f>IF($U$7=FALSE,0,IF(C55=FALSE,0,HLOOKUP(選項!$N$2,D年費表!$AH$46:$BG$63,17)))</f>
        <v>5000</v>
      </c>
      <c r="AW55" s="22">
        <f t="shared" si="104"/>
        <v>5000</v>
      </c>
      <c r="AX55" s="22">
        <f t="shared" si="105"/>
        <v>11890.800000000001</v>
      </c>
      <c r="AY55" s="15" t="str">
        <f t="shared" si="106"/>
        <v>印度</v>
      </c>
      <c r="AZ55" s="25">
        <f t="shared" si="107"/>
        <v>3670.8</v>
      </c>
      <c r="BA55" s="25">
        <f t="shared" si="108"/>
        <v>3220.0000000000005</v>
      </c>
      <c r="BB55" s="25">
        <f t="shared" si="109"/>
        <v>5000</v>
      </c>
    </row>
    <row r="56" spans="1:90" ht="19.5" x14ac:dyDescent="0.25">
      <c r="A56" s="5"/>
      <c r="B56" s="5"/>
      <c r="C56" s="5"/>
      <c r="D56" s="5"/>
      <c r="E56" s="5"/>
      <c r="F56" s="5"/>
      <c r="G56" s="5"/>
      <c r="H56" s="5"/>
      <c r="I56" s="8" t="s">
        <v>45</v>
      </c>
      <c r="J56" s="11">
        <f>SUM(J40:J55)</f>
        <v>3496.5000000000005</v>
      </c>
      <c r="K56" s="5"/>
      <c r="L56" s="5"/>
      <c r="M56" s="5"/>
      <c r="N56" s="5"/>
      <c r="O56" s="5"/>
      <c r="P56" s="5"/>
      <c r="Q56" s="5"/>
      <c r="R56" s="8" t="s">
        <v>45</v>
      </c>
      <c r="S56" s="11">
        <f>SUM(S40:S55)</f>
        <v>285731</v>
      </c>
      <c r="T56" s="11">
        <f>SUM(T40:T55)</f>
        <v>289227.5</v>
      </c>
      <c r="U56" s="5"/>
      <c r="V56" s="5"/>
      <c r="W56" s="5"/>
      <c r="X56" s="5"/>
      <c r="Y56" s="5"/>
      <c r="Z56" s="11">
        <f>SUM(Z40:Z55)</f>
        <v>270000</v>
      </c>
      <c r="AA56" s="11">
        <f>SUM(AA40:AA55)</f>
        <v>559227.5</v>
      </c>
      <c r="AB56" s="3"/>
      <c r="AC56" s="19">
        <f>SUM(AC40:AC55)</f>
        <v>3496.5000000000005</v>
      </c>
      <c r="AD56" s="19">
        <f>SUM(AD40:AD55)</f>
        <v>285731</v>
      </c>
      <c r="AE56" s="19">
        <f>SUM(AE40:AE55)</f>
        <v>270000</v>
      </c>
      <c r="AG56" s="15"/>
      <c r="AH56" s="12"/>
      <c r="AI56" s="3"/>
      <c r="AJ56" s="7"/>
      <c r="AK56" s="7"/>
      <c r="AL56" s="7"/>
      <c r="AM56" s="8" t="s">
        <v>45</v>
      </c>
      <c r="AN56" s="20">
        <f>SUM(AN40:AN55)</f>
        <v>443262.07</v>
      </c>
      <c r="AO56" s="3"/>
      <c r="AP56" s="7"/>
      <c r="AQ56" s="7"/>
      <c r="AR56" s="7"/>
      <c r="AS56" s="8" t="s">
        <v>45</v>
      </c>
      <c r="AT56" s="20">
        <f>SUM(AT40:AT55)</f>
        <v>297402.5</v>
      </c>
      <c r="AU56" s="20">
        <f>SUM(AU40:AU55)</f>
        <v>740664.57000000007</v>
      </c>
      <c r="AV56" s="11">
        <f>SUM(AV40:AV55)</f>
        <v>408000</v>
      </c>
      <c r="AW56" s="20">
        <f>SUM(AW40:AW55)</f>
        <v>408000</v>
      </c>
      <c r="AX56" s="20">
        <f>SUM(AX40:AX55)</f>
        <v>1148664.57</v>
      </c>
      <c r="AY56" s="26"/>
      <c r="AZ56" s="19">
        <f>SUM(AZ40:AZ55)</f>
        <v>443262.07</v>
      </c>
      <c r="BA56" s="19">
        <f>SUM(BA40:BA55)</f>
        <v>297402.5</v>
      </c>
      <c r="BB56" s="19">
        <f>SUM(BB40:BB55)</f>
        <v>408000</v>
      </c>
    </row>
    <row r="57" spans="1:90" ht="19.5" x14ac:dyDescent="0.25">
      <c r="I57" s="74"/>
      <c r="J57" s="75"/>
      <c r="R57" s="74"/>
      <c r="S57" s="75"/>
      <c r="T57" s="75"/>
      <c r="Z57" s="75"/>
      <c r="AA57" s="75"/>
      <c r="AB57" s="77"/>
      <c r="AC57" s="83"/>
      <c r="AD57" s="83"/>
      <c r="AE57" s="83"/>
      <c r="AG57" s="84"/>
      <c r="AH57" s="85"/>
      <c r="AI57" s="77"/>
      <c r="AJ57" s="77" t="s">
        <v>282</v>
      </c>
      <c r="AM57" s="74"/>
      <c r="AN57" s="75"/>
      <c r="AP57" s="77" t="s">
        <v>282</v>
      </c>
      <c r="AS57" s="74"/>
      <c r="AT57" s="75"/>
      <c r="AU57" s="75"/>
      <c r="AV57" s="77" t="s">
        <v>282</v>
      </c>
      <c r="AW57" s="75"/>
      <c r="AX57" s="86"/>
      <c r="AY57" s="87"/>
      <c r="AZ57" s="83"/>
      <c r="BA57" s="83"/>
      <c r="BB57" s="83"/>
    </row>
    <row r="58" spans="1:90" ht="19.5" x14ac:dyDescent="0.25">
      <c r="I58" s="74"/>
      <c r="J58" s="75"/>
      <c r="R58" s="74"/>
      <c r="S58" s="75"/>
      <c r="T58" s="75"/>
      <c r="Z58" s="75"/>
      <c r="AA58" s="75"/>
      <c r="AB58" s="77"/>
      <c r="AC58" s="83"/>
      <c r="AD58" s="83"/>
      <c r="AE58" s="83"/>
      <c r="AG58" s="84"/>
      <c r="AH58" s="85"/>
      <c r="AI58" s="77"/>
      <c r="AJ58" s="132" t="s">
        <v>281</v>
      </c>
      <c r="AM58" s="74"/>
      <c r="AN58" s="75"/>
      <c r="AS58" s="74"/>
      <c r="AT58" s="75"/>
      <c r="AU58" s="75"/>
      <c r="AW58" s="75"/>
      <c r="AX58" s="86"/>
      <c r="AY58" s="87"/>
      <c r="AZ58" s="83"/>
      <c r="BA58" s="83"/>
      <c r="BB58" s="83"/>
    </row>
    <row r="59" spans="1:90" ht="19.5" x14ac:dyDescent="0.25">
      <c r="I59" s="74"/>
      <c r="J59" s="75"/>
      <c r="R59" s="74"/>
      <c r="S59" s="75"/>
      <c r="T59" s="75"/>
      <c r="Z59" s="75"/>
      <c r="AA59" s="75"/>
      <c r="AB59" s="77"/>
      <c r="AC59" s="83"/>
      <c r="AD59" s="83"/>
      <c r="AE59" s="83"/>
      <c r="AG59" s="84"/>
      <c r="AH59" s="85"/>
      <c r="AI59" s="77"/>
      <c r="AJ59" s="76"/>
      <c r="AK59" s="76"/>
      <c r="AL59" s="76"/>
      <c r="AM59" s="74"/>
      <c r="AN59" s="86"/>
      <c r="AO59" s="77"/>
      <c r="AP59" s="76"/>
      <c r="AQ59" s="76"/>
      <c r="AR59" s="76"/>
      <c r="AS59" s="74"/>
      <c r="AT59" s="86"/>
      <c r="AU59" s="86"/>
      <c r="AV59" s="75"/>
      <c r="AW59" s="86"/>
      <c r="AX59" s="86"/>
      <c r="AY59" s="87"/>
      <c r="AZ59" s="83"/>
      <c r="BA59" s="83"/>
      <c r="BB59" s="83"/>
    </row>
    <row r="60" spans="1:90" x14ac:dyDescent="0.25">
      <c r="A60" s="9" t="s">
        <v>42</v>
      </c>
    </row>
    <row r="61" spans="1:90" s="47" customFormat="1" x14ac:dyDescent="0.25">
      <c r="A61" s="44" t="s">
        <v>98</v>
      </c>
      <c r="B61" s="48"/>
      <c r="C61" s="48"/>
      <c r="D61" s="48"/>
      <c r="E61" s="48"/>
      <c r="F61" s="48"/>
      <c r="G61" s="48"/>
      <c r="H61" s="48"/>
      <c r="I61" s="48"/>
      <c r="J61" s="48"/>
      <c r="K61" s="48"/>
      <c r="L61" s="48"/>
      <c r="M61" s="48"/>
      <c r="N61" s="40"/>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row>
    <row r="62" spans="1:90" s="47" customFormat="1" x14ac:dyDescent="0.25">
      <c r="A62" s="50" t="s">
        <v>97</v>
      </c>
      <c r="B62" s="48"/>
      <c r="C62" s="48"/>
      <c r="D62" s="48"/>
      <c r="E62" s="48"/>
      <c r="F62" s="48"/>
      <c r="G62" s="48"/>
      <c r="H62" s="48"/>
      <c r="I62" s="48"/>
      <c r="J62" s="48"/>
      <c r="K62" s="48"/>
      <c r="L62" s="48"/>
      <c r="M62" s="48"/>
      <c r="N62" s="40"/>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row>
    <row r="63" spans="1:90" s="47" customFormat="1" ht="15.75" x14ac:dyDescent="0.25">
      <c r="A63" s="40" t="s">
        <v>95</v>
      </c>
      <c r="B63" s="48"/>
      <c r="C63" s="48"/>
      <c r="D63" s="48"/>
      <c r="E63" s="48"/>
      <c r="F63" s="48"/>
      <c r="G63" s="48"/>
      <c r="H63" s="48"/>
      <c r="I63" s="48"/>
      <c r="J63" s="48"/>
      <c r="K63" s="48"/>
      <c r="L63" s="48"/>
      <c r="M63" s="48"/>
      <c r="N63" s="40"/>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row>
    <row r="64" spans="1:90" s="47" customFormat="1" x14ac:dyDescent="0.25">
      <c r="A64" s="50" t="s">
        <v>99</v>
      </c>
      <c r="B64" s="48"/>
      <c r="C64" s="48"/>
      <c r="D64" s="48"/>
      <c r="E64" s="48"/>
      <c r="F64" s="48"/>
      <c r="G64" s="48"/>
      <c r="H64" s="48"/>
      <c r="I64" s="48"/>
      <c r="J64" s="48"/>
      <c r="K64" s="48"/>
      <c r="L64" s="48"/>
      <c r="M64" s="48"/>
      <c r="N64" s="40"/>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row>
    <row r="65" spans="1:90" s="47" customFormat="1" x14ac:dyDescent="0.25">
      <c r="A65" s="40" t="s">
        <v>94</v>
      </c>
      <c r="B65" s="48"/>
      <c r="C65" s="48"/>
      <c r="D65" s="48"/>
      <c r="E65" s="48"/>
      <c r="F65" s="48"/>
      <c r="G65" s="48"/>
      <c r="H65" s="48"/>
      <c r="I65" s="48"/>
      <c r="J65" s="48"/>
      <c r="K65" s="48"/>
      <c r="L65" s="48"/>
      <c r="M65" s="48"/>
      <c r="N65" s="40"/>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row>
    <row r="66" spans="1:90" s="47" customFormat="1" x14ac:dyDescent="0.25">
      <c r="A66" s="40" t="s">
        <v>102</v>
      </c>
      <c r="B66" s="48"/>
      <c r="C66" s="48"/>
      <c r="D66" s="48"/>
      <c r="E66" s="48"/>
      <c r="F66" s="48"/>
      <c r="G66" s="48"/>
      <c r="H66" s="48"/>
      <c r="I66" s="48"/>
      <c r="J66" s="48"/>
      <c r="K66" s="48"/>
      <c r="L66" s="48"/>
      <c r="M66" s="48"/>
      <c r="N66" s="40"/>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row>
    <row r="67" spans="1:90" s="47" customFormat="1" x14ac:dyDescent="0.25">
      <c r="A67" s="40" t="s">
        <v>100</v>
      </c>
      <c r="B67" s="48"/>
      <c r="C67" s="48"/>
      <c r="D67" s="48"/>
      <c r="E67" s="48"/>
      <c r="F67" s="48"/>
      <c r="G67" s="48"/>
      <c r="H67" s="48"/>
      <c r="I67" s="48"/>
      <c r="J67" s="48"/>
      <c r="K67" s="48"/>
      <c r="L67" s="48"/>
      <c r="M67" s="48"/>
      <c r="N67" s="40"/>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row>
    <row r="68" spans="1:90" s="47" customFormat="1" x14ac:dyDescent="0.25">
      <c r="A68" s="40" t="s">
        <v>106</v>
      </c>
      <c r="B68" s="48"/>
      <c r="C68" s="48"/>
      <c r="D68" s="48"/>
      <c r="E68" s="48"/>
      <c r="F68" s="48"/>
      <c r="G68" s="48"/>
      <c r="H68" s="48"/>
      <c r="I68" s="48"/>
      <c r="J68" s="48"/>
      <c r="K68" s="48"/>
      <c r="L68" s="48"/>
      <c r="M68" s="48"/>
      <c r="N68" s="40"/>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row>
    <row r="69" spans="1:90" s="47" customFormat="1" ht="15.75" x14ac:dyDescent="0.25">
      <c r="A69" s="40" t="s">
        <v>108</v>
      </c>
      <c r="B69" s="48"/>
      <c r="C69" s="48"/>
      <c r="D69" s="48"/>
      <c r="E69" s="48"/>
      <c r="F69" s="48"/>
      <c r="G69" s="48"/>
      <c r="H69" s="48"/>
      <c r="I69" s="48"/>
      <c r="J69" s="48"/>
      <c r="K69" s="48"/>
      <c r="L69" s="48"/>
      <c r="M69" s="48"/>
      <c r="N69" s="40"/>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row>
    <row r="70" spans="1:90" s="47" customFormat="1" ht="15.75" x14ac:dyDescent="0.25">
      <c r="A70" s="40" t="s">
        <v>109</v>
      </c>
      <c r="B70" s="48"/>
      <c r="C70" s="48"/>
      <c r="D70" s="48"/>
      <c r="E70" s="48"/>
      <c r="F70" s="48"/>
      <c r="G70" s="48"/>
      <c r="H70" s="48"/>
      <c r="I70" s="48"/>
      <c r="J70" s="48"/>
      <c r="K70" s="48"/>
      <c r="L70" s="48"/>
      <c r="M70" s="48"/>
      <c r="N70" s="40"/>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row>
    <row r="71" spans="1:90" s="47" customFormat="1" ht="15.75" x14ac:dyDescent="0.25">
      <c r="A71" s="49" t="s">
        <v>110</v>
      </c>
      <c r="B71" s="48"/>
      <c r="C71" s="48"/>
      <c r="D71" s="48"/>
      <c r="E71" s="48"/>
      <c r="F71" s="48"/>
      <c r="G71" s="48"/>
      <c r="H71" s="48"/>
      <c r="I71" s="48"/>
      <c r="J71" s="48"/>
      <c r="K71" s="48"/>
      <c r="L71" s="48"/>
      <c r="M71" s="48"/>
      <c r="N71" s="40"/>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row>
    <row r="72" spans="1:90" s="34" customFormat="1" x14ac:dyDescent="0.25">
      <c r="A72" s="49" t="s">
        <v>101</v>
      </c>
      <c r="B72" s="35"/>
      <c r="C72" s="45"/>
      <c r="D72" s="35"/>
      <c r="E72" s="35"/>
      <c r="F72" s="35"/>
      <c r="G72" s="35"/>
      <c r="H72" s="35"/>
      <c r="I72" s="35"/>
      <c r="J72" s="35"/>
      <c r="K72" s="35"/>
      <c r="L72" s="35"/>
      <c r="M72" s="35"/>
      <c r="N72" s="32"/>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row>
    <row r="73" spans="1:90" s="34" customFormat="1" x14ac:dyDescent="0.25">
      <c r="A73" s="49" t="s">
        <v>93</v>
      </c>
      <c r="B73" s="35"/>
      <c r="C73" s="45"/>
      <c r="D73" s="35"/>
      <c r="E73" s="35"/>
      <c r="F73" s="35"/>
      <c r="G73" s="35"/>
      <c r="H73" s="35"/>
      <c r="I73" s="35"/>
      <c r="J73" s="35"/>
      <c r="K73" s="35"/>
      <c r="L73" s="35"/>
      <c r="M73" s="35"/>
      <c r="N73" s="32"/>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row>
    <row r="82" spans="1:8" x14ac:dyDescent="0.25">
      <c r="A82" s="1"/>
      <c r="D82" s="1"/>
      <c r="E82" s="1"/>
      <c r="F82" s="1"/>
      <c r="G82" s="1"/>
      <c r="H82" s="1"/>
    </row>
  </sheetData>
  <mergeCells count="77">
    <mergeCell ref="BA38:BA39"/>
    <mergeCell ref="BB38:BB39"/>
    <mergeCell ref="AO38:AT38"/>
    <mergeCell ref="AW38:AW39"/>
    <mergeCell ref="AX38:AX39"/>
    <mergeCell ref="AY38:AY39"/>
    <mergeCell ref="AZ38:AZ39"/>
    <mergeCell ref="AD38:AD39"/>
    <mergeCell ref="AE38:AE39"/>
    <mergeCell ref="AG38:AG39"/>
    <mergeCell ref="AH38:AH39"/>
    <mergeCell ref="AI38:AN38"/>
    <mergeCell ref="U38:Y38"/>
    <mergeCell ref="Z38:Z39"/>
    <mergeCell ref="AA38:AA39"/>
    <mergeCell ref="AB38:AB39"/>
    <mergeCell ref="AC38:AC39"/>
    <mergeCell ref="A38:A39"/>
    <mergeCell ref="B38:B39"/>
    <mergeCell ref="C38:C39"/>
    <mergeCell ref="D38:J38"/>
    <mergeCell ref="K38:S38"/>
    <mergeCell ref="BO13:BP13"/>
    <mergeCell ref="BR13:BU13"/>
    <mergeCell ref="AZ37:BB37"/>
    <mergeCell ref="BE14:BE15"/>
    <mergeCell ref="BG14:BG15"/>
    <mergeCell ref="BF14:BF15"/>
    <mergeCell ref="BH14:BH15"/>
    <mergeCell ref="BI14:BI15"/>
    <mergeCell ref="BJ14:BJ15"/>
    <mergeCell ref="BK14:BK15"/>
    <mergeCell ref="BL14:BL15"/>
    <mergeCell ref="BM14:BM15"/>
    <mergeCell ref="BD13:BM13"/>
    <mergeCell ref="A37:AA37"/>
    <mergeCell ref="AC37:AE37"/>
    <mergeCell ref="AG37:AY37"/>
    <mergeCell ref="BU14:BU15"/>
    <mergeCell ref="BO14:BO15"/>
    <mergeCell ref="BP14:BP15"/>
    <mergeCell ref="BR14:BR15"/>
    <mergeCell ref="BS14:BS15"/>
    <mergeCell ref="BT14:BT15"/>
    <mergeCell ref="C14:C15"/>
    <mergeCell ref="Z14:Z15"/>
    <mergeCell ref="AA14:AA15"/>
    <mergeCell ref="AB14:AB15"/>
    <mergeCell ref="AZ14:AZ15"/>
    <mergeCell ref="BA14:BA15"/>
    <mergeCell ref="BD14:BD15"/>
    <mergeCell ref="A4:B4"/>
    <mergeCell ref="A14:A15"/>
    <mergeCell ref="B14:B15"/>
    <mergeCell ref="U14:Y14"/>
    <mergeCell ref="D14:J14"/>
    <mergeCell ref="K14:S14"/>
    <mergeCell ref="I4:L4"/>
    <mergeCell ref="T4:U4"/>
    <mergeCell ref="A7:A8"/>
    <mergeCell ref="B7:B8"/>
    <mergeCell ref="R4:S4"/>
    <mergeCell ref="A13:AA13"/>
    <mergeCell ref="AC13:AE13"/>
    <mergeCell ref="AZ13:BB13"/>
    <mergeCell ref="BB14:BB15"/>
    <mergeCell ref="AG13:AY13"/>
    <mergeCell ref="AC14:AC15"/>
    <mergeCell ref="AD14:AD15"/>
    <mergeCell ref="AE14:AE15"/>
    <mergeCell ref="AG14:AG15"/>
    <mergeCell ref="AH14:AH15"/>
    <mergeCell ref="AI14:AN14"/>
    <mergeCell ref="AO14:AT14"/>
    <mergeCell ref="AW14:AW15"/>
    <mergeCell ref="AX14:AX15"/>
    <mergeCell ref="AY14:AY15"/>
  </mergeCells>
  <phoneticPr fontId="1" type="noConversion"/>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1</xdr:col>
                    <xdr:colOff>57150</xdr:colOff>
                    <xdr:row>6</xdr:row>
                    <xdr:rowOff>57150</xdr:rowOff>
                  </from>
                  <to>
                    <xdr:col>2</xdr:col>
                    <xdr:colOff>19050</xdr:colOff>
                    <xdr:row>6</xdr:row>
                    <xdr:rowOff>190500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1</xdr:col>
                    <xdr:colOff>57150</xdr:colOff>
                    <xdr:row>7</xdr:row>
                    <xdr:rowOff>38100</xdr:rowOff>
                  </from>
                  <to>
                    <xdr:col>2</xdr:col>
                    <xdr:colOff>19050</xdr:colOff>
                    <xdr:row>7</xdr:row>
                    <xdr:rowOff>180975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17080-BC4A-45E9-B072-04232AA964DB}">
  <sheetPr codeName="工作表5"/>
  <dimension ref="A1:BG63"/>
  <sheetViews>
    <sheetView topLeftCell="AN1" workbookViewId="0">
      <selection activeCell="K2" sqref="K2"/>
    </sheetView>
  </sheetViews>
  <sheetFormatPr defaultRowHeight="16.5" x14ac:dyDescent="0.25"/>
  <cols>
    <col min="5" max="7" width="10" bestFit="1" customWidth="1"/>
    <col min="8" max="8" width="11.125" bestFit="1" customWidth="1"/>
    <col min="9" max="9" width="12.75" bestFit="1" customWidth="1"/>
    <col min="10" max="13" width="11.125" bestFit="1" customWidth="1"/>
    <col min="14" max="14" width="12.75" bestFit="1" customWidth="1"/>
    <col min="15" max="23" width="11.125" bestFit="1" customWidth="1"/>
    <col min="24" max="24" width="10" bestFit="1" customWidth="1"/>
    <col min="29" max="29" width="11.125" bestFit="1" customWidth="1"/>
    <col min="35" max="35" width="10" bestFit="1" customWidth="1"/>
    <col min="36" max="42" width="11.125" bestFit="1" customWidth="1"/>
    <col min="43" max="50" width="12.25" bestFit="1" customWidth="1"/>
    <col min="51" max="59" width="11.125" bestFit="1" customWidth="1"/>
  </cols>
  <sheetData>
    <row r="1" spans="1:59" s="72" customFormat="1" x14ac:dyDescent="0.25">
      <c r="A1" s="149" t="s">
        <v>169</v>
      </c>
      <c r="B1" s="150"/>
      <c r="C1" s="151"/>
      <c r="D1" s="73" t="s">
        <v>170</v>
      </c>
      <c r="E1" s="70"/>
      <c r="F1" s="70"/>
      <c r="G1" s="70"/>
      <c r="H1" s="70"/>
      <c r="I1" s="70"/>
      <c r="J1" s="70"/>
      <c r="K1" s="70"/>
      <c r="L1" s="70"/>
      <c r="M1" s="70"/>
      <c r="N1" s="70"/>
      <c r="O1" s="70"/>
      <c r="P1" s="70"/>
      <c r="Q1" s="70"/>
      <c r="R1" s="70"/>
      <c r="S1" s="70"/>
      <c r="T1" s="70"/>
      <c r="U1" s="70"/>
      <c r="V1" s="70"/>
      <c r="W1" s="70"/>
      <c r="X1" s="70"/>
      <c r="Y1" s="70"/>
      <c r="Z1" s="70"/>
      <c r="AA1" s="70"/>
      <c r="AB1" s="70"/>
      <c r="AC1" s="70"/>
      <c r="AD1" s="70"/>
      <c r="AE1" s="149" t="s">
        <v>171</v>
      </c>
      <c r="AF1" s="150"/>
      <c r="AG1" s="151"/>
      <c r="AH1" s="73" t="s">
        <v>168</v>
      </c>
      <c r="AI1" s="70"/>
      <c r="AJ1" s="70"/>
      <c r="AK1" s="70"/>
      <c r="AL1" s="70"/>
      <c r="AM1" s="70"/>
      <c r="AN1" s="70"/>
      <c r="AO1" s="70"/>
      <c r="AP1" s="70"/>
      <c r="AQ1" s="70"/>
      <c r="AR1" s="70"/>
      <c r="AS1" s="70"/>
      <c r="AT1" s="70"/>
      <c r="AU1" s="70"/>
      <c r="AV1" s="70"/>
      <c r="AW1" s="70"/>
      <c r="AX1" s="70"/>
      <c r="AY1" s="70"/>
      <c r="AZ1" s="70"/>
      <c r="BA1" s="70"/>
      <c r="BB1" s="70"/>
      <c r="BC1" s="70"/>
      <c r="BD1" s="70"/>
      <c r="BE1" s="70"/>
      <c r="BF1" s="70"/>
      <c r="BG1" s="70"/>
    </row>
    <row r="2" spans="1:59" x14ac:dyDescent="0.25">
      <c r="A2" s="4" t="s">
        <v>90</v>
      </c>
      <c r="B2" s="4" t="s">
        <v>167</v>
      </c>
      <c r="C2" s="4" t="s">
        <v>12</v>
      </c>
      <c r="D2" s="4">
        <v>1</v>
      </c>
      <c r="E2" s="4">
        <v>2</v>
      </c>
      <c r="F2" s="4">
        <v>3</v>
      </c>
      <c r="G2" s="4">
        <v>4</v>
      </c>
      <c r="H2" s="4">
        <v>5</v>
      </c>
      <c r="I2" s="4">
        <v>6</v>
      </c>
      <c r="J2" s="4">
        <v>7</v>
      </c>
      <c r="K2" s="4">
        <v>8</v>
      </c>
      <c r="L2" s="4">
        <v>9</v>
      </c>
      <c r="M2" s="4">
        <v>10</v>
      </c>
      <c r="N2" s="4">
        <v>11</v>
      </c>
      <c r="O2" s="4">
        <v>12</v>
      </c>
      <c r="P2" s="4">
        <v>13</v>
      </c>
      <c r="Q2" s="4">
        <v>14</v>
      </c>
      <c r="R2" s="4">
        <v>15</v>
      </c>
      <c r="S2" s="4">
        <v>16</v>
      </c>
      <c r="T2" s="4">
        <v>17</v>
      </c>
      <c r="U2" s="4">
        <v>18</v>
      </c>
      <c r="V2" s="4">
        <v>19</v>
      </c>
      <c r="W2" s="4">
        <v>20</v>
      </c>
      <c r="X2" s="4">
        <v>21</v>
      </c>
      <c r="Y2" s="4">
        <v>22</v>
      </c>
      <c r="Z2" s="4">
        <v>23</v>
      </c>
      <c r="AA2" s="4">
        <v>24</v>
      </c>
      <c r="AB2" s="4">
        <v>25</v>
      </c>
      <c r="AC2" s="4" t="s">
        <v>166</v>
      </c>
      <c r="AD2" s="4"/>
      <c r="AE2" s="4" t="s">
        <v>90</v>
      </c>
      <c r="AF2" s="4" t="s">
        <v>167</v>
      </c>
      <c r="AG2" s="4" t="s">
        <v>12</v>
      </c>
      <c r="AH2" s="4">
        <v>1</v>
      </c>
      <c r="AI2" s="4">
        <v>2</v>
      </c>
      <c r="AJ2" s="4">
        <v>3</v>
      </c>
      <c r="AK2" s="4">
        <v>4</v>
      </c>
      <c r="AL2" s="4">
        <v>5</v>
      </c>
      <c r="AM2" s="4">
        <v>6</v>
      </c>
      <c r="AN2" s="4">
        <v>7</v>
      </c>
      <c r="AO2" s="4">
        <v>8</v>
      </c>
      <c r="AP2" s="4">
        <v>9</v>
      </c>
      <c r="AQ2" s="4">
        <v>10</v>
      </c>
      <c r="AR2" s="4">
        <v>11</v>
      </c>
      <c r="AS2" s="4">
        <v>12</v>
      </c>
      <c r="AT2" s="4">
        <v>13</v>
      </c>
      <c r="AU2" s="4">
        <v>14</v>
      </c>
      <c r="AV2" s="4">
        <v>15</v>
      </c>
      <c r="AW2" s="4">
        <v>16</v>
      </c>
      <c r="AX2" s="4">
        <v>17</v>
      </c>
      <c r="AY2" s="4">
        <v>18</v>
      </c>
      <c r="AZ2" s="4">
        <v>19</v>
      </c>
      <c r="BA2" s="4">
        <v>20</v>
      </c>
      <c r="BB2" s="4">
        <v>21</v>
      </c>
      <c r="BC2" s="4">
        <v>22</v>
      </c>
      <c r="BD2" s="4">
        <v>23</v>
      </c>
      <c r="BE2" s="4">
        <v>24</v>
      </c>
      <c r="BF2" s="4">
        <v>25</v>
      </c>
      <c r="BG2" s="4" t="s">
        <v>191</v>
      </c>
    </row>
    <row r="3" spans="1:59" x14ac:dyDescent="0.25">
      <c r="A3" s="81" t="s">
        <v>2</v>
      </c>
      <c r="B3" s="82" t="s">
        <v>43</v>
      </c>
      <c r="C3" s="3" t="s">
        <v>13</v>
      </c>
      <c r="D3" s="88"/>
      <c r="E3" s="88">
        <f>IF(設計案成本估算!$B$10="大企業",800,0)*設計案成本估算!$B$5</f>
        <v>0</v>
      </c>
      <c r="F3" s="88">
        <f>IF(設計案成本估算!$B$10="大企業",800,0)*設計案成本估算!$B$5</f>
        <v>0</v>
      </c>
      <c r="G3" s="88">
        <f>IF(設計案成本估算!$B$5&gt;0,IF(設計案成本估算!$B$10="大企業",2000,800)*設計案成本估算!$B$5,0)</f>
        <v>800</v>
      </c>
      <c r="H3" s="88">
        <f>IF(設計案成本估算!$B$5&gt;0,IF(設計案成本估算!$B$10="大企業",2000,800)*設計案成本估算!$B$5,0)</f>
        <v>800</v>
      </c>
      <c r="I3" s="88">
        <f>IF(設計案成本估算!$B$5&gt;0,IF(設計案成本估算!$B$10="大企業",2000,800)*設計案成本估算!$B$5,0)</f>
        <v>800</v>
      </c>
      <c r="J3" s="88">
        <f>IF(設計案成本估算!$B$5&gt;0,IF(設計案成本估算!$B$10="大企業",3000,3000)*設計案成本估算!$B$5,0)</f>
        <v>3000</v>
      </c>
      <c r="K3" s="88">
        <f>IF(設計案成本估算!$B$5&gt;0,IF(設計案成本估算!$B$10="大企業",3000,3000)*設計案成本估算!$B$5,0)</f>
        <v>3000</v>
      </c>
      <c r="L3" s="88">
        <f>IF(設計案成本估算!$B$5&gt;0,IF(設計案成本估算!$B$10="大企業",3000,3000)*設計案成本估算!$B$5,0)</f>
        <v>3000</v>
      </c>
      <c r="M3" s="88">
        <f>IF(設計案成本估算!$B$5&gt;0,IF(設計案成本估算!$B$10="大企業",3000,3000)*設計案成本估算!$B$5,0)</f>
        <v>3000</v>
      </c>
      <c r="N3" s="88">
        <f>IF(設計案成本估算!$B$5&gt;0,IF(設計案成本估算!$B$10="大企業",3000,3000)*設計案成本估算!$B$5,0)</f>
        <v>3000</v>
      </c>
      <c r="O3" s="88">
        <f>IF(設計案成本估算!$B$5&gt;0,IF(設計案成本估算!$B$10="大企業",3000,3000)*設計案成本估算!$B$5,0)</f>
        <v>3000</v>
      </c>
      <c r="P3" s="88">
        <f>IF(設計案成本估算!$B$5&gt;0,IF(設計案成本估算!$B$10="大企業",3000,3000)*設計案成本估算!$B$5,0)</f>
        <v>3000</v>
      </c>
      <c r="Q3" s="88">
        <f>IF(設計案成本估算!$B$5&gt;0,IF(設計案成本估算!$B$10="大企業",3000,3000)*設計案成本估算!$B$5,0)</f>
        <v>3000</v>
      </c>
      <c r="R3" s="88">
        <f>IF(設計案成本估算!$B$5&gt;0,IF(設計案成本估算!$B$10="大企業",3000,3000)*設計案成本估算!$B$5,0)</f>
        <v>3000</v>
      </c>
      <c r="S3" s="88"/>
      <c r="T3" s="88"/>
      <c r="U3" s="88"/>
      <c r="V3" s="88"/>
      <c r="W3" s="88"/>
      <c r="X3" s="88"/>
      <c r="Y3" s="88"/>
      <c r="Z3" s="88"/>
      <c r="AA3" s="88"/>
      <c r="AB3" s="88"/>
      <c r="AC3" s="71">
        <f>SUM(D3:AB3)</f>
        <v>29400</v>
      </c>
      <c r="AD3" s="12"/>
      <c r="AE3" s="81" t="s">
        <v>2</v>
      </c>
      <c r="AF3" s="12" t="str">
        <f>B3</f>
        <v>設計</v>
      </c>
      <c r="AG3" s="15" t="str">
        <f t="shared" ref="AG3:AH18" si="0">C3</f>
        <v>NTD</v>
      </c>
      <c r="AH3" s="12">
        <f>D3</f>
        <v>0</v>
      </c>
      <c r="AI3" s="71">
        <f t="shared" ref="AI3:BF15" si="1">AH3+E3</f>
        <v>0</v>
      </c>
      <c r="AJ3" s="71">
        <f t="shared" si="1"/>
        <v>0</v>
      </c>
      <c r="AK3" s="71">
        <f t="shared" si="1"/>
        <v>800</v>
      </c>
      <c r="AL3" s="71">
        <f t="shared" si="1"/>
        <v>1600</v>
      </c>
      <c r="AM3" s="71">
        <f t="shared" si="1"/>
        <v>2400</v>
      </c>
      <c r="AN3" s="71">
        <f t="shared" si="1"/>
        <v>5400</v>
      </c>
      <c r="AO3" s="71">
        <f t="shared" si="1"/>
        <v>8400</v>
      </c>
      <c r="AP3" s="71">
        <f t="shared" si="1"/>
        <v>11400</v>
      </c>
      <c r="AQ3" s="71">
        <f t="shared" si="1"/>
        <v>14400</v>
      </c>
      <c r="AR3" s="71">
        <f t="shared" si="1"/>
        <v>17400</v>
      </c>
      <c r="AS3" s="71">
        <f t="shared" si="1"/>
        <v>20400</v>
      </c>
      <c r="AT3" s="71">
        <f t="shared" si="1"/>
        <v>23400</v>
      </c>
      <c r="AU3" s="71">
        <f t="shared" si="1"/>
        <v>26400</v>
      </c>
      <c r="AV3" s="71">
        <f t="shared" si="1"/>
        <v>29400</v>
      </c>
      <c r="AW3" s="71">
        <f t="shared" si="1"/>
        <v>29400</v>
      </c>
      <c r="AX3" s="71">
        <f t="shared" si="1"/>
        <v>29400</v>
      </c>
      <c r="AY3" s="71">
        <f t="shared" si="1"/>
        <v>29400</v>
      </c>
      <c r="AZ3" s="71">
        <f t="shared" si="1"/>
        <v>29400</v>
      </c>
      <c r="BA3" s="71">
        <f t="shared" si="1"/>
        <v>29400</v>
      </c>
      <c r="BB3" s="71">
        <f t="shared" si="1"/>
        <v>29400</v>
      </c>
      <c r="BC3" s="71">
        <f t="shared" si="1"/>
        <v>29400</v>
      </c>
      <c r="BD3" s="71">
        <f t="shared" si="1"/>
        <v>29400</v>
      </c>
      <c r="BE3" s="71">
        <f t="shared" si="1"/>
        <v>29400</v>
      </c>
      <c r="BF3" s="71">
        <f t="shared" si="1"/>
        <v>29400</v>
      </c>
      <c r="BG3" s="71">
        <f>BF3</f>
        <v>29400</v>
      </c>
    </row>
    <row r="4" spans="1:59" x14ac:dyDescent="0.25">
      <c r="A4" s="81" t="s">
        <v>3</v>
      </c>
      <c r="B4" s="82" t="s">
        <v>43</v>
      </c>
      <c r="C4" s="3" t="s">
        <v>14</v>
      </c>
      <c r="D4" s="88"/>
      <c r="E4" s="88">
        <f>IF(設計案成本估算!$B$5&gt;0,ROUNDUP(設計案成本估算!$B$5/10,0)*600,0)</f>
        <v>600</v>
      </c>
      <c r="F4" s="88">
        <f>IF(設計案成本估算!$B$5&gt;0,ROUNDUP(設計案成本估算!$B$5/10,0)*600,0)</f>
        <v>600</v>
      </c>
      <c r="G4" s="88">
        <f>IF(設計案成本估算!$B$5&gt;0,ROUNDUP(設計案成本估算!$B$5/10,0)*900,0)</f>
        <v>900</v>
      </c>
      <c r="H4" s="88">
        <f>IF(設計案成本估算!$B$5&gt;0,ROUNDUP(設計案成本估算!$B$5/10,0)*900,0)</f>
        <v>900</v>
      </c>
      <c r="I4" s="88">
        <f>IF(設計案成本估算!$B$5&gt;0,ROUNDUP(設計案成本估算!$B$5/10,0)*1200,0)</f>
        <v>1200</v>
      </c>
      <c r="J4" s="88">
        <f>IF(設計案成本估算!$B$5&gt;0,ROUNDUP(設計案成本估算!$B$5/10,0)*1200,0)</f>
        <v>1200</v>
      </c>
      <c r="K4" s="88">
        <f>IF(設計案成本估算!$B$5&gt;0,ROUNDUP(設計案成本估算!$B$5/10,0)*1200,0)</f>
        <v>1200</v>
      </c>
      <c r="L4" s="88">
        <f>IF(設計案成本估算!$B$5&gt;0,ROUNDUP(設計案成本估算!$B$5/10,0)*2000,0)</f>
        <v>2000</v>
      </c>
      <c r="M4" s="88">
        <f>IF(設計案成本估算!$B$5&gt;0,ROUNDUP(設計案成本估算!$B$5/10,0)*2000,0)</f>
        <v>2000</v>
      </c>
      <c r="N4" s="88">
        <f>IF(設計案成本估算!$B$5&gt;0,ROUNDUP(設計案成本估算!$B$5/10,0)*3000,0)</f>
        <v>3000</v>
      </c>
      <c r="O4" s="88">
        <f>IF(設計案成本估算!$B$5&gt;0,ROUNDUP(設計案成本估算!$B$5/10,0)*3000,0)</f>
        <v>3000</v>
      </c>
      <c r="P4" s="88">
        <f>IF(設計案成本估算!$B$5&gt;0,ROUNDUP(設計案成本估算!$B$5/10,0)*3000,0)</f>
        <v>3000</v>
      </c>
      <c r="Q4" s="88">
        <f>IF(設計案成本估算!$B$5&gt;0,ROUNDUP(設計案成本估算!$B$5/10,0)*3000,0)</f>
        <v>3000</v>
      </c>
      <c r="R4" s="88">
        <f>IF(設計案成本估算!$B$5&gt;0,ROUNDUP(設計案成本估算!$B$5/10,0)*3000,0)</f>
        <v>3000</v>
      </c>
      <c r="S4" s="88"/>
      <c r="T4" s="88"/>
      <c r="U4" s="88"/>
      <c r="V4" s="88"/>
      <c r="W4" s="88"/>
      <c r="X4" s="88"/>
      <c r="Y4" s="88"/>
      <c r="Z4" s="88"/>
      <c r="AA4" s="88"/>
      <c r="AB4" s="88"/>
      <c r="AC4" s="71">
        <f t="shared" ref="AC4:AC19" si="2">SUM(D4:AB4)</f>
        <v>25600</v>
      </c>
      <c r="AD4" s="12"/>
      <c r="AE4" s="81" t="s">
        <v>3</v>
      </c>
      <c r="AF4" s="12" t="str">
        <f t="shared" ref="AF4:AF17" si="3">B4</f>
        <v>設計</v>
      </c>
      <c r="AG4" s="15" t="str">
        <f t="shared" si="0"/>
        <v>CNY</v>
      </c>
      <c r="AH4" s="12">
        <f t="shared" si="0"/>
        <v>0</v>
      </c>
      <c r="AI4" s="71">
        <f t="shared" ref="AI4:AJ17" si="4">AH4+E4</f>
        <v>600</v>
      </c>
      <c r="AJ4" s="71">
        <f t="shared" si="1"/>
        <v>1200</v>
      </c>
      <c r="AK4" s="71">
        <f t="shared" si="1"/>
        <v>2100</v>
      </c>
      <c r="AL4" s="71">
        <f t="shared" si="1"/>
        <v>3000</v>
      </c>
      <c r="AM4" s="71">
        <f t="shared" si="1"/>
        <v>4200</v>
      </c>
      <c r="AN4" s="71">
        <f t="shared" si="1"/>
        <v>5400</v>
      </c>
      <c r="AO4" s="71">
        <f t="shared" si="1"/>
        <v>6600</v>
      </c>
      <c r="AP4" s="71">
        <f t="shared" si="1"/>
        <v>8600</v>
      </c>
      <c r="AQ4" s="71">
        <f t="shared" si="1"/>
        <v>10600</v>
      </c>
      <c r="AR4" s="71">
        <f t="shared" si="1"/>
        <v>13600</v>
      </c>
      <c r="AS4" s="71">
        <f t="shared" si="1"/>
        <v>16600</v>
      </c>
      <c r="AT4" s="71">
        <f t="shared" si="1"/>
        <v>19600</v>
      </c>
      <c r="AU4" s="71">
        <f t="shared" si="1"/>
        <v>22600</v>
      </c>
      <c r="AV4" s="71">
        <f t="shared" si="1"/>
        <v>25600</v>
      </c>
      <c r="AW4" s="71">
        <f t="shared" si="1"/>
        <v>25600</v>
      </c>
      <c r="AX4" s="71">
        <f t="shared" si="1"/>
        <v>25600</v>
      </c>
      <c r="AY4" s="71">
        <f t="shared" si="1"/>
        <v>25600</v>
      </c>
      <c r="AZ4" s="71">
        <f t="shared" si="1"/>
        <v>25600</v>
      </c>
      <c r="BA4" s="71">
        <f t="shared" si="1"/>
        <v>25600</v>
      </c>
      <c r="BB4" s="71">
        <f t="shared" si="1"/>
        <v>25600</v>
      </c>
      <c r="BC4" s="71">
        <f t="shared" si="1"/>
        <v>25600</v>
      </c>
      <c r="BD4" s="71">
        <f t="shared" si="1"/>
        <v>25600</v>
      </c>
      <c r="BE4" s="71">
        <f t="shared" si="1"/>
        <v>25600</v>
      </c>
      <c r="BF4" s="71">
        <f t="shared" si="1"/>
        <v>25600</v>
      </c>
      <c r="BG4" s="71">
        <f t="shared" ref="BG4:BG17" si="5">BF4</f>
        <v>25600</v>
      </c>
    </row>
    <row r="5" spans="1:59" x14ac:dyDescent="0.25">
      <c r="A5" s="3" t="s">
        <v>4</v>
      </c>
      <c r="B5" s="82" t="s">
        <v>43</v>
      </c>
      <c r="C5" s="3" t="s">
        <v>15</v>
      </c>
      <c r="D5" s="88"/>
      <c r="E5" s="88"/>
      <c r="F5" s="88"/>
      <c r="G5" s="88"/>
      <c r="H5" s="88"/>
      <c r="I5" s="88"/>
      <c r="J5" s="88"/>
      <c r="K5" s="88"/>
      <c r="L5" s="88"/>
      <c r="M5" s="88"/>
      <c r="N5" s="88"/>
      <c r="O5" s="88"/>
      <c r="P5" s="88"/>
      <c r="Q5" s="88"/>
      <c r="R5" s="88"/>
      <c r="S5" s="88"/>
      <c r="T5" s="88"/>
      <c r="U5" s="88"/>
      <c r="V5" s="88"/>
      <c r="W5" s="88"/>
      <c r="X5" s="88"/>
      <c r="Y5" s="88"/>
      <c r="Z5" s="88"/>
      <c r="AA5" s="88"/>
      <c r="AB5" s="88"/>
      <c r="AC5" s="71">
        <f t="shared" si="2"/>
        <v>0</v>
      </c>
      <c r="AD5" s="12"/>
      <c r="AE5" s="3" t="s">
        <v>4</v>
      </c>
      <c r="AF5" s="12" t="str">
        <f t="shared" si="3"/>
        <v>設計</v>
      </c>
      <c r="AG5" s="15" t="str">
        <f t="shared" si="0"/>
        <v>USD</v>
      </c>
      <c r="AH5" s="12">
        <f t="shared" si="0"/>
        <v>0</v>
      </c>
      <c r="AI5" s="71">
        <f t="shared" si="4"/>
        <v>0</v>
      </c>
      <c r="AJ5" s="71">
        <f t="shared" si="1"/>
        <v>0</v>
      </c>
      <c r="AK5" s="71">
        <f t="shared" si="1"/>
        <v>0</v>
      </c>
      <c r="AL5" s="71">
        <f t="shared" si="1"/>
        <v>0</v>
      </c>
      <c r="AM5" s="71">
        <f t="shared" si="1"/>
        <v>0</v>
      </c>
      <c r="AN5" s="71">
        <f t="shared" si="1"/>
        <v>0</v>
      </c>
      <c r="AO5" s="71">
        <f t="shared" si="1"/>
        <v>0</v>
      </c>
      <c r="AP5" s="71">
        <f t="shared" si="1"/>
        <v>0</v>
      </c>
      <c r="AQ5" s="71">
        <f t="shared" si="1"/>
        <v>0</v>
      </c>
      <c r="AR5" s="71">
        <f t="shared" si="1"/>
        <v>0</v>
      </c>
      <c r="AS5" s="71">
        <f t="shared" si="1"/>
        <v>0</v>
      </c>
      <c r="AT5" s="71">
        <f t="shared" si="1"/>
        <v>0</v>
      </c>
      <c r="AU5" s="71">
        <f t="shared" si="1"/>
        <v>0</v>
      </c>
      <c r="AV5" s="71">
        <f t="shared" si="1"/>
        <v>0</v>
      </c>
      <c r="AW5" s="71">
        <f t="shared" si="1"/>
        <v>0</v>
      </c>
      <c r="AX5" s="71">
        <f t="shared" si="1"/>
        <v>0</v>
      </c>
      <c r="AY5" s="71">
        <f t="shared" si="1"/>
        <v>0</v>
      </c>
      <c r="AZ5" s="71">
        <f t="shared" si="1"/>
        <v>0</v>
      </c>
      <c r="BA5" s="71">
        <f t="shared" si="1"/>
        <v>0</v>
      </c>
      <c r="BB5" s="71">
        <f t="shared" si="1"/>
        <v>0</v>
      </c>
      <c r="BC5" s="71">
        <f t="shared" si="1"/>
        <v>0</v>
      </c>
      <c r="BD5" s="71">
        <f t="shared" si="1"/>
        <v>0</v>
      </c>
      <c r="BE5" s="71">
        <f t="shared" si="1"/>
        <v>0</v>
      </c>
      <c r="BF5" s="71">
        <f t="shared" si="1"/>
        <v>0</v>
      </c>
      <c r="BG5" s="71">
        <f t="shared" si="5"/>
        <v>0</v>
      </c>
    </row>
    <row r="6" spans="1:59" x14ac:dyDescent="0.25">
      <c r="A6" s="3" t="s">
        <v>107</v>
      </c>
      <c r="B6" s="82" t="s">
        <v>43</v>
      </c>
      <c r="C6" s="3" t="s">
        <v>16</v>
      </c>
      <c r="D6" s="88"/>
      <c r="E6" s="88"/>
      <c r="F6" s="88"/>
      <c r="G6" s="88"/>
      <c r="H6" s="88"/>
      <c r="I6" s="88">
        <f>IF(設計案成本估算!$B$5&gt;0,150*設計案成本估算!$B$5,0)</f>
        <v>150</v>
      </c>
      <c r="J6" s="88"/>
      <c r="K6" s="88"/>
      <c r="L6" s="88"/>
      <c r="M6" s="88"/>
      <c r="N6" s="88">
        <f>IF(設計案成本估算!$B$5&gt;0,250*設計案成本估算!$B$5,0)</f>
        <v>250</v>
      </c>
      <c r="O6" s="88"/>
      <c r="P6" s="88"/>
      <c r="Q6" s="88"/>
      <c r="R6" s="88"/>
      <c r="S6" s="88">
        <f>IF(設計案成本估算!$B$5&gt;0,400*設計案成本估算!$B$5,0)</f>
        <v>400</v>
      </c>
      <c r="T6" s="88"/>
      <c r="U6" s="88"/>
      <c r="V6" s="88"/>
      <c r="W6" s="88"/>
      <c r="X6" s="88">
        <f>IF(設計案成本估算!$B$5&gt;0,700*設計案成本估算!$B$5,0)</f>
        <v>700</v>
      </c>
      <c r="Y6" s="88"/>
      <c r="Z6" s="88"/>
      <c r="AA6" s="88"/>
      <c r="AB6" s="88"/>
      <c r="AC6" s="71">
        <f t="shared" si="2"/>
        <v>1500</v>
      </c>
      <c r="AD6" s="12"/>
      <c r="AE6" s="3" t="s">
        <v>107</v>
      </c>
      <c r="AF6" s="12" t="str">
        <f t="shared" si="3"/>
        <v>設計</v>
      </c>
      <c r="AG6" s="15" t="str">
        <f t="shared" si="0"/>
        <v>EUR</v>
      </c>
      <c r="AH6" s="12">
        <f t="shared" si="0"/>
        <v>0</v>
      </c>
      <c r="AI6" s="71">
        <f t="shared" si="4"/>
        <v>0</v>
      </c>
      <c r="AJ6" s="71">
        <f t="shared" si="1"/>
        <v>0</v>
      </c>
      <c r="AK6" s="71">
        <f t="shared" si="1"/>
        <v>0</v>
      </c>
      <c r="AL6" s="71">
        <f t="shared" si="1"/>
        <v>0</v>
      </c>
      <c r="AM6" s="71">
        <f t="shared" si="1"/>
        <v>150</v>
      </c>
      <c r="AN6" s="71">
        <f t="shared" si="1"/>
        <v>150</v>
      </c>
      <c r="AO6" s="71">
        <f t="shared" si="1"/>
        <v>150</v>
      </c>
      <c r="AP6" s="71">
        <f t="shared" si="1"/>
        <v>150</v>
      </c>
      <c r="AQ6" s="71">
        <f t="shared" si="1"/>
        <v>150</v>
      </c>
      <c r="AR6" s="71">
        <f t="shared" si="1"/>
        <v>400</v>
      </c>
      <c r="AS6" s="71">
        <f t="shared" si="1"/>
        <v>400</v>
      </c>
      <c r="AT6" s="71">
        <f t="shared" si="1"/>
        <v>400</v>
      </c>
      <c r="AU6" s="71">
        <f t="shared" si="1"/>
        <v>400</v>
      </c>
      <c r="AV6" s="71">
        <f t="shared" si="1"/>
        <v>400</v>
      </c>
      <c r="AW6" s="71">
        <f t="shared" si="1"/>
        <v>800</v>
      </c>
      <c r="AX6" s="71">
        <f t="shared" si="1"/>
        <v>800</v>
      </c>
      <c r="AY6" s="71">
        <f t="shared" si="1"/>
        <v>800</v>
      </c>
      <c r="AZ6" s="71">
        <f t="shared" si="1"/>
        <v>800</v>
      </c>
      <c r="BA6" s="71">
        <f t="shared" si="1"/>
        <v>800</v>
      </c>
      <c r="BB6" s="71">
        <f t="shared" si="1"/>
        <v>1500</v>
      </c>
      <c r="BC6" s="71">
        <f t="shared" si="1"/>
        <v>1500</v>
      </c>
      <c r="BD6" s="71">
        <f t="shared" si="1"/>
        <v>1500</v>
      </c>
      <c r="BE6" s="71">
        <f t="shared" si="1"/>
        <v>1500</v>
      </c>
      <c r="BF6" s="71">
        <f t="shared" si="1"/>
        <v>1500</v>
      </c>
      <c r="BG6" s="71">
        <f t="shared" si="5"/>
        <v>1500</v>
      </c>
    </row>
    <row r="7" spans="1:59" x14ac:dyDescent="0.25">
      <c r="A7" s="3" t="s">
        <v>224</v>
      </c>
      <c r="B7" s="82" t="s">
        <v>43</v>
      </c>
      <c r="C7" s="3" t="s">
        <v>16</v>
      </c>
      <c r="D7" s="88"/>
      <c r="E7" s="88"/>
      <c r="F7" s="88"/>
      <c r="G7" s="88"/>
      <c r="H7" s="88"/>
      <c r="I7" s="88">
        <f>IF(設計案成本估算!$B$5&gt;0,90*設計案成本估算!$B$5,0)</f>
        <v>90</v>
      </c>
      <c r="J7" s="88"/>
      <c r="K7" s="88"/>
      <c r="L7" s="88"/>
      <c r="M7" s="88"/>
      <c r="N7" s="88">
        <f>IF(設計案成本估算!$B$5&gt;0,115*設計案成本估算!$B$5,0)</f>
        <v>115</v>
      </c>
      <c r="O7" s="88"/>
      <c r="P7" s="88"/>
      <c r="Q7" s="88"/>
      <c r="R7" s="88"/>
      <c r="S7" s="88">
        <f>IF(設計案成本估算!$B$5&gt;0,140*設計案成本估算!$B$5,0)</f>
        <v>140</v>
      </c>
      <c r="T7" s="88"/>
      <c r="U7" s="88"/>
      <c r="V7" s="88"/>
      <c r="W7" s="88"/>
      <c r="X7" s="88">
        <f>IF(設計案成本估算!$B$5&gt;0,175*設計案成本估算!$B$5,0)</f>
        <v>175</v>
      </c>
      <c r="Y7" s="88"/>
      <c r="Z7" s="88"/>
      <c r="AA7" s="88"/>
      <c r="AB7" s="88"/>
      <c r="AC7" s="71">
        <f>SUM(D7:AB7)</f>
        <v>520</v>
      </c>
      <c r="AD7" s="12"/>
      <c r="AE7" s="3" t="s">
        <v>224</v>
      </c>
      <c r="AF7" s="12" t="str">
        <f>B7</f>
        <v>設計</v>
      </c>
      <c r="AG7" s="15" t="str">
        <f>C7</f>
        <v>EUR</v>
      </c>
      <c r="AH7" s="12">
        <f>D7</f>
        <v>0</v>
      </c>
      <c r="AI7" s="71">
        <f t="shared" ref="AI7:BF7" si="6">AH7+E7</f>
        <v>0</v>
      </c>
      <c r="AJ7" s="71">
        <f t="shared" si="6"/>
        <v>0</v>
      </c>
      <c r="AK7" s="71">
        <f t="shared" si="6"/>
        <v>0</v>
      </c>
      <c r="AL7" s="71">
        <f t="shared" si="6"/>
        <v>0</v>
      </c>
      <c r="AM7" s="71">
        <f t="shared" si="6"/>
        <v>90</v>
      </c>
      <c r="AN7" s="71">
        <f t="shared" si="6"/>
        <v>90</v>
      </c>
      <c r="AO7" s="71">
        <f t="shared" si="6"/>
        <v>90</v>
      </c>
      <c r="AP7" s="71">
        <f t="shared" si="6"/>
        <v>90</v>
      </c>
      <c r="AQ7" s="71">
        <f t="shared" si="6"/>
        <v>90</v>
      </c>
      <c r="AR7" s="71">
        <f t="shared" si="6"/>
        <v>205</v>
      </c>
      <c r="AS7" s="71">
        <f t="shared" si="6"/>
        <v>205</v>
      </c>
      <c r="AT7" s="71">
        <f t="shared" si="6"/>
        <v>205</v>
      </c>
      <c r="AU7" s="71">
        <f t="shared" si="6"/>
        <v>205</v>
      </c>
      <c r="AV7" s="71">
        <f t="shared" si="6"/>
        <v>205</v>
      </c>
      <c r="AW7" s="71">
        <f t="shared" si="6"/>
        <v>345</v>
      </c>
      <c r="AX7" s="71">
        <f t="shared" si="6"/>
        <v>345</v>
      </c>
      <c r="AY7" s="71">
        <f t="shared" si="6"/>
        <v>345</v>
      </c>
      <c r="AZ7" s="71">
        <f t="shared" si="6"/>
        <v>345</v>
      </c>
      <c r="BA7" s="71">
        <f t="shared" si="6"/>
        <v>345</v>
      </c>
      <c r="BB7" s="71">
        <f t="shared" si="6"/>
        <v>520</v>
      </c>
      <c r="BC7" s="71">
        <f t="shared" si="6"/>
        <v>520</v>
      </c>
      <c r="BD7" s="71">
        <f t="shared" si="6"/>
        <v>520</v>
      </c>
      <c r="BE7" s="71">
        <f t="shared" si="6"/>
        <v>520</v>
      </c>
      <c r="BF7" s="71">
        <f t="shared" si="6"/>
        <v>520</v>
      </c>
      <c r="BG7" s="71">
        <f>BF7</f>
        <v>520</v>
      </c>
    </row>
    <row r="8" spans="1:59" x14ac:dyDescent="0.25">
      <c r="A8" s="81" t="s">
        <v>5</v>
      </c>
      <c r="B8" s="82" t="s">
        <v>43</v>
      </c>
      <c r="C8" s="3" t="s">
        <v>17</v>
      </c>
      <c r="D8" s="88"/>
      <c r="E8" s="88"/>
      <c r="F8" s="88"/>
      <c r="G8" s="88">
        <f>IF(設計案成本估算!$B$5&gt;0,16900*設計案成本估算!$B$5,0)</f>
        <v>16900</v>
      </c>
      <c r="H8" s="88">
        <f>IF(設計案成本估算!$B$5&gt;0,16900*設計案成本估算!$B$5,0)</f>
        <v>16900</v>
      </c>
      <c r="I8" s="88">
        <f>IF(設計案成本估算!$B$5&gt;0,16900*設計案成本估算!$B$5,0)</f>
        <v>16900</v>
      </c>
      <c r="J8" s="88">
        <f>IF(設計案成本估算!$B$5&gt;0,16900*設計案成本估算!$B$5,0)</f>
        <v>16900</v>
      </c>
      <c r="K8" s="88">
        <f>IF(設計案成本估算!$B$5&gt;0,16900*設計案成本估算!$B$5,0)</f>
        <v>16900</v>
      </c>
      <c r="L8" s="88">
        <f>IF(設計案成本估算!$B$5&gt;0,16900*設計案成本估算!$B$5,0)</f>
        <v>16900</v>
      </c>
      <c r="M8" s="88">
        <f>IF(設計案成本估算!$B$5&gt;0,16900*設計案成本估算!$B$5,0)</f>
        <v>16900</v>
      </c>
      <c r="N8" s="88">
        <f>IF(設計案成本估算!$B$5&gt;0,16900*設計案成本估算!$B$5,0)</f>
        <v>16900</v>
      </c>
      <c r="O8" s="88">
        <f>IF(設計案成本估算!$B$5&gt;0,16900*設計案成本估算!$B$5,0)</f>
        <v>16900</v>
      </c>
      <c r="P8" s="88">
        <f>IF(設計案成本估算!$B$5&gt;0,16900*設計案成本估算!$B$5,0)</f>
        <v>16900</v>
      </c>
      <c r="Q8" s="88">
        <f>IF(設計案成本估算!$B$5&gt;0,16900*設計案成本估算!$B$5,0)</f>
        <v>16900</v>
      </c>
      <c r="R8" s="88">
        <f>IF(設計案成本估算!$B$5&gt;0,16900*設計案成本估算!$B$5,0)</f>
        <v>16900</v>
      </c>
      <c r="S8" s="88">
        <f>IF(設計案成本估算!$B$5&gt;0,16900*設計案成本估算!$B$5,0)</f>
        <v>16900</v>
      </c>
      <c r="T8" s="88">
        <f>IF(設計案成本估算!$B$5&gt;0,16900*設計案成本估算!$B$5,0)</f>
        <v>16900</v>
      </c>
      <c r="U8" s="88">
        <f>IF(設計案成本估算!$B$5&gt;0,16900*設計案成本估算!$B$5,0)</f>
        <v>16900</v>
      </c>
      <c r="V8" s="88">
        <f>IF(設計案成本估算!$B$5&gt;0,16900*設計案成本估算!$B$5,0)</f>
        <v>16900</v>
      </c>
      <c r="W8" s="88">
        <f>IF(設計案成本估算!$B$5&gt;0,16900*設計案成本估算!$B$5,0)</f>
        <v>16900</v>
      </c>
      <c r="X8" s="88">
        <f>IF(設計案成本估算!$B$5&gt;0,16900*設計案成本估算!$B$5,0)</f>
        <v>16900</v>
      </c>
      <c r="Y8" s="88">
        <f>IF(設計案成本估算!$B$5&gt;0,16900*設計案成本估算!$B$5,0)</f>
        <v>16900</v>
      </c>
      <c r="Z8" s="88">
        <f>IF(設計案成本估算!$B$5&gt;0,16900*設計案成本估算!$B$5,0)</f>
        <v>16900</v>
      </c>
      <c r="AA8" s="88">
        <f>IF(設計案成本估算!$B$5&gt;0,16900*設計案成本估算!$B$5,0)</f>
        <v>16900</v>
      </c>
      <c r="AB8" s="88">
        <f>IF(設計案成本估算!$B$5&gt;0,16900*設計案成本估算!$B$5,0)</f>
        <v>16900</v>
      </c>
      <c r="AC8" s="71">
        <f t="shared" si="2"/>
        <v>371800</v>
      </c>
      <c r="AD8" s="12"/>
      <c r="AE8" s="81" t="s">
        <v>5</v>
      </c>
      <c r="AF8" s="12" t="str">
        <f t="shared" si="3"/>
        <v>設計</v>
      </c>
      <c r="AG8" s="15" t="str">
        <f t="shared" si="0"/>
        <v>JPY</v>
      </c>
      <c r="AH8" s="12">
        <f t="shared" si="0"/>
        <v>0</v>
      </c>
      <c r="AI8" s="71">
        <f t="shared" si="4"/>
        <v>0</v>
      </c>
      <c r="AJ8" s="71">
        <f t="shared" si="1"/>
        <v>0</v>
      </c>
      <c r="AK8" s="71">
        <f t="shared" si="1"/>
        <v>16900</v>
      </c>
      <c r="AL8" s="71">
        <f t="shared" si="1"/>
        <v>33800</v>
      </c>
      <c r="AM8" s="71">
        <f t="shared" si="1"/>
        <v>50700</v>
      </c>
      <c r="AN8" s="71">
        <f t="shared" si="1"/>
        <v>67600</v>
      </c>
      <c r="AO8" s="71">
        <f t="shared" si="1"/>
        <v>84500</v>
      </c>
      <c r="AP8" s="71">
        <f t="shared" si="1"/>
        <v>101400</v>
      </c>
      <c r="AQ8" s="71">
        <f t="shared" si="1"/>
        <v>118300</v>
      </c>
      <c r="AR8" s="71">
        <f t="shared" si="1"/>
        <v>135200</v>
      </c>
      <c r="AS8" s="71">
        <f t="shared" si="1"/>
        <v>152100</v>
      </c>
      <c r="AT8" s="71">
        <f t="shared" si="1"/>
        <v>169000</v>
      </c>
      <c r="AU8" s="71">
        <f t="shared" si="1"/>
        <v>185900</v>
      </c>
      <c r="AV8" s="71">
        <f t="shared" si="1"/>
        <v>202800</v>
      </c>
      <c r="AW8" s="71">
        <f t="shared" si="1"/>
        <v>219700</v>
      </c>
      <c r="AX8" s="71">
        <f t="shared" si="1"/>
        <v>236600</v>
      </c>
      <c r="AY8" s="71">
        <f t="shared" si="1"/>
        <v>253500</v>
      </c>
      <c r="AZ8" s="71">
        <f t="shared" si="1"/>
        <v>270400</v>
      </c>
      <c r="BA8" s="71">
        <f t="shared" si="1"/>
        <v>287300</v>
      </c>
      <c r="BB8" s="71">
        <f t="shared" si="1"/>
        <v>304200</v>
      </c>
      <c r="BC8" s="71">
        <f t="shared" si="1"/>
        <v>321100</v>
      </c>
      <c r="BD8" s="71">
        <f t="shared" si="1"/>
        <v>338000</v>
      </c>
      <c r="BE8" s="71">
        <f t="shared" si="1"/>
        <v>354900</v>
      </c>
      <c r="BF8" s="71">
        <f t="shared" si="1"/>
        <v>371800</v>
      </c>
      <c r="BG8" s="71">
        <f t="shared" si="5"/>
        <v>371800</v>
      </c>
    </row>
    <row r="9" spans="1:59" x14ac:dyDescent="0.25">
      <c r="A9" s="81" t="s">
        <v>6</v>
      </c>
      <c r="B9" s="82" t="s">
        <v>43</v>
      </c>
      <c r="C9" s="3" t="s">
        <v>18</v>
      </c>
      <c r="D9" s="88"/>
      <c r="E9" s="88"/>
      <c r="F9" s="88"/>
      <c r="G9" s="88">
        <f>IF(設計案成本估算!$B$5&gt;0,35000*設計案成本估算!$B$5,0)</f>
        <v>35000</v>
      </c>
      <c r="H9" s="88">
        <f>IF(設計案成本估算!$B$5&gt;0,35000*設計案成本估算!$B$5,0)</f>
        <v>35000</v>
      </c>
      <c r="I9" s="88">
        <f>IF(設計案成本估算!$B$5&gt;0,35000*設計案成本估算!$B$5,0)</f>
        <v>35000</v>
      </c>
      <c r="J9" s="88">
        <f>IF(設計案成本估算!$B$5&gt;0,70000*設計案成本估算!$B$5,0)</f>
        <v>70000</v>
      </c>
      <c r="K9" s="88">
        <f>IF(設計案成本估算!$B$5&gt;0,70000*設計案成本估算!$B$5,0)</f>
        <v>70000</v>
      </c>
      <c r="L9" s="88">
        <f>IF(設計案成本估算!$B$5&gt;0,70000*設計案成本估算!$B$5,0)</f>
        <v>70000</v>
      </c>
      <c r="M9" s="88">
        <f>IF(設計案成本估算!$B$5&gt;0,140000*設計案成本估算!$B$5,0)</f>
        <v>140000</v>
      </c>
      <c r="N9" s="88">
        <f>IF(設計案成本估算!$B$5&gt;0,140000*設計案成本估算!$B$5,0)</f>
        <v>140000</v>
      </c>
      <c r="O9" s="88">
        <f>IF(設計案成本估算!$B$5&gt;0,140000*設計案成本估算!$B$5,0)</f>
        <v>140000</v>
      </c>
      <c r="P9" s="88">
        <f>IF(設計案成本估算!$B$5&gt;0,210000*設計案成本估算!$B$5,0)</f>
        <v>210000</v>
      </c>
      <c r="Q9" s="88">
        <f>IF(設計案成本估算!$B$5&gt;0,210000*設計案成本估算!$B$5,0)</f>
        <v>210000</v>
      </c>
      <c r="R9" s="88">
        <f>IF(設計案成本估算!$B$5&gt;0,210000*設計案成本估算!$B$5,0)</f>
        <v>210000</v>
      </c>
      <c r="S9" s="88">
        <f>IF(設計案成本估算!$B$5&gt;0,210000*設計案成本估算!$B$5,0)</f>
        <v>210000</v>
      </c>
      <c r="T9" s="88">
        <f>IF(設計案成本估算!$B$5&gt;0,210000*設計案成本估算!$B$5,0)</f>
        <v>210000</v>
      </c>
      <c r="U9" s="88">
        <f>IF(設計案成本估算!$B$5&gt;0,210000*設計案成本估算!$B$5,0)</f>
        <v>210000</v>
      </c>
      <c r="V9" s="88">
        <f>IF(設計案成本估算!$B$5&gt;0,210000*設計案成本估算!$B$5,0)</f>
        <v>210000</v>
      </c>
      <c r="W9" s="88">
        <f>IF(設計案成本估算!$B$5&gt;0,210000*設計案成本估算!$B$5,0)</f>
        <v>210000</v>
      </c>
      <c r="X9" s="88"/>
      <c r="Y9" s="88"/>
      <c r="Z9" s="88"/>
      <c r="AA9" s="88"/>
      <c r="AB9" s="88"/>
      <c r="AC9" s="71">
        <f t="shared" si="2"/>
        <v>2415000</v>
      </c>
      <c r="AD9" s="12"/>
      <c r="AE9" s="81" t="s">
        <v>6</v>
      </c>
      <c r="AF9" s="12" t="str">
        <f t="shared" si="3"/>
        <v>設計</v>
      </c>
      <c r="AG9" s="15" t="str">
        <f t="shared" si="0"/>
        <v>KRW</v>
      </c>
      <c r="AH9" s="12">
        <f t="shared" si="0"/>
        <v>0</v>
      </c>
      <c r="AI9" s="71">
        <f t="shared" si="4"/>
        <v>0</v>
      </c>
      <c r="AJ9" s="71">
        <f t="shared" si="1"/>
        <v>0</v>
      </c>
      <c r="AK9" s="71">
        <f t="shared" si="1"/>
        <v>35000</v>
      </c>
      <c r="AL9" s="71">
        <f t="shared" si="1"/>
        <v>70000</v>
      </c>
      <c r="AM9" s="71">
        <f t="shared" si="1"/>
        <v>105000</v>
      </c>
      <c r="AN9" s="71">
        <f t="shared" si="1"/>
        <v>175000</v>
      </c>
      <c r="AO9" s="71">
        <f t="shared" si="1"/>
        <v>245000</v>
      </c>
      <c r="AP9" s="71">
        <f t="shared" si="1"/>
        <v>315000</v>
      </c>
      <c r="AQ9" s="71">
        <f t="shared" si="1"/>
        <v>455000</v>
      </c>
      <c r="AR9" s="71">
        <f t="shared" si="1"/>
        <v>595000</v>
      </c>
      <c r="AS9" s="71">
        <f t="shared" si="1"/>
        <v>735000</v>
      </c>
      <c r="AT9" s="71">
        <f t="shared" si="1"/>
        <v>945000</v>
      </c>
      <c r="AU9" s="71">
        <f t="shared" si="1"/>
        <v>1155000</v>
      </c>
      <c r="AV9" s="71">
        <f t="shared" si="1"/>
        <v>1365000</v>
      </c>
      <c r="AW9" s="71">
        <f t="shared" si="1"/>
        <v>1575000</v>
      </c>
      <c r="AX9" s="71">
        <f t="shared" si="1"/>
        <v>1785000</v>
      </c>
      <c r="AY9" s="71">
        <f t="shared" si="1"/>
        <v>1995000</v>
      </c>
      <c r="AZ9" s="71">
        <f t="shared" si="1"/>
        <v>2205000</v>
      </c>
      <c r="BA9" s="71">
        <f t="shared" si="1"/>
        <v>2415000</v>
      </c>
      <c r="BB9" s="71">
        <f t="shared" si="1"/>
        <v>2415000</v>
      </c>
      <c r="BC9" s="71">
        <f t="shared" si="1"/>
        <v>2415000</v>
      </c>
      <c r="BD9" s="71">
        <f t="shared" si="1"/>
        <v>2415000</v>
      </c>
      <c r="BE9" s="71">
        <f t="shared" si="1"/>
        <v>2415000</v>
      </c>
      <c r="BF9" s="71">
        <f t="shared" si="1"/>
        <v>2415000</v>
      </c>
      <c r="BG9" s="71">
        <f t="shared" si="5"/>
        <v>2415000</v>
      </c>
    </row>
    <row r="10" spans="1:59" x14ac:dyDescent="0.25">
      <c r="A10" s="3" t="s">
        <v>35</v>
      </c>
      <c r="B10" s="82" t="s">
        <v>43</v>
      </c>
      <c r="C10" s="3" t="s">
        <v>36</v>
      </c>
      <c r="D10" s="88"/>
      <c r="E10" s="88"/>
      <c r="F10" s="88"/>
      <c r="G10" s="88"/>
      <c r="H10" s="88"/>
      <c r="I10" s="88">
        <f>IF(設計案成本估算!$B$5&gt;0,517.82,0)</f>
        <v>517.82000000000005</v>
      </c>
      <c r="J10" s="88"/>
      <c r="K10" s="88"/>
      <c r="L10" s="88"/>
      <c r="M10" s="88"/>
      <c r="N10" s="88"/>
      <c r="O10" s="88"/>
      <c r="P10" s="88"/>
      <c r="Q10" s="88"/>
      <c r="R10" s="88"/>
      <c r="S10" s="88"/>
      <c r="T10" s="88"/>
      <c r="U10" s="88"/>
      <c r="V10" s="88"/>
      <c r="W10" s="88"/>
      <c r="X10" s="88"/>
      <c r="Y10" s="88"/>
      <c r="Z10" s="88"/>
      <c r="AA10" s="88"/>
      <c r="AB10" s="88"/>
      <c r="AC10" s="71">
        <f>SUM(D10:AB10)</f>
        <v>517.82000000000005</v>
      </c>
      <c r="AD10" s="12"/>
      <c r="AE10" s="3" t="s">
        <v>35</v>
      </c>
      <c r="AF10" s="12" t="str">
        <f>B10</f>
        <v>設計</v>
      </c>
      <c r="AG10" s="15" t="str">
        <f>C10</f>
        <v>CAD</v>
      </c>
      <c r="AH10" s="12">
        <f>D10</f>
        <v>0</v>
      </c>
      <c r="AI10" s="71">
        <f t="shared" ref="AI10:BF10" si="7">AH10+E10</f>
        <v>0</v>
      </c>
      <c r="AJ10" s="71">
        <f t="shared" si="7"/>
        <v>0</v>
      </c>
      <c r="AK10" s="71">
        <f t="shared" si="7"/>
        <v>0</v>
      </c>
      <c r="AL10" s="71">
        <f t="shared" si="7"/>
        <v>0</v>
      </c>
      <c r="AM10" s="71">
        <f t="shared" si="7"/>
        <v>517.82000000000005</v>
      </c>
      <c r="AN10" s="71">
        <f t="shared" si="7"/>
        <v>517.82000000000005</v>
      </c>
      <c r="AO10" s="71">
        <f t="shared" si="7"/>
        <v>517.82000000000005</v>
      </c>
      <c r="AP10" s="71">
        <f t="shared" si="7"/>
        <v>517.82000000000005</v>
      </c>
      <c r="AQ10" s="71">
        <f t="shared" si="7"/>
        <v>517.82000000000005</v>
      </c>
      <c r="AR10" s="71">
        <f t="shared" si="7"/>
        <v>517.82000000000005</v>
      </c>
      <c r="AS10" s="71">
        <f t="shared" si="7"/>
        <v>517.82000000000005</v>
      </c>
      <c r="AT10" s="71">
        <f t="shared" si="7"/>
        <v>517.82000000000005</v>
      </c>
      <c r="AU10" s="71">
        <f t="shared" si="7"/>
        <v>517.82000000000005</v>
      </c>
      <c r="AV10" s="71">
        <f t="shared" si="7"/>
        <v>517.82000000000005</v>
      </c>
      <c r="AW10" s="71">
        <f t="shared" si="7"/>
        <v>517.82000000000005</v>
      </c>
      <c r="AX10" s="71">
        <f t="shared" si="7"/>
        <v>517.82000000000005</v>
      </c>
      <c r="AY10" s="71">
        <f t="shared" si="7"/>
        <v>517.82000000000005</v>
      </c>
      <c r="AZ10" s="71">
        <f t="shared" si="7"/>
        <v>517.82000000000005</v>
      </c>
      <c r="BA10" s="71">
        <f t="shared" si="7"/>
        <v>517.82000000000005</v>
      </c>
      <c r="BB10" s="71">
        <f t="shared" si="7"/>
        <v>517.82000000000005</v>
      </c>
      <c r="BC10" s="71">
        <f t="shared" si="7"/>
        <v>517.82000000000005</v>
      </c>
      <c r="BD10" s="71">
        <f t="shared" si="7"/>
        <v>517.82000000000005</v>
      </c>
      <c r="BE10" s="71">
        <f t="shared" si="7"/>
        <v>517.82000000000005</v>
      </c>
      <c r="BF10" s="71">
        <f t="shared" si="7"/>
        <v>517.82000000000005</v>
      </c>
      <c r="BG10" s="71">
        <f>BF10</f>
        <v>517.82000000000005</v>
      </c>
    </row>
    <row r="11" spans="1:59" x14ac:dyDescent="0.25">
      <c r="A11" s="146" t="s">
        <v>315</v>
      </c>
      <c r="B11" s="82" t="s">
        <v>43</v>
      </c>
      <c r="C11" s="3" t="s">
        <v>317</v>
      </c>
      <c r="D11" s="88"/>
      <c r="E11" s="88"/>
      <c r="F11" s="88"/>
      <c r="G11" s="88"/>
      <c r="H11" s="88"/>
      <c r="I11" s="88">
        <f>IF(設計案成本估算!$B$5&gt;0,400*設計案成本估算!$B$5,0)</f>
        <v>400</v>
      </c>
      <c r="J11" s="88"/>
      <c r="K11" s="88"/>
      <c r="L11" s="88"/>
      <c r="M11" s="88"/>
      <c r="N11" s="88"/>
      <c r="O11" s="88"/>
      <c r="P11" s="88"/>
      <c r="Q11" s="88"/>
      <c r="R11" s="88"/>
      <c r="S11" s="88"/>
      <c r="T11" s="88"/>
      <c r="U11" s="88"/>
      <c r="V11" s="88"/>
      <c r="W11" s="88"/>
      <c r="X11" s="88"/>
      <c r="Y11" s="88"/>
      <c r="Z11" s="88"/>
      <c r="AA11" s="88"/>
      <c r="AB11" s="88"/>
      <c r="AC11" s="71">
        <f>SUM(D11:AB11)</f>
        <v>400</v>
      </c>
      <c r="AD11" s="12"/>
      <c r="AE11" s="81" t="s">
        <v>309</v>
      </c>
      <c r="AF11" s="12" t="str">
        <f>B11</f>
        <v>設計</v>
      </c>
      <c r="AG11" s="15" t="str">
        <f t="shared" ref="AG11" si="8">C11</f>
        <v>AUD</v>
      </c>
      <c r="AH11" s="12">
        <f>D11</f>
        <v>0</v>
      </c>
      <c r="AI11" s="71">
        <f t="shared" ref="AI11:BF11" si="9">AH11+E11</f>
        <v>0</v>
      </c>
      <c r="AJ11" s="71">
        <f t="shared" si="9"/>
        <v>0</v>
      </c>
      <c r="AK11" s="71">
        <f t="shared" si="9"/>
        <v>0</v>
      </c>
      <c r="AL11" s="71">
        <f t="shared" si="9"/>
        <v>0</v>
      </c>
      <c r="AM11" s="71">
        <f t="shared" si="9"/>
        <v>400</v>
      </c>
      <c r="AN11" s="71">
        <f t="shared" si="9"/>
        <v>400</v>
      </c>
      <c r="AO11" s="71">
        <f t="shared" si="9"/>
        <v>400</v>
      </c>
      <c r="AP11" s="71">
        <f t="shared" si="9"/>
        <v>400</v>
      </c>
      <c r="AQ11" s="71">
        <f t="shared" si="9"/>
        <v>400</v>
      </c>
      <c r="AR11" s="71">
        <f t="shared" si="9"/>
        <v>400</v>
      </c>
      <c r="AS11" s="71">
        <f t="shared" si="9"/>
        <v>400</v>
      </c>
      <c r="AT11" s="71">
        <f t="shared" si="9"/>
        <v>400</v>
      </c>
      <c r="AU11" s="71">
        <f t="shared" si="9"/>
        <v>400</v>
      </c>
      <c r="AV11" s="71">
        <f t="shared" si="9"/>
        <v>400</v>
      </c>
      <c r="AW11" s="71">
        <f t="shared" si="9"/>
        <v>400</v>
      </c>
      <c r="AX11" s="71">
        <f t="shared" si="9"/>
        <v>400</v>
      </c>
      <c r="AY11" s="71">
        <f t="shared" si="9"/>
        <v>400</v>
      </c>
      <c r="AZ11" s="71">
        <f t="shared" si="9"/>
        <v>400</v>
      </c>
      <c r="BA11" s="71">
        <f t="shared" si="9"/>
        <v>400</v>
      </c>
      <c r="BB11" s="71">
        <f t="shared" si="9"/>
        <v>400</v>
      </c>
      <c r="BC11" s="71">
        <f t="shared" si="9"/>
        <v>400</v>
      </c>
      <c r="BD11" s="71">
        <f t="shared" si="9"/>
        <v>400</v>
      </c>
      <c r="BE11" s="71">
        <f t="shared" si="9"/>
        <v>400</v>
      </c>
      <c r="BF11" s="71">
        <f t="shared" si="9"/>
        <v>400</v>
      </c>
      <c r="BG11" s="71">
        <f>BF11</f>
        <v>400</v>
      </c>
    </row>
    <row r="12" spans="1:59" x14ac:dyDescent="0.25">
      <c r="A12" s="3" t="s">
        <v>7</v>
      </c>
      <c r="B12" s="82" t="s">
        <v>43</v>
      </c>
      <c r="C12" s="3" t="s">
        <v>19</v>
      </c>
      <c r="D12" s="88"/>
      <c r="E12" s="88"/>
      <c r="F12" s="88"/>
      <c r="G12" s="88"/>
      <c r="H12" s="88"/>
      <c r="I12" s="88">
        <f>IF(設計案成本估算!$B$5&gt;0,220*設計案成本估算!$B$5,0)</f>
        <v>220</v>
      </c>
      <c r="J12" s="88"/>
      <c r="K12" s="88"/>
      <c r="L12" s="88"/>
      <c r="M12" s="88"/>
      <c r="N12" s="88">
        <f>IF(設計案成本估算!$B$5&gt;0,330*設計案成本估算!$B$5,0)</f>
        <v>330</v>
      </c>
      <c r="O12" s="88"/>
      <c r="P12" s="88"/>
      <c r="Q12" s="88"/>
      <c r="R12" s="88"/>
      <c r="S12" s="88"/>
      <c r="T12" s="88"/>
      <c r="U12" s="88"/>
      <c r="V12" s="88"/>
      <c r="W12" s="88"/>
      <c r="X12" s="88"/>
      <c r="Y12" s="88"/>
      <c r="Z12" s="88"/>
      <c r="AA12" s="88"/>
      <c r="AB12" s="88"/>
      <c r="AC12" s="71">
        <f t="shared" si="2"/>
        <v>550</v>
      </c>
      <c r="AD12" s="12"/>
      <c r="AE12" s="3" t="s">
        <v>7</v>
      </c>
      <c r="AF12" s="12" t="str">
        <f t="shared" si="3"/>
        <v>設計</v>
      </c>
      <c r="AG12" s="15" t="str">
        <f t="shared" si="0"/>
        <v>SGD</v>
      </c>
      <c r="AH12" s="12">
        <f t="shared" si="0"/>
        <v>0</v>
      </c>
      <c r="AI12" s="71">
        <f t="shared" si="4"/>
        <v>0</v>
      </c>
      <c r="AJ12" s="71">
        <f t="shared" si="1"/>
        <v>0</v>
      </c>
      <c r="AK12" s="71">
        <f t="shared" si="1"/>
        <v>0</v>
      </c>
      <c r="AL12" s="71">
        <f t="shared" si="1"/>
        <v>0</v>
      </c>
      <c r="AM12" s="71">
        <f t="shared" si="1"/>
        <v>220</v>
      </c>
      <c r="AN12" s="71">
        <f t="shared" si="1"/>
        <v>220</v>
      </c>
      <c r="AO12" s="71">
        <f t="shared" si="1"/>
        <v>220</v>
      </c>
      <c r="AP12" s="71">
        <f t="shared" si="1"/>
        <v>220</v>
      </c>
      <c r="AQ12" s="71">
        <f t="shared" si="1"/>
        <v>220</v>
      </c>
      <c r="AR12" s="71">
        <f t="shared" si="1"/>
        <v>550</v>
      </c>
      <c r="AS12" s="71">
        <f t="shared" si="1"/>
        <v>550</v>
      </c>
      <c r="AT12" s="71">
        <f t="shared" si="1"/>
        <v>550</v>
      </c>
      <c r="AU12" s="71">
        <f t="shared" si="1"/>
        <v>550</v>
      </c>
      <c r="AV12" s="71">
        <f t="shared" si="1"/>
        <v>550</v>
      </c>
      <c r="AW12" s="71">
        <f t="shared" si="1"/>
        <v>550</v>
      </c>
      <c r="AX12" s="71">
        <f t="shared" si="1"/>
        <v>550</v>
      </c>
      <c r="AY12" s="71">
        <f t="shared" si="1"/>
        <v>550</v>
      </c>
      <c r="AZ12" s="71">
        <f t="shared" si="1"/>
        <v>550</v>
      </c>
      <c r="BA12" s="71">
        <f t="shared" si="1"/>
        <v>550</v>
      </c>
      <c r="BB12" s="71">
        <f t="shared" si="1"/>
        <v>550</v>
      </c>
      <c r="BC12" s="71">
        <f t="shared" si="1"/>
        <v>550</v>
      </c>
      <c r="BD12" s="71">
        <f t="shared" si="1"/>
        <v>550</v>
      </c>
      <c r="BE12" s="71">
        <f t="shared" si="1"/>
        <v>550</v>
      </c>
      <c r="BF12" s="71">
        <f t="shared" si="1"/>
        <v>550</v>
      </c>
      <c r="BG12" s="71">
        <f t="shared" si="5"/>
        <v>550</v>
      </c>
    </row>
    <row r="13" spans="1:59" x14ac:dyDescent="0.25">
      <c r="A13" s="81" t="s">
        <v>10</v>
      </c>
      <c r="B13" s="82" t="s">
        <v>43</v>
      </c>
      <c r="C13" s="3" t="s">
        <v>22</v>
      </c>
      <c r="D13" s="88"/>
      <c r="E13" s="88"/>
      <c r="F13" s="88"/>
      <c r="G13" s="88"/>
      <c r="H13" s="88"/>
      <c r="I13" s="88">
        <f>IF(設計案成本估算!$B$5&gt;0,800*設計案成本估算!$B$5,0)</f>
        <v>800</v>
      </c>
      <c r="J13" s="88"/>
      <c r="K13" s="88"/>
      <c r="L13" s="88"/>
      <c r="M13" s="88"/>
      <c r="N13" s="88">
        <f>IF(設計案成本估算!$B$5&gt;0,800*設計案成本估算!$B$5,0)</f>
        <v>800</v>
      </c>
      <c r="O13" s="88"/>
      <c r="P13" s="88"/>
      <c r="Q13" s="88"/>
      <c r="R13" s="88"/>
      <c r="S13" s="88">
        <f>IF(設計案成本估算!$B$5&gt;0,800*設計案成本估算!$B$5,0)</f>
        <v>800</v>
      </c>
      <c r="T13" s="88"/>
      <c r="U13" s="88"/>
      <c r="V13" s="88"/>
      <c r="W13" s="88"/>
      <c r="X13" s="88">
        <f>IF(設計案成本估算!$B$5&gt;0,800*設計案成本估算!$B$5,0)</f>
        <v>800</v>
      </c>
      <c r="Y13" s="88"/>
      <c r="Z13" s="88"/>
      <c r="AA13" s="88"/>
      <c r="AB13" s="88"/>
      <c r="AC13" s="71">
        <f>SUM(D13:AB13)</f>
        <v>3200</v>
      </c>
      <c r="AD13" s="12"/>
      <c r="AE13" s="81" t="s">
        <v>10</v>
      </c>
      <c r="AF13" s="12" t="str">
        <f t="shared" ref="AF13:AH15" si="10">B13</f>
        <v>設計</v>
      </c>
      <c r="AG13" s="15" t="str">
        <f t="shared" si="10"/>
        <v>MYR</v>
      </c>
      <c r="AH13" s="12">
        <f t="shared" si="10"/>
        <v>0</v>
      </c>
      <c r="AI13" s="71">
        <f t="shared" ref="AI13:AR13" si="11">AH13+E13</f>
        <v>0</v>
      </c>
      <c r="AJ13" s="71">
        <f t="shared" si="11"/>
        <v>0</v>
      </c>
      <c r="AK13" s="71">
        <f t="shared" si="11"/>
        <v>0</v>
      </c>
      <c r="AL13" s="71">
        <f t="shared" si="11"/>
        <v>0</v>
      </c>
      <c r="AM13" s="71">
        <f t="shared" si="11"/>
        <v>800</v>
      </c>
      <c r="AN13" s="71">
        <f t="shared" si="11"/>
        <v>800</v>
      </c>
      <c r="AO13" s="71">
        <f t="shared" si="11"/>
        <v>800</v>
      </c>
      <c r="AP13" s="71">
        <f t="shared" si="11"/>
        <v>800</v>
      </c>
      <c r="AQ13" s="71">
        <f t="shared" si="11"/>
        <v>800</v>
      </c>
      <c r="AR13" s="71">
        <f t="shared" si="11"/>
        <v>1600</v>
      </c>
      <c r="AS13" s="71">
        <f t="shared" si="1"/>
        <v>1600</v>
      </c>
      <c r="AT13" s="71">
        <f t="shared" si="1"/>
        <v>1600</v>
      </c>
      <c r="AU13" s="71">
        <f t="shared" si="1"/>
        <v>1600</v>
      </c>
      <c r="AV13" s="71">
        <f t="shared" si="1"/>
        <v>1600</v>
      </c>
      <c r="AW13" s="71">
        <f t="shared" si="1"/>
        <v>2400</v>
      </c>
      <c r="AX13" s="71">
        <f t="shared" si="1"/>
        <v>2400</v>
      </c>
      <c r="AY13" s="71">
        <f t="shared" si="1"/>
        <v>2400</v>
      </c>
      <c r="AZ13" s="71">
        <f t="shared" si="1"/>
        <v>2400</v>
      </c>
      <c r="BA13" s="71">
        <f t="shared" si="1"/>
        <v>2400</v>
      </c>
      <c r="BB13" s="71">
        <f t="shared" si="1"/>
        <v>3200</v>
      </c>
      <c r="BC13" s="71">
        <f t="shared" si="1"/>
        <v>3200</v>
      </c>
      <c r="BD13" s="71">
        <f t="shared" si="1"/>
        <v>3200</v>
      </c>
      <c r="BE13" s="71">
        <f t="shared" si="1"/>
        <v>3200</v>
      </c>
      <c r="BF13" s="71">
        <f t="shared" si="1"/>
        <v>3200</v>
      </c>
      <c r="BG13" s="71">
        <f>BF13</f>
        <v>3200</v>
      </c>
    </row>
    <row r="14" spans="1:59" x14ac:dyDescent="0.25">
      <c r="A14" s="51" t="s">
        <v>116</v>
      </c>
      <c r="B14" s="82" t="s">
        <v>43</v>
      </c>
      <c r="C14" s="3" t="s">
        <v>15</v>
      </c>
      <c r="D14" s="88"/>
      <c r="E14" s="88"/>
      <c r="F14" s="88"/>
      <c r="G14" s="88"/>
      <c r="H14" s="88"/>
      <c r="I14" s="88">
        <f>IF(設計案成本估算!$B$5&gt;0,71+41*(設計案成本估算!$B$5-1),0)</f>
        <v>71</v>
      </c>
      <c r="J14" s="88"/>
      <c r="K14" s="88"/>
      <c r="L14" s="88"/>
      <c r="M14" s="88"/>
      <c r="N14" s="88">
        <f>IF(設計案成本估算!$B$5&gt;0,119+41*(設計案成本估算!$B$5-1),0)</f>
        <v>119</v>
      </c>
      <c r="O14" s="88"/>
      <c r="P14" s="88"/>
      <c r="Q14" s="88"/>
      <c r="R14" s="88"/>
      <c r="S14" s="88"/>
      <c r="T14" s="88"/>
      <c r="U14" s="88"/>
      <c r="V14" s="88"/>
      <c r="W14" s="88"/>
      <c r="X14" s="88"/>
      <c r="Y14" s="88"/>
      <c r="Z14" s="88"/>
      <c r="AA14" s="88"/>
      <c r="AB14" s="88"/>
      <c r="AC14" s="71">
        <f>SUM(D14:AB14)</f>
        <v>190</v>
      </c>
      <c r="AD14" s="12"/>
      <c r="AE14" s="51" t="s">
        <v>116</v>
      </c>
      <c r="AF14" s="12" t="str">
        <f>B14</f>
        <v>設計</v>
      </c>
      <c r="AG14" s="15" t="str">
        <f>C14</f>
        <v>USD</v>
      </c>
      <c r="AH14" s="12">
        <f>D14</f>
        <v>0</v>
      </c>
      <c r="AI14" s="71">
        <f t="shared" ref="AI14:BF14" si="12">AH14+E14</f>
        <v>0</v>
      </c>
      <c r="AJ14" s="71">
        <f t="shared" si="12"/>
        <v>0</v>
      </c>
      <c r="AK14" s="71">
        <f t="shared" si="12"/>
        <v>0</v>
      </c>
      <c r="AL14" s="71">
        <f t="shared" si="12"/>
        <v>0</v>
      </c>
      <c r="AM14" s="71">
        <f t="shared" si="12"/>
        <v>71</v>
      </c>
      <c r="AN14" s="71">
        <f t="shared" si="12"/>
        <v>71</v>
      </c>
      <c r="AO14" s="71">
        <f t="shared" si="12"/>
        <v>71</v>
      </c>
      <c r="AP14" s="71">
        <f t="shared" si="12"/>
        <v>71</v>
      </c>
      <c r="AQ14" s="71">
        <f t="shared" si="12"/>
        <v>71</v>
      </c>
      <c r="AR14" s="71">
        <f t="shared" si="12"/>
        <v>190</v>
      </c>
      <c r="AS14" s="71">
        <f t="shared" si="12"/>
        <v>190</v>
      </c>
      <c r="AT14" s="71">
        <f t="shared" si="12"/>
        <v>190</v>
      </c>
      <c r="AU14" s="71">
        <f t="shared" si="12"/>
        <v>190</v>
      </c>
      <c r="AV14" s="71">
        <f t="shared" si="12"/>
        <v>190</v>
      </c>
      <c r="AW14" s="71">
        <f t="shared" si="12"/>
        <v>190</v>
      </c>
      <c r="AX14" s="71">
        <f t="shared" si="12"/>
        <v>190</v>
      </c>
      <c r="AY14" s="71">
        <f t="shared" si="12"/>
        <v>190</v>
      </c>
      <c r="AZ14" s="71">
        <f t="shared" si="12"/>
        <v>190</v>
      </c>
      <c r="BA14" s="71">
        <f t="shared" si="12"/>
        <v>190</v>
      </c>
      <c r="BB14" s="71">
        <f t="shared" si="12"/>
        <v>190</v>
      </c>
      <c r="BC14" s="71">
        <f t="shared" si="12"/>
        <v>190</v>
      </c>
      <c r="BD14" s="71">
        <f t="shared" si="12"/>
        <v>190</v>
      </c>
      <c r="BE14" s="71">
        <f t="shared" si="12"/>
        <v>190</v>
      </c>
      <c r="BF14" s="71">
        <f t="shared" si="12"/>
        <v>190</v>
      </c>
      <c r="BG14" s="71">
        <f>BF14</f>
        <v>190</v>
      </c>
    </row>
    <row r="15" spans="1:59" x14ac:dyDescent="0.25">
      <c r="A15" s="81" t="s">
        <v>96</v>
      </c>
      <c r="B15" s="82" t="s">
        <v>43</v>
      </c>
      <c r="C15" s="3" t="s">
        <v>15</v>
      </c>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71">
        <f>SUM(D15:AB15)</f>
        <v>0</v>
      </c>
      <c r="AD15" s="12"/>
      <c r="AE15" s="81" t="s">
        <v>96</v>
      </c>
      <c r="AF15" s="12" t="str">
        <f t="shared" si="10"/>
        <v>設計</v>
      </c>
      <c r="AG15" s="15" t="str">
        <f t="shared" si="10"/>
        <v>USD</v>
      </c>
      <c r="AH15" s="12">
        <f t="shared" si="10"/>
        <v>0</v>
      </c>
      <c r="AI15" s="71">
        <f t="shared" si="1"/>
        <v>0</v>
      </c>
      <c r="AJ15" s="71">
        <f t="shared" si="1"/>
        <v>0</v>
      </c>
      <c r="AK15" s="71">
        <f t="shared" si="1"/>
        <v>0</v>
      </c>
      <c r="AL15" s="71">
        <f t="shared" si="1"/>
        <v>0</v>
      </c>
      <c r="AM15" s="71">
        <f t="shared" si="1"/>
        <v>0</v>
      </c>
      <c r="AN15" s="71">
        <f t="shared" si="1"/>
        <v>0</v>
      </c>
      <c r="AO15" s="71">
        <f t="shared" si="1"/>
        <v>0</v>
      </c>
      <c r="AP15" s="71">
        <f t="shared" si="1"/>
        <v>0</v>
      </c>
      <c r="AQ15" s="71">
        <f t="shared" si="1"/>
        <v>0</v>
      </c>
      <c r="AR15" s="71">
        <f t="shared" si="1"/>
        <v>0</v>
      </c>
      <c r="AS15" s="71">
        <f t="shared" si="1"/>
        <v>0</v>
      </c>
      <c r="AT15" s="71">
        <f t="shared" si="1"/>
        <v>0</v>
      </c>
      <c r="AU15" s="71">
        <f t="shared" si="1"/>
        <v>0</v>
      </c>
      <c r="AV15" s="71">
        <f t="shared" si="1"/>
        <v>0</v>
      </c>
      <c r="AW15" s="71">
        <f t="shared" si="1"/>
        <v>0</v>
      </c>
      <c r="AX15" s="71">
        <f t="shared" si="1"/>
        <v>0</v>
      </c>
      <c r="AY15" s="71">
        <f t="shared" si="1"/>
        <v>0</v>
      </c>
      <c r="AZ15" s="71">
        <f t="shared" si="1"/>
        <v>0</v>
      </c>
      <c r="BA15" s="71">
        <f t="shared" si="1"/>
        <v>0</v>
      </c>
      <c r="BB15" s="71">
        <f t="shared" si="1"/>
        <v>0</v>
      </c>
      <c r="BC15" s="71">
        <f t="shared" si="1"/>
        <v>0</v>
      </c>
      <c r="BD15" s="71">
        <f t="shared" si="1"/>
        <v>0</v>
      </c>
      <c r="BE15" s="71">
        <f t="shared" si="1"/>
        <v>0</v>
      </c>
      <c r="BF15" s="71">
        <f t="shared" si="1"/>
        <v>0</v>
      </c>
      <c r="BG15" s="71">
        <f>BF15</f>
        <v>0</v>
      </c>
    </row>
    <row r="16" spans="1:59" x14ac:dyDescent="0.25">
      <c r="A16" s="81" t="s">
        <v>8</v>
      </c>
      <c r="B16" s="82" t="s">
        <v>43</v>
      </c>
      <c r="C16" s="3" t="s">
        <v>20</v>
      </c>
      <c r="D16" s="88"/>
      <c r="E16" s="88"/>
      <c r="F16" s="88"/>
      <c r="G16" s="88"/>
      <c r="H16" s="88"/>
      <c r="I16" s="88">
        <f>IF(設計案成本估算!$B$5&gt;0,1200000+800000*(設計案成本估算!$B$5-1),0)</f>
        <v>1200000</v>
      </c>
      <c r="J16" s="88"/>
      <c r="K16" s="88"/>
      <c r="L16" s="88"/>
      <c r="M16" s="88"/>
      <c r="N16" s="88">
        <f>IF(設計案成本估算!$B$5&gt;0,1200000+800000*(設計案成本估算!$B$5-1),0)</f>
        <v>1200000</v>
      </c>
      <c r="O16" s="88"/>
      <c r="P16" s="88"/>
      <c r="Q16" s="88"/>
      <c r="R16" s="88"/>
      <c r="S16" s="88"/>
      <c r="T16" s="88"/>
      <c r="U16" s="88"/>
      <c r="V16" s="88"/>
      <c r="W16" s="88"/>
      <c r="X16" s="88"/>
      <c r="Y16" s="88"/>
      <c r="Z16" s="88"/>
      <c r="AA16" s="88"/>
      <c r="AB16" s="88"/>
      <c r="AC16" s="71" t="e">
        <f>3000000+IF(#REF!&lt;2,0,2600000*(#REF!-1))</f>
        <v>#REF!</v>
      </c>
      <c r="AD16" s="12"/>
      <c r="AE16" s="81" t="s">
        <v>8</v>
      </c>
      <c r="AF16" s="12" t="str">
        <f t="shared" si="3"/>
        <v>設計</v>
      </c>
      <c r="AG16" s="15" t="str">
        <f t="shared" si="0"/>
        <v>VND</v>
      </c>
      <c r="AH16" s="12">
        <f t="shared" si="0"/>
        <v>0</v>
      </c>
      <c r="AI16" s="71">
        <f t="shared" si="4"/>
        <v>0</v>
      </c>
      <c r="AJ16" s="71">
        <f t="shared" si="4"/>
        <v>0</v>
      </c>
      <c r="AK16" s="71">
        <f t="shared" ref="AK16:AZ17" si="13">AJ16+G16</f>
        <v>0</v>
      </c>
      <c r="AL16" s="71">
        <f t="shared" si="13"/>
        <v>0</v>
      </c>
      <c r="AM16" s="71">
        <f t="shared" si="13"/>
        <v>1200000</v>
      </c>
      <c r="AN16" s="71">
        <f t="shared" si="13"/>
        <v>1200000</v>
      </c>
      <c r="AO16" s="71">
        <f t="shared" si="13"/>
        <v>1200000</v>
      </c>
      <c r="AP16" s="71">
        <f t="shared" si="13"/>
        <v>1200000</v>
      </c>
      <c r="AQ16" s="71">
        <f t="shared" si="13"/>
        <v>1200000</v>
      </c>
      <c r="AR16" s="71">
        <f t="shared" si="13"/>
        <v>2400000</v>
      </c>
      <c r="AS16" s="71">
        <f t="shared" si="13"/>
        <v>2400000</v>
      </c>
      <c r="AT16" s="71">
        <f t="shared" si="13"/>
        <v>2400000</v>
      </c>
      <c r="AU16" s="71">
        <f t="shared" si="13"/>
        <v>2400000</v>
      </c>
      <c r="AV16" s="71">
        <f t="shared" si="13"/>
        <v>2400000</v>
      </c>
      <c r="AW16" s="71">
        <f t="shared" si="13"/>
        <v>2400000</v>
      </c>
      <c r="AX16" s="71">
        <f t="shared" si="13"/>
        <v>2400000</v>
      </c>
      <c r="AY16" s="71">
        <f t="shared" si="13"/>
        <v>2400000</v>
      </c>
      <c r="AZ16" s="71">
        <f t="shared" si="13"/>
        <v>2400000</v>
      </c>
      <c r="BA16" s="71">
        <f t="shared" ref="BA16:BF17" si="14">AZ16+W16</f>
        <v>2400000</v>
      </c>
      <c r="BB16" s="71">
        <f t="shared" si="14"/>
        <v>2400000</v>
      </c>
      <c r="BC16" s="71">
        <f t="shared" si="14"/>
        <v>2400000</v>
      </c>
      <c r="BD16" s="71">
        <f t="shared" si="14"/>
        <v>2400000</v>
      </c>
      <c r="BE16" s="71">
        <f t="shared" si="14"/>
        <v>2400000</v>
      </c>
      <c r="BF16" s="71">
        <f t="shared" si="14"/>
        <v>2400000</v>
      </c>
      <c r="BG16" s="71">
        <f t="shared" si="5"/>
        <v>2400000</v>
      </c>
    </row>
    <row r="17" spans="1:59" ht="15.75" customHeight="1" x14ac:dyDescent="0.25">
      <c r="A17" s="81" t="s">
        <v>9</v>
      </c>
      <c r="B17" s="82" t="s">
        <v>43</v>
      </c>
      <c r="C17" s="3" t="s">
        <v>21</v>
      </c>
      <c r="D17" s="88"/>
      <c r="E17" s="88"/>
      <c r="F17" s="88"/>
      <c r="G17" s="88"/>
      <c r="H17" s="88">
        <f>IF(設計案成本估算!$B$5&gt;0,500*設計案成本估算!$B$5,0)</f>
        <v>500</v>
      </c>
      <c r="I17" s="88">
        <f>IF(設計案成本估算!$B$5&gt;0,650*設計案成本估算!$B$5,0)</f>
        <v>650</v>
      </c>
      <c r="J17" s="88">
        <f>IF(設計案成本估算!$B$5&gt;0,950*設計案成本估算!$B$5,0)</f>
        <v>950</v>
      </c>
      <c r="K17" s="88">
        <f>IF(設計案成本估算!$B$5&gt;0,1400*設計案成本估算!$B$5,0)</f>
        <v>1400</v>
      </c>
      <c r="L17" s="88">
        <f>IF(設計案成本估算!$B$5&gt;0,2000*設計案成本估算!$B$5,0)</f>
        <v>2000</v>
      </c>
      <c r="M17" s="88">
        <f>IF(設計案成本估算!$B$5&gt;0,2750*設計案成本估算!$B$5,0)</f>
        <v>2750</v>
      </c>
      <c r="N17" s="88"/>
      <c r="O17" s="88"/>
      <c r="P17" s="88"/>
      <c r="Q17" s="88"/>
      <c r="R17" s="88"/>
      <c r="S17" s="88"/>
      <c r="T17" s="88"/>
      <c r="U17" s="88"/>
      <c r="V17" s="88"/>
      <c r="W17" s="88"/>
      <c r="X17" s="88"/>
      <c r="Y17" s="88"/>
      <c r="Z17" s="88"/>
      <c r="AA17" s="88"/>
      <c r="AB17" s="88"/>
      <c r="AC17" s="71">
        <f t="shared" si="2"/>
        <v>8250</v>
      </c>
      <c r="AD17" s="12"/>
      <c r="AE17" s="81" t="s">
        <v>9</v>
      </c>
      <c r="AF17" s="12" t="str">
        <f t="shared" si="3"/>
        <v>設計</v>
      </c>
      <c r="AG17" s="15" t="str">
        <f t="shared" si="0"/>
        <v>THB</v>
      </c>
      <c r="AH17" s="12">
        <f t="shared" si="0"/>
        <v>0</v>
      </c>
      <c r="AI17" s="71">
        <f t="shared" si="4"/>
        <v>0</v>
      </c>
      <c r="AJ17" s="71">
        <f t="shared" si="4"/>
        <v>0</v>
      </c>
      <c r="AK17" s="71">
        <f t="shared" si="13"/>
        <v>0</v>
      </c>
      <c r="AL17" s="71">
        <f t="shared" si="13"/>
        <v>500</v>
      </c>
      <c r="AM17" s="71">
        <f t="shared" si="13"/>
        <v>1150</v>
      </c>
      <c r="AN17" s="71">
        <f t="shared" si="13"/>
        <v>2100</v>
      </c>
      <c r="AO17" s="71">
        <f t="shared" si="13"/>
        <v>3500</v>
      </c>
      <c r="AP17" s="71">
        <f t="shared" si="13"/>
        <v>5500</v>
      </c>
      <c r="AQ17" s="71">
        <f t="shared" si="13"/>
        <v>8250</v>
      </c>
      <c r="AR17" s="71">
        <f t="shared" si="13"/>
        <v>8250</v>
      </c>
      <c r="AS17" s="71">
        <f t="shared" si="13"/>
        <v>8250</v>
      </c>
      <c r="AT17" s="71">
        <f t="shared" si="13"/>
        <v>8250</v>
      </c>
      <c r="AU17" s="71">
        <f t="shared" si="13"/>
        <v>8250</v>
      </c>
      <c r="AV17" s="71">
        <f t="shared" si="13"/>
        <v>8250</v>
      </c>
      <c r="AW17" s="71">
        <f t="shared" si="13"/>
        <v>8250</v>
      </c>
      <c r="AX17" s="71">
        <f t="shared" si="13"/>
        <v>8250</v>
      </c>
      <c r="AY17" s="71">
        <f t="shared" si="13"/>
        <v>8250</v>
      </c>
      <c r="AZ17" s="71">
        <f t="shared" si="13"/>
        <v>8250</v>
      </c>
      <c r="BA17" s="71">
        <f t="shared" si="14"/>
        <v>8250</v>
      </c>
      <c r="BB17" s="71">
        <f t="shared" si="14"/>
        <v>8250</v>
      </c>
      <c r="BC17" s="71">
        <f t="shared" si="14"/>
        <v>8250</v>
      </c>
      <c r="BD17" s="71">
        <f t="shared" si="14"/>
        <v>8250</v>
      </c>
      <c r="BE17" s="71">
        <f t="shared" si="14"/>
        <v>8250</v>
      </c>
      <c r="BF17" s="71">
        <f t="shared" si="14"/>
        <v>8250</v>
      </c>
      <c r="BG17" s="71">
        <f t="shared" si="5"/>
        <v>8250</v>
      </c>
    </row>
    <row r="18" spans="1:59" x14ac:dyDescent="0.25">
      <c r="A18" s="81" t="s">
        <v>309</v>
      </c>
      <c r="B18" s="82" t="s">
        <v>43</v>
      </c>
      <c r="C18" s="3" t="s">
        <v>15</v>
      </c>
      <c r="D18" s="88"/>
      <c r="E18" s="88"/>
      <c r="F18" s="88"/>
      <c r="G18" s="88"/>
      <c r="H18" s="88"/>
      <c r="I18" s="88"/>
      <c r="J18" s="88"/>
      <c r="K18" s="88"/>
      <c r="L18" s="88"/>
      <c r="M18" s="88"/>
      <c r="N18" s="88">
        <f>IF(設計案成本估算!$B$5&gt;0,114*設計案成本估算!$B$5,0)</f>
        <v>114</v>
      </c>
      <c r="O18" s="88"/>
      <c r="P18" s="88"/>
      <c r="Q18" s="88"/>
      <c r="R18" s="88"/>
      <c r="S18" s="88"/>
      <c r="T18" s="88"/>
      <c r="U18" s="88"/>
      <c r="V18" s="88"/>
      <c r="W18" s="88"/>
      <c r="X18" s="88"/>
      <c r="Y18" s="88"/>
      <c r="Z18" s="88"/>
      <c r="AA18" s="88"/>
      <c r="AB18" s="88"/>
      <c r="AC18" s="71">
        <f>SUM(D18:AB18)</f>
        <v>114</v>
      </c>
      <c r="AD18" s="12"/>
      <c r="AE18" s="81" t="s">
        <v>309</v>
      </c>
      <c r="AF18" s="12" t="str">
        <f>B18</f>
        <v>設計</v>
      </c>
      <c r="AG18" s="15" t="str">
        <f t="shared" si="0"/>
        <v>USD</v>
      </c>
      <c r="AH18" s="12">
        <f>D18</f>
        <v>0</v>
      </c>
      <c r="AI18" s="71">
        <f t="shared" ref="AI18" si="15">AH18+E18</f>
        <v>0</v>
      </c>
      <c r="AJ18" s="71">
        <f t="shared" ref="AJ18" si="16">AI18+F18</f>
        <v>0</v>
      </c>
      <c r="AK18" s="71">
        <f t="shared" ref="AK18" si="17">AJ18+G18</f>
        <v>0</v>
      </c>
      <c r="AL18" s="71">
        <f t="shared" ref="AL18" si="18">AK18+H18</f>
        <v>0</v>
      </c>
      <c r="AM18" s="71">
        <f t="shared" ref="AM18" si="19">AL18+I18</f>
        <v>0</v>
      </c>
      <c r="AN18" s="71">
        <f t="shared" ref="AN18" si="20">AM18+J18</f>
        <v>0</v>
      </c>
      <c r="AO18" s="71">
        <f t="shared" ref="AO18" si="21">AN18+K18</f>
        <v>0</v>
      </c>
      <c r="AP18" s="71">
        <f t="shared" ref="AP18" si="22">AO18+L18</f>
        <v>0</v>
      </c>
      <c r="AQ18" s="71">
        <f t="shared" ref="AQ18" si="23">AP18+M18</f>
        <v>0</v>
      </c>
      <c r="AR18" s="71">
        <f t="shared" ref="AR18" si="24">AQ18+N18</f>
        <v>114</v>
      </c>
      <c r="AS18" s="71">
        <f t="shared" ref="AS18" si="25">AR18+O18</f>
        <v>114</v>
      </c>
      <c r="AT18" s="71">
        <f t="shared" ref="AT18" si="26">AS18+P18</f>
        <v>114</v>
      </c>
      <c r="AU18" s="71">
        <f t="shared" ref="AU18" si="27">AT18+Q18</f>
        <v>114</v>
      </c>
      <c r="AV18" s="71">
        <f t="shared" ref="AV18" si="28">AU18+R18</f>
        <v>114</v>
      </c>
      <c r="AW18" s="71">
        <f t="shared" ref="AW18" si="29">AV18+S18</f>
        <v>114</v>
      </c>
      <c r="AX18" s="71">
        <f t="shared" ref="AX18" si="30">AW18+T18</f>
        <v>114</v>
      </c>
      <c r="AY18" s="71">
        <f t="shared" ref="AY18" si="31">AX18+U18</f>
        <v>114</v>
      </c>
      <c r="AZ18" s="71">
        <f t="shared" ref="AZ18" si="32">AY18+V18</f>
        <v>114</v>
      </c>
      <c r="BA18" s="71">
        <f t="shared" ref="BA18" si="33">AZ18+W18</f>
        <v>114</v>
      </c>
      <c r="BB18" s="71">
        <f t="shared" ref="BB18" si="34">BA18+X18</f>
        <v>114</v>
      </c>
      <c r="BC18" s="71">
        <f t="shared" ref="BC18" si="35">BB18+Y18</f>
        <v>114</v>
      </c>
      <c r="BD18" s="71">
        <f t="shared" ref="BD18" si="36">BC18+Z18</f>
        <v>114</v>
      </c>
      <c r="BE18" s="71">
        <f t="shared" ref="BE18" si="37">BD18+AA18</f>
        <v>114</v>
      </c>
      <c r="BF18" s="71">
        <f t="shared" ref="BF18" si="38">BE18+AB18</f>
        <v>114</v>
      </c>
      <c r="BG18" s="71">
        <f>BF18</f>
        <v>114</v>
      </c>
    </row>
    <row r="19" spans="1:59" x14ac:dyDescent="0.25">
      <c r="A19" s="5"/>
      <c r="B19" s="82" t="s">
        <v>43</v>
      </c>
      <c r="C19" s="5"/>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71">
        <f t="shared" si="2"/>
        <v>0</v>
      </c>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row>
    <row r="20" spans="1:59" x14ac:dyDescent="0.25">
      <c r="A20" s="143" t="s">
        <v>313</v>
      </c>
      <c r="D20" s="90"/>
      <c r="E20" s="90"/>
      <c r="F20" s="90"/>
      <c r="G20" s="90"/>
      <c r="H20" s="90"/>
      <c r="I20" s="90"/>
      <c r="J20" s="90"/>
      <c r="K20" s="90"/>
      <c r="L20" s="90"/>
      <c r="M20" s="90"/>
      <c r="N20" s="90"/>
      <c r="O20" s="90"/>
      <c r="P20" s="90"/>
      <c r="Q20" s="90"/>
      <c r="R20" s="90"/>
      <c r="S20" s="90"/>
      <c r="T20" s="90"/>
      <c r="U20" s="90"/>
      <c r="V20" s="90"/>
      <c r="W20" s="90"/>
      <c r="X20" s="90"/>
      <c r="Y20" s="90"/>
      <c r="Z20" s="90"/>
      <c r="AA20" s="90"/>
      <c r="AB20" s="90"/>
    </row>
    <row r="21" spans="1:59" x14ac:dyDescent="0.25">
      <c r="A21" s="143" t="s">
        <v>314</v>
      </c>
      <c r="D21" s="90"/>
      <c r="E21" s="90"/>
      <c r="F21" s="90"/>
      <c r="G21" s="90"/>
      <c r="H21" s="90"/>
      <c r="I21" s="90"/>
      <c r="J21" s="90"/>
      <c r="K21" s="90"/>
      <c r="L21" s="90"/>
      <c r="M21" s="90"/>
      <c r="N21" s="90"/>
      <c r="O21" s="90"/>
      <c r="P21" s="90"/>
      <c r="Q21" s="90"/>
      <c r="R21" s="90"/>
      <c r="S21" s="90"/>
      <c r="T21" s="90"/>
      <c r="U21" s="90"/>
      <c r="V21" s="90"/>
      <c r="W21" s="90"/>
      <c r="X21" s="90"/>
      <c r="Y21" s="90"/>
      <c r="Z21" s="90"/>
      <c r="AA21" s="90"/>
      <c r="AB21" s="90"/>
    </row>
    <row r="22" spans="1:59" x14ac:dyDescent="0.25">
      <c r="D22" s="90"/>
      <c r="E22" s="90"/>
      <c r="F22" s="90"/>
      <c r="G22" s="90"/>
      <c r="H22" s="90"/>
      <c r="I22" s="90"/>
      <c r="J22" s="90"/>
      <c r="K22" s="90"/>
      <c r="L22" s="90"/>
      <c r="M22" s="90"/>
      <c r="N22" s="90"/>
      <c r="O22" s="90"/>
      <c r="P22" s="90"/>
      <c r="Q22" s="90"/>
      <c r="R22" s="90"/>
      <c r="S22" s="90"/>
      <c r="T22" s="90"/>
      <c r="U22" s="90"/>
      <c r="V22" s="90"/>
      <c r="W22" s="90"/>
      <c r="X22" s="90"/>
      <c r="Y22" s="90"/>
      <c r="Z22" s="90"/>
      <c r="AA22" s="90"/>
      <c r="AB22" s="90"/>
    </row>
    <row r="23" spans="1:59" s="72" customFormat="1" x14ac:dyDescent="0.25">
      <c r="A23" s="149" t="s">
        <v>172</v>
      </c>
      <c r="B23" s="150"/>
      <c r="C23" s="151"/>
      <c r="D23" s="91" t="s">
        <v>170</v>
      </c>
      <c r="E23" s="92"/>
      <c r="F23" s="92"/>
      <c r="G23" s="92"/>
      <c r="H23" s="92"/>
      <c r="I23" s="92"/>
      <c r="J23" s="92"/>
      <c r="K23" s="92"/>
      <c r="L23" s="92"/>
      <c r="M23" s="92"/>
      <c r="N23" s="92"/>
      <c r="O23" s="92"/>
      <c r="P23" s="92"/>
      <c r="Q23" s="92"/>
      <c r="R23" s="92"/>
      <c r="S23" s="92"/>
      <c r="T23" s="92"/>
      <c r="U23" s="92"/>
      <c r="V23" s="92"/>
      <c r="W23" s="92"/>
      <c r="X23" s="92"/>
      <c r="Y23" s="92"/>
      <c r="Z23" s="92"/>
      <c r="AA23" s="92"/>
      <c r="AB23" s="92"/>
      <c r="AC23" s="70"/>
      <c r="AD23" s="70"/>
      <c r="AE23" s="149" t="s">
        <v>174</v>
      </c>
      <c r="AF23" s="150"/>
      <c r="AG23" s="151"/>
      <c r="AH23" s="73" t="s">
        <v>168</v>
      </c>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row>
    <row r="24" spans="1:59" x14ac:dyDescent="0.25">
      <c r="A24" s="4" t="s">
        <v>90</v>
      </c>
      <c r="B24" s="4" t="s">
        <v>167</v>
      </c>
      <c r="C24" s="4" t="s">
        <v>12</v>
      </c>
      <c r="D24" s="93">
        <v>1</v>
      </c>
      <c r="E24" s="93">
        <v>2</v>
      </c>
      <c r="F24" s="93">
        <v>3</v>
      </c>
      <c r="G24" s="93">
        <v>4</v>
      </c>
      <c r="H24" s="93">
        <v>5</v>
      </c>
      <c r="I24" s="93">
        <v>6</v>
      </c>
      <c r="J24" s="93">
        <v>7</v>
      </c>
      <c r="K24" s="93">
        <v>8</v>
      </c>
      <c r="L24" s="93">
        <v>9</v>
      </c>
      <c r="M24" s="93">
        <v>10</v>
      </c>
      <c r="N24" s="93">
        <v>11</v>
      </c>
      <c r="O24" s="93">
        <v>12</v>
      </c>
      <c r="P24" s="93">
        <v>13</v>
      </c>
      <c r="Q24" s="93">
        <v>14</v>
      </c>
      <c r="R24" s="93">
        <v>15</v>
      </c>
      <c r="S24" s="93">
        <v>16</v>
      </c>
      <c r="T24" s="93">
        <v>17</v>
      </c>
      <c r="U24" s="93">
        <v>18</v>
      </c>
      <c r="V24" s="93">
        <v>19</v>
      </c>
      <c r="W24" s="93">
        <v>20</v>
      </c>
      <c r="X24" s="93">
        <v>21</v>
      </c>
      <c r="Y24" s="93">
        <v>22</v>
      </c>
      <c r="Z24" s="93">
        <v>23</v>
      </c>
      <c r="AA24" s="93">
        <v>24</v>
      </c>
      <c r="AB24" s="93">
        <v>25</v>
      </c>
      <c r="AC24" s="4" t="s">
        <v>166</v>
      </c>
      <c r="AD24" s="4"/>
      <c r="AE24" s="4" t="s">
        <v>90</v>
      </c>
      <c r="AF24" s="4" t="s">
        <v>167</v>
      </c>
      <c r="AG24" s="4" t="s">
        <v>12</v>
      </c>
      <c r="AH24" s="4">
        <v>1</v>
      </c>
      <c r="AI24" s="4">
        <v>2</v>
      </c>
      <c r="AJ24" s="4">
        <v>3</v>
      </c>
      <c r="AK24" s="4">
        <v>4</v>
      </c>
      <c r="AL24" s="4">
        <v>5</v>
      </c>
      <c r="AM24" s="4">
        <v>6</v>
      </c>
      <c r="AN24" s="4">
        <v>7</v>
      </c>
      <c r="AO24" s="4">
        <v>8</v>
      </c>
      <c r="AP24" s="4">
        <v>9</v>
      </c>
      <c r="AQ24" s="4">
        <v>10</v>
      </c>
      <c r="AR24" s="4">
        <v>11</v>
      </c>
      <c r="AS24" s="4">
        <v>12</v>
      </c>
      <c r="AT24" s="4">
        <v>13</v>
      </c>
      <c r="AU24" s="4">
        <v>14</v>
      </c>
      <c r="AV24" s="4">
        <v>15</v>
      </c>
      <c r="AW24" s="4">
        <v>16</v>
      </c>
      <c r="AX24" s="4">
        <v>17</v>
      </c>
      <c r="AY24" s="4">
        <v>18</v>
      </c>
      <c r="AZ24" s="4">
        <v>19</v>
      </c>
      <c r="BA24" s="4">
        <v>20</v>
      </c>
      <c r="BB24" s="4">
        <v>21</v>
      </c>
      <c r="BC24" s="4">
        <v>22</v>
      </c>
      <c r="BD24" s="4">
        <v>23</v>
      </c>
      <c r="BE24" s="4">
        <v>24</v>
      </c>
      <c r="BF24" s="4">
        <v>25</v>
      </c>
      <c r="BG24" s="4" t="s">
        <v>191</v>
      </c>
    </row>
    <row r="25" spans="1:59" x14ac:dyDescent="0.25">
      <c r="A25" s="81" t="s">
        <v>2</v>
      </c>
      <c r="B25" s="82" t="s">
        <v>43</v>
      </c>
      <c r="C25" s="3" t="s">
        <v>13</v>
      </c>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71">
        <f>SUM(D25:AB25)</f>
        <v>0</v>
      </c>
      <c r="AD25" s="12"/>
      <c r="AE25" s="81" t="s">
        <v>2</v>
      </c>
      <c r="AF25" s="12" t="str">
        <f>B25</f>
        <v>設計</v>
      </c>
      <c r="AG25" s="15" t="str">
        <f t="shared" ref="AG25:AH39" si="39">C25</f>
        <v>NTD</v>
      </c>
      <c r="AH25" s="12">
        <f>D25</f>
        <v>0</v>
      </c>
      <c r="AI25" s="71">
        <f>AH25+E25</f>
        <v>0</v>
      </c>
      <c r="AJ25" s="71">
        <f t="shared" ref="AJ25:AY39" si="40">AI25+F25</f>
        <v>0</v>
      </c>
      <c r="AK25" s="71">
        <f t="shared" si="40"/>
        <v>0</v>
      </c>
      <c r="AL25" s="71">
        <f t="shared" si="40"/>
        <v>0</v>
      </c>
      <c r="AM25" s="71">
        <f t="shared" si="40"/>
        <v>0</v>
      </c>
      <c r="AN25" s="71">
        <f t="shared" si="40"/>
        <v>0</v>
      </c>
      <c r="AO25" s="71">
        <f t="shared" si="40"/>
        <v>0</v>
      </c>
      <c r="AP25" s="71">
        <f t="shared" si="40"/>
        <v>0</v>
      </c>
      <c r="AQ25" s="71">
        <f t="shared" si="40"/>
        <v>0</v>
      </c>
      <c r="AR25" s="71">
        <f t="shared" si="40"/>
        <v>0</v>
      </c>
      <c r="AS25" s="71">
        <f t="shared" si="40"/>
        <v>0</v>
      </c>
      <c r="AT25" s="71">
        <f t="shared" si="40"/>
        <v>0</v>
      </c>
      <c r="AU25" s="71">
        <f t="shared" si="40"/>
        <v>0</v>
      </c>
      <c r="AV25" s="71">
        <f t="shared" si="40"/>
        <v>0</v>
      </c>
      <c r="AW25" s="71">
        <f t="shared" si="40"/>
        <v>0</v>
      </c>
      <c r="AX25" s="71">
        <f t="shared" si="40"/>
        <v>0</v>
      </c>
      <c r="AY25" s="71">
        <f t="shared" si="40"/>
        <v>0</v>
      </c>
      <c r="AZ25" s="71">
        <f t="shared" ref="AZ25:BF39" si="41">AY25+V25</f>
        <v>0</v>
      </c>
      <c r="BA25" s="71">
        <f t="shared" si="41"/>
        <v>0</v>
      </c>
      <c r="BB25" s="71">
        <f t="shared" si="41"/>
        <v>0</v>
      </c>
      <c r="BC25" s="71">
        <f t="shared" si="41"/>
        <v>0</v>
      </c>
      <c r="BD25" s="71">
        <f t="shared" si="41"/>
        <v>0</v>
      </c>
      <c r="BE25" s="71">
        <f t="shared" si="41"/>
        <v>0</v>
      </c>
      <c r="BF25" s="71">
        <f t="shared" si="41"/>
        <v>0</v>
      </c>
      <c r="BG25" s="71">
        <f>BF25</f>
        <v>0</v>
      </c>
    </row>
    <row r="26" spans="1:59" x14ac:dyDescent="0.25">
      <c r="A26" s="81" t="s">
        <v>3</v>
      </c>
      <c r="B26" s="82" t="s">
        <v>43</v>
      </c>
      <c r="C26" s="3" t="s">
        <v>14</v>
      </c>
      <c r="D26" s="88"/>
      <c r="E26" s="88">
        <f>IF(設計案成本估算!$B$5&gt;0,ROUNDUP(設計案成本估算!$B$5/10,0)*200,0)</f>
        <v>200</v>
      </c>
      <c r="F26" s="88">
        <f>IF(設計案成本估算!$B$5&gt;0,ROUNDUP(設計案成本估算!$B$5/10,0)*200,0)</f>
        <v>200</v>
      </c>
      <c r="G26" s="88">
        <f>IF(設計案成本估算!$B$5&gt;0,ROUNDUP(設計案成本估算!$B$5/10,0)*200,0)</f>
        <v>200</v>
      </c>
      <c r="H26" s="88">
        <f>IF(設計案成本估算!$B$5&gt;0,ROUNDUP(設計案成本估算!$B$5/10,0)*200,0)</f>
        <v>200</v>
      </c>
      <c r="I26" s="88">
        <f>IF(設計案成本估算!$B$5&gt;0,ROUNDUP(設計案成本估算!$B$5/10,0)*200,0)</f>
        <v>200</v>
      </c>
      <c r="J26" s="88">
        <f>IF(設計案成本估算!$B$5&gt;0,ROUNDUP(設計案成本估算!$B$5/10,0)*200,0)</f>
        <v>200</v>
      </c>
      <c r="K26" s="88">
        <f>IF(設計案成本估算!$B$5&gt;0,ROUNDUP(設計案成本估算!$B$5/10,0)*200,0)</f>
        <v>200</v>
      </c>
      <c r="L26" s="88">
        <f>IF(設計案成本估算!$B$5&gt;0,ROUNDUP(設計案成本估算!$B$5/10,0)*200,0)</f>
        <v>200</v>
      </c>
      <c r="M26" s="88">
        <f>IF(設計案成本估算!$B$5&gt;0,ROUNDUP(設計案成本估算!$B$5/10,0)*200,0)</f>
        <v>200</v>
      </c>
      <c r="N26" s="88">
        <f>IF(設計案成本估算!$B$5&gt;0,ROUNDUP(設計案成本估算!$B$5/10,0)*200,0)</f>
        <v>200</v>
      </c>
      <c r="O26" s="88">
        <f>IF(設計案成本估算!$B$5&gt;0,ROUNDUP(設計案成本估算!$B$5/10,0)*200,0)</f>
        <v>200</v>
      </c>
      <c r="P26" s="88">
        <f>IF(設計案成本估算!$B$5&gt;0,ROUNDUP(設計案成本估算!$B$5/10,0)*200,0)</f>
        <v>200</v>
      </c>
      <c r="Q26" s="88">
        <f>IF(設計案成本估算!$B$5&gt;0,ROUNDUP(設計案成本估算!$B$5/10,0)*200,0)</f>
        <v>200</v>
      </c>
      <c r="R26" s="88">
        <f>IF(設計案成本估算!$B$5&gt;0,ROUNDUP(設計案成本估算!$B$5/10,0)*200,0)</f>
        <v>200</v>
      </c>
      <c r="S26" s="88"/>
      <c r="T26" s="88"/>
      <c r="U26" s="88"/>
      <c r="V26" s="88"/>
      <c r="W26" s="88"/>
      <c r="X26" s="88"/>
      <c r="Y26" s="88"/>
      <c r="Z26" s="88"/>
      <c r="AA26" s="88"/>
      <c r="AB26" s="88"/>
      <c r="AC26" s="71">
        <f t="shared" ref="AC26:AC41" si="42">SUM(D26:AB26)</f>
        <v>2800</v>
      </c>
      <c r="AD26" s="12"/>
      <c r="AE26" s="81" t="s">
        <v>3</v>
      </c>
      <c r="AF26" s="12" t="str">
        <f t="shared" ref="AF26:AF39" si="43">B26</f>
        <v>設計</v>
      </c>
      <c r="AG26" s="15" t="str">
        <f t="shared" si="39"/>
        <v>CNY</v>
      </c>
      <c r="AH26" s="12">
        <f t="shared" si="39"/>
        <v>0</v>
      </c>
      <c r="AI26" s="71">
        <f>AH26+E26</f>
        <v>200</v>
      </c>
      <c r="AJ26" s="71">
        <f t="shared" si="40"/>
        <v>400</v>
      </c>
      <c r="AK26" s="71">
        <f t="shared" si="40"/>
        <v>600</v>
      </c>
      <c r="AL26" s="71">
        <f t="shared" si="40"/>
        <v>800</v>
      </c>
      <c r="AM26" s="71">
        <f t="shared" si="40"/>
        <v>1000</v>
      </c>
      <c r="AN26" s="71">
        <f t="shared" si="40"/>
        <v>1200</v>
      </c>
      <c r="AO26" s="71">
        <f t="shared" si="40"/>
        <v>1400</v>
      </c>
      <c r="AP26" s="71">
        <f t="shared" si="40"/>
        <v>1600</v>
      </c>
      <c r="AQ26" s="71">
        <f t="shared" si="40"/>
        <v>1800</v>
      </c>
      <c r="AR26" s="71">
        <f t="shared" si="40"/>
        <v>2000</v>
      </c>
      <c r="AS26" s="71">
        <f t="shared" si="40"/>
        <v>2200</v>
      </c>
      <c r="AT26" s="71">
        <f t="shared" si="40"/>
        <v>2400</v>
      </c>
      <c r="AU26" s="71">
        <f t="shared" si="40"/>
        <v>2600</v>
      </c>
      <c r="AV26" s="71">
        <f t="shared" si="40"/>
        <v>2800</v>
      </c>
      <c r="AW26" s="71">
        <f t="shared" si="40"/>
        <v>2800</v>
      </c>
      <c r="AX26" s="71">
        <f t="shared" si="40"/>
        <v>2800</v>
      </c>
      <c r="AY26" s="71">
        <f t="shared" si="40"/>
        <v>2800</v>
      </c>
      <c r="AZ26" s="71">
        <f t="shared" si="41"/>
        <v>2800</v>
      </c>
      <c r="BA26" s="71">
        <f t="shared" si="41"/>
        <v>2800</v>
      </c>
      <c r="BB26" s="71">
        <f t="shared" si="41"/>
        <v>2800</v>
      </c>
      <c r="BC26" s="71">
        <f t="shared" si="41"/>
        <v>2800</v>
      </c>
      <c r="BD26" s="71">
        <f t="shared" si="41"/>
        <v>2800</v>
      </c>
      <c r="BE26" s="71">
        <f t="shared" si="41"/>
        <v>2800</v>
      </c>
      <c r="BF26" s="71">
        <f t="shared" si="41"/>
        <v>2800</v>
      </c>
      <c r="BG26" s="71">
        <f t="shared" ref="BG26:BG39" si="44">BF26</f>
        <v>2800</v>
      </c>
    </row>
    <row r="27" spans="1:59" x14ac:dyDescent="0.25">
      <c r="A27" s="3" t="s">
        <v>4</v>
      </c>
      <c r="B27" s="82" t="s">
        <v>43</v>
      </c>
      <c r="C27" s="3" t="s">
        <v>15</v>
      </c>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71">
        <f t="shared" si="42"/>
        <v>0</v>
      </c>
      <c r="AD27" s="12"/>
      <c r="AE27" s="3" t="s">
        <v>4</v>
      </c>
      <c r="AF27" s="12" t="str">
        <f t="shared" si="43"/>
        <v>設計</v>
      </c>
      <c r="AG27" s="15" t="str">
        <f t="shared" si="39"/>
        <v>USD</v>
      </c>
      <c r="AH27" s="12">
        <f t="shared" si="39"/>
        <v>0</v>
      </c>
      <c r="AI27" s="71">
        <f>AH27+E27</f>
        <v>0</v>
      </c>
      <c r="AJ27" s="71">
        <f t="shared" si="40"/>
        <v>0</v>
      </c>
      <c r="AK27" s="71">
        <f t="shared" si="40"/>
        <v>0</v>
      </c>
      <c r="AL27" s="71">
        <f t="shared" si="40"/>
        <v>0</v>
      </c>
      <c r="AM27" s="71">
        <f t="shared" si="40"/>
        <v>0</v>
      </c>
      <c r="AN27" s="71">
        <f t="shared" si="40"/>
        <v>0</v>
      </c>
      <c r="AO27" s="71">
        <f t="shared" si="40"/>
        <v>0</v>
      </c>
      <c r="AP27" s="71">
        <f t="shared" si="40"/>
        <v>0</v>
      </c>
      <c r="AQ27" s="71">
        <f t="shared" si="40"/>
        <v>0</v>
      </c>
      <c r="AR27" s="71">
        <f t="shared" si="40"/>
        <v>0</v>
      </c>
      <c r="AS27" s="71">
        <f t="shared" si="40"/>
        <v>0</v>
      </c>
      <c r="AT27" s="71">
        <f t="shared" si="40"/>
        <v>0</v>
      </c>
      <c r="AU27" s="71">
        <f t="shared" si="40"/>
        <v>0</v>
      </c>
      <c r="AV27" s="71">
        <f t="shared" si="40"/>
        <v>0</v>
      </c>
      <c r="AW27" s="71">
        <f t="shared" si="40"/>
        <v>0</v>
      </c>
      <c r="AX27" s="71">
        <f t="shared" si="40"/>
        <v>0</v>
      </c>
      <c r="AY27" s="71">
        <f t="shared" si="40"/>
        <v>0</v>
      </c>
      <c r="AZ27" s="71">
        <f t="shared" si="41"/>
        <v>0</v>
      </c>
      <c r="BA27" s="71">
        <f t="shared" si="41"/>
        <v>0</v>
      </c>
      <c r="BB27" s="71">
        <f t="shared" si="41"/>
        <v>0</v>
      </c>
      <c r="BC27" s="71">
        <f t="shared" si="41"/>
        <v>0</v>
      </c>
      <c r="BD27" s="71">
        <f t="shared" si="41"/>
        <v>0</v>
      </c>
      <c r="BE27" s="71">
        <f t="shared" si="41"/>
        <v>0</v>
      </c>
      <c r="BF27" s="71">
        <f t="shared" si="41"/>
        <v>0</v>
      </c>
      <c r="BG27" s="71">
        <f t="shared" si="44"/>
        <v>0</v>
      </c>
    </row>
    <row r="28" spans="1:59" x14ac:dyDescent="0.25">
      <c r="A28" s="3" t="s">
        <v>107</v>
      </c>
      <c r="B28" s="82" t="s">
        <v>43</v>
      </c>
      <c r="C28" s="3" t="s">
        <v>16</v>
      </c>
      <c r="D28" s="88"/>
      <c r="E28" s="88"/>
      <c r="F28" s="88"/>
      <c r="G28" s="88"/>
      <c r="H28" s="88"/>
      <c r="I28" s="88">
        <f>IF(設計案成本估算!$B$5&gt;0,100*設計案成本估算!$B$5,0)</f>
        <v>100</v>
      </c>
      <c r="J28" s="88"/>
      <c r="K28" s="88"/>
      <c r="L28" s="88"/>
      <c r="M28" s="88"/>
      <c r="N28" s="88">
        <f>IF(設計案成本估算!$B$5&gt;0,100*設計案成本估算!$B$5,0)</f>
        <v>100</v>
      </c>
      <c r="O28" s="88"/>
      <c r="P28" s="88"/>
      <c r="Q28" s="88"/>
      <c r="R28" s="88"/>
      <c r="S28" s="88">
        <f>IF(設計案成本估算!$B$5&gt;0,100*設計案成本估算!$B$5,0)</f>
        <v>100</v>
      </c>
      <c r="T28" s="88"/>
      <c r="U28" s="88"/>
      <c r="V28" s="88"/>
      <c r="W28" s="88"/>
      <c r="X28" s="88">
        <f>IF(設計案成本估算!$B$5&gt;0,100*設計案成本估算!$B$5,0)</f>
        <v>100</v>
      </c>
      <c r="Y28" s="88"/>
      <c r="Z28" s="88"/>
      <c r="AA28" s="88"/>
      <c r="AB28" s="88"/>
      <c r="AC28" s="71">
        <f t="shared" si="42"/>
        <v>400</v>
      </c>
      <c r="AD28" s="12"/>
      <c r="AE28" s="3" t="s">
        <v>107</v>
      </c>
      <c r="AF28" s="12" t="str">
        <f t="shared" si="43"/>
        <v>設計</v>
      </c>
      <c r="AG28" s="15" t="str">
        <f t="shared" si="39"/>
        <v>EUR</v>
      </c>
      <c r="AH28" s="12">
        <f t="shared" si="39"/>
        <v>0</v>
      </c>
      <c r="AI28" s="71">
        <f>AH28+E28</f>
        <v>0</v>
      </c>
      <c r="AJ28" s="71">
        <f t="shared" si="40"/>
        <v>0</v>
      </c>
      <c r="AK28" s="71">
        <f t="shared" si="40"/>
        <v>0</v>
      </c>
      <c r="AL28" s="71">
        <f t="shared" si="40"/>
        <v>0</v>
      </c>
      <c r="AM28" s="71">
        <f t="shared" si="40"/>
        <v>100</v>
      </c>
      <c r="AN28" s="71">
        <f t="shared" si="40"/>
        <v>100</v>
      </c>
      <c r="AO28" s="71">
        <f t="shared" si="40"/>
        <v>100</v>
      </c>
      <c r="AP28" s="71">
        <f t="shared" si="40"/>
        <v>100</v>
      </c>
      <c r="AQ28" s="71">
        <f t="shared" si="40"/>
        <v>100</v>
      </c>
      <c r="AR28" s="71">
        <f t="shared" si="40"/>
        <v>200</v>
      </c>
      <c r="AS28" s="71">
        <f t="shared" si="40"/>
        <v>200</v>
      </c>
      <c r="AT28" s="71">
        <f t="shared" si="40"/>
        <v>200</v>
      </c>
      <c r="AU28" s="71">
        <f t="shared" si="40"/>
        <v>200</v>
      </c>
      <c r="AV28" s="71">
        <f t="shared" si="40"/>
        <v>200</v>
      </c>
      <c r="AW28" s="71">
        <f t="shared" si="40"/>
        <v>300</v>
      </c>
      <c r="AX28" s="71">
        <f t="shared" si="40"/>
        <v>300</v>
      </c>
      <c r="AY28" s="71">
        <f t="shared" si="40"/>
        <v>300</v>
      </c>
      <c r="AZ28" s="71">
        <f t="shared" si="41"/>
        <v>300</v>
      </c>
      <c r="BA28" s="71">
        <f t="shared" si="41"/>
        <v>300</v>
      </c>
      <c r="BB28" s="71">
        <f t="shared" si="41"/>
        <v>400</v>
      </c>
      <c r="BC28" s="71">
        <f t="shared" si="41"/>
        <v>400</v>
      </c>
      <c r="BD28" s="71">
        <f t="shared" si="41"/>
        <v>400</v>
      </c>
      <c r="BE28" s="71">
        <f t="shared" si="41"/>
        <v>400</v>
      </c>
      <c r="BF28" s="71">
        <f t="shared" si="41"/>
        <v>400</v>
      </c>
      <c r="BG28" s="71">
        <f t="shared" si="44"/>
        <v>400</v>
      </c>
    </row>
    <row r="29" spans="1:59" x14ac:dyDescent="0.25">
      <c r="A29" s="3" t="s">
        <v>224</v>
      </c>
      <c r="B29" s="82" t="s">
        <v>43</v>
      </c>
      <c r="C29" s="3" t="s">
        <v>16</v>
      </c>
      <c r="D29" s="88"/>
      <c r="E29" s="88"/>
      <c r="F29" s="88"/>
      <c r="G29" s="88"/>
      <c r="H29" s="88"/>
      <c r="I29" s="88">
        <f>IF(設計案成本估算!$B$5&gt;0,150*設計案成本估算!$B$5,0)</f>
        <v>150</v>
      </c>
      <c r="J29" s="88"/>
      <c r="K29" s="88"/>
      <c r="L29" s="88"/>
      <c r="M29" s="88"/>
      <c r="N29" s="88">
        <f>IF(設計案成本估算!$B$5&gt;0,150*設計案成本估算!$B$5,0)</f>
        <v>150</v>
      </c>
      <c r="O29" s="88"/>
      <c r="P29" s="88"/>
      <c r="Q29" s="88"/>
      <c r="R29" s="88"/>
      <c r="S29" s="88">
        <f>IF(設計案成本估算!$B$5&gt;0,150*設計案成本估算!$B$5,0)</f>
        <v>150</v>
      </c>
      <c r="T29" s="88"/>
      <c r="U29" s="88"/>
      <c r="V29" s="88"/>
      <c r="W29" s="88"/>
      <c r="X29" s="88">
        <f>IF(設計案成本估算!$B$5&gt;0,150*設計案成本估算!$B$5,0)</f>
        <v>150</v>
      </c>
      <c r="Y29" s="88"/>
      <c r="Z29" s="88"/>
      <c r="AA29" s="88"/>
      <c r="AB29" s="88"/>
      <c r="AC29" s="71">
        <f>SUM(D29:AB29)</f>
        <v>600</v>
      </c>
      <c r="AD29" s="12"/>
      <c r="AE29" s="3" t="s">
        <v>224</v>
      </c>
      <c r="AF29" s="12" t="str">
        <f>B29</f>
        <v>設計</v>
      </c>
      <c r="AG29" s="15" t="str">
        <f>C29</f>
        <v>EUR</v>
      </c>
      <c r="AH29" s="12">
        <f>D29</f>
        <v>0</v>
      </c>
      <c r="AI29" s="71">
        <f t="shared" ref="AI29:AY29" si="45">AH29+E29</f>
        <v>0</v>
      </c>
      <c r="AJ29" s="71">
        <f t="shared" si="45"/>
        <v>0</v>
      </c>
      <c r="AK29" s="71">
        <f t="shared" si="45"/>
        <v>0</v>
      </c>
      <c r="AL29" s="71">
        <f t="shared" si="45"/>
        <v>0</v>
      </c>
      <c r="AM29" s="71">
        <f t="shared" si="45"/>
        <v>150</v>
      </c>
      <c r="AN29" s="71">
        <f t="shared" si="45"/>
        <v>150</v>
      </c>
      <c r="AO29" s="71">
        <f t="shared" si="45"/>
        <v>150</v>
      </c>
      <c r="AP29" s="71">
        <f t="shared" si="45"/>
        <v>150</v>
      </c>
      <c r="AQ29" s="71">
        <f t="shared" si="45"/>
        <v>150</v>
      </c>
      <c r="AR29" s="71">
        <f t="shared" si="45"/>
        <v>300</v>
      </c>
      <c r="AS29" s="71">
        <f t="shared" si="45"/>
        <v>300</v>
      </c>
      <c r="AT29" s="71">
        <f t="shared" si="45"/>
        <v>300</v>
      </c>
      <c r="AU29" s="71">
        <f t="shared" si="45"/>
        <v>300</v>
      </c>
      <c r="AV29" s="71">
        <f t="shared" si="45"/>
        <v>300</v>
      </c>
      <c r="AW29" s="71">
        <f t="shared" si="45"/>
        <v>450</v>
      </c>
      <c r="AX29" s="71">
        <f t="shared" si="45"/>
        <v>450</v>
      </c>
      <c r="AY29" s="71">
        <f t="shared" si="45"/>
        <v>450</v>
      </c>
      <c r="AZ29" s="71">
        <f t="shared" ref="AZ29:BF29" si="46">AY29+V29</f>
        <v>450</v>
      </c>
      <c r="BA29" s="71">
        <f t="shared" si="46"/>
        <v>450</v>
      </c>
      <c r="BB29" s="71">
        <f t="shared" si="46"/>
        <v>600</v>
      </c>
      <c r="BC29" s="71">
        <f t="shared" si="46"/>
        <v>600</v>
      </c>
      <c r="BD29" s="71">
        <f t="shared" si="46"/>
        <v>600</v>
      </c>
      <c r="BE29" s="71">
        <f t="shared" si="46"/>
        <v>600</v>
      </c>
      <c r="BF29" s="71">
        <f t="shared" si="46"/>
        <v>600</v>
      </c>
      <c r="BG29" s="71">
        <f>BF29</f>
        <v>600</v>
      </c>
    </row>
    <row r="30" spans="1:59" x14ac:dyDescent="0.25">
      <c r="A30" s="81" t="s">
        <v>5</v>
      </c>
      <c r="B30" s="82" t="s">
        <v>43</v>
      </c>
      <c r="C30" s="3" t="s">
        <v>17</v>
      </c>
      <c r="D30" s="88"/>
      <c r="E30" s="88"/>
      <c r="F30" s="88"/>
      <c r="G30" s="88">
        <f>IF(設計案成本估算!$B$5&gt;0,9000*設計案成本估算!$B$5,0)</f>
        <v>9000</v>
      </c>
      <c r="H30" s="88">
        <f>IF(設計案成本估算!$B$5&gt;0,9000*設計案成本估算!$B$5,0)</f>
        <v>9000</v>
      </c>
      <c r="I30" s="88">
        <f>IF(設計案成本估算!$B$5&gt;0,9000*設計案成本估算!$B$5,0)</f>
        <v>9000</v>
      </c>
      <c r="J30" s="88">
        <f>IF(設計案成本估算!$B$5&gt;0,9000*設計案成本估算!$B$5,0)</f>
        <v>9000</v>
      </c>
      <c r="K30" s="88">
        <f>IF(設計案成本估算!$B$5&gt;0,9000*設計案成本估算!$B$5,0)</f>
        <v>9000</v>
      </c>
      <c r="L30" s="88">
        <f>IF(設計案成本估算!$B$5&gt;0,9000*設計案成本估算!$B$5,0)</f>
        <v>9000</v>
      </c>
      <c r="M30" s="88">
        <f>IF(設計案成本估算!$B$5&gt;0,9000*設計案成本估算!$B$5,0)</f>
        <v>9000</v>
      </c>
      <c r="N30" s="88">
        <f>IF(設計案成本估算!$B$5&gt;0,10000*設計案成本估算!$B$5,0)</f>
        <v>10000</v>
      </c>
      <c r="O30" s="88">
        <f>IF(設計案成本估算!$B$5&gt;0,10000*設計案成本估算!$B$5,0)</f>
        <v>10000</v>
      </c>
      <c r="P30" s="88">
        <f>IF(設計案成本估算!$B$5&gt;0,10000*設計案成本估算!$B$5,0)</f>
        <v>10000</v>
      </c>
      <c r="Q30" s="88">
        <f>IF(設計案成本估算!$B$5&gt;0,10000*設計案成本估算!$B$5,0)</f>
        <v>10000</v>
      </c>
      <c r="R30" s="88">
        <f>IF(設計案成本估算!$B$5&gt;0,10000*設計案成本估算!$B$5,0)</f>
        <v>10000</v>
      </c>
      <c r="S30" s="88">
        <f>IF(設計案成本估算!$B$5&gt;0,10000*設計案成本估算!$B$5,0)</f>
        <v>10000</v>
      </c>
      <c r="T30" s="88">
        <f>IF(設計案成本估算!$B$5&gt;0,10000*設計案成本估算!$B$5,0)</f>
        <v>10000</v>
      </c>
      <c r="U30" s="88">
        <f>IF(設計案成本估算!$B$5&gt;0,10000*設計案成本估算!$B$5,0)</f>
        <v>10000</v>
      </c>
      <c r="V30" s="88">
        <f>IF(設計案成本估算!$B$5&gt;0,10000*設計案成本估算!$B$5,0)</f>
        <v>10000</v>
      </c>
      <c r="W30" s="88">
        <f>IF(設計案成本估算!$B$5&gt;0,10000*設計案成本估算!$B$5,0)</f>
        <v>10000</v>
      </c>
      <c r="X30" s="88">
        <f>IF(設計案成本估算!$B$5&gt;0,10000*設計案成本估算!$B$5,0)</f>
        <v>10000</v>
      </c>
      <c r="Y30" s="88">
        <f>IF(設計案成本估算!$B$5&gt;0,10000*設計案成本估算!$B$5,0)</f>
        <v>10000</v>
      </c>
      <c r="Z30" s="88">
        <f>IF(設計案成本估算!$B$5&gt;0,10000*設計案成本估算!$B$5,0)</f>
        <v>10000</v>
      </c>
      <c r="AA30" s="88">
        <f>IF(設計案成本估算!$B$5&gt;0,10000*設計案成本估算!$B$5,0)</f>
        <v>10000</v>
      </c>
      <c r="AB30" s="88">
        <f>IF(設計案成本估算!$B$5&gt;0,10000*設計案成本估算!$B$5,0)</f>
        <v>10000</v>
      </c>
      <c r="AC30" s="71">
        <f t="shared" si="42"/>
        <v>213000</v>
      </c>
      <c r="AD30" s="12"/>
      <c r="AE30" s="81" t="s">
        <v>5</v>
      </c>
      <c r="AF30" s="12" t="str">
        <f t="shared" si="43"/>
        <v>設計</v>
      </c>
      <c r="AG30" s="15" t="str">
        <f t="shared" si="39"/>
        <v>JPY</v>
      </c>
      <c r="AH30" s="12">
        <f t="shared" si="39"/>
        <v>0</v>
      </c>
      <c r="AI30" s="71">
        <f t="shared" ref="AI30:AI39" si="47">AH30+E30</f>
        <v>0</v>
      </c>
      <c r="AJ30" s="71">
        <f t="shared" si="40"/>
        <v>0</v>
      </c>
      <c r="AK30" s="71">
        <f t="shared" si="40"/>
        <v>9000</v>
      </c>
      <c r="AL30" s="71">
        <f t="shared" si="40"/>
        <v>18000</v>
      </c>
      <c r="AM30" s="71">
        <f t="shared" si="40"/>
        <v>27000</v>
      </c>
      <c r="AN30" s="71">
        <f t="shared" si="40"/>
        <v>36000</v>
      </c>
      <c r="AO30" s="71">
        <f t="shared" si="40"/>
        <v>45000</v>
      </c>
      <c r="AP30" s="71">
        <f t="shared" si="40"/>
        <v>54000</v>
      </c>
      <c r="AQ30" s="71">
        <f t="shared" si="40"/>
        <v>63000</v>
      </c>
      <c r="AR30" s="71">
        <f t="shared" si="40"/>
        <v>73000</v>
      </c>
      <c r="AS30" s="71">
        <f t="shared" si="40"/>
        <v>83000</v>
      </c>
      <c r="AT30" s="71">
        <f t="shared" si="40"/>
        <v>93000</v>
      </c>
      <c r="AU30" s="71">
        <f t="shared" si="40"/>
        <v>103000</v>
      </c>
      <c r="AV30" s="71">
        <f t="shared" si="40"/>
        <v>113000</v>
      </c>
      <c r="AW30" s="71">
        <f t="shared" si="40"/>
        <v>123000</v>
      </c>
      <c r="AX30" s="71">
        <f t="shared" si="40"/>
        <v>133000</v>
      </c>
      <c r="AY30" s="71">
        <f t="shared" si="40"/>
        <v>143000</v>
      </c>
      <c r="AZ30" s="71">
        <f t="shared" si="41"/>
        <v>153000</v>
      </c>
      <c r="BA30" s="71">
        <f t="shared" si="41"/>
        <v>163000</v>
      </c>
      <c r="BB30" s="71">
        <f t="shared" si="41"/>
        <v>173000</v>
      </c>
      <c r="BC30" s="71">
        <f t="shared" si="41"/>
        <v>183000</v>
      </c>
      <c r="BD30" s="71">
        <f t="shared" si="41"/>
        <v>193000</v>
      </c>
      <c r="BE30" s="71">
        <f t="shared" si="41"/>
        <v>203000</v>
      </c>
      <c r="BF30" s="71">
        <f t="shared" si="41"/>
        <v>213000</v>
      </c>
      <c r="BG30" s="71">
        <f t="shared" si="44"/>
        <v>213000</v>
      </c>
    </row>
    <row r="31" spans="1:59" x14ac:dyDescent="0.25">
      <c r="A31" s="81" t="s">
        <v>6</v>
      </c>
      <c r="B31" s="82" t="s">
        <v>43</v>
      </c>
      <c r="C31" s="3" t="s">
        <v>15</v>
      </c>
      <c r="D31" s="88"/>
      <c r="E31" s="88"/>
      <c r="F31" s="88"/>
      <c r="G31" s="88">
        <f>IF(設計案成本估算!$B$5&gt;0,150*設計案成本估算!$B$5,0)</f>
        <v>150</v>
      </c>
      <c r="H31" s="88">
        <f>IF(設計案成本估算!$B$5&gt;0,150*設計案成本估算!$B$5,0)</f>
        <v>150</v>
      </c>
      <c r="I31" s="88">
        <f>IF(設計案成本估算!$B$5&gt;0,150*設計案成本估算!$B$5,0)</f>
        <v>150</v>
      </c>
      <c r="J31" s="88">
        <f>IF(設計案成本估算!$B$5&gt;0,170*設計案成本估算!$B$5,0)</f>
        <v>170</v>
      </c>
      <c r="K31" s="88">
        <f>IF(設計案成本估算!$B$5&gt;0,170*設計案成本估算!$B$5,0)</f>
        <v>170</v>
      </c>
      <c r="L31" s="88">
        <f>IF(設計案成本估算!$B$5&gt;0,170*設計案成本估算!$B$5,0)</f>
        <v>170</v>
      </c>
      <c r="M31" s="88">
        <f>IF(設計案成本估算!$B$5&gt;0,190*設計案成本估算!$B$5,0)</f>
        <v>190</v>
      </c>
      <c r="N31" s="88">
        <f>IF(設計案成本估算!$B$5&gt;0,190*設計案成本估算!$B$5,0)</f>
        <v>190</v>
      </c>
      <c r="O31" s="88">
        <f>IF(設計案成本估算!$B$5&gt;0,190*設計案成本估算!$B$5,0)</f>
        <v>190</v>
      </c>
      <c r="P31" s="88">
        <f>IF(設計案成本估算!$B$5&gt;0,210*設計案成本估算!$B$5,0)</f>
        <v>210</v>
      </c>
      <c r="Q31" s="88">
        <f>IF(設計案成本估算!$B$5&gt;0,210*設計案成本估算!$B$5,0)</f>
        <v>210</v>
      </c>
      <c r="R31" s="88">
        <f>IF(設計案成本估算!$B$5&gt;0,210*設計案成本估算!$B$5,0)</f>
        <v>210</v>
      </c>
      <c r="S31" s="88">
        <f>IF(設計案成本估算!$B$5&gt;0,210*設計案成本估算!$B$5,0)</f>
        <v>210</v>
      </c>
      <c r="T31" s="88">
        <f>IF(設計案成本估算!$B$5&gt;0,210*設計案成本估算!$B$5,0)</f>
        <v>210</v>
      </c>
      <c r="U31" s="88">
        <f>IF(設計案成本估算!$B$5&gt;0,210*設計案成本估算!$B$5,0)</f>
        <v>210</v>
      </c>
      <c r="V31" s="88">
        <f>IF(設計案成本估算!$B$5&gt;0,210*設計案成本估算!$B$5,0)</f>
        <v>210</v>
      </c>
      <c r="W31" s="88">
        <f>IF(設計案成本估算!$B$5&gt;0,210*設計案成本估算!$B$5,0)</f>
        <v>210</v>
      </c>
      <c r="X31" s="88"/>
      <c r="Y31" s="88"/>
      <c r="Z31" s="88"/>
      <c r="AA31" s="88"/>
      <c r="AB31" s="88"/>
      <c r="AC31" s="71">
        <f t="shared" si="42"/>
        <v>3210</v>
      </c>
      <c r="AD31" s="12"/>
      <c r="AE31" s="81" t="s">
        <v>6</v>
      </c>
      <c r="AF31" s="12" t="str">
        <f t="shared" si="43"/>
        <v>設計</v>
      </c>
      <c r="AG31" s="15" t="str">
        <f t="shared" si="39"/>
        <v>USD</v>
      </c>
      <c r="AH31" s="12">
        <f t="shared" si="39"/>
        <v>0</v>
      </c>
      <c r="AI31" s="71">
        <f t="shared" si="47"/>
        <v>0</v>
      </c>
      <c r="AJ31" s="71">
        <f t="shared" si="40"/>
        <v>0</v>
      </c>
      <c r="AK31" s="71">
        <f t="shared" si="40"/>
        <v>150</v>
      </c>
      <c r="AL31" s="71">
        <f t="shared" si="40"/>
        <v>300</v>
      </c>
      <c r="AM31" s="71">
        <f t="shared" si="40"/>
        <v>450</v>
      </c>
      <c r="AN31" s="71">
        <f t="shared" si="40"/>
        <v>620</v>
      </c>
      <c r="AO31" s="71">
        <f t="shared" si="40"/>
        <v>790</v>
      </c>
      <c r="AP31" s="71">
        <f t="shared" si="40"/>
        <v>960</v>
      </c>
      <c r="AQ31" s="71">
        <f t="shared" si="40"/>
        <v>1150</v>
      </c>
      <c r="AR31" s="71">
        <f t="shared" si="40"/>
        <v>1340</v>
      </c>
      <c r="AS31" s="71">
        <f t="shared" si="40"/>
        <v>1530</v>
      </c>
      <c r="AT31" s="71">
        <f t="shared" si="40"/>
        <v>1740</v>
      </c>
      <c r="AU31" s="71">
        <f t="shared" si="40"/>
        <v>1950</v>
      </c>
      <c r="AV31" s="71">
        <f t="shared" si="40"/>
        <v>2160</v>
      </c>
      <c r="AW31" s="71">
        <f t="shared" si="40"/>
        <v>2370</v>
      </c>
      <c r="AX31" s="71">
        <f t="shared" si="40"/>
        <v>2580</v>
      </c>
      <c r="AY31" s="71">
        <f t="shared" si="40"/>
        <v>2790</v>
      </c>
      <c r="AZ31" s="71">
        <f t="shared" si="41"/>
        <v>3000</v>
      </c>
      <c r="BA31" s="71">
        <f t="shared" si="41"/>
        <v>3210</v>
      </c>
      <c r="BB31" s="71">
        <f t="shared" si="41"/>
        <v>3210</v>
      </c>
      <c r="BC31" s="71">
        <f t="shared" si="41"/>
        <v>3210</v>
      </c>
      <c r="BD31" s="71">
        <f t="shared" si="41"/>
        <v>3210</v>
      </c>
      <c r="BE31" s="71">
        <f t="shared" si="41"/>
        <v>3210</v>
      </c>
      <c r="BF31" s="71">
        <f t="shared" si="41"/>
        <v>3210</v>
      </c>
      <c r="BG31" s="71">
        <f t="shared" si="44"/>
        <v>3210</v>
      </c>
    </row>
    <row r="32" spans="1:59" x14ac:dyDescent="0.25">
      <c r="A32" s="3" t="s">
        <v>35</v>
      </c>
      <c r="B32" s="82" t="s">
        <v>43</v>
      </c>
      <c r="C32" s="3" t="s">
        <v>36</v>
      </c>
      <c r="D32" s="88"/>
      <c r="E32" s="88"/>
      <c r="F32" s="88"/>
      <c r="G32" s="88"/>
      <c r="H32" s="88"/>
      <c r="I32" s="88">
        <v>315</v>
      </c>
      <c r="J32" s="88"/>
      <c r="K32" s="88"/>
      <c r="L32" s="88"/>
      <c r="M32" s="88"/>
      <c r="N32" s="88"/>
      <c r="O32" s="88"/>
      <c r="P32" s="88"/>
      <c r="Q32" s="88"/>
      <c r="R32" s="88"/>
      <c r="S32" s="88"/>
      <c r="T32" s="88"/>
      <c r="U32" s="88"/>
      <c r="V32" s="88"/>
      <c r="W32" s="88"/>
      <c r="X32" s="88"/>
      <c r="Y32" s="88"/>
      <c r="Z32" s="88"/>
      <c r="AA32" s="88"/>
      <c r="AB32" s="88"/>
      <c r="AC32" s="71">
        <f>SUM(D32:AB32)</f>
        <v>315</v>
      </c>
      <c r="AD32" s="12"/>
      <c r="AE32" s="3" t="s">
        <v>35</v>
      </c>
      <c r="AF32" s="12" t="str">
        <f t="shared" ref="AF32:AH33" si="48">B32</f>
        <v>設計</v>
      </c>
      <c r="AG32" s="15" t="str">
        <f t="shared" si="48"/>
        <v>CAD</v>
      </c>
      <c r="AH32" s="12">
        <f t="shared" si="48"/>
        <v>0</v>
      </c>
      <c r="AI32" s="71">
        <f t="shared" ref="AI32:BF32" si="49">AH32+E32</f>
        <v>0</v>
      </c>
      <c r="AJ32" s="71">
        <f t="shared" si="49"/>
        <v>0</v>
      </c>
      <c r="AK32" s="71">
        <f t="shared" si="49"/>
        <v>0</v>
      </c>
      <c r="AL32" s="71">
        <f t="shared" si="49"/>
        <v>0</v>
      </c>
      <c r="AM32" s="71">
        <f t="shared" si="49"/>
        <v>315</v>
      </c>
      <c r="AN32" s="71">
        <f t="shared" si="49"/>
        <v>315</v>
      </c>
      <c r="AO32" s="71">
        <f t="shared" si="49"/>
        <v>315</v>
      </c>
      <c r="AP32" s="71">
        <f t="shared" si="49"/>
        <v>315</v>
      </c>
      <c r="AQ32" s="71">
        <f t="shared" si="49"/>
        <v>315</v>
      </c>
      <c r="AR32" s="71">
        <f t="shared" si="49"/>
        <v>315</v>
      </c>
      <c r="AS32" s="71">
        <f t="shared" si="49"/>
        <v>315</v>
      </c>
      <c r="AT32" s="71">
        <f t="shared" si="49"/>
        <v>315</v>
      </c>
      <c r="AU32" s="71">
        <f t="shared" si="49"/>
        <v>315</v>
      </c>
      <c r="AV32" s="71">
        <f t="shared" si="49"/>
        <v>315</v>
      </c>
      <c r="AW32" s="71">
        <f t="shared" si="49"/>
        <v>315</v>
      </c>
      <c r="AX32" s="71">
        <f t="shared" si="49"/>
        <v>315</v>
      </c>
      <c r="AY32" s="71">
        <f t="shared" si="49"/>
        <v>315</v>
      </c>
      <c r="AZ32" s="71">
        <f t="shared" si="49"/>
        <v>315</v>
      </c>
      <c r="BA32" s="71">
        <f t="shared" si="49"/>
        <v>315</v>
      </c>
      <c r="BB32" s="71">
        <f t="shared" si="49"/>
        <v>315</v>
      </c>
      <c r="BC32" s="71">
        <f t="shared" si="49"/>
        <v>315</v>
      </c>
      <c r="BD32" s="71">
        <f t="shared" si="49"/>
        <v>315</v>
      </c>
      <c r="BE32" s="71">
        <f t="shared" si="49"/>
        <v>315</v>
      </c>
      <c r="BF32" s="71">
        <f t="shared" si="49"/>
        <v>315</v>
      </c>
      <c r="BG32" s="71">
        <f>BF32</f>
        <v>315</v>
      </c>
    </row>
    <row r="33" spans="1:59" x14ac:dyDescent="0.25">
      <c r="A33" s="146" t="s">
        <v>315</v>
      </c>
      <c r="B33" s="82" t="s">
        <v>43</v>
      </c>
      <c r="C33" s="3" t="s">
        <v>317</v>
      </c>
      <c r="D33" s="88"/>
      <c r="E33" s="88"/>
      <c r="F33" s="88"/>
      <c r="G33" s="88"/>
      <c r="H33" s="88"/>
      <c r="I33" s="88">
        <f>IF(設計案成本估算!$B$5&gt;0,570*設計案成本估算!$B$5,0)</f>
        <v>570</v>
      </c>
      <c r="J33" s="88"/>
      <c r="K33" s="88"/>
      <c r="L33" s="88"/>
      <c r="M33" s="88"/>
      <c r="N33" s="88"/>
      <c r="O33" s="88"/>
      <c r="P33" s="88"/>
      <c r="Q33" s="88"/>
      <c r="R33" s="88"/>
      <c r="S33" s="88"/>
      <c r="T33" s="88"/>
      <c r="U33" s="88"/>
      <c r="V33" s="88"/>
      <c r="W33" s="88"/>
      <c r="X33" s="88"/>
      <c r="Y33" s="88"/>
      <c r="Z33" s="88"/>
      <c r="AA33" s="88"/>
      <c r="AB33" s="88"/>
      <c r="AC33" s="71">
        <f>SUM(D33:AB33)</f>
        <v>570</v>
      </c>
      <c r="AD33" s="12"/>
      <c r="AE33" s="81" t="s">
        <v>309</v>
      </c>
      <c r="AF33" s="12" t="str">
        <f t="shared" si="48"/>
        <v>設計</v>
      </c>
      <c r="AG33" s="15" t="str">
        <f t="shared" si="48"/>
        <v>AUD</v>
      </c>
      <c r="AH33" s="12">
        <f t="shared" si="48"/>
        <v>0</v>
      </c>
      <c r="AI33" s="71">
        <f t="shared" ref="AI33:BF33" si="50">AH33+E33</f>
        <v>0</v>
      </c>
      <c r="AJ33" s="71">
        <f t="shared" si="50"/>
        <v>0</v>
      </c>
      <c r="AK33" s="71">
        <f t="shared" si="50"/>
        <v>0</v>
      </c>
      <c r="AL33" s="71">
        <f t="shared" si="50"/>
        <v>0</v>
      </c>
      <c r="AM33" s="71">
        <f t="shared" si="50"/>
        <v>570</v>
      </c>
      <c r="AN33" s="71">
        <f t="shared" si="50"/>
        <v>570</v>
      </c>
      <c r="AO33" s="71">
        <f t="shared" si="50"/>
        <v>570</v>
      </c>
      <c r="AP33" s="71">
        <f t="shared" si="50"/>
        <v>570</v>
      </c>
      <c r="AQ33" s="71">
        <f t="shared" si="50"/>
        <v>570</v>
      </c>
      <c r="AR33" s="71">
        <f t="shared" si="50"/>
        <v>570</v>
      </c>
      <c r="AS33" s="71">
        <f t="shared" si="50"/>
        <v>570</v>
      </c>
      <c r="AT33" s="71">
        <f t="shared" si="50"/>
        <v>570</v>
      </c>
      <c r="AU33" s="71">
        <f t="shared" si="50"/>
        <v>570</v>
      </c>
      <c r="AV33" s="71">
        <f t="shared" si="50"/>
        <v>570</v>
      </c>
      <c r="AW33" s="71">
        <f t="shared" si="50"/>
        <v>570</v>
      </c>
      <c r="AX33" s="71">
        <f t="shared" si="50"/>
        <v>570</v>
      </c>
      <c r="AY33" s="71">
        <f t="shared" si="50"/>
        <v>570</v>
      </c>
      <c r="AZ33" s="71">
        <f t="shared" si="50"/>
        <v>570</v>
      </c>
      <c r="BA33" s="71">
        <f t="shared" si="50"/>
        <v>570</v>
      </c>
      <c r="BB33" s="71">
        <f t="shared" si="50"/>
        <v>570</v>
      </c>
      <c r="BC33" s="71">
        <f t="shared" si="50"/>
        <v>570</v>
      </c>
      <c r="BD33" s="71">
        <f t="shared" si="50"/>
        <v>570</v>
      </c>
      <c r="BE33" s="71">
        <f t="shared" si="50"/>
        <v>570</v>
      </c>
      <c r="BF33" s="71">
        <f t="shared" si="50"/>
        <v>570</v>
      </c>
      <c r="BG33" s="71">
        <f>BF33</f>
        <v>570</v>
      </c>
    </row>
    <row r="34" spans="1:59" x14ac:dyDescent="0.25">
      <c r="A34" s="3" t="s">
        <v>7</v>
      </c>
      <c r="B34" s="82" t="s">
        <v>43</v>
      </c>
      <c r="C34" s="3" t="s">
        <v>19</v>
      </c>
      <c r="D34" s="88"/>
      <c r="E34" s="88"/>
      <c r="F34" s="88"/>
      <c r="G34" s="88"/>
      <c r="H34" s="88"/>
      <c r="I34" s="88">
        <f>IF(設計案成本估算!$B$5&gt;0,500*設計案成本估算!$B$5,0)</f>
        <v>500</v>
      </c>
      <c r="J34" s="88"/>
      <c r="K34" s="88"/>
      <c r="L34" s="88"/>
      <c r="M34" s="88"/>
      <c r="N34" s="88">
        <f>IF(設計案成本估算!$B$5&gt;0,400*設計案成本估算!$B$5,0)</f>
        <v>400</v>
      </c>
      <c r="O34" s="88"/>
      <c r="P34" s="88"/>
      <c r="Q34" s="88"/>
      <c r="R34" s="88"/>
      <c r="S34" s="88"/>
      <c r="T34" s="88"/>
      <c r="U34" s="88"/>
      <c r="V34" s="88"/>
      <c r="W34" s="88"/>
      <c r="X34" s="88"/>
      <c r="Y34" s="88"/>
      <c r="Z34" s="88"/>
      <c r="AA34" s="88"/>
      <c r="AB34" s="88"/>
      <c r="AC34" s="71">
        <f t="shared" si="42"/>
        <v>900</v>
      </c>
      <c r="AD34" s="12"/>
      <c r="AE34" s="3" t="s">
        <v>7</v>
      </c>
      <c r="AF34" s="12" t="str">
        <f t="shared" si="43"/>
        <v>設計</v>
      </c>
      <c r="AG34" s="15" t="str">
        <f t="shared" si="39"/>
        <v>SGD</v>
      </c>
      <c r="AH34" s="12">
        <f t="shared" si="39"/>
        <v>0</v>
      </c>
      <c r="AI34" s="71">
        <f t="shared" si="47"/>
        <v>0</v>
      </c>
      <c r="AJ34" s="71">
        <f t="shared" si="40"/>
        <v>0</v>
      </c>
      <c r="AK34" s="71">
        <f t="shared" si="40"/>
        <v>0</v>
      </c>
      <c r="AL34" s="71">
        <f t="shared" si="40"/>
        <v>0</v>
      </c>
      <c r="AM34" s="71">
        <f t="shared" si="40"/>
        <v>500</v>
      </c>
      <c r="AN34" s="71">
        <f t="shared" si="40"/>
        <v>500</v>
      </c>
      <c r="AO34" s="71">
        <f t="shared" si="40"/>
        <v>500</v>
      </c>
      <c r="AP34" s="71">
        <f t="shared" si="40"/>
        <v>500</v>
      </c>
      <c r="AQ34" s="71">
        <f t="shared" si="40"/>
        <v>500</v>
      </c>
      <c r="AR34" s="71">
        <f t="shared" si="40"/>
        <v>900</v>
      </c>
      <c r="AS34" s="71">
        <f t="shared" si="40"/>
        <v>900</v>
      </c>
      <c r="AT34" s="71">
        <f t="shared" si="40"/>
        <v>900</v>
      </c>
      <c r="AU34" s="71">
        <f t="shared" si="40"/>
        <v>900</v>
      </c>
      <c r="AV34" s="71">
        <f t="shared" si="40"/>
        <v>900</v>
      </c>
      <c r="AW34" s="71">
        <f t="shared" si="40"/>
        <v>900</v>
      </c>
      <c r="AX34" s="71">
        <f t="shared" si="40"/>
        <v>900</v>
      </c>
      <c r="AY34" s="71">
        <f t="shared" si="40"/>
        <v>900</v>
      </c>
      <c r="AZ34" s="71">
        <f t="shared" si="41"/>
        <v>900</v>
      </c>
      <c r="BA34" s="71">
        <f t="shared" si="41"/>
        <v>900</v>
      </c>
      <c r="BB34" s="71">
        <f t="shared" si="41"/>
        <v>900</v>
      </c>
      <c r="BC34" s="71">
        <f t="shared" si="41"/>
        <v>900</v>
      </c>
      <c r="BD34" s="71">
        <f t="shared" si="41"/>
        <v>900</v>
      </c>
      <c r="BE34" s="71">
        <f t="shared" si="41"/>
        <v>900</v>
      </c>
      <c r="BF34" s="71">
        <f t="shared" si="41"/>
        <v>900</v>
      </c>
      <c r="BG34" s="71">
        <f t="shared" si="44"/>
        <v>900</v>
      </c>
    </row>
    <row r="35" spans="1:59" x14ac:dyDescent="0.25">
      <c r="A35" s="81" t="s">
        <v>10</v>
      </c>
      <c r="B35" s="82" t="s">
        <v>43</v>
      </c>
      <c r="C35" s="3" t="s">
        <v>22</v>
      </c>
      <c r="D35" s="88"/>
      <c r="E35" s="88"/>
      <c r="F35" s="88"/>
      <c r="G35" s="88"/>
      <c r="H35" s="88"/>
      <c r="I35" s="88">
        <f>IF(設計案成本估算!$B$5&gt;0,600*設計案成本估算!$B$5,0)</f>
        <v>600</v>
      </c>
      <c r="J35" s="88"/>
      <c r="K35" s="88"/>
      <c r="L35" s="88"/>
      <c r="M35" s="88"/>
      <c r="N35" s="88">
        <f>IF(設計案成本估算!$B$5&gt;0,600*設計案成本估算!$B$5,0)</f>
        <v>600</v>
      </c>
      <c r="O35" s="88"/>
      <c r="P35" s="88"/>
      <c r="Q35" s="88"/>
      <c r="R35" s="88"/>
      <c r="S35" s="88">
        <f>IF(設計案成本估算!$B$5&gt;0,600*設計案成本估算!$B$5,0)</f>
        <v>600</v>
      </c>
      <c r="T35" s="88"/>
      <c r="U35" s="88"/>
      <c r="V35" s="88"/>
      <c r="W35" s="88"/>
      <c r="X35" s="88">
        <f>IF(設計案成本估算!$B$5&gt;0,600*設計案成本估算!$B$5,0)</f>
        <v>600</v>
      </c>
      <c r="Y35" s="88"/>
      <c r="Z35" s="88"/>
      <c r="AA35" s="88"/>
      <c r="AB35" s="88"/>
      <c r="AC35" s="71">
        <f>SUM(D35:AB35)</f>
        <v>2400</v>
      </c>
      <c r="AD35" s="12"/>
      <c r="AE35" s="81" t="s">
        <v>10</v>
      </c>
      <c r="AF35" s="12" t="str">
        <f>B35</f>
        <v>設計</v>
      </c>
      <c r="AG35" s="15" t="str">
        <f>C35</f>
        <v>MYR</v>
      </c>
      <c r="AH35" s="12">
        <f>D35</f>
        <v>0</v>
      </c>
      <c r="AI35" s="71">
        <f t="shared" ref="AI35:BF35" si="51">AH35+E35</f>
        <v>0</v>
      </c>
      <c r="AJ35" s="71">
        <f t="shared" si="51"/>
        <v>0</v>
      </c>
      <c r="AK35" s="71">
        <f t="shared" si="51"/>
        <v>0</v>
      </c>
      <c r="AL35" s="71">
        <f t="shared" si="51"/>
        <v>0</v>
      </c>
      <c r="AM35" s="71">
        <f t="shared" si="51"/>
        <v>600</v>
      </c>
      <c r="AN35" s="71">
        <f t="shared" si="51"/>
        <v>600</v>
      </c>
      <c r="AO35" s="71">
        <f t="shared" si="51"/>
        <v>600</v>
      </c>
      <c r="AP35" s="71">
        <f t="shared" si="51"/>
        <v>600</v>
      </c>
      <c r="AQ35" s="71">
        <f t="shared" si="51"/>
        <v>600</v>
      </c>
      <c r="AR35" s="71">
        <f t="shared" si="51"/>
        <v>1200</v>
      </c>
      <c r="AS35" s="71">
        <f t="shared" si="51"/>
        <v>1200</v>
      </c>
      <c r="AT35" s="71">
        <f t="shared" si="51"/>
        <v>1200</v>
      </c>
      <c r="AU35" s="71">
        <f t="shared" si="51"/>
        <v>1200</v>
      </c>
      <c r="AV35" s="71">
        <f t="shared" si="51"/>
        <v>1200</v>
      </c>
      <c r="AW35" s="71">
        <f t="shared" si="51"/>
        <v>1800</v>
      </c>
      <c r="AX35" s="71">
        <f t="shared" si="51"/>
        <v>1800</v>
      </c>
      <c r="AY35" s="71">
        <f t="shared" si="51"/>
        <v>1800</v>
      </c>
      <c r="AZ35" s="71">
        <f t="shared" si="51"/>
        <v>1800</v>
      </c>
      <c r="BA35" s="71">
        <f t="shared" si="51"/>
        <v>1800</v>
      </c>
      <c r="BB35" s="71">
        <f t="shared" si="51"/>
        <v>2400</v>
      </c>
      <c r="BC35" s="71">
        <f t="shared" si="51"/>
        <v>2400</v>
      </c>
      <c r="BD35" s="71">
        <f t="shared" si="51"/>
        <v>2400</v>
      </c>
      <c r="BE35" s="71">
        <f t="shared" si="51"/>
        <v>2400</v>
      </c>
      <c r="BF35" s="71">
        <f t="shared" si="51"/>
        <v>2400</v>
      </c>
      <c r="BG35" s="71">
        <f>BF35</f>
        <v>2400</v>
      </c>
    </row>
    <row r="36" spans="1:59" x14ac:dyDescent="0.25">
      <c r="A36" s="51" t="s">
        <v>116</v>
      </c>
      <c r="B36" s="82" t="s">
        <v>43</v>
      </c>
      <c r="C36" s="3" t="s">
        <v>15</v>
      </c>
      <c r="D36" s="88"/>
      <c r="E36" s="88"/>
      <c r="F36" s="88"/>
      <c r="G36" s="88"/>
      <c r="H36" s="88"/>
      <c r="I36" s="88">
        <f>IF(設計案成本估算!$B$5&gt;0,100,0)</f>
        <v>100</v>
      </c>
      <c r="J36" s="88"/>
      <c r="K36" s="88"/>
      <c r="L36" s="88"/>
      <c r="M36" s="88"/>
      <c r="N36" s="88">
        <f>IF(設計案成本估算!$B$5&gt;0,100,0)</f>
        <v>100</v>
      </c>
      <c r="O36" s="88"/>
      <c r="P36" s="88"/>
      <c r="Q36" s="88"/>
      <c r="R36" s="88"/>
      <c r="S36" s="88"/>
      <c r="T36" s="88"/>
      <c r="U36" s="88"/>
      <c r="V36" s="88"/>
      <c r="W36" s="88"/>
      <c r="X36" s="88"/>
      <c r="Y36" s="88"/>
      <c r="Z36" s="88"/>
      <c r="AA36" s="88"/>
      <c r="AB36" s="88"/>
      <c r="AC36" s="71">
        <f t="shared" si="42"/>
        <v>200</v>
      </c>
      <c r="AD36" s="12"/>
      <c r="AE36" s="51" t="s">
        <v>116</v>
      </c>
      <c r="AF36" s="12" t="str">
        <f t="shared" si="43"/>
        <v>設計</v>
      </c>
      <c r="AG36" s="15" t="str">
        <f t="shared" si="39"/>
        <v>USD</v>
      </c>
      <c r="AH36" s="12">
        <f t="shared" si="39"/>
        <v>0</v>
      </c>
      <c r="AI36" s="71">
        <f t="shared" si="47"/>
        <v>0</v>
      </c>
      <c r="AJ36" s="71">
        <f t="shared" si="40"/>
        <v>0</v>
      </c>
      <c r="AK36" s="71">
        <f t="shared" si="40"/>
        <v>0</v>
      </c>
      <c r="AL36" s="71">
        <f t="shared" si="40"/>
        <v>0</v>
      </c>
      <c r="AM36" s="71">
        <f t="shared" si="40"/>
        <v>100</v>
      </c>
      <c r="AN36" s="71">
        <f t="shared" si="40"/>
        <v>100</v>
      </c>
      <c r="AO36" s="71">
        <f t="shared" si="40"/>
        <v>100</v>
      </c>
      <c r="AP36" s="71">
        <f t="shared" si="40"/>
        <v>100</v>
      </c>
      <c r="AQ36" s="71">
        <f t="shared" si="40"/>
        <v>100</v>
      </c>
      <c r="AR36" s="71">
        <f t="shared" si="40"/>
        <v>200</v>
      </c>
      <c r="AS36" s="71">
        <f t="shared" si="40"/>
        <v>200</v>
      </c>
      <c r="AT36" s="71">
        <f t="shared" si="40"/>
        <v>200</v>
      </c>
      <c r="AU36" s="71">
        <f t="shared" si="40"/>
        <v>200</v>
      </c>
      <c r="AV36" s="71">
        <f t="shared" si="40"/>
        <v>200</v>
      </c>
      <c r="AW36" s="71">
        <f t="shared" si="40"/>
        <v>200</v>
      </c>
      <c r="AX36" s="71">
        <f t="shared" si="40"/>
        <v>200</v>
      </c>
      <c r="AY36" s="71">
        <f t="shared" si="40"/>
        <v>200</v>
      </c>
      <c r="AZ36" s="71">
        <f t="shared" si="41"/>
        <v>200</v>
      </c>
      <c r="BA36" s="71">
        <f t="shared" si="41"/>
        <v>200</v>
      </c>
      <c r="BB36" s="71">
        <f t="shared" si="41"/>
        <v>200</v>
      </c>
      <c r="BC36" s="71">
        <f t="shared" si="41"/>
        <v>200</v>
      </c>
      <c r="BD36" s="71">
        <f t="shared" si="41"/>
        <v>200</v>
      </c>
      <c r="BE36" s="71">
        <f t="shared" si="41"/>
        <v>200</v>
      </c>
      <c r="BF36" s="71">
        <f t="shared" si="41"/>
        <v>200</v>
      </c>
      <c r="BG36" s="71">
        <f t="shared" si="44"/>
        <v>200</v>
      </c>
    </row>
    <row r="37" spans="1:59" x14ac:dyDescent="0.25">
      <c r="A37" s="81" t="s">
        <v>96</v>
      </c>
      <c r="B37" s="82" t="s">
        <v>43</v>
      </c>
      <c r="C37" s="3" t="s">
        <v>15</v>
      </c>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71">
        <f>SUM(D37:AB37)</f>
        <v>0</v>
      </c>
      <c r="AD37" s="12"/>
      <c r="AE37" s="81" t="s">
        <v>96</v>
      </c>
      <c r="AF37" s="12" t="str">
        <f>B37</f>
        <v>設計</v>
      </c>
      <c r="AG37" s="15" t="str">
        <f>C37</f>
        <v>USD</v>
      </c>
      <c r="AH37" s="12">
        <f>D37</f>
        <v>0</v>
      </c>
      <c r="AI37" s="71">
        <f>AH37+E37</f>
        <v>0</v>
      </c>
      <c r="AJ37" s="71">
        <f t="shared" ref="AJ37:AY37" si="52">AI37+F37</f>
        <v>0</v>
      </c>
      <c r="AK37" s="71">
        <f t="shared" si="52"/>
        <v>0</v>
      </c>
      <c r="AL37" s="71">
        <f t="shared" si="52"/>
        <v>0</v>
      </c>
      <c r="AM37" s="71">
        <f t="shared" si="52"/>
        <v>0</v>
      </c>
      <c r="AN37" s="71">
        <f t="shared" si="52"/>
        <v>0</v>
      </c>
      <c r="AO37" s="71">
        <f t="shared" si="52"/>
        <v>0</v>
      </c>
      <c r="AP37" s="71">
        <f t="shared" si="52"/>
        <v>0</v>
      </c>
      <c r="AQ37" s="71">
        <f t="shared" si="52"/>
        <v>0</v>
      </c>
      <c r="AR37" s="71">
        <f t="shared" si="52"/>
        <v>0</v>
      </c>
      <c r="AS37" s="71">
        <f t="shared" si="52"/>
        <v>0</v>
      </c>
      <c r="AT37" s="71">
        <f t="shared" si="52"/>
        <v>0</v>
      </c>
      <c r="AU37" s="71">
        <f t="shared" si="52"/>
        <v>0</v>
      </c>
      <c r="AV37" s="71">
        <f t="shared" si="52"/>
        <v>0</v>
      </c>
      <c r="AW37" s="71">
        <f t="shared" si="52"/>
        <v>0</v>
      </c>
      <c r="AX37" s="71">
        <f t="shared" si="52"/>
        <v>0</v>
      </c>
      <c r="AY37" s="71">
        <f t="shared" si="52"/>
        <v>0</v>
      </c>
      <c r="AZ37" s="71">
        <f t="shared" ref="AZ37:BF37" si="53">AY37+V37</f>
        <v>0</v>
      </c>
      <c r="BA37" s="71">
        <f t="shared" si="53"/>
        <v>0</v>
      </c>
      <c r="BB37" s="71">
        <f t="shared" si="53"/>
        <v>0</v>
      </c>
      <c r="BC37" s="71">
        <f t="shared" si="53"/>
        <v>0</v>
      </c>
      <c r="BD37" s="71">
        <f t="shared" si="53"/>
        <v>0</v>
      </c>
      <c r="BE37" s="71">
        <f t="shared" si="53"/>
        <v>0</v>
      </c>
      <c r="BF37" s="71">
        <f t="shared" si="53"/>
        <v>0</v>
      </c>
      <c r="BG37" s="71">
        <f>BF37</f>
        <v>0</v>
      </c>
    </row>
    <row r="38" spans="1:59" x14ac:dyDescent="0.25">
      <c r="A38" s="81" t="s">
        <v>8</v>
      </c>
      <c r="B38" s="82" t="s">
        <v>43</v>
      </c>
      <c r="C38" s="3" t="s">
        <v>15</v>
      </c>
      <c r="D38" s="88"/>
      <c r="E38" s="88"/>
      <c r="F38" s="88"/>
      <c r="G38" s="88"/>
      <c r="H38" s="88"/>
      <c r="I38" s="88">
        <f>IF(設計案成本估算!$B$5&gt;0,160+11*(設計案成本估算!$B$5-1),0)</f>
        <v>160</v>
      </c>
      <c r="J38" s="88"/>
      <c r="K38" s="88"/>
      <c r="L38" s="88"/>
      <c r="M38" s="88"/>
      <c r="N38" s="88">
        <f>IF(設計案成本估算!$B$5&gt;0,160+11*(設計案成本估算!$B$5-1),0)</f>
        <v>160</v>
      </c>
      <c r="O38" s="88"/>
      <c r="P38" s="88"/>
      <c r="Q38" s="88"/>
      <c r="R38" s="88"/>
      <c r="S38" s="88"/>
      <c r="T38" s="88"/>
      <c r="U38" s="88"/>
      <c r="V38" s="88"/>
      <c r="W38" s="88"/>
      <c r="X38" s="88"/>
      <c r="Y38" s="88"/>
      <c r="Z38" s="88"/>
      <c r="AA38" s="88"/>
      <c r="AB38" s="88"/>
      <c r="AC38" s="71">
        <f t="shared" si="42"/>
        <v>320</v>
      </c>
      <c r="AD38" s="12"/>
      <c r="AE38" s="81" t="s">
        <v>8</v>
      </c>
      <c r="AF38" s="12" t="str">
        <f t="shared" si="43"/>
        <v>設計</v>
      </c>
      <c r="AG38" s="15" t="str">
        <f t="shared" si="39"/>
        <v>USD</v>
      </c>
      <c r="AH38" s="12">
        <f t="shared" si="39"/>
        <v>0</v>
      </c>
      <c r="AI38" s="71">
        <f t="shared" si="47"/>
        <v>0</v>
      </c>
      <c r="AJ38" s="71">
        <f t="shared" si="40"/>
        <v>0</v>
      </c>
      <c r="AK38" s="71">
        <f t="shared" si="40"/>
        <v>0</v>
      </c>
      <c r="AL38" s="71">
        <f t="shared" si="40"/>
        <v>0</v>
      </c>
      <c r="AM38" s="71">
        <f t="shared" si="40"/>
        <v>160</v>
      </c>
      <c r="AN38" s="71">
        <f t="shared" si="40"/>
        <v>160</v>
      </c>
      <c r="AO38" s="71">
        <f t="shared" si="40"/>
        <v>160</v>
      </c>
      <c r="AP38" s="71">
        <f t="shared" si="40"/>
        <v>160</v>
      </c>
      <c r="AQ38" s="71">
        <f t="shared" si="40"/>
        <v>160</v>
      </c>
      <c r="AR38" s="71">
        <f t="shared" si="40"/>
        <v>320</v>
      </c>
      <c r="AS38" s="71">
        <f t="shared" si="40"/>
        <v>320</v>
      </c>
      <c r="AT38" s="71">
        <f t="shared" si="40"/>
        <v>320</v>
      </c>
      <c r="AU38" s="71">
        <f t="shared" si="40"/>
        <v>320</v>
      </c>
      <c r="AV38" s="71">
        <f t="shared" si="40"/>
        <v>320</v>
      </c>
      <c r="AW38" s="71">
        <f t="shared" si="40"/>
        <v>320</v>
      </c>
      <c r="AX38" s="71">
        <f t="shared" si="40"/>
        <v>320</v>
      </c>
      <c r="AY38" s="71">
        <f t="shared" si="40"/>
        <v>320</v>
      </c>
      <c r="AZ38" s="71">
        <f t="shared" si="41"/>
        <v>320</v>
      </c>
      <c r="BA38" s="71">
        <f t="shared" si="41"/>
        <v>320</v>
      </c>
      <c r="BB38" s="71">
        <f t="shared" si="41"/>
        <v>320</v>
      </c>
      <c r="BC38" s="71">
        <f t="shared" si="41"/>
        <v>320</v>
      </c>
      <c r="BD38" s="71">
        <f t="shared" si="41"/>
        <v>320</v>
      </c>
      <c r="BE38" s="71">
        <f t="shared" si="41"/>
        <v>320</v>
      </c>
      <c r="BF38" s="71">
        <f t="shared" si="41"/>
        <v>320</v>
      </c>
      <c r="BG38" s="71">
        <f t="shared" si="44"/>
        <v>320</v>
      </c>
    </row>
    <row r="39" spans="1:59" x14ac:dyDescent="0.25">
      <c r="A39" s="81" t="s">
        <v>9</v>
      </c>
      <c r="B39" s="82" t="s">
        <v>43</v>
      </c>
      <c r="C39" s="3" t="s">
        <v>21</v>
      </c>
      <c r="D39" s="88"/>
      <c r="E39" s="88"/>
      <c r="F39" s="88"/>
      <c r="G39" s="88"/>
      <c r="H39" s="88">
        <f>IF(設計案成本估算!$B$5&gt;0,3200*設計案成本估算!$B$5,0)</f>
        <v>3200</v>
      </c>
      <c r="I39" s="88">
        <f>IF(設計案成本估算!$B$5&gt;0,3200*設計案成本估算!$B$5,0)</f>
        <v>3200</v>
      </c>
      <c r="J39" s="88">
        <f>IF(設計案成本估算!$B$5&gt;0,3200*設計案成本估算!$B$5,0)</f>
        <v>3200</v>
      </c>
      <c r="K39" s="88">
        <f>IF(設計案成本估算!$B$5&gt;0,3200*設計案成本估算!$B$5,0)</f>
        <v>3200</v>
      </c>
      <c r="L39" s="88">
        <f>IF(設計案成本估算!$B$5&gt;0,3200*設計案成本估算!$B$5,0)</f>
        <v>3200</v>
      </c>
      <c r="M39" s="88">
        <f>IF(設計案成本估算!$B$5&gt;0,3200*設計案成本估算!$B$5,0)</f>
        <v>3200</v>
      </c>
      <c r="N39" s="88"/>
      <c r="O39" s="88"/>
      <c r="P39" s="88"/>
      <c r="Q39" s="88"/>
      <c r="R39" s="88"/>
      <c r="S39" s="88"/>
      <c r="T39" s="88"/>
      <c r="U39" s="88"/>
      <c r="V39" s="88"/>
      <c r="W39" s="88"/>
      <c r="X39" s="88"/>
      <c r="Y39" s="88"/>
      <c r="Z39" s="88"/>
      <c r="AA39" s="88"/>
      <c r="AB39" s="88"/>
      <c r="AC39" s="71">
        <f t="shared" si="42"/>
        <v>19200</v>
      </c>
      <c r="AD39" s="12"/>
      <c r="AE39" s="81" t="s">
        <v>9</v>
      </c>
      <c r="AF39" s="12" t="str">
        <f t="shared" si="43"/>
        <v>設計</v>
      </c>
      <c r="AG39" s="15" t="str">
        <f t="shared" si="39"/>
        <v>THB</v>
      </c>
      <c r="AH39" s="12">
        <f t="shared" si="39"/>
        <v>0</v>
      </c>
      <c r="AI39" s="71">
        <f t="shared" si="47"/>
        <v>0</v>
      </c>
      <c r="AJ39" s="71">
        <f t="shared" si="40"/>
        <v>0</v>
      </c>
      <c r="AK39" s="71">
        <f t="shared" si="40"/>
        <v>0</v>
      </c>
      <c r="AL39" s="71">
        <f t="shared" si="40"/>
        <v>3200</v>
      </c>
      <c r="AM39" s="71">
        <f t="shared" si="40"/>
        <v>6400</v>
      </c>
      <c r="AN39" s="71">
        <f t="shared" si="40"/>
        <v>9600</v>
      </c>
      <c r="AO39" s="71">
        <f t="shared" si="40"/>
        <v>12800</v>
      </c>
      <c r="AP39" s="71">
        <f t="shared" si="40"/>
        <v>16000</v>
      </c>
      <c r="AQ39" s="71">
        <f t="shared" si="40"/>
        <v>19200</v>
      </c>
      <c r="AR39" s="71">
        <f t="shared" si="40"/>
        <v>19200</v>
      </c>
      <c r="AS39" s="71">
        <f t="shared" si="40"/>
        <v>19200</v>
      </c>
      <c r="AT39" s="71">
        <f t="shared" si="40"/>
        <v>19200</v>
      </c>
      <c r="AU39" s="71">
        <f t="shared" si="40"/>
        <v>19200</v>
      </c>
      <c r="AV39" s="71">
        <f t="shared" si="40"/>
        <v>19200</v>
      </c>
      <c r="AW39" s="71">
        <f t="shared" si="40"/>
        <v>19200</v>
      </c>
      <c r="AX39" s="71">
        <f t="shared" si="40"/>
        <v>19200</v>
      </c>
      <c r="AY39" s="71">
        <f t="shared" si="40"/>
        <v>19200</v>
      </c>
      <c r="AZ39" s="71">
        <f t="shared" si="41"/>
        <v>19200</v>
      </c>
      <c r="BA39" s="71">
        <f t="shared" si="41"/>
        <v>19200</v>
      </c>
      <c r="BB39" s="71">
        <f t="shared" si="41"/>
        <v>19200</v>
      </c>
      <c r="BC39" s="71">
        <f t="shared" si="41"/>
        <v>19200</v>
      </c>
      <c r="BD39" s="71">
        <f t="shared" si="41"/>
        <v>19200</v>
      </c>
      <c r="BE39" s="71">
        <f t="shared" si="41"/>
        <v>19200</v>
      </c>
      <c r="BF39" s="71">
        <f t="shared" si="41"/>
        <v>19200</v>
      </c>
      <c r="BG39" s="71">
        <f t="shared" si="44"/>
        <v>19200</v>
      </c>
    </row>
    <row r="40" spans="1:59" x14ac:dyDescent="0.25">
      <c r="A40" s="81" t="s">
        <v>309</v>
      </c>
      <c r="B40" s="82" t="s">
        <v>43</v>
      </c>
      <c r="C40" s="3" t="s">
        <v>15</v>
      </c>
      <c r="D40" s="88"/>
      <c r="E40" s="88"/>
      <c r="F40" s="88"/>
      <c r="G40" s="88"/>
      <c r="H40" s="88"/>
      <c r="I40" s="88"/>
      <c r="J40" s="88"/>
      <c r="K40" s="88"/>
      <c r="L40" s="88"/>
      <c r="M40" s="88"/>
      <c r="N40" s="88">
        <f>IF(設計案成本估算!$B$5&gt;0,100*設計案成本估算!$B$5,0)</f>
        <v>100</v>
      </c>
      <c r="O40" s="88"/>
      <c r="P40" s="88"/>
      <c r="Q40" s="88"/>
      <c r="R40" s="88"/>
      <c r="S40" s="88"/>
      <c r="T40" s="88"/>
      <c r="U40" s="88"/>
      <c r="V40" s="88"/>
      <c r="W40" s="88"/>
      <c r="X40" s="88"/>
      <c r="Y40" s="88"/>
      <c r="Z40" s="88"/>
      <c r="AA40" s="88"/>
      <c r="AB40" s="88"/>
      <c r="AC40" s="71">
        <f>SUM(D40:AB40)</f>
        <v>100</v>
      </c>
      <c r="AD40" s="12"/>
      <c r="AE40" s="81" t="s">
        <v>309</v>
      </c>
      <c r="AF40" s="12" t="str">
        <f>B40</f>
        <v>設計</v>
      </c>
      <c r="AG40" s="15" t="str">
        <f t="shared" ref="AG40" si="54">C40</f>
        <v>USD</v>
      </c>
      <c r="AH40" s="12">
        <f>D40</f>
        <v>0</v>
      </c>
      <c r="AI40" s="71">
        <f t="shared" ref="AI40" si="55">AH40+E40</f>
        <v>0</v>
      </c>
      <c r="AJ40" s="71">
        <f t="shared" ref="AJ40" si="56">AI40+F40</f>
        <v>0</v>
      </c>
      <c r="AK40" s="71">
        <f t="shared" ref="AK40" si="57">AJ40+G40</f>
        <v>0</v>
      </c>
      <c r="AL40" s="71">
        <f t="shared" ref="AL40" si="58">AK40+H40</f>
        <v>0</v>
      </c>
      <c r="AM40" s="71">
        <f t="shared" ref="AM40" si="59">AL40+I40</f>
        <v>0</v>
      </c>
      <c r="AN40" s="71">
        <f t="shared" ref="AN40" si="60">AM40+J40</f>
        <v>0</v>
      </c>
      <c r="AO40" s="71">
        <f t="shared" ref="AO40" si="61">AN40+K40</f>
        <v>0</v>
      </c>
      <c r="AP40" s="71">
        <f t="shared" ref="AP40" si="62">AO40+L40</f>
        <v>0</v>
      </c>
      <c r="AQ40" s="71">
        <f t="shared" ref="AQ40" si="63">AP40+M40</f>
        <v>0</v>
      </c>
      <c r="AR40" s="71">
        <f t="shared" ref="AR40" si="64">AQ40+N40</f>
        <v>100</v>
      </c>
      <c r="AS40" s="71">
        <f t="shared" ref="AS40" si="65">AR40+O40</f>
        <v>100</v>
      </c>
      <c r="AT40" s="71">
        <f t="shared" ref="AT40" si="66">AS40+P40</f>
        <v>100</v>
      </c>
      <c r="AU40" s="71">
        <f t="shared" ref="AU40" si="67">AT40+Q40</f>
        <v>100</v>
      </c>
      <c r="AV40" s="71">
        <f t="shared" ref="AV40" si="68">AU40+R40</f>
        <v>100</v>
      </c>
      <c r="AW40" s="71">
        <f t="shared" ref="AW40" si="69">AV40+S40</f>
        <v>100</v>
      </c>
      <c r="AX40" s="71">
        <f t="shared" ref="AX40" si="70">AW40+T40</f>
        <v>100</v>
      </c>
      <c r="AY40" s="71">
        <f t="shared" ref="AY40" si="71">AX40+U40</f>
        <v>100</v>
      </c>
      <c r="AZ40" s="71">
        <f t="shared" ref="AZ40" si="72">AY40+V40</f>
        <v>100</v>
      </c>
      <c r="BA40" s="71">
        <f t="shared" ref="BA40" si="73">AZ40+W40</f>
        <v>100</v>
      </c>
      <c r="BB40" s="71">
        <f t="shared" ref="BB40" si="74">BA40+X40</f>
        <v>100</v>
      </c>
      <c r="BC40" s="71">
        <f t="shared" ref="BC40" si="75">BB40+Y40</f>
        <v>100</v>
      </c>
      <c r="BD40" s="71">
        <f t="shared" ref="BD40" si="76">BC40+Z40</f>
        <v>100</v>
      </c>
      <c r="BE40" s="71">
        <f t="shared" ref="BE40" si="77">BD40+AA40</f>
        <v>100</v>
      </c>
      <c r="BF40" s="71">
        <f t="shared" ref="BF40" si="78">BE40+AB40</f>
        <v>100</v>
      </c>
      <c r="BG40" s="71">
        <f>BF40</f>
        <v>100</v>
      </c>
    </row>
    <row r="41" spans="1:59" x14ac:dyDescent="0.25">
      <c r="A41" s="5"/>
      <c r="B41" s="82" t="s">
        <v>43</v>
      </c>
      <c r="C41" s="5"/>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71">
        <f t="shared" si="42"/>
        <v>0</v>
      </c>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row>
    <row r="42" spans="1:59" x14ac:dyDescent="0.25">
      <c r="A42" s="143" t="s">
        <v>313</v>
      </c>
      <c r="D42" s="90"/>
      <c r="E42" s="90"/>
      <c r="F42" s="90"/>
      <c r="G42" s="90"/>
      <c r="H42" s="90"/>
      <c r="I42" s="90"/>
      <c r="J42" s="90"/>
      <c r="K42" s="90"/>
      <c r="L42" s="90"/>
      <c r="M42" s="90"/>
      <c r="N42" s="90"/>
      <c r="O42" s="90"/>
      <c r="P42" s="90"/>
      <c r="Q42" s="90"/>
      <c r="R42" s="90"/>
      <c r="S42" s="90"/>
      <c r="T42" s="90"/>
      <c r="U42" s="90"/>
      <c r="V42" s="90"/>
      <c r="W42" s="90"/>
      <c r="X42" s="90"/>
      <c r="Y42" s="90"/>
      <c r="Z42" s="90"/>
      <c r="AA42" s="90"/>
      <c r="AB42" s="90"/>
    </row>
    <row r="43" spans="1:59" x14ac:dyDescent="0.25">
      <c r="A43" s="143" t="s">
        <v>314</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row>
    <row r="44" spans="1:59" x14ac:dyDescent="0.25">
      <c r="D44" s="90"/>
      <c r="E44" s="90"/>
      <c r="F44" s="90"/>
      <c r="G44" s="90"/>
      <c r="H44" s="90"/>
      <c r="I44" s="90"/>
      <c r="J44" s="90"/>
      <c r="K44" s="90"/>
      <c r="L44" s="90"/>
      <c r="M44" s="90"/>
      <c r="N44" s="90"/>
      <c r="O44" s="90"/>
      <c r="P44" s="90"/>
      <c r="Q44" s="90"/>
      <c r="R44" s="90"/>
      <c r="S44" s="90"/>
      <c r="T44" s="90"/>
      <c r="U44" s="90"/>
      <c r="V44" s="90"/>
      <c r="W44" s="90"/>
      <c r="X44" s="90"/>
      <c r="Y44" s="90"/>
      <c r="Z44" s="90"/>
      <c r="AA44" s="90"/>
      <c r="AB44" s="90"/>
    </row>
    <row r="45" spans="1:59" s="72" customFormat="1" x14ac:dyDescent="0.25">
      <c r="A45" s="149" t="s">
        <v>173</v>
      </c>
      <c r="B45" s="150"/>
      <c r="C45" s="151"/>
      <c r="D45" s="91" t="s">
        <v>170</v>
      </c>
      <c r="E45" s="92"/>
      <c r="F45" s="92"/>
      <c r="G45" s="92"/>
      <c r="H45" s="92"/>
      <c r="I45" s="92"/>
      <c r="J45" s="92"/>
      <c r="K45" s="92"/>
      <c r="L45" s="92"/>
      <c r="M45" s="92"/>
      <c r="N45" s="92"/>
      <c r="O45" s="92"/>
      <c r="P45" s="92"/>
      <c r="Q45" s="92"/>
      <c r="R45" s="92"/>
      <c r="S45" s="92"/>
      <c r="T45" s="92"/>
      <c r="U45" s="92"/>
      <c r="V45" s="92"/>
      <c r="W45" s="92"/>
      <c r="X45" s="92"/>
      <c r="Y45" s="92"/>
      <c r="Z45" s="92"/>
      <c r="AA45" s="92"/>
      <c r="AB45" s="92"/>
      <c r="AC45" s="70"/>
      <c r="AD45" s="70"/>
      <c r="AE45" s="149" t="s">
        <v>175</v>
      </c>
      <c r="AF45" s="150"/>
      <c r="AG45" s="151"/>
      <c r="AH45" s="73" t="s">
        <v>168</v>
      </c>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row>
    <row r="46" spans="1:59" x14ac:dyDescent="0.25">
      <c r="A46" s="4" t="s">
        <v>90</v>
      </c>
      <c r="B46" s="4" t="s">
        <v>167</v>
      </c>
      <c r="C46" s="4" t="s">
        <v>12</v>
      </c>
      <c r="D46" s="93">
        <v>1</v>
      </c>
      <c r="E46" s="93">
        <v>2</v>
      </c>
      <c r="F46" s="93">
        <v>3</v>
      </c>
      <c r="G46" s="93">
        <v>4</v>
      </c>
      <c r="H46" s="93">
        <v>5</v>
      </c>
      <c r="I46" s="93">
        <v>6</v>
      </c>
      <c r="J46" s="93">
        <v>7</v>
      </c>
      <c r="K46" s="93">
        <v>8</v>
      </c>
      <c r="L46" s="93">
        <v>9</v>
      </c>
      <c r="M46" s="93">
        <v>10</v>
      </c>
      <c r="N46" s="93">
        <v>11</v>
      </c>
      <c r="O46" s="93">
        <v>12</v>
      </c>
      <c r="P46" s="93">
        <v>13</v>
      </c>
      <c r="Q46" s="93">
        <v>14</v>
      </c>
      <c r="R46" s="93">
        <v>15</v>
      </c>
      <c r="S46" s="93">
        <v>16</v>
      </c>
      <c r="T46" s="93">
        <v>17</v>
      </c>
      <c r="U46" s="93">
        <v>18</v>
      </c>
      <c r="V46" s="93">
        <v>19</v>
      </c>
      <c r="W46" s="93">
        <v>20</v>
      </c>
      <c r="X46" s="93">
        <v>21</v>
      </c>
      <c r="Y46" s="93">
        <v>22</v>
      </c>
      <c r="Z46" s="93">
        <v>23</v>
      </c>
      <c r="AA46" s="93">
        <v>24</v>
      </c>
      <c r="AB46" s="93">
        <v>25</v>
      </c>
      <c r="AC46" s="4" t="s">
        <v>166</v>
      </c>
      <c r="AD46" s="4"/>
      <c r="AE46" s="4" t="s">
        <v>90</v>
      </c>
      <c r="AF46" s="4" t="s">
        <v>167</v>
      </c>
      <c r="AG46" s="4" t="s">
        <v>12</v>
      </c>
      <c r="AH46" s="4">
        <v>1</v>
      </c>
      <c r="AI46" s="4">
        <v>2</v>
      </c>
      <c r="AJ46" s="4">
        <v>3</v>
      </c>
      <c r="AK46" s="4">
        <v>4</v>
      </c>
      <c r="AL46" s="4">
        <v>5</v>
      </c>
      <c r="AM46" s="4">
        <v>6</v>
      </c>
      <c r="AN46" s="4">
        <v>7</v>
      </c>
      <c r="AO46" s="4">
        <v>8</v>
      </c>
      <c r="AP46" s="4">
        <v>9</v>
      </c>
      <c r="AQ46" s="4">
        <v>10</v>
      </c>
      <c r="AR46" s="4">
        <v>11</v>
      </c>
      <c r="AS46" s="4">
        <v>12</v>
      </c>
      <c r="AT46" s="4">
        <v>13</v>
      </c>
      <c r="AU46" s="4">
        <v>14</v>
      </c>
      <c r="AV46" s="4">
        <v>15</v>
      </c>
      <c r="AW46" s="4">
        <v>16</v>
      </c>
      <c r="AX46" s="4">
        <v>17</v>
      </c>
      <c r="AY46" s="4">
        <v>18</v>
      </c>
      <c r="AZ46" s="4">
        <v>19</v>
      </c>
      <c r="BA46" s="4">
        <v>20</v>
      </c>
      <c r="BB46" s="4">
        <v>21</v>
      </c>
      <c r="BC46" s="4">
        <v>22</v>
      </c>
      <c r="BD46" s="4">
        <v>23</v>
      </c>
      <c r="BE46" s="4">
        <v>24</v>
      </c>
      <c r="BF46" s="4">
        <v>25</v>
      </c>
      <c r="BG46" s="4" t="s">
        <v>191</v>
      </c>
    </row>
    <row r="47" spans="1:59" x14ac:dyDescent="0.25">
      <c r="A47" s="81" t="s">
        <v>2</v>
      </c>
      <c r="B47" s="82" t="s">
        <v>43</v>
      </c>
      <c r="C47" s="3" t="s">
        <v>13</v>
      </c>
      <c r="D47" s="88"/>
      <c r="E47" s="88">
        <f>IF(設計案成本估算!$B$5&gt;0,IF(設計案成本估算!$B$10="大企業",3000,0)*設計案成本估算!$B$5,0)</f>
        <v>0</v>
      </c>
      <c r="F47" s="88">
        <f>IF(設計案成本估算!$B$5&gt;0,IF(設計案成本估算!$B$10="大企業",3000,0)*設計案成本估算!$B$5,0)</f>
        <v>0</v>
      </c>
      <c r="G47" s="88">
        <f>IF(設計案成本估算!$B$5&gt;0,3000*設計案成本估算!$B$5,0)</f>
        <v>3000</v>
      </c>
      <c r="H47" s="88">
        <f>IF(設計案成本估算!$B$5&gt;0,3000*設計案成本估算!$B$5,0)</f>
        <v>3000</v>
      </c>
      <c r="I47" s="88">
        <f>IF(設計案成本估算!$B$5&gt;0,3000*設計案成本估算!$B$5,0)</f>
        <v>3000</v>
      </c>
      <c r="J47" s="88">
        <f>IF(設計案成本估算!$B$5&gt;0,3000*設計案成本估算!$B$5,0)</f>
        <v>3000</v>
      </c>
      <c r="K47" s="88">
        <f>IF(設計案成本估算!$B$5&gt;0,3000*設計案成本估算!$B$5,0)</f>
        <v>3000</v>
      </c>
      <c r="L47" s="88">
        <f>IF(設計案成本估算!$B$5&gt;0,3000*設計案成本估算!$B$5,0)</f>
        <v>3000</v>
      </c>
      <c r="M47" s="88">
        <f>IF(設計案成本估算!$B$5&gt;0,3000*設計案成本估算!$B$5,0)</f>
        <v>3000</v>
      </c>
      <c r="N47" s="88">
        <f>IF(設計案成本估算!$B$5&gt;0,3000*設計案成本估算!$B$5,0)</f>
        <v>3000</v>
      </c>
      <c r="O47" s="88">
        <f>IF(設計案成本估算!$B$5&gt;0,3000*設計案成本估算!$B$5,0)</f>
        <v>3000</v>
      </c>
      <c r="P47" s="88">
        <f>IF(設計案成本估算!$B$5&gt;0,3000*設計案成本估算!$B$5,0)</f>
        <v>3000</v>
      </c>
      <c r="Q47" s="88">
        <f>IF(設計案成本估算!$B$5&gt;0,3000*設計案成本估算!$B$5,0)</f>
        <v>3000</v>
      </c>
      <c r="R47" s="88">
        <f>IF(設計案成本估算!$B$5&gt;0,3000*設計案成本估算!$B$5,0)</f>
        <v>3000</v>
      </c>
      <c r="S47" s="88"/>
      <c r="T47" s="88"/>
      <c r="U47" s="88"/>
      <c r="V47" s="88"/>
      <c r="W47" s="88"/>
      <c r="X47" s="88"/>
      <c r="Y47" s="88"/>
      <c r="Z47" s="88"/>
      <c r="AA47" s="88"/>
      <c r="AB47" s="88"/>
      <c r="AC47" s="71">
        <f>SUM(D47:AB47)</f>
        <v>36000</v>
      </c>
      <c r="AD47" s="12"/>
      <c r="AE47" s="81" t="s">
        <v>2</v>
      </c>
      <c r="AF47" s="12" t="str">
        <f>B47</f>
        <v>設計</v>
      </c>
      <c r="AG47" s="15" t="str">
        <f>C47</f>
        <v>NTD</v>
      </c>
      <c r="AH47" s="12">
        <f>D47</f>
        <v>0</v>
      </c>
      <c r="AI47" s="71">
        <f>AH47+E47</f>
        <v>0</v>
      </c>
      <c r="AJ47" s="71">
        <f t="shared" ref="AJ47:AY61" si="79">AI47+F47</f>
        <v>0</v>
      </c>
      <c r="AK47" s="71">
        <f t="shared" si="79"/>
        <v>3000</v>
      </c>
      <c r="AL47" s="71">
        <f t="shared" si="79"/>
        <v>6000</v>
      </c>
      <c r="AM47" s="71">
        <f t="shared" si="79"/>
        <v>9000</v>
      </c>
      <c r="AN47" s="71">
        <f t="shared" si="79"/>
        <v>12000</v>
      </c>
      <c r="AO47" s="71">
        <f t="shared" si="79"/>
        <v>15000</v>
      </c>
      <c r="AP47" s="71">
        <f t="shared" si="79"/>
        <v>18000</v>
      </c>
      <c r="AQ47" s="71">
        <f t="shared" si="79"/>
        <v>21000</v>
      </c>
      <c r="AR47" s="71">
        <f t="shared" si="79"/>
        <v>24000</v>
      </c>
      <c r="AS47" s="71">
        <f t="shared" si="79"/>
        <v>27000</v>
      </c>
      <c r="AT47" s="71">
        <f t="shared" si="79"/>
        <v>30000</v>
      </c>
      <c r="AU47" s="71">
        <f t="shared" si="79"/>
        <v>33000</v>
      </c>
      <c r="AV47" s="71">
        <f t="shared" si="79"/>
        <v>36000</v>
      </c>
      <c r="AW47" s="71">
        <f t="shared" si="79"/>
        <v>36000</v>
      </c>
      <c r="AX47" s="71">
        <f t="shared" si="79"/>
        <v>36000</v>
      </c>
      <c r="AY47" s="71">
        <f t="shared" si="79"/>
        <v>36000</v>
      </c>
      <c r="AZ47" s="71">
        <f t="shared" ref="AZ47:BF61" si="80">AY47+V47</f>
        <v>36000</v>
      </c>
      <c r="BA47" s="71">
        <f t="shared" si="80"/>
        <v>36000</v>
      </c>
      <c r="BB47" s="71">
        <f t="shared" si="80"/>
        <v>36000</v>
      </c>
      <c r="BC47" s="71">
        <f t="shared" si="80"/>
        <v>36000</v>
      </c>
      <c r="BD47" s="71">
        <f t="shared" si="80"/>
        <v>36000</v>
      </c>
      <c r="BE47" s="71">
        <f t="shared" si="80"/>
        <v>36000</v>
      </c>
      <c r="BF47" s="71">
        <f t="shared" si="80"/>
        <v>36000</v>
      </c>
      <c r="BG47" s="71">
        <f>BF47</f>
        <v>36000</v>
      </c>
    </row>
    <row r="48" spans="1:59" x14ac:dyDescent="0.25">
      <c r="A48" s="81" t="s">
        <v>3</v>
      </c>
      <c r="B48" s="82" t="s">
        <v>43</v>
      </c>
      <c r="C48" s="3" t="s">
        <v>13</v>
      </c>
      <c r="D48" s="88"/>
      <c r="E48" s="88">
        <f>IF(設計案成本估算!$B$5&gt;0,ROUNDUP(設計案成本估算!$B$5/10,0)*3000,0)</f>
        <v>3000</v>
      </c>
      <c r="F48" s="88">
        <f>IF(設計案成本估算!$B$5&gt;0,ROUNDUP(設計案成本估算!$B$5/10,0)*3000,0)</f>
        <v>3000</v>
      </c>
      <c r="G48" s="88">
        <f>IF(設計案成本估算!$B$5&gt;0,ROUNDUP(設計案成本估算!$B$5/10,0)*3000,0)</f>
        <v>3000</v>
      </c>
      <c r="H48" s="88">
        <f>IF(設計案成本估算!$B$5&gt;0,ROUNDUP(設計案成本估算!$B$5/10,0)*3000,0)</f>
        <v>3000</v>
      </c>
      <c r="I48" s="88">
        <f>IF(設計案成本估算!$B$5&gt;0,ROUNDUP(設計案成本估算!$B$5/10,0)*3000,0)</f>
        <v>3000</v>
      </c>
      <c r="J48" s="88">
        <f>IF(設計案成本估算!$B$5&gt;0,ROUNDUP(設計案成本估算!$B$5/10,0)*3000,0)</f>
        <v>3000</v>
      </c>
      <c r="K48" s="88">
        <f>IF(設計案成本估算!$B$5&gt;0,ROUNDUP(設計案成本估算!$B$5/10,0)*3000,0)</f>
        <v>3000</v>
      </c>
      <c r="L48" s="88">
        <f>IF(設計案成本估算!$B$5&gt;0,ROUNDUP(設計案成本估算!$B$5/10,0)*3000,0)</f>
        <v>3000</v>
      </c>
      <c r="M48" s="88">
        <f>IF(設計案成本估算!$B$5&gt;0,ROUNDUP(設計案成本估算!$B$5/10,0)*3000,0)</f>
        <v>3000</v>
      </c>
      <c r="N48" s="88">
        <f>IF(設計案成本估算!$B$5&gt;0,ROUNDUP(設計案成本估算!$B$5/10,0)*3000,0)</f>
        <v>3000</v>
      </c>
      <c r="O48" s="88">
        <f>IF(設計案成本估算!$B$5&gt;0,ROUNDUP(設計案成本估算!$B$5/10,0)*3000,0)</f>
        <v>3000</v>
      </c>
      <c r="P48" s="88">
        <f>IF(設計案成本估算!$B$5&gt;0,ROUNDUP(設計案成本估算!$B$5/10,0)*3000,0)</f>
        <v>3000</v>
      </c>
      <c r="Q48" s="88">
        <f>IF(設計案成本估算!$B$5&gt;0,ROUNDUP(設計案成本估算!$B$5/10,0)*3000,0)</f>
        <v>3000</v>
      </c>
      <c r="R48" s="88">
        <f>IF(設計案成本估算!$B$5&gt;0,ROUNDUP(設計案成本估算!$B$5/10,0)*3000,0)</f>
        <v>3000</v>
      </c>
      <c r="S48" s="88"/>
      <c r="T48" s="88"/>
      <c r="U48" s="88"/>
      <c r="V48" s="88"/>
      <c r="W48" s="88"/>
      <c r="X48" s="88"/>
      <c r="Y48" s="88"/>
      <c r="Z48" s="88"/>
      <c r="AA48" s="88"/>
      <c r="AB48" s="88"/>
      <c r="AC48" s="71">
        <f t="shared" ref="AC48:AC63" si="81">SUM(D48:AB48)</f>
        <v>42000</v>
      </c>
      <c r="AD48" s="12"/>
      <c r="AE48" s="81" t="s">
        <v>3</v>
      </c>
      <c r="AF48" s="12" t="str">
        <f t="shared" ref="AF48:AH61" si="82">B48</f>
        <v>設計</v>
      </c>
      <c r="AG48" s="15" t="str">
        <f t="shared" si="82"/>
        <v>NTD</v>
      </c>
      <c r="AH48" s="12">
        <f t="shared" si="82"/>
        <v>0</v>
      </c>
      <c r="AI48" s="71">
        <f>AH48+E48</f>
        <v>3000</v>
      </c>
      <c r="AJ48" s="71">
        <f t="shared" si="79"/>
        <v>6000</v>
      </c>
      <c r="AK48" s="71">
        <f t="shared" si="79"/>
        <v>9000</v>
      </c>
      <c r="AL48" s="71">
        <f t="shared" si="79"/>
        <v>12000</v>
      </c>
      <c r="AM48" s="71">
        <f t="shared" si="79"/>
        <v>15000</v>
      </c>
      <c r="AN48" s="71">
        <f t="shared" si="79"/>
        <v>18000</v>
      </c>
      <c r="AO48" s="71">
        <f t="shared" si="79"/>
        <v>21000</v>
      </c>
      <c r="AP48" s="71">
        <f t="shared" si="79"/>
        <v>24000</v>
      </c>
      <c r="AQ48" s="71">
        <f t="shared" si="79"/>
        <v>27000</v>
      </c>
      <c r="AR48" s="71">
        <f t="shared" si="79"/>
        <v>30000</v>
      </c>
      <c r="AS48" s="71">
        <f t="shared" si="79"/>
        <v>33000</v>
      </c>
      <c r="AT48" s="71">
        <f t="shared" si="79"/>
        <v>36000</v>
      </c>
      <c r="AU48" s="71">
        <f t="shared" si="79"/>
        <v>39000</v>
      </c>
      <c r="AV48" s="71">
        <f t="shared" si="79"/>
        <v>42000</v>
      </c>
      <c r="AW48" s="71">
        <f t="shared" si="79"/>
        <v>42000</v>
      </c>
      <c r="AX48" s="71">
        <f t="shared" si="79"/>
        <v>42000</v>
      </c>
      <c r="AY48" s="71">
        <f t="shared" si="79"/>
        <v>42000</v>
      </c>
      <c r="AZ48" s="71">
        <f t="shared" si="80"/>
        <v>42000</v>
      </c>
      <c r="BA48" s="71">
        <f t="shared" si="80"/>
        <v>42000</v>
      </c>
      <c r="BB48" s="71">
        <f t="shared" si="80"/>
        <v>42000</v>
      </c>
      <c r="BC48" s="71">
        <f t="shared" si="80"/>
        <v>42000</v>
      </c>
      <c r="BD48" s="71">
        <f t="shared" si="80"/>
        <v>42000</v>
      </c>
      <c r="BE48" s="71">
        <f t="shared" si="80"/>
        <v>42000</v>
      </c>
      <c r="BF48" s="71">
        <f t="shared" si="80"/>
        <v>42000</v>
      </c>
      <c r="BG48" s="71">
        <f t="shared" ref="BG48:BG61" si="83">BF48</f>
        <v>42000</v>
      </c>
    </row>
    <row r="49" spans="1:59" x14ac:dyDescent="0.25">
      <c r="A49" s="3" t="s">
        <v>4</v>
      </c>
      <c r="B49" s="82" t="s">
        <v>43</v>
      </c>
      <c r="C49" s="3" t="s">
        <v>13</v>
      </c>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71">
        <f t="shared" si="81"/>
        <v>0</v>
      </c>
      <c r="AD49" s="12"/>
      <c r="AE49" s="3" t="s">
        <v>4</v>
      </c>
      <c r="AF49" s="12" t="str">
        <f t="shared" si="82"/>
        <v>設計</v>
      </c>
      <c r="AG49" s="15" t="str">
        <f t="shared" si="82"/>
        <v>NTD</v>
      </c>
      <c r="AH49" s="12">
        <f t="shared" si="82"/>
        <v>0</v>
      </c>
      <c r="AI49" s="71">
        <f>AH49+E49</f>
        <v>0</v>
      </c>
      <c r="AJ49" s="71">
        <f t="shared" si="79"/>
        <v>0</v>
      </c>
      <c r="AK49" s="71">
        <f t="shared" si="79"/>
        <v>0</v>
      </c>
      <c r="AL49" s="71">
        <f t="shared" si="79"/>
        <v>0</v>
      </c>
      <c r="AM49" s="71">
        <f t="shared" si="79"/>
        <v>0</v>
      </c>
      <c r="AN49" s="71">
        <f t="shared" si="79"/>
        <v>0</v>
      </c>
      <c r="AO49" s="71">
        <f t="shared" si="79"/>
        <v>0</v>
      </c>
      <c r="AP49" s="71">
        <f t="shared" si="79"/>
        <v>0</v>
      </c>
      <c r="AQ49" s="71">
        <f t="shared" si="79"/>
        <v>0</v>
      </c>
      <c r="AR49" s="71">
        <f t="shared" si="79"/>
        <v>0</v>
      </c>
      <c r="AS49" s="71">
        <f t="shared" si="79"/>
        <v>0</v>
      </c>
      <c r="AT49" s="71">
        <f t="shared" si="79"/>
        <v>0</v>
      </c>
      <c r="AU49" s="71">
        <f t="shared" si="79"/>
        <v>0</v>
      </c>
      <c r="AV49" s="71">
        <f t="shared" si="79"/>
        <v>0</v>
      </c>
      <c r="AW49" s="71">
        <f t="shared" si="79"/>
        <v>0</v>
      </c>
      <c r="AX49" s="71">
        <f t="shared" si="79"/>
        <v>0</v>
      </c>
      <c r="AY49" s="71">
        <f t="shared" si="79"/>
        <v>0</v>
      </c>
      <c r="AZ49" s="71">
        <f t="shared" si="80"/>
        <v>0</v>
      </c>
      <c r="BA49" s="71">
        <f t="shared" si="80"/>
        <v>0</v>
      </c>
      <c r="BB49" s="71">
        <f t="shared" si="80"/>
        <v>0</v>
      </c>
      <c r="BC49" s="71">
        <f t="shared" si="80"/>
        <v>0</v>
      </c>
      <c r="BD49" s="71">
        <f t="shared" si="80"/>
        <v>0</v>
      </c>
      <c r="BE49" s="71">
        <f t="shared" si="80"/>
        <v>0</v>
      </c>
      <c r="BF49" s="71">
        <f t="shared" si="80"/>
        <v>0</v>
      </c>
      <c r="BG49" s="71">
        <f t="shared" si="83"/>
        <v>0</v>
      </c>
    </row>
    <row r="50" spans="1:59" x14ac:dyDescent="0.25">
      <c r="A50" s="3" t="s">
        <v>107</v>
      </c>
      <c r="B50" s="82" t="s">
        <v>43</v>
      </c>
      <c r="C50" s="3" t="s">
        <v>13</v>
      </c>
      <c r="D50" s="88"/>
      <c r="E50" s="88"/>
      <c r="F50" s="88"/>
      <c r="G50" s="88"/>
      <c r="H50" s="88"/>
      <c r="I50" s="88">
        <f>IF(設計案成本估算!$B$5&gt;0,5000+2500*(設計案成本估算!$B$5-1),0)</f>
        <v>5000</v>
      </c>
      <c r="J50" s="88"/>
      <c r="K50" s="88"/>
      <c r="L50" s="88"/>
      <c r="M50" s="88"/>
      <c r="N50" s="88">
        <f>IF(設計案成本估算!$B$5&gt;0,5000+2500*(設計案成本估算!$B$5-1),0)</f>
        <v>5000</v>
      </c>
      <c r="O50" s="88"/>
      <c r="P50" s="88"/>
      <c r="Q50" s="88"/>
      <c r="R50" s="88"/>
      <c r="S50" s="88">
        <f>IF(設計案成本估算!$B$5&gt;0,5000+2500*(設計案成本估算!$B$5-1),0)</f>
        <v>5000</v>
      </c>
      <c r="T50" s="88"/>
      <c r="U50" s="88"/>
      <c r="V50" s="88"/>
      <c r="W50" s="88"/>
      <c r="X50" s="88">
        <f>IF(設計案成本估算!$B$5&gt;0,5000+2500*(設計案成本估算!$B$5-1),0)</f>
        <v>5000</v>
      </c>
      <c r="Y50" s="88"/>
      <c r="Z50" s="88"/>
      <c r="AA50" s="88"/>
      <c r="AB50" s="88"/>
      <c r="AC50" s="71">
        <f t="shared" si="81"/>
        <v>20000</v>
      </c>
      <c r="AD50" s="12"/>
      <c r="AE50" s="3" t="s">
        <v>107</v>
      </c>
      <c r="AF50" s="12" t="str">
        <f t="shared" si="82"/>
        <v>設計</v>
      </c>
      <c r="AG50" s="15" t="str">
        <f t="shared" si="82"/>
        <v>NTD</v>
      </c>
      <c r="AH50" s="12">
        <f t="shared" si="82"/>
        <v>0</v>
      </c>
      <c r="AI50" s="71">
        <f>AH50+E50</f>
        <v>0</v>
      </c>
      <c r="AJ50" s="71">
        <f t="shared" si="79"/>
        <v>0</v>
      </c>
      <c r="AK50" s="71">
        <f t="shared" si="79"/>
        <v>0</v>
      </c>
      <c r="AL50" s="71">
        <f t="shared" si="79"/>
        <v>0</v>
      </c>
      <c r="AM50" s="71">
        <f t="shared" si="79"/>
        <v>5000</v>
      </c>
      <c r="AN50" s="71">
        <f t="shared" si="79"/>
        <v>5000</v>
      </c>
      <c r="AO50" s="71">
        <f t="shared" si="79"/>
        <v>5000</v>
      </c>
      <c r="AP50" s="71">
        <f t="shared" si="79"/>
        <v>5000</v>
      </c>
      <c r="AQ50" s="71">
        <f t="shared" si="79"/>
        <v>5000</v>
      </c>
      <c r="AR50" s="71">
        <f t="shared" si="79"/>
        <v>10000</v>
      </c>
      <c r="AS50" s="71">
        <f t="shared" si="79"/>
        <v>10000</v>
      </c>
      <c r="AT50" s="71">
        <f t="shared" si="79"/>
        <v>10000</v>
      </c>
      <c r="AU50" s="71">
        <f t="shared" si="79"/>
        <v>10000</v>
      </c>
      <c r="AV50" s="71">
        <f t="shared" si="79"/>
        <v>10000</v>
      </c>
      <c r="AW50" s="71">
        <f t="shared" si="79"/>
        <v>15000</v>
      </c>
      <c r="AX50" s="71">
        <f t="shared" si="79"/>
        <v>15000</v>
      </c>
      <c r="AY50" s="71">
        <f t="shared" si="79"/>
        <v>15000</v>
      </c>
      <c r="AZ50" s="71">
        <f t="shared" si="80"/>
        <v>15000</v>
      </c>
      <c r="BA50" s="71">
        <f t="shared" si="80"/>
        <v>15000</v>
      </c>
      <c r="BB50" s="71">
        <f t="shared" si="80"/>
        <v>20000</v>
      </c>
      <c r="BC50" s="71">
        <f t="shared" si="80"/>
        <v>20000</v>
      </c>
      <c r="BD50" s="71">
        <f t="shared" si="80"/>
        <v>20000</v>
      </c>
      <c r="BE50" s="71">
        <f t="shared" si="80"/>
        <v>20000</v>
      </c>
      <c r="BF50" s="71">
        <f t="shared" si="80"/>
        <v>20000</v>
      </c>
      <c r="BG50" s="71">
        <f t="shared" si="83"/>
        <v>20000</v>
      </c>
    </row>
    <row r="51" spans="1:59" x14ac:dyDescent="0.25">
      <c r="A51" s="3" t="s">
        <v>224</v>
      </c>
      <c r="B51" s="82" t="s">
        <v>43</v>
      </c>
      <c r="C51" s="3" t="s">
        <v>13</v>
      </c>
      <c r="D51" s="88"/>
      <c r="E51" s="88"/>
      <c r="F51" s="88"/>
      <c r="G51" s="88"/>
      <c r="H51" s="88"/>
      <c r="I51" s="88">
        <f>IF(設計案成本估算!$B$5&gt;0,5000+2500*(設計案成本估算!$B$5-1),0)</f>
        <v>5000</v>
      </c>
      <c r="J51" s="88"/>
      <c r="K51" s="88"/>
      <c r="L51" s="88"/>
      <c r="M51" s="88"/>
      <c r="N51" s="88">
        <f>IF(設計案成本估算!$B$5&gt;0,5000+2500*(設計案成本估算!$B$5-1),0)</f>
        <v>5000</v>
      </c>
      <c r="O51" s="88"/>
      <c r="P51" s="88"/>
      <c r="Q51" s="88"/>
      <c r="R51" s="88"/>
      <c r="S51" s="88">
        <f>IF(設計案成本估算!$B$5&gt;0,5000+2500*(設計案成本估算!$B$5-1),0)</f>
        <v>5000</v>
      </c>
      <c r="T51" s="88"/>
      <c r="U51" s="88"/>
      <c r="V51" s="88"/>
      <c r="W51" s="88"/>
      <c r="X51" s="88">
        <f>IF(設計案成本估算!$B$5&gt;0,5000+2500*(設計案成本估算!$B$5-1),0)</f>
        <v>5000</v>
      </c>
      <c r="Y51" s="88"/>
      <c r="Z51" s="88"/>
      <c r="AA51" s="88"/>
      <c r="AB51" s="88"/>
      <c r="AC51" s="71">
        <f>SUM(D51:AB51)</f>
        <v>20000</v>
      </c>
      <c r="AD51" s="12"/>
      <c r="AE51" s="3" t="s">
        <v>224</v>
      </c>
      <c r="AF51" s="12" t="str">
        <f>B51</f>
        <v>設計</v>
      </c>
      <c r="AG51" s="15" t="str">
        <f>C51</f>
        <v>NTD</v>
      </c>
      <c r="AH51" s="12">
        <f>D51</f>
        <v>0</v>
      </c>
      <c r="AI51" s="71">
        <f t="shared" ref="AI51:AY51" si="84">AH51+E51</f>
        <v>0</v>
      </c>
      <c r="AJ51" s="71">
        <f t="shared" si="84"/>
        <v>0</v>
      </c>
      <c r="AK51" s="71">
        <f t="shared" si="84"/>
        <v>0</v>
      </c>
      <c r="AL51" s="71">
        <f t="shared" si="84"/>
        <v>0</v>
      </c>
      <c r="AM51" s="71">
        <f t="shared" si="84"/>
        <v>5000</v>
      </c>
      <c r="AN51" s="71">
        <f t="shared" si="84"/>
        <v>5000</v>
      </c>
      <c r="AO51" s="71">
        <f t="shared" si="84"/>
        <v>5000</v>
      </c>
      <c r="AP51" s="71">
        <f t="shared" si="84"/>
        <v>5000</v>
      </c>
      <c r="AQ51" s="71">
        <f t="shared" si="84"/>
        <v>5000</v>
      </c>
      <c r="AR51" s="71">
        <f t="shared" si="84"/>
        <v>10000</v>
      </c>
      <c r="AS51" s="71">
        <f t="shared" si="84"/>
        <v>10000</v>
      </c>
      <c r="AT51" s="71">
        <f t="shared" si="84"/>
        <v>10000</v>
      </c>
      <c r="AU51" s="71">
        <f t="shared" si="84"/>
        <v>10000</v>
      </c>
      <c r="AV51" s="71">
        <f t="shared" si="84"/>
        <v>10000</v>
      </c>
      <c r="AW51" s="71">
        <f t="shared" si="84"/>
        <v>15000</v>
      </c>
      <c r="AX51" s="71">
        <f t="shared" si="84"/>
        <v>15000</v>
      </c>
      <c r="AY51" s="71">
        <f t="shared" si="84"/>
        <v>15000</v>
      </c>
      <c r="AZ51" s="71">
        <f t="shared" ref="AZ51:BF51" si="85">AY51+V51</f>
        <v>15000</v>
      </c>
      <c r="BA51" s="71">
        <f t="shared" si="85"/>
        <v>15000</v>
      </c>
      <c r="BB51" s="71">
        <f t="shared" si="85"/>
        <v>20000</v>
      </c>
      <c r="BC51" s="71">
        <f t="shared" si="85"/>
        <v>20000</v>
      </c>
      <c r="BD51" s="71">
        <f t="shared" si="85"/>
        <v>20000</v>
      </c>
      <c r="BE51" s="71">
        <f t="shared" si="85"/>
        <v>20000</v>
      </c>
      <c r="BF51" s="71">
        <f t="shared" si="85"/>
        <v>20000</v>
      </c>
      <c r="BG51" s="71">
        <f>BF51</f>
        <v>20000</v>
      </c>
    </row>
    <row r="52" spans="1:59" x14ac:dyDescent="0.25">
      <c r="A52" s="81" t="s">
        <v>5</v>
      </c>
      <c r="B52" s="82" t="s">
        <v>43</v>
      </c>
      <c r="C52" s="3" t="s">
        <v>13</v>
      </c>
      <c r="D52" s="88"/>
      <c r="E52" s="88"/>
      <c r="F52" s="88"/>
      <c r="G52" s="88">
        <f>IF(設計案成本估算!$B$5&gt;0,5000*設計案成本估算!$B$5,0)</f>
        <v>5000</v>
      </c>
      <c r="H52" s="88">
        <f>IF(設計案成本估算!$B$5&gt;0,5000*設計案成本估算!$B$5,0)</f>
        <v>5000</v>
      </c>
      <c r="I52" s="88">
        <f>IF(設計案成本估算!$B$5&gt;0,5000*設計案成本估算!$B$5,0)</f>
        <v>5000</v>
      </c>
      <c r="J52" s="88">
        <f>IF(設計案成本估算!$B$5&gt;0,5000*設計案成本估算!$B$5,0)</f>
        <v>5000</v>
      </c>
      <c r="K52" s="88">
        <f>IF(設計案成本估算!$B$5&gt;0,5000*設計案成本估算!$B$5,0)</f>
        <v>5000</v>
      </c>
      <c r="L52" s="88">
        <f>IF(設計案成本估算!$B$5&gt;0,5000*設計案成本估算!$B$5,0)</f>
        <v>5000</v>
      </c>
      <c r="M52" s="88">
        <f>IF(設計案成本估算!$B$5&gt;0,5000*設計案成本估算!$B$5,0)</f>
        <v>5000</v>
      </c>
      <c r="N52" s="88">
        <f>IF(設計案成本估算!$B$5&gt;0,5000*設計案成本估算!$B$5,0)</f>
        <v>5000</v>
      </c>
      <c r="O52" s="88">
        <f>IF(設計案成本估算!$B$5&gt;0,5000*設計案成本估算!$B$5,0)</f>
        <v>5000</v>
      </c>
      <c r="P52" s="88">
        <f>IF(設計案成本估算!$B$5&gt;0,5000*設計案成本估算!$B$5,0)</f>
        <v>5000</v>
      </c>
      <c r="Q52" s="88">
        <f>IF(設計案成本估算!$B$5&gt;0,5000*設計案成本估算!$B$5,0)</f>
        <v>5000</v>
      </c>
      <c r="R52" s="88">
        <f>IF(設計案成本估算!$B$5&gt;0,5000*設計案成本估算!$B$5,0)</f>
        <v>5000</v>
      </c>
      <c r="S52" s="88">
        <f>IF(設計案成本估算!$B$5&gt;0,5000*設計案成本估算!$B$5,0)</f>
        <v>5000</v>
      </c>
      <c r="T52" s="88">
        <f>IF(設計案成本估算!$B$5&gt;0,5000*設計案成本估算!$B$5,0)</f>
        <v>5000</v>
      </c>
      <c r="U52" s="88">
        <f>IF(設計案成本估算!$B$5&gt;0,5000*設計案成本估算!$B$5,0)</f>
        <v>5000</v>
      </c>
      <c r="V52" s="88">
        <f>IF(設計案成本估算!$B$5&gt;0,5000*設計案成本估算!$B$5,0)</f>
        <v>5000</v>
      </c>
      <c r="W52" s="88">
        <f>IF(設計案成本估算!$B$5&gt;0,5000*設計案成本估算!$B$5,0)</f>
        <v>5000</v>
      </c>
      <c r="X52" s="88">
        <f>IF(設計案成本估算!$B$5&gt;0,5000*設計案成本估算!$B$5,0)</f>
        <v>5000</v>
      </c>
      <c r="Y52" s="88">
        <f>IF(設計案成本估算!$B$5&gt;0,5000*設計案成本估算!$B$5,0)</f>
        <v>5000</v>
      </c>
      <c r="Z52" s="88">
        <f>IF(設計案成本估算!$B$5&gt;0,5000*設計案成本估算!$B$5,0)</f>
        <v>5000</v>
      </c>
      <c r="AA52" s="88">
        <f>IF(設計案成本估算!$B$5&gt;0,5000*設計案成本估算!$B$5,0)</f>
        <v>5000</v>
      </c>
      <c r="AB52" s="88">
        <f>IF(設計案成本估算!$B$5&gt;0,5000*設計案成本估算!$B$5,0)</f>
        <v>5000</v>
      </c>
      <c r="AC52" s="71">
        <f t="shared" si="81"/>
        <v>110000</v>
      </c>
      <c r="AD52" s="12"/>
      <c r="AE52" s="81" t="s">
        <v>5</v>
      </c>
      <c r="AF52" s="12" t="str">
        <f t="shared" si="82"/>
        <v>設計</v>
      </c>
      <c r="AG52" s="15" t="str">
        <f t="shared" si="82"/>
        <v>NTD</v>
      </c>
      <c r="AH52" s="12">
        <f t="shared" si="82"/>
        <v>0</v>
      </c>
      <c r="AI52" s="71">
        <f t="shared" ref="AI52:AI61" si="86">AH52+E52</f>
        <v>0</v>
      </c>
      <c r="AJ52" s="71">
        <f t="shared" si="79"/>
        <v>0</v>
      </c>
      <c r="AK52" s="71">
        <f t="shared" si="79"/>
        <v>5000</v>
      </c>
      <c r="AL52" s="71">
        <f t="shared" si="79"/>
        <v>10000</v>
      </c>
      <c r="AM52" s="71">
        <f t="shared" si="79"/>
        <v>15000</v>
      </c>
      <c r="AN52" s="71">
        <f t="shared" si="79"/>
        <v>20000</v>
      </c>
      <c r="AO52" s="71">
        <f t="shared" si="79"/>
        <v>25000</v>
      </c>
      <c r="AP52" s="71">
        <f t="shared" si="79"/>
        <v>30000</v>
      </c>
      <c r="AQ52" s="71">
        <f t="shared" si="79"/>
        <v>35000</v>
      </c>
      <c r="AR52" s="71">
        <f t="shared" si="79"/>
        <v>40000</v>
      </c>
      <c r="AS52" s="71">
        <f t="shared" si="79"/>
        <v>45000</v>
      </c>
      <c r="AT52" s="71">
        <f t="shared" si="79"/>
        <v>50000</v>
      </c>
      <c r="AU52" s="71">
        <f t="shared" si="79"/>
        <v>55000</v>
      </c>
      <c r="AV52" s="71">
        <f t="shared" si="79"/>
        <v>60000</v>
      </c>
      <c r="AW52" s="71">
        <f t="shared" si="79"/>
        <v>65000</v>
      </c>
      <c r="AX52" s="71">
        <f t="shared" si="79"/>
        <v>70000</v>
      </c>
      <c r="AY52" s="71">
        <f t="shared" si="79"/>
        <v>75000</v>
      </c>
      <c r="AZ52" s="71">
        <f t="shared" si="80"/>
        <v>80000</v>
      </c>
      <c r="BA52" s="71">
        <f t="shared" si="80"/>
        <v>85000</v>
      </c>
      <c r="BB52" s="71">
        <f t="shared" si="80"/>
        <v>90000</v>
      </c>
      <c r="BC52" s="71">
        <f t="shared" si="80"/>
        <v>95000</v>
      </c>
      <c r="BD52" s="71">
        <f t="shared" si="80"/>
        <v>100000</v>
      </c>
      <c r="BE52" s="71">
        <f t="shared" si="80"/>
        <v>105000</v>
      </c>
      <c r="BF52" s="71">
        <f t="shared" si="80"/>
        <v>110000</v>
      </c>
      <c r="BG52" s="71">
        <f t="shared" si="83"/>
        <v>110000</v>
      </c>
    </row>
    <row r="53" spans="1:59" x14ac:dyDescent="0.25">
      <c r="A53" s="81" t="s">
        <v>6</v>
      </c>
      <c r="B53" s="82" t="s">
        <v>43</v>
      </c>
      <c r="C53" s="3" t="s">
        <v>13</v>
      </c>
      <c r="D53" s="88"/>
      <c r="E53" s="88"/>
      <c r="F53" s="88"/>
      <c r="G53" s="88">
        <f>IF(設計案成本估算!$B$5&gt;0,5000*設計案成本估算!$B$5,0)</f>
        <v>5000</v>
      </c>
      <c r="H53" s="88">
        <f>IF(設計案成本估算!$B$5&gt;0,5000*設計案成本估算!$B$5,0)</f>
        <v>5000</v>
      </c>
      <c r="I53" s="88">
        <f>IF(設計案成本估算!$B$5&gt;0,5000*設計案成本估算!$B$5,0)</f>
        <v>5000</v>
      </c>
      <c r="J53" s="88">
        <f>IF(設計案成本估算!$B$5&gt;0,5000*設計案成本估算!$B$5,0)</f>
        <v>5000</v>
      </c>
      <c r="K53" s="88">
        <f>IF(設計案成本估算!$B$5&gt;0,5000*設計案成本估算!$B$5,0)</f>
        <v>5000</v>
      </c>
      <c r="L53" s="88">
        <f>IF(設計案成本估算!$B$5&gt;0,5000*設計案成本估算!$B$5,0)</f>
        <v>5000</v>
      </c>
      <c r="M53" s="88">
        <f>IF(設計案成本估算!$B$5&gt;0,5000*設計案成本估算!$B$5,0)</f>
        <v>5000</v>
      </c>
      <c r="N53" s="88">
        <f>IF(設計案成本估算!$B$5&gt;0,5000*設計案成本估算!$B$5,0)</f>
        <v>5000</v>
      </c>
      <c r="O53" s="88">
        <f>IF(設計案成本估算!$B$5&gt;0,5000*設計案成本估算!$B$5,0)</f>
        <v>5000</v>
      </c>
      <c r="P53" s="88">
        <f>IF(設計案成本估算!$B$5&gt;0,5000*設計案成本估算!$B$5,0)</f>
        <v>5000</v>
      </c>
      <c r="Q53" s="88">
        <f>IF(設計案成本估算!$B$5&gt;0,5000*設計案成本估算!$B$5,0)</f>
        <v>5000</v>
      </c>
      <c r="R53" s="88">
        <f>IF(設計案成本估算!$B$5&gt;0,5000*設計案成本估算!$B$5,0)</f>
        <v>5000</v>
      </c>
      <c r="S53" s="88">
        <f>IF(設計案成本估算!$B$5&gt;0,5000*設計案成本估算!$B$5,0)</f>
        <v>5000</v>
      </c>
      <c r="T53" s="88">
        <f>IF(設計案成本估算!$B$5&gt;0,5000*設計案成本估算!$B$5,0)</f>
        <v>5000</v>
      </c>
      <c r="U53" s="88">
        <f>IF(設計案成本估算!$B$5&gt;0,5000*設計案成本估算!$B$5,0)</f>
        <v>5000</v>
      </c>
      <c r="V53" s="88">
        <f>IF(設計案成本估算!$B$5&gt;0,5000*設計案成本估算!$B$5,0)</f>
        <v>5000</v>
      </c>
      <c r="W53" s="88">
        <f>IF(設計案成本估算!$B$5&gt;0,5000*設計案成本估算!$B$5,0)</f>
        <v>5000</v>
      </c>
      <c r="X53" s="88"/>
      <c r="Y53" s="88"/>
      <c r="Z53" s="88"/>
      <c r="AA53" s="88"/>
      <c r="AB53" s="88"/>
      <c r="AC53" s="71">
        <f t="shared" si="81"/>
        <v>85000</v>
      </c>
      <c r="AD53" s="12"/>
      <c r="AE53" s="81" t="s">
        <v>6</v>
      </c>
      <c r="AF53" s="12" t="str">
        <f t="shared" si="82"/>
        <v>設計</v>
      </c>
      <c r="AG53" s="15" t="str">
        <f t="shared" si="82"/>
        <v>NTD</v>
      </c>
      <c r="AH53" s="12">
        <f t="shared" si="82"/>
        <v>0</v>
      </c>
      <c r="AI53" s="71">
        <f t="shared" si="86"/>
        <v>0</v>
      </c>
      <c r="AJ53" s="71">
        <f t="shared" si="79"/>
        <v>0</v>
      </c>
      <c r="AK53" s="71">
        <f t="shared" si="79"/>
        <v>5000</v>
      </c>
      <c r="AL53" s="71">
        <f t="shared" si="79"/>
        <v>10000</v>
      </c>
      <c r="AM53" s="71">
        <f t="shared" si="79"/>
        <v>15000</v>
      </c>
      <c r="AN53" s="71">
        <f t="shared" si="79"/>
        <v>20000</v>
      </c>
      <c r="AO53" s="71">
        <f t="shared" si="79"/>
        <v>25000</v>
      </c>
      <c r="AP53" s="71">
        <f t="shared" si="79"/>
        <v>30000</v>
      </c>
      <c r="AQ53" s="71">
        <f t="shared" si="79"/>
        <v>35000</v>
      </c>
      <c r="AR53" s="71">
        <f t="shared" si="79"/>
        <v>40000</v>
      </c>
      <c r="AS53" s="71">
        <f t="shared" si="79"/>
        <v>45000</v>
      </c>
      <c r="AT53" s="71">
        <f t="shared" si="79"/>
        <v>50000</v>
      </c>
      <c r="AU53" s="71">
        <f t="shared" si="79"/>
        <v>55000</v>
      </c>
      <c r="AV53" s="71">
        <f t="shared" si="79"/>
        <v>60000</v>
      </c>
      <c r="AW53" s="71">
        <f t="shared" si="79"/>
        <v>65000</v>
      </c>
      <c r="AX53" s="71">
        <f t="shared" si="79"/>
        <v>70000</v>
      </c>
      <c r="AY53" s="71">
        <f t="shared" si="79"/>
        <v>75000</v>
      </c>
      <c r="AZ53" s="71">
        <f t="shared" si="80"/>
        <v>80000</v>
      </c>
      <c r="BA53" s="71">
        <f t="shared" si="80"/>
        <v>85000</v>
      </c>
      <c r="BB53" s="71">
        <f t="shared" si="80"/>
        <v>85000</v>
      </c>
      <c r="BC53" s="71">
        <f t="shared" si="80"/>
        <v>85000</v>
      </c>
      <c r="BD53" s="71">
        <f t="shared" si="80"/>
        <v>85000</v>
      </c>
      <c r="BE53" s="71">
        <f t="shared" si="80"/>
        <v>85000</v>
      </c>
      <c r="BF53" s="71">
        <f t="shared" si="80"/>
        <v>85000</v>
      </c>
      <c r="BG53" s="71">
        <f t="shared" si="83"/>
        <v>85000</v>
      </c>
    </row>
    <row r="54" spans="1:59" x14ac:dyDescent="0.25">
      <c r="A54" s="3" t="s">
        <v>35</v>
      </c>
      <c r="B54" s="82" t="s">
        <v>43</v>
      </c>
      <c r="C54" s="3" t="s">
        <v>13</v>
      </c>
      <c r="D54" s="88"/>
      <c r="E54" s="88"/>
      <c r="F54" s="88"/>
      <c r="G54" s="88"/>
      <c r="H54" s="88"/>
      <c r="I54" s="88">
        <f>IF(設計案成本估算!$B$5&gt;0,5000,0)</f>
        <v>5000</v>
      </c>
      <c r="J54" s="88"/>
      <c r="K54" s="88"/>
      <c r="L54" s="88"/>
      <c r="M54" s="88"/>
      <c r="N54" s="88"/>
      <c r="O54" s="88"/>
      <c r="P54" s="88"/>
      <c r="Q54" s="88"/>
      <c r="R54" s="88"/>
      <c r="S54" s="88"/>
      <c r="T54" s="88"/>
      <c r="U54" s="88"/>
      <c r="V54" s="88"/>
      <c r="W54" s="88"/>
      <c r="X54" s="88"/>
      <c r="Y54" s="88"/>
      <c r="Z54" s="88"/>
      <c r="AA54" s="88"/>
      <c r="AB54" s="88"/>
      <c r="AC54" s="71">
        <f>SUM(D54:AB54)</f>
        <v>5000</v>
      </c>
      <c r="AD54" s="12"/>
      <c r="AE54" s="3" t="s">
        <v>35</v>
      </c>
      <c r="AF54" s="12" t="str">
        <f t="shared" ref="AF54:AH55" si="87">B54</f>
        <v>設計</v>
      </c>
      <c r="AG54" s="15" t="str">
        <f t="shared" si="87"/>
        <v>NTD</v>
      </c>
      <c r="AH54" s="12">
        <f t="shared" si="87"/>
        <v>0</v>
      </c>
      <c r="AI54" s="71">
        <f t="shared" ref="AI54:BF54" si="88">AH54+E54</f>
        <v>0</v>
      </c>
      <c r="AJ54" s="71">
        <f t="shared" si="88"/>
        <v>0</v>
      </c>
      <c r="AK54" s="71">
        <f t="shared" si="88"/>
        <v>0</v>
      </c>
      <c r="AL54" s="71">
        <f t="shared" si="88"/>
        <v>0</v>
      </c>
      <c r="AM54" s="71">
        <f t="shared" si="88"/>
        <v>5000</v>
      </c>
      <c r="AN54" s="71">
        <f t="shared" si="88"/>
        <v>5000</v>
      </c>
      <c r="AO54" s="71">
        <f t="shared" si="88"/>
        <v>5000</v>
      </c>
      <c r="AP54" s="71">
        <f t="shared" si="88"/>
        <v>5000</v>
      </c>
      <c r="AQ54" s="71">
        <f t="shared" si="88"/>
        <v>5000</v>
      </c>
      <c r="AR54" s="71">
        <f t="shared" si="88"/>
        <v>5000</v>
      </c>
      <c r="AS54" s="71">
        <f t="shared" si="88"/>
        <v>5000</v>
      </c>
      <c r="AT54" s="71">
        <f t="shared" si="88"/>
        <v>5000</v>
      </c>
      <c r="AU54" s="71">
        <f t="shared" si="88"/>
        <v>5000</v>
      </c>
      <c r="AV54" s="71">
        <f t="shared" si="88"/>
        <v>5000</v>
      </c>
      <c r="AW54" s="71">
        <f t="shared" si="88"/>
        <v>5000</v>
      </c>
      <c r="AX54" s="71">
        <f t="shared" si="88"/>
        <v>5000</v>
      </c>
      <c r="AY54" s="71">
        <f t="shared" si="88"/>
        <v>5000</v>
      </c>
      <c r="AZ54" s="71">
        <f t="shared" si="88"/>
        <v>5000</v>
      </c>
      <c r="BA54" s="71">
        <f t="shared" si="88"/>
        <v>5000</v>
      </c>
      <c r="BB54" s="71">
        <f t="shared" si="88"/>
        <v>5000</v>
      </c>
      <c r="BC54" s="71">
        <f t="shared" si="88"/>
        <v>5000</v>
      </c>
      <c r="BD54" s="71">
        <f t="shared" si="88"/>
        <v>5000</v>
      </c>
      <c r="BE54" s="71">
        <f t="shared" si="88"/>
        <v>5000</v>
      </c>
      <c r="BF54" s="71">
        <f t="shared" si="88"/>
        <v>5000</v>
      </c>
      <c r="BG54" s="71">
        <f>BF54</f>
        <v>5000</v>
      </c>
    </row>
    <row r="55" spans="1:59" x14ac:dyDescent="0.25">
      <c r="A55" s="146" t="s">
        <v>315</v>
      </c>
      <c r="B55" s="82" t="s">
        <v>43</v>
      </c>
      <c r="C55" s="3" t="s">
        <v>13</v>
      </c>
      <c r="D55" s="88"/>
      <c r="E55" s="88"/>
      <c r="F55" s="88"/>
      <c r="G55" s="88"/>
      <c r="H55" s="88"/>
      <c r="I55" s="88">
        <f>IF(設計案成本估算!$B$5&gt;0,5000*設計案成本估算!$B$5,0)</f>
        <v>5000</v>
      </c>
      <c r="J55" s="88"/>
      <c r="K55" s="88"/>
      <c r="L55" s="88"/>
      <c r="M55" s="88"/>
      <c r="N55" s="88"/>
      <c r="O55" s="88"/>
      <c r="P55" s="88"/>
      <c r="Q55" s="88"/>
      <c r="R55" s="88"/>
      <c r="S55" s="88"/>
      <c r="T55" s="88"/>
      <c r="U55" s="88"/>
      <c r="V55" s="88"/>
      <c r="W55" s="88"/>
      <c r="X55" s="88"/>
      <c r="Y55" s="88"/>
      <c r="Z55" s="88"/>
      <c r="AA55" s="88"/>
      <c r="AB55" s="88"/>
      <c r="AC55" s="71">
        <f>SUM(D55:AB55)</f>
        <v>5000</v>
      </c>
      <c r="AD55" s="12"/>
      <c r="AE55" s="81" t="s">
        <v>309</v>
      </c>
      <c r="AF55" s="12" t="str">
        <f t="shared" si="87"/>
        <v>設計</v>
      </c>
      <c r="AG55" s="15" t="str">
        <f t="shared" si="87"/>
        <v>NTD</v>
      </c>
      <c r="AH55" s="12">
        <f t="shared" si="87"/>
        <v>0</v>
      </c>
      <c r="AI55" s="71">
        <f t="shared" ref="AI55:BF55" si="89">AH55+E55</f>
        <v>0</v>
      </c>
      <c r="AJ55" s="71">
        <f t="shared" si="89"/>
        <v>0</v>
      </c>
      <c r="AK55" s="71">
        <f t="shared" si="89"/>
        <v>0</v>
      </c>
      <c r="AL55" s="71">
        <f t="shared" si="89"/>
        <v>0</v>
      </c>
      <c r="AM55" s="71">
        <f t="shared" si="89"/>
        <v>5000</v>
      </c>
      <c r="AN55" s="71">
        <f t="shared" si="89"/>
        <v>5000</v>
      </c>
      <c r="AO55" s="71">
        <f t="shared" si="89"/>
        <v>5000</v>
      </c>
      <c r="AP55" s="71">
        <f t="shared" si="89"/>
        <v>5000</v>
      </c>
      <c r="AQ55" s="71">
        <f t="shared" si="89"/>
        <v>5000</v>
      </c>
      <c r="AR55" s="71">
        <f t="shared" si="89"/>
        <v>5000</v>
      </c>
      <c r="AS55" s="71">
        <f t="shared" si="89"/>
        <v>5000</v>
      </c>
      <c r="AT55" s="71">
        <f t="shared" si="89"/>
        <v>5000</v>
      </c>
      <c r="AU55" s="71">
        <f t="shared" si="89"/>
        <v>5000</v>
      </c>
      <c r="AV55" s="71">
        <f t="shared" si="89"/>
        <v>5000</v>
      </c>
      <c r="AW55" s="71">
        <f t="shared" si="89"/>
        <v>5000</v>
      </c>
      <c r="AX55" s="71">
        <f t="shared" si="89"/>
        <v>5000</v>
      </c>
      <c r="AY55" s="71">
        <f t="shared" si="89"/>
        <v>5000</v>
      </c>
      <c r="AZ55" s="71">
        <f t="shared" si="89"/>
        <v>5000</v>
      </c>
      <c r="BA55" s="71">
        <f t="shared" si="89"/>
        <v>5000</v>
      </c>
      <c r="BB55" s="71">
        <f t="shared" si="89"/>
        <v>5000</v>
      </c>
      <c r="BC55" s="71">
        <f t="shared" si="89"/>
        <v>5000</v>
      </c>
      <c r="BD55" s="71">
        <f t="shared" si="89"/>
        <v>5000</v>
      </c>
      <c r="BE55" s="71">
        <f t="shared" si="89"/>
        <v>5000</v>
      </c>
      <c r="BF55" s="71">
        <f t="shared" si="89"/>
        <v>5000</v>
      </c>
      <c r="BG55" s="71">
        <f>BF55</f>
        <v>5000</v>
      </c>
    </row>
    <row r="56" spans="1:59" x14ac:dyDescent="0.25">
      <c r="A56" s="3" t="s">
        <v>7</v>
      </c>
      <c r="B56" s="82" t="s">
        <v>43</v>
      </c>
      <c r="C56" s="3" t="s">
        <v>13</v>
      </c>
      <c r="D56" s="88"/>
      <c r="E56" s="88"/>
      <c r="F56" s="88"/>
      <c r="G56" s="88"/>
      <c r="H56" s="88"/>
      <c r="I56" s="88">
        <f>IF(設計案成本估算!$B$5&gt;0,5000+2500*(設計案成本估算!$B$5-1),0)</f>
        <v>5000</v>
      </c>
      <c r="J56" s="88"/>
      <c r="K56" s="88"/>
      <c r="L56" s="88"/>
      <c r="M56" s="88"/>
      <c r="N56" s="88">
        <f>IF(設計案成本估算!$B$5&gt;0,5000+2500*(設計案成本估算!$B$5-1),0)</f>
        <v>5000</v>
      </c>
      <c r="O56" s="88"/>
      <c r="P56" s="88"/>
      <c r="Q56" s="88"/>
      <c r="R56" s="88"/>
      <c r="S56" s="88"/>
      <c r="T56" s="88"/>
      <c r="U56" s="88"/>
      <c r="V56" s="88"/>
      <c r="W56" s="88"/>
      <c r="X56" s="88"/>
      <c r="Y56" s="88"/>
      <c r="Z56" s="88"/>
      <c r="AA56" s="88"/>
      <c r="AB56" s="88"/>
      <c r="AC56" s="71">
        <f t="shared" si="81"/>
        <v>10000</v>
      </c>
      <c r="AD56" s="12"/>
      <c r="AE56" s="3" t="s">
        <v>7</v>
      </c>
      <c r="AF56" s="12" t="str">
        <f t="shared" si="82"/>
        <v>設計</v>
      </c>
      <c r="AG56" s="15" t="str">
        <f t="shared" si="82"/>
        <v>NTD</v>
      </c>
      <c r="AH56" s="12">
        <f t="shared" si="82"/>
        <v>0</v>
      </c>
      <c r="AI56" s="71">
        <f t="shared" si="86"/>
        <v>0</v>
      </c>
      <c r="AJ56" s="71">
        <f t="shared" si="79"/>
        <v>0</v>
      </c>
      <c r="AK56" s="71">
        <f t="shared" si="79"/>
        <v>0</v>
      </c>
      <c r="AL56" s="71">
        <f t="shared" si="79"/>
        <v>0</v>
      </c>
      <c r="AM56" s="71">
        <f t="shared" si="79"/>
        <v>5000</v>
      </c>
      <c r="AN56" s="71">
        <f t="shared" si="79"/>
        <v>5000</v>
      </c>
      <c r="AO56" s="71">
        <f t="shared" si="79"/>
        <v>5000</v>
      </c>
      <c r="AP56" s="71">
        <f t="shared" si="79"/>
        <v>5000</v>
      </c>
      <c r="AQ56" s="71">
        <f t="shared" si="79"/>
        <v>5000</v>
      </c>
      <c r="AR56" s="71">
        <f t="shared" si="79"/>
        <v>10000</v>
      </c>
      <c r="AS56" s="71">
        <f t="shared" si="79"/>
        <v>10000</v>
      </c>
      <c r="AT56" s="71">
        <f t="shared" si="79"/>
        <v>10000</v>
      </c>
      <c r="AU56" s="71">
        <f t="shared" si="79"/>
        <v>10000</v>
      </c>
      <c r="AV56" s="71">
        <f t="shared" si="79"/>
        <v>10000</v>
      </c>
      <c r="AW56" s="71">
        <f t="shared" si="79"/>
        <v>10000</v>
      </c>
      <c r="AX56" s="71">
        <f t="shared" si="79"/>
        <v>10000</v>
      </c>
      <c r="AY56" s="71">
        <f t="shared" si="79"/>
        <v>10000</v>
      </c>
      <c r="AZ56" s="71">
        <f t="shared" si="80"/>
        <v>10000</v>
      </c>
      <c r="BA56" s="71">
        <f t="shared" si="80"/>
        <v>10000</v>
      </c>
      <c r="BB56" s="71">
        <f t="shared" si="80"/>
        <v>10000</v>
      </c>
      <c r="BC56" s="71">
        <f t="shared" si="80"/>
        <v>10000</v>
      </c>
      <c r="BD56" s="71">
        <f t="shared" si="80"/>
        <v>10000</v>
      </c>
      <c r="BE56" s="71">
        <f t="shared" si="80"/>
        <v>10000</v>
      </c>
      <c r="BF56" s="71">
        <f t="shared" si="80"/>
        <v>10000</v>
      </c>
      <c r="BG56" s="71">
        <f t="shared" si="83"/>
        <v>10000</v>
      </c>
    </row>
    <row r="57" spans="1:59" x14ac:dyDescent="0.25">
      <c r="A57" s="81" t="s">
        <v>10</v>
      </c>
      <c r="B57" s="82" t="s">
        <v>43</v>
      </c>
      <c r="C57" s="3" t="s">
        <v>13</v>
      </c>
      <c r="D57" s="88"/>
      <c r="E57" s="88"/>
      <c r="F57" s="88"/>
      <c r="G57" s="88"/>
      <c r="H57" s="88"/>
      <c r="I57" s="88">
        <f>IF(設計案成本估算!$B$5&gt;0,5000*設計案成本估算!$B$5,0)</f>
        <v>5000</v>
      </c>
      <c r="J57" s="88"/>
      <c r="K57" s="88"/>
      <c r="L57" s="88"/>
      <c r="M57" s="88"/>
      <c r="N57" s="88">
        <f>IF(設計案成本估算!$B$5&gt;0,5000*設計案成本估算!$B$5,0)</f>
        <v>5000</v>
      </c>
      <c r="O57" s="88"/>
      <c r="P57" s="88"/>
      <c r="Q57" s="88"/>
      <c r="R57" s="88"/>
      <c r="S57" s="88">
        <f>IF(設計案成本估算!$B$5&gt;0,5000*設計案成本估算!$B$5,0)</f>
        <v>5000</v>
      </c>
      <c r="T57" s="88"/>
      <c r="U57" s="88"/>
      <c r="V57" s="88"/>
      <c r="W57" s="88"/>
      <c r="X57" s="88">
        <f>IF(設計案成本估算!$B$5&gt;0,5000*設計案成本估算!$B$5,0)</f>
        <v>5000</v>
      </c>
      <c r="Y57" s="88"/>
      <c r="Z57" s="88"/>
      <c r="AA57" s="88"/>
      <c r="AB57" s="88"/>
      <c r="AC57" s="71">
        <f>SUM(D57:AB57)</f>
        <v>20000</v>
      </c>
      <c r="AD57" s="12"/>
      <c r="AE57" s="81" t="s">
        <v>10</v>
      </c>
      <c r="AF57" s="12" t="str">
        <f>B57</f>
        <v>設計</v>
      </c>
      <c r="AG57" s="15" t="str">
        <f>C57</f>
        <v>NTD</v>
      </c>
      <c r="AH57" s="12">
        <f>D57</f>
        <v>0</v>
      </c>
      <c r="AI57" s="71">
        <f t="shared" ref="AI57:BF57" si="90">AH57+E57</f>
        <v>0</v>
      </c>
      <c r="AJ57" s="71">
        <f t="shared" si="90"/>
        <v>0</v>
      </c>
      <c r="AK57" s="71">
        <f t="shared" si="90"/>
        <v>0</v>
      </c>
      <c r="AL57" s="71">
        <f t="shared" si="90"/>
        <v>0</v>
      </c>
      <c r="AM57" s="71">
        <f t="shared" si="90"/>
        <v>5000</v>
      </c>
      <c r="AN57" s="71">
        <f t="shared" si="90"/>
        <v>5000</v>
      </c>
      <c r="AO57" s="71">
        <f t="shared" si="90"/>
        <v>5000</v>
      </c>
      <c r="AP57" s="71">
        <f t="shared" si="90"/>
        <v>5000</v>
      </c>
      <c r="AQ57" s="71">
        <f t="shared" si="90"/>
        <v>5000</v>
      </c>
      <c r="AR57" s="71">
        <f t="shared" si="90"/>
        <v>10000</v>
      </c>
      <c r="AS57" s="71">
        <f t="shared" si="90"/>
        <v>10000</v>
      </c>
      <c r="AT57" s="71">
        <f t="shared" si="90"/>
        <v>10000</v>
      </c>
      <c r="AU57" s="71">
        <f t="shared" si="90"/>
        <v>10000</v>
      </c>
      <c r="AV57" s="71">
        <f t="shared" si="90"/>
        <v>10000</v>
      </c>
      <c r="AW57" s="71">
        <f t="shared" si="90"/>
        <v>15000</v>
      </c>
      <c r="AX57" s="71">
        <f t="shared" si="90"/>
        <v>15000</v>
      </c>
      <c r="AY57" s="71">
        <f t="shared" si="90"/>
        <v>15000</v>
      </c>
      <c r="AZ57" s="71">
        <f t="shared" si="90"/>
        <v>15000</v>
      </c>
      <c r="BA57" s="71">
        <f t="shared" si="90"/>
        <v>15000</v>
      </c>
      <c r="BB57" s="71">
        <f t="shared" si="90"/>
        <v>20000</v>
      </c>
      <c r="BC57" s="71">
        <f t="shared" si="90"/>
        <v>20000</v>
      </c>
      <c r="BD57" s="71">
        <f t="shared" si="90"/>
        <v>20000</v>
      </c>
      <c r="BE57" s="71">
        <f t="shared" si="90"/>
        <v>20000</v>
      </c>
      <c r="BF57" s="71">
        <f t="shared" si="90"/>
        <v>20000</v>
      </c>
      <c r="BG57" s="71">
        <f>BF57</f>
        <v>20000</v>
      </c>
    </row>
    <row r="58" spans="1:59" x14ac:dyDescent="0.25">
      <c r="A58" s="51" t="s">
        <v>116</v>
      </c>
      <c r="B58" s="82" t="s">
        <v>43</v>
      </c>
      <c r="C58" s="3" t="s">
        <v>13</v>
      </c>
      <c r="D58" s="88"/>
      <c r="E58" s="88"/>
      <c r="F58" s="88"/>
      <c r="G58" s="88"/>
      <c r="H58" s="88"/>
      <c r="I58" s="88">
        <f>IF(設計案成本估算!$B$5&gt;0,5000,0)</f>
        <v>5000</v>
      </c>
      <c r="J58" s="88"/>
      <c r="K58" s="88"/>
      <c r="L58" s="88"/>
      <c r="M58" s="88"/>
      <c r="N58" s="88">
        <f>IF(設計案成本估算!$B$5&gt;0,5000,0)</f>
        <v>5000</v>
      </c>
      <c r="O58" s="88"/>
      <c r="P58" s="88"/>
      <c r="Q58" s="88"/>
      <c r="R58" s="88"/>
      <c r="S58" s="88"/>
      <c r="T58" s="88"/>
      <c r="U58" s="88"/>
      <c r="V58" s="88"/>
      <c r="W58" s="88"/>
      <c r="X58" s="88"/>
      <c r="Y58" s="88"/>
      <c r="Z58" s="88"/>
      <c r="AA58" s="88"/>
      <c r="AB58" s="88"/>
      <c r="AC58" s="71">
        <f t="shared" si="81"/>
        <v>10000</v>
      </c>
      <c r="AD58" s="12"/>
      <c r="AE58" s="51" t="s">
        <v>116</v>
      </c>
      <c r="AF58" s="12" t="str">
        <f t="shared" si="82"/>
        <v>設計</v>
      </c>
      <c r="AG58" s="15" t="str">
        <f t="shared" si="82"/>
        <v>NTD</v>
      </c>
      <c r="AH58" s="12">
        <f t="shared" si="82"/>
        <v>0</v>
      </c>
      <c r="AI58" s="71">
        <f t="shared" si="86"/>
        <v>0</v>
      </c>
      <c r="AJ58" s="71">
        <f t="shared" si="79"/>
        <v>0</v>
      </c>
      <c r="AK58" s="71">
        <f t="shared" si="79"/>
        <v>0</v>
      </c>
      <c r="AL58" s="71">
        <f t="shared" si="79"/>
        <v>0</v>
      </c>
      <c r="AM58" s="71">
        <f t="shared" si="79"/>
        <v>5000</v>
      </c>
      <c r="AN58" s="71">
        <f t="shared" si="79"/>
        <v>5000</v>
      </c>
      <c r="AO58" s="71">
        <f t="shared" si="79"/>
        <v>5000</v>
      </c>
      <c r="AP58" s="71">
        <f t="shared" si="79"/>
        <v>5000</v>
      </c>
      <c r="AQ58" s="71">
        <f t="shared" si="79"/>
        <v>5000</v>
      </c>
      <c r="AR58" s="71">
        <f t="shared" si="79"/>
        <v>10000</v>
      </c>
      <c r="AS58" s="71">
        <f t="shared" si="79"/>
        <v>10000</v>
      </c>
      <c r="AT58" s="71">
        <f t="shared" si="79"/>
        <v>10000</v>
      </c>
      <c r="AU58" s="71">
        <f t="shared" si="79"/>
        <v>10000</v>
      </c>
      <c r="AV58" s="71">
        <f t="shared" si="79"/>
        <v>10000</v>
      </c>
      <c r="AW58" s="71">
        <f t="shared" si="79"/>
        <v>10000</v>
      </c>
      <c r="AX58" s="71">
        <f t="shared" si="79"/>
        <v>10000</v>
      </c>
      <c r="AY58" s="71">
        <f t="shared" si="79"/>
        <v>10000</v>
      </c>
      <c r="AZ58" s="71">
        <f t="shared" si="80"/>
        <v>10000</v>
      </c>
      <c r="BA58" s="71">
        <f t="shared" si="80"/>
        <v>10000</v>
      </c>
      <c r="BB58" s="71">
        <f t="shared" si="80"/>
        <v>10000</v>
      </c>
      <c r="BC58" s="71">
        <f t="shared" si="80"/>
        <v>10000</v>
      </c>
      <c r="BD58" s="71">
        <f t="shared" si="80"/>
        <v>10000</v>
      </c>
      <c r="BE58" s="71">
        <f t="shared" si="80"/>
        <v>10000</v>
      </c>
      <c r="BF58" s="71">
        <f t="shared" si="80"/>
        <v>10000</v>
      </c>
      <c r="BG58" s="71">
        <f t="shared" si="83"/>
        <v>10000</v>
      </c>
    </row>
    <row r="59" spans="1:59" x14ac:dyDescent="0.25">
      <c r="A59" s="81" t="s">
        <v>96</v>
      </c>
      <c r="B59" s="82" t="s">
        <v>43</v>
      </c>
      <c r="C59" s="3" t="s">
        <v>13</v>
      </c>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71">
        <f>SUM(D59:AB59)</f>
        <v>0</v>
      </c>
      <c r="AD59" s="12"/>
      <c r="AE59" s="81" t="s">
        <v>96</v>
      </c>
      <c r="AF59" s="12" t="str">
        <f>B59</f>
        <v>設計</v>
      </c>
      <c r="AG59" s="15" t="str">
        <f>C59</f>
        <v>NTD</v>
      </c>
      <c r="AH59" s="12">
        <f>D59</f>
        <v>0</v>
      </c>
      <c r="AI59" s="71">
        <f>AH59+E59</f>
        <v>0</v>
      </c>
      <c r="AJ59" s="71">
        <f t="shared" ref="AJ59:AY59" si="91">AI59+F59</f>
        <v>0</v>
      </c>
      <c r="AK59" s="71">
        <f t="shared" si="91"/>
        <v>0</v>
      </c>
      <c r="AL59" s="71">
        <f t="shared" si="91"/>
        <v>0</v>
      </c>
      <c r="AM59" s="71">
        <f t="shared" si="91"/>
        <v>0</v>
      </c>
      <c r="AN59" s="71">
        <f t="shared" si="91"/>
        <v>0</v>
      </c>
      <c r="AO59" s="71">
        <f t="shared" si="91"/>
        <v>0</v>
      </c>
      <c r="AP59" s="71">
        <f t="shared" si="91"/>
        <v>0</v>
      </c>
      <c r="AQ59" s="71">
        <f t="shared" si="91"/>
        <v>0</v>
      </c>
      <c r="AR59" s="71">
        <f t="shared" si="91"/>
        <v>0</v>
      </c>
      <c r="AS59" s="71">
        <f t="shared" si="91"/>
        <v>0</v>
      </c>
      <c r="AT59" s="71">
        <f t="shared" si="91"/>
        <v>0</v>
      </c>
      <c r="AU59" s="71">
        <f t="shared" si="91"/>
        <v>0</v>
      </c>
      <c r="AV59" s="71">
        <f t="shared" si="91"/>
        <v>0</v>
      </c>
      <c r="AW59" s="71">
        <f t="shared" si="91"/>
        <v>0</v>
      </c>
      <c r="AX59" s="71">
        <f t="shared" si="91"/>
        <v>0</v>
      </c>
      <c r="AY59" s="71">
        <f t="shared" si="91"/>
        <v>0</v>
      </c>
      <c r="AZ59" s="71">
        <f t="shared" ref="AZ59:BF59" si="92">AY59+V59</f>
        <v>0</v>
      </c>
      <c r="BA59" s="71">
        <f t="shared" si="92"/>
        <v>0</v>
      </c>
      <c r="BB59" s="71">
        <f t="shared" si="92"/>
        <v>0</v>
      </c>
      <c r="BC59" s="71">
        <f t="shared" si="92"/>
        <v>0</v>
      </c>
      <c r="BD59" s="71">
        <f t="shared" si="92"/>
        <v>0</v>
      </c>
      <c r="BE59" s="71">
        <f t="shared" si="92"/>
        <v>0</v>
      </c>
      <c r="BF59" s="71">
        <f t="shared" si="92"/>
        <v>0</v>
      </c>
      <c r="BG59" s="71">
        <f>BF59</f>
        <v>0</v>
      </c>
    </row>
    <row r="60" spans="1:59" x14ac:dyDescent="0.25">
      <c r="A60" s="81" t="s">
        <v>8</v>
      </c>
      <c r="B60" s="82" t="s">
        <v>43</v>
      </c>
      <c r="C60" s="3" t="s">
        <v>13</v>
      </c>
      <c r="D60" s="88"/>
      <c r="E60" s="88"/>
      <c r="F60" s="88"/>
      <c r="G60" s="88"/>
      <c r="H60" s="88"/>
      <c r="I60" s="88">
        <f>IF(設計案成本估算!$B$5&gt;0,5000,0)</f>
        <v>5000</v>
      </c>
      <c r="J60" s="88"/>
      <c r="K60" s="88"/>
      <c r="L60" s="88"/>
      <c r="M60" s="88"/>
      <c r="N60" s="88">
        <f>IF(設計案成本估算!$B$5&gt;0,5000,0)</f>
        <v>5000</v>
      </c>
      <c r="O60" s="88"/>
      <c r="P60" s="88"/>
      <c r="Q60" s="88"/>
      <c r="R60" s="88"/>
      <c r="S60" s="88"/>
      <c r="T60" s="88"/>
      <c r="U60" s="88"/>
      <c r="V60" s="88"/>
      <c r="W60" s="88"/>
      <c r="X60" s="88"/>
      <c r="Y60" s="88"/>
      <c r="Z60" s="88"/>
      <c r="AA60" s="88"/>
      <c r="AB60" s="88"/>
      <c r="AC60" s="71">
        <f t="shared" si="81"/>
        <v>10000</v>
      </c>
      <c r="AD60" s="12"/>
      <c r="AE60" s="81" t="s">
        <v>8</v>
      </c>
      <c r="AF60" s="12" t="str">
        <f t="shared" si="82"/>
        <v>設計</v>
      </c>
      <c r="AG60" s="15" t="str">
        <f t="shared" si="82"/>
        <v>NTD</v>
      </c>
      <c r="AH60" s="12">
        <f t="shared" si="82"/>
        <v>0</v>
      </c>
      <c r="AI60" s="71">
        <f t="shared" si="86"/>
        <v>0</v>
      </c>
      <c r="AJ60" s="71">
        <f t="shared" si="79"/>
        <v>0</v>
      </c>
      <c r="AK60" s="71">
        <f t="shared" si="79"/>
        <v>0</v>
      </c>
      <c r="AL60" s="71">
        <f t="shared" si="79"/>
        <v>0</v>
      </c>
      <c r="AM60" s="71">
        <f t="shared" si="79"/>
        <v>5000</v>
      </c>
      <c r="AN60" s="71">
        <f t="shared" si="79"/>
        <v>5000</v>
      </c>
      <c r="AO60" s="71">
        <f t="shared" si="79"/>
        <v>5000</v>
      </c>
      <c r="AP60" s="71">
        <f t="shared" si="79"/>
        <v>5000</v>
      </c>
      <c r="AQ60" s="71">
        <f t="shared" si="79"/>
        <v>5000</v>
      </c>
      <c r="AR60" s="71">
        <f t="shared" si="79"/>
        <v>10000</v>
      </c>
      <c r="AS60" s="71">
        <f t="shared" si="79"/>
        <v>10000</v>
      </c>
      <c r="AT60" s="71">
        <f t="shared" si="79"/>
        <v>10000</v>
      </c>
      <c r="AU60" s="71">
        <f t="shared" si="79"/>
        <v>10000</v>
      </c>
      <c r="AV60" s="71">
        <f t="shared" si="79"/>
        <v>10000</v>
      </c>
      <c r="AW60" s="71">
        <f t="shared" si="79"/>
        <v>10000</v>
      </c>
      <c r="AX60" s="71">
        <f t="shared" si="79"/>
        <v>10000</v>
      </c>
      <c r="AY60" s="71">
        <f t="shared" si="79"/>
        <v>10000</v>
      </c>
      <c r="AZ60" s="71">
        <f t="shared" si="80"/>
        <v>10000</v>
      </c>
      <c r="BA60" s="71">
        <f t="shared" si="80"/>
        <v>10000</v>
      </c>
      <c r="BB60" s="71">
        <f t="shared" si="80"/>
        <v>10000</v>
      </c>
      <c r="BC60" s="71">
        <f t="shared" si="80"/>
        <v>10000</v>
      </c>
      <c r="BD60" s="71">
        <f t="shared" si="80"/>
        <v>10000</v>
      </c>
      <c r="BE60" s="71">
        <f t="shared" si="80"/>
        <v>10000</v>
      </c>
      <c r="BF60" s="71">
        <f t="shared" si="80"/>
        <v>10000</v>
      </c>
      <c r="BG60" s="71">
        <f t="shared" si="83"/>
        <v>10000</v>
      </c>
    </row>
    <row r="61" spans="1:59" x14ac:dyDescent="0.25">
      <c r="A61" s="81" t="s">
        <v>9</v>
      </c>
      <c r="B61" s="82" t="s">
        <v>43</v>
      </c>
      <c r="C61" s="3" t="s">
        <v>13</v>
      </c>
      <c r="D61" s="88"/>
      <c r="E61" s="88"/>
      <c r="F61" s="88"/>
      <c r="G61" s="88"/>
      <c r="H61" s="88">
        <f>IF(設計案成本估算!$B$5&gt;0,5000*設計案成本估算!$B$5,0)</f>
        <v>5000</v>
      </c>
      <c r="I61" s="88">
        <f>IF(設計案成本估算!$B$5&gt;0,5000*設計案成本估算!$B$5,0)</f>
        <v>5000</v>
      </c>
      <c r="J61" s="88">
        <f>IF(設計案成本估算!$B$5&gt;0,5000*設計案成本估算!$B$5,0)</f>
        <v>5000</v>
      </c>
      <c r="K61" s="88">
        <f>IF(設計案成本估算!$B$5&gt;0,5000*設計案成本估算!$B$5,0)</f>
        <v>5000</v>
      </c>
      <c r="L61" s="88">
        <f>IF(設計案成本估算!$B$5&gt;0,5000*設計案成本估算!$B$5,0)</f>
        <v>5000</v>
      </c>
      <c r="M61" s="88">
        <f>IF(設計案成本估算!$B$5&gt;0,5000*設計案成本估算!$B$5,0)</f>
        <v>5000</v>
      </c>
      <c r="N61" s="88"/>
      <c r="O61" s="88"/>
      <c r="P61" s="88"/>
      <c r="Q61" s="88"/>
      <c r="R61" s="88"/>
      <c r="S61" s="88"/>
      <c r="T61" s="88"/>
      <c r="U61" s="88"/>
      <c r="V61" s="88"/>
      <c r="W61" s="88"/>
      <c r="X61" s="88"/>
      <c r="Y61" s="88"/>
      <c r="Z61" s="88"/>
      <c r="AA61" s="88"/>
      <c r="AB61" s="88"/>
      <c r="AC61" s="71">
        <f t="shared" si="81"/>
        <v>30000</v>
      </c>
      <c r="AD61" s="12"/>
      <c r="AE61" s="81" t="s">
        <v>9</v>
      </c>
      <c r="AF61" s="12" t="str">
        <f t="shared" si="82"/>
        <v>設計</v>
      </c>
      <c r="AG61" s="15" t="str">
        <f t="shared" si="82"/>
        <v>NTD</v>
      </c>
      <c r="AH61" s="12">
        <f t="shared" si="82"/>
        <v>0</v>
      </c>
      <c r="AI61" s="71">
        <f t="shared" si="86"/>
        <v>0</v>
      </c>
      <c r="AJ61" s="71">
        <f t="shared" si="79"/>
        <v>0</v>
      </c>
      <c r="AK61" s="71">
        <f t="shared" si="79"/>
        <v>0</v>
      </c>
      <c r="AL61" s="71">
        <f t="shared" si="79"/>
        <v>5000</v>
      </c>
      <c r="AM61" s="71">
        <f t="shared" si="79"/>
        <v>10000</v>
      </c>
      <c r="AN61" s="71">
        <f t="shared" si="79"/>
        <v>15000</v>
      </c>
      <c r="AO61" s="71">
        <f t="shared" si="79"/>
        <v>20000</v>
      </c>
      <c r="AP61" s="71">
        <f t="shared" si="79"/>
        <v>25000</v>
      </c>
      <c r="AQ61" s="71">
        <f t="shared" si="79"/>
        <v>30000</v>
      </c>
      <c r="AR61" s="71">
        <f t="shared" si="79"/>
        <v>30000</v>
      </c>
      <c r="AS61" s="71">
        <f t="shared" si="79"/>
        <v>30000</v>
      </c>
      <c r="AT61" s="71">
        <f t="shared" si="79"/>
        <v>30000</v>
      </c>
      <c r="AU61" s="71">
        <f t="shared" si="79"/>
        <v>30000</v>
      </c>
      <c r="AV61" s="71">
        <f t="shared" si="79"/>
        <v>30000</v>
      </c>
      <c r="AW61" s="71">
        <f t="shared" si="79"/>
        <v>30000</v>
      </c>
      <c r="AX61" s="71">
        <f t="shared" si="79"/>
        <v>30000</v>
      </c>
      <c r="AY61" s="71">
        <f t="shared" si="79"/>
        <v>30000</v>
      </c>
      <c r="AZ61" s="71">
        <f t="shared" si="80"/>
        <v>30000</v>
      </c>
      <c r="BA61" s="71">
        <f t="shared" si="80"/>
        <v>30000</v>
      </c>
      <c r="BB61" s="71">
        <f t="shared" si="80"/>
        <v>30000</v>
      </c>
      <c r="BC61" s="71">
        <f t="shared" si="80"/>
        <v>30000</v>
      </c>
      <c r="BD61" s="71">
        <f t="shared" si="80"/>
        <v>30000</v>
      </c>
      <c r="BE61" s="71">
        <f t="shared" si="80"/>
        <v>30000</v>
      </c>
      <c r="BF61" s="71">
        <f t="shared" si="80"/>
        <v>30000</v>
      </c>
      <c r="BG61" s="71">
        <f t="shared" si="83"/>
        <v>30000</v>
      </c>
    </row>
    <row r="62" spans="1:59" x14ac:dyDescent="0.25">
      <c r="A62" s="81" t="s">
        <v>309</v>
      </c>
      <c r="B62" s="82" t="s">
        <v>43</v>
      </c>
      <c r="C62" s="3" t="s">
        <v>13</v>
      </c>
      <c r="D62" s="88"/>
      <c r="E62" s="88"/>
      <c r="F62" s="88"/>
      <c r="G62" s="88"/>
      <c r="H62" s="88"/>
      <c r="I62" s="88"/>
      <c r="J62" s="88"/>
      <c r="K62" s="88"/>
      <c r="L62" s="88"/>
      <c r="M62" s="88"/>
      <c r="N62" s="88">
        <f>IF(設計案成本估算!$B$5&gt;0,5000*設計案成本估算!$B$5,0)</f>
        <v>5000</v>
      </c>
      <c r="O62" s="88"/>
      <c r="P62" s="88"/>
      <c r="Q62" s="88"/>
      <c r="R62" s="88"/>
      <c r="S62" s="88"/>
      <c r="T62" s="88"/>
      <c r="U62" s="88"/>
      <c r="V62" s="88"/>
      <c r="W62" s="88"/>
      <c r="X62" s="88"/>
      <c r="Y62" s="88"/>
      <c r="Z62" s="88"/>
      <c r="AA62" s="88"/>
      <c r="AB62" s="88"/>
      <c r="AC62" s="71">
        <f>SUM(D62:AB62)</f>
        <v>5000</v>
      </c>
      <c r="AD62" s="12"/>
      <c r="AE62" s="81" t="s">
        <v>309</v>
      </c>
      <c r="AF62" s="12" t="str">
        <f>B62</f>
        <v>設計</v>
      </c>
      <c r="AG62" s="15" t="str">
        <f t="shared" ref="AG62" si="93">C62</f>
        <v>NTD</v>
      </c>
      <c r="AH62" s="12">
        <f>D62</f>
        <v>0</v>
      </c>
      <c r="AI62" s="71">
        <f t="shared" ref="AI62" si="94">AH62+E62</f>
        <v>0</v>
      </c>
      <c r="AJ62" s="71">
        <f t="shared" ref="AJ62" si="95">AI62+F62</f>
        <v>0</v>
      </c>
      <c r="AK62" s="71">
        <f t="shared" ref="AK62" si="96">AJ62+G62</f>
        <v>0</v>
      </c>
      <c r="AL62" s="71">
        <f t="shared" ref="AL62" si="97">AK62+H62</f>
        <v>0</v>
      </c>
      <c r="AM62" s="71">
        <f t="shared" ref="AM62" si="98">AL62+I62</f>
        <v>0</v>
      </c>
      <c r="AN62" s="71">
        <f t="shared" ref="AN62" si="99">AM62+J62</f>
        <v>0</v>
      </c>
      <c r="AO62" s="71">
        <f t="shared" ref="AO62" si="100">AN62+K62</f>
        <v>0</v>
      </c>
      <c r="AP62" s="71">
        <f t="shared" ref="AP62" si="101">AO62+L62</f>
        <v>0</v>
      </c>
      <c r="AQ62" s="71">
        <f t="shared" ref="AQ62" si="102">AP62+M62</f>
        <v>0</v>
      </c>
      <c r="AR62" s="71">
        <f t="shared" ref="AR62" si="103">AQ62+N62</f>
        <v>5000</v>
      </c>
      <c r="AS62" s="71">
        <f t="shared" ref="AS62" si="104">AR62+O62</f>
        <v>5000</v>
      </c>
      <c r="AT62" s="71">
        <f t="shared" ref="AT62" si="105">AS62+P62</f>
        <v>5000</v>
      </c>
      <c r="AU62" s="71">
        <f t="shared" ref="AU62" si="106">AT62+Q62</f>
        <v>5000</v>
      </c>
      <c r="AV62" s="71">
        <f t="shared" ref="AV62" si="107">AU62+R62</f>
        <v>5000</v>
      </c>
      <c r="AW62" s="71">
        <f t="shared" ref="AW62" si="108">AV62+S62</f>
        <v>5000</v>
      </c>
      <c r="AX62" s="71">
        <f t="shared" ref="AX62" si="109">AW62+T62</f>
        <v>5000</v>
      </c>
      <c r="AY62" s="71">
        <f t="shared" ref="AY62" si="110">AX62+U62</f>
        <v>5000</v>
      </c>
      <c r="AZ62" s="71">
        <f t="shared" ref="AZ62" si="111">AY62+V62</f>
        <v>5000</v>
      </c>
      <c r="BA62" s="71">
        <f t="shared" ref="BA62" si="112">AZ62+W62</f>
        <v>5000</v>
      </c>
      <c r="BB62" s="71">
        <f t="shared" ref="BB62" si="113">BA62+X62</f>
        <v>5000</v>
      </c>
      <c r="BC62" s="71">
        <f t="shared" ref="BC62" si="114">BB62+Y62</f>
        <v>5000</v>
      </c>
      <c r="BD62" s="71">
        <f t="shared" ref="BD62" si="115">BC62+Z62</f>
        <v>5000</v>
      </c>
      <c r="BE62" s="71">
        <f t="shared" ref="BE62" si="116">BD62+AA62</f>
        <v>5000</v>
      </c>
      <c r="BF62" s="71">
        <f t="shared" ref="BF62" si="117">BE62+AB62</f>
        <v>5000</v>
      </c>
      <c r="BG62" s="71">
        <f>BF62</f>
        <v>5000</v>
      </c>
    </row>
    <row r="63" spans="1:59" x14ac:dyDescent="0.25">
      <c r="A63" s="5"/>
      <c r="B63" s="82" t="s">
        <v>43</v>
      </c>
      <c r="C63" s="5"/>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71">
        <f t="shared" si="81"/>
        <v>0</v>
      </c>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row>
  </sheetData>
  <mergeCells count="6">
    <mergeCell ref="A1:C1"/>
    <mergeCell ref="AE1:AG1"/>
    <mergeCell ref="A23:C23"/>
    <mergeCell ref="AE23:AG23"/>
    <mergeCell ref="A45:C45"/>
    <mergeCell ref="AE45:AG45"/>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6"/>
  <dimension ref="A1:O28"/>
  <sheetViews>
    <sheetView topLeftCell="C1" workbookViewId="0">
      <selection activeCell="K2" sqref="K2"/>
    </sheetView>
  </sheetViews>
  <sheetFormatPr defaultRowHeight="16.5" x14ac:dyDescent="0.25"/>
  <cols>
    <col min="1" max="1" width="13.875" bestFit="1" customWidth="1"/>
    <col min="2" max="2" width="27.25" bestFit="1" customWidth="1"/>
    <col min="3" max="3" width="13.875" bestFit="1" customWidth="1"/>
    <col min="4" max="4" width="18.375" bestFit="1" customWidth="1"/>
    <col min="5" max="5" width="27.25" bestFit="1" customWidth="1"/>
    <col min="6" max="6" width="18.375" customWidth="1"/>
    <col min="7" max="8" width="11.625" customWidth="1"/>
    <col min="10" max="10" width="11.625" customWidth="1"/>
    <col min="11" max="11" width="13.875" bestFit="1" customWidth="1"/>
    <col min="12" max="12" width="23.875" bestFit="1" customWidth="1"/>
    <col min="13" max="13" width="23.875" customWidth="1"/>
    <col min="14" max="14" width="23.875" style="1" bestFit="1" customWidth="1"/>
    <col min="15" max="15" width="16.125" style="1" bestFit="1" customWidth="1"/>
  </cols>
  <sheetData>
    <row r="1" spans="1:15" x14ac:dyDescent="0.25">
      <c r="A1" s="2" t="s">
        <v>64</v>
      </c>
      <c r="B1" s="2" t="s">
        <v>68</v>
      </c>
      <c r="C1" s="2" t="s">
        <v>66</v>
      </c>
      <c r="D1" s="2" t="s">
        <v>67</v>
      </c>
      <c r="E1" s="2" t="s">
        <v>89</v>
      </c>
      <c r="F1" s="2" t="s">
        <v>71</v>
      </c>
      <c r="G1" s="2" t="s">
        <v>31</v>
      </c>
      <c r="H1" s="2" t="s">
        <v>63</v>
      </c>
      <c r="I1" s="28" t="s">
        <v>53</v>
      </c>
      <c r="J1" s="29" t="s">
        <v>50</v>
      </c>
      <c r="K1" s="2" t="s">
        <v>117</v>
      </c>
      <c r="L1" s="2" t="s">
        <v>264</v>
      </c>
      <c r="M1" s="2" t="s">
        <v>267</v>
      </c>
      <c r="N1" s="2" t="s">
        <v>266</v>
      </c>
      <c r="O1" s="2"/>
    </row>
    <row r="2" spans="1:15" x14ac:dyDescent="0.25">
      <c r="A2" s="2" t="s">
        <v>65</v>
      </c>
      <c r="B2" s="2" t="s">
        <v>65</v>
      </c>
      <c r="C2" s="2" t="s">
        <v>65</v>
      </c>
      <c r="D2" s="2" t="s">
        <v>65</v>
      </c>
      <c r="E2" s="2" t="s">
        <v>65</v>
      </c>
      <c r="F2" s="2" t="s">
        <v>65</v>
      </c>
      <c r="G2" s="2" t="s">
        <v>32</v>
      </c>
      <c r="H2" s="2" t="s">
        <v>58</v>
      </c>
      <c r="I2" s="28" t="s">
        <v>47</v>
      </c>
      <c r="J2" s="29" t="s">
        <v>11</v>
      </c>
      <c r="K2" s="68">
        <v>2</v>
      </c>
      <c r="L2" s="1" t="s">
        <v>191</v>
      </c>
      <c r="M2" s="1">
        <v>26</v>
      </c>
      <c r="N2" s="1">
        <v>26</v>
      </c>
    </row>
    <row r="3" spans="1:15" x14ac:dyDescent="0.25">
      <c r="A3" s="2" t="s">
        <v>46</v>
      </c>
      <c r="B3" s="2" t="s">
        <v>46</v>
      </c>
      <c r="C3" s="2" t="s">
        <v>33</v>
      </c>
      <c r="D3" s="2" t="s">
        <v>33</v>
      </c>
      <c r="E3" s="2" t="s">
        <v>49</v>
      </c>
      <c r="F3" s="2" t="s">
        <v>72</v>
      </c>
      <c r="G3" s="2" t="s">
        <v>304</v>
      </c>
      <c r="H3" s="2" t="s">
        <v>56</v>
      </c>
      <c r="I3" s="28" t="s">
        <v>48</v>
      </c>
      <c r="J3" s="29" t="s">
        <v>44</v>
      </c>
      <c r="L3" s="1">
        <v>1</v>
      </c>
      <c r="M3" s="1"/>
    </row>
    <row r="4" spans="1:15" x14ac:dyDescent="0.25">
      <c r="A4" s="2" t="s">
        <v>33</v>
      </c>
      <c r="B4" s="2" t="s">
        <v>33</v>
      </c>
      <c r="C4" s="2" t="s">
        <v>49</v>
      </c>
      <c r="D4" s="2"/>
      <c r="E4" s="2"/>
      <c r="F4" s="2"/>
      <c r="G4" s="2" t="s">
        <v>306</v>
      </c>
      <c r="H4" s="2" t="s">
        <v>59</v>
      </c>
      <c r="I4" s="17"/>
      <c r="J4" s="28"/>
      <c r="L4" s="1">
        <v>2</v>
      </c>
      <c r="M4" s="1"/>
    </row>
    <row r="5" spans="1:15" x14ac:dyDescent="0.25">
      <c r="A5" s="2" t="s">
        <v>49</v>
      </c>
      <c r="B5" s="2" t="s">
        <v>49</v>
      </c>
      <c r="C5" s="2"/>
      <c r="D5" s="2"/>
      <c r="E5" s="2"/>
      <c r="F5" s="2"/>
      <c r="H5" s="2" t="s">
        <v>60</v>
      </c>
      <c r="J5" s="2"/>
      <c r="K5" s="65" t="s">
        <v>118</v>
      </c>
      <c r="L5" s="1">
        <v>3</v>
      </c>
      <c r="M5" s="1"/>
    </row>
    <row r="6" spans="1:15" x14ac:dyDescent="0.25">
      <c r="A6" s="2" t="s">
        <v>34</v>
      </c>
      <c r="K6" s="65" t="s">
        <v>119</v>
      </c>
      <c r="L6" s="1">
        <v>4</v>
      </c>
      <c r="M6" s="1"/>
    </row>
    <row r="7" spans="1:15" x14ac:dyDescent="0.25">
      <c r="L7" s="1">
        <v>5</v>
      </c>
      <c r="M7" s="1"/>
    </row>
    <row r="8" spans="1:15" x14ac:dyDescent="0.25">
      <c r="L8" s="1">
        <v>6</v>
      </c>
      <c r="M8" s="1"/>
    </row>
    <row r="9" spans="1:15" x14ac:dyDescent="0.25">
      <c r="L9" s="1">
        <v>7</v>
      </c>
      <c r="M9" s="1"/>
    </row>
    <row r="10" spans="1:15" x14ac:dyDescent="0.25">
      <c r="L10" s="1">
        <v>8</v>
      </c>
      <c r="M10" s="1"/>
    </row>
    <row r="11" spans="1:15" x14ac:dyDescent="0.25">
      <c r="L11" s="1">
        <v>9</v>
      </c>
      <c r="M11" s="1"/>
    </row>
    <row r="12" spans="1:15" x14ac:dyDescent="0.25">
      <c r="L12" s="1">
        <v>10</v>
      </c>
      <c r="M12" s="1"/>
    </row>
    <row r="13" spans="1:15" x14ac:dyDescent="0.25">
      <c r="L13" s="1">
        <v>11</v>
      </c>
      <c r="M13" s="1"/>
    </row>
    <row r="14" spans="1:15" x14ac:dyDescent="0.25">
      <c r="L14" s="1">
        <v>12</v>
      </c>
      <c r="M14" s="1"/>
    </row>
    <row r="15" spans="1:15" x14ac:dyDescent="0.25">
      <c r="L15" s="1">
        <v>13</v>
      </c>
      <c r="M15" s="1"/>
    </row>
    <row r="16" spans="1:15" x14ac:dyDescent="0.25">
      <c r="L16" s="1">
        <v>14</v>
      </c>
      <c r="M16" s="1"/>
    </row>
    <row r="17" spans="12:13" x14ac:dyDescent="0.25">
      <c r="L17" s="1">
        <v>15</v>
      </c>
      <c r="M17" s="1"/>
    </row>
    <row r="18" spans="12:13" x14ac:dyDescent="0.25">
      <c r="L18" s="1">
        <v>16</v>
      </c>
      <c r="M18" s="1"/>
    </row>
    <row r="19" spans="12:13" x14ac:dyDescent="0.25">
      <c r="L19" s="1">
        <v>17</v>
      </c>
      <c r="M19" s="1"/>
    </row>
    <row r="20" spans="12:13" x14ac:dyDescent="0.25">
      <c r="L20" s="1">
        <v>18</v>
      </c>
      <c r="M20" s="1"/>
    </row>
    <row r="21" spans="12:13" x14ac:dyDescent="0.25">
      <c r="L21" s="1">
        <v>19</v>
      </c>
      <c r="M21" s="1"/>
    </row>
    <row r="22" spans="12:13" x14ac:dyDescent="0.25">
      <c r="L22" s="1">
        <v>20</v>
      </c>
      <c r="M22" s="1"/>
    </row>
    <row r="23" spans="12:13" x14ac:dyDescent="0.25">
      <c r="L23" s="1">
        <v>21</v>
      </c>
      <c r="M23" s="1"/>
    </row>
    <row r="24" spans="12:13" x14ac:dyDescent="0.25">
      <c r="L24" s="1">
        <v>22</v>
      </c>
      <c r="M24" s="1"/>
    </row>
    <row r="25" spans="12:13" x14ac:dyDescent="0.25">
      <c r="L25" s="1">
        <v>23</v>
      </c>
      <c r="M25" s="1"/>
    </row>
    <row r="26" spans="12:13" x14ac:dyDescent="0.25">
      <c r="L26" s="1">
        <v>24</v>
      </c>
      <c r="M26" s="1"/>
    </row>
    <row r="27" spans="12:13" x14ac:dyDescent="0.25">
      <c r="L27" s="1">
        <v>25</v>
      </c>
      <c r="M27" s="1"/>
    </row>
    <row r="28" spans="12:13" x14ac:dyDescent="0.25">
      <c r="L28" s="1" t="s">
        <v>191</v>
      </c>
      <c r="M28"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6</vt:i4>
      </vt:variant>
    </vt:vector>
  </HeadingPairs>
  <TitlesOfParts>
    <vt:vector size="10" baseType="lpstr">
      <vt:lpstr>設計案成本估算</vt:lpstr>
      <vt:lpstr>D</vt:lpstr>
      <vt:lpstr>D年費表</vt:lpstr>
      <vt:lpstr>選項</vt:lpstr>
      <vt:lpstr>設計案成本估算!Print_Area</vt:lpstr>
      <vt:lpstr>計費類型_一案兩請之新型</vt:lpstr>
      <vt:lpstr>計費類型_日韓泰</vt:lpstr>
      <vt:lpstr>計費類型_台中美歐新馬加</vt:lpstr>
      <vt:lpstr>計費類型_設計</vt:lpstr>
      <vt:lpstr>計費類型_越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專利佈局成本估算表</dc:title>
  <dc:creator/>
  <cp:lastModifiedBy/>
  <dcterms:created xsi:type="dcterms:W3CDTF">2006-09-16T00:00:00Z</dcterms:created>
  <dcterms:modified xsi:type="dcterms:W3CDTF">2026-09-15T14:15:53Z</dcterms:modified>
</cp:coreProperties>
</file>